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95" yWindow="270" windowWidth="24270" windowHeight="11955" tabRatio="852"/>
  </bookViews>
  <sheets>
    <sheet name="CoverPg" sheetId="1" r:id="rId1"/>
    <sheet name="F" sheetId="3" r:id="rId2"/>
    <sheet name="S" sheetId="4" r:id="rId3"/>
    <sheet name="OF" sheetId="2" r:id="rId4"/>
    <sheet name="AllSitesA" sheetId="35" r:id="rId5"/>
    <sheet name="SaveVarsA" sheetId="36" state="hidden" r:id="rId6"/>
    <sheet name="StatsA" sheetId="37" state="hidden" r:id="rId7"/>
    <sheet name="AllSitesE" sheetId="38" state="hidden" r:id="rId8"/>
    <sheet name="AllSitesEsub" sheetId="39" state="hidden" r:id="rId9"/>
    <sheet name="WS" sheetId="8" r:id="rId10"/>
    <sheet name="SFS" sheetId="31" r:id="rId11"/>
    <sheet name="WC" sheetId="12" r:id="rId12"/>
    <sheet name="SR" sheetId="9" r:id="rId13"/>
    <sheet name="PR" sheetId="10" r:id="rId14"/>
    <sheet name="NR" sheetId="11" r:id="rId15"/>
    <sheet name="OE" sheetId="14" r:id="rId16"/>
    <sheet name="FH" sheetId="17" r:id="rId17"/>
    <sheet name="INV" sheetId="15" r:id="rId18"/>
    <sheet name="AM" sheetId="18" r:id="rId19"/>
    <sheet name="WB" sheetId="20" r:id="rId20"/>
    <sheet name="SBM" sheetId="21" r:id="rId21"/>
    <sheet name="PH" sheetId="23" r:id="rId22"/>
    <sheet name="HU" sheetId="27" r:id="rId23"/>
    <sheet name="Scores" sheetId="5" r:id="rId24"/>
    <sheet name="Table 1" sheetId="32" r:id="rId25"/>
    <sheet name="Table 2" sheetId="33" r:id="rId26"/>
    <sheet name="Table 3" sheetId="34" r:id="rId27"/>
  </sheets>
  <externalReferences>
    <externalReference r:id="rId28"/>
    <externalReference r:id="rId29"/>
  </externalReferences>
  <definedNames>
    <definedName name="__IBA12">#REF!</definedName>
    <definedName name="__WBF5">#REF!</definedName>
    <definedName name="_Bog6">OE!$D$14</definedName>
    <definedName name="_GDD1">WS!$G$12</definedName>
    <definedName name="_GDD10">FH!#REF!</definedName>
    <definedName name="_GDD11">AM!#REF!</definedName>
    <definedName name="_GDD12">#REF!</definedName>
    <definedName name="_GDD13">WB!#REF!</definedName>
    <definedName name="_GDD14">SBM!#REF!</definedName>
    <definedName name="_GDD2">SR!#REF!</definedName>
    <definedName name="_GDD3">PR!#REF!</definedName>
    <definedName name="_GpA1">WS!#REF!</definedName>
    <definedName name="_Ice11">AM!#REF!</definedName>
    <definedName name="_Ice12">#REF!</definedName>
    <definedName name="_Iso2">SR!$G$28</definedName>
    <definedName name="_Nup4">NR!#REF!</definedName>
    <definedName name="_OMX5">OE!#REF!</definedName>
    <definedName name="_Out3">PR!#REF!</definedName>
    <definedName name="_Pt2">S!#REF!</definedName>
    <definedName name="_Pt3">S!#REF!</definedName>
    <definedName name="_pt4">S!#REF!</definedName>
    <definedName name="AbioSens">#REF!</definedName>
    <definedName name="ABpct12" localSheetId="2">[1]WBF!$G$72</definedName>
    <definedName name="ABpct12">#REF!</definedName>
    <definedName name="ABpct9">#REF!</definedName>
    <definedName name="Access10" localSheetId="2">[1]FR!#REF!</definedName>
    <definedName name="Access10">FH!#REF!</definedName>
    <definedName name="Access11" localSheetId="2">[1]AM!$D$4</definedName>
    <definedName name="Access11">AM!#REF!</definedName>
    <definedName name="Access12">#REF!</definedName>
    <definedName name="Access1a">HU!$G$73</definedName>
    <definedName name="Access1b">HU!#REF!</definedName>
    <definedName name="Access8" localSheetId="2">[1]INV!$G$115</definedName>
    <definedName name="Access8">INV!#REF!</definedName>
    <definedName name="Access9" localSheetId="2">[1]FA!#REF!</definedName>
    <definedName name="Access9">#REF!</definedName>
    <definedName name="AccessFR10" localSheetId="2">[1]FR!$D$96</definedName>
    <definedName name="AccessFR10">FH!#REF!</definedName>
    <definedName name="Acidic13">WB!$G$89</definedName>
    <definedName name="AcidicPool10">FH!$G$78</definedName>
    <definedName name="AcidPool10">FH!$D$78</definedName>
    <definedName name="AcidPool7">#REF!</definedName>
    <definedName name="ADSORB1A">PR!$G$105</definedName>
    <definedName name="ADSORB1B">PR!$G$106</definedName>
    <definedName name="Adsorb3">PR!#REF!</definedName>
    <definedName name="AfishAccess9" localSheetId="2">[1]FA!$D$7</definedName>
    <definedName name="AfishAccess9">#REF!</definedName>
    <definedName name="AfishShed" localSheetId="2">#REF!</definedName>
    <definedName name="AfishShed">#REF!</definedName>
    <definedName name="AfishShed9" localSheetId="2">[1]FA!$D$6</definedName>
    <definedName name="AfishShed9">#REF!</definedName>
    <definedName name="AFshed" localSheetId="2">#REF!</definedName>
    <definedName name="AFshed">#REF!</definedName>
    <definedName name="agland0" localSheetId="2">[1]POL!$G$107</definedName>
    <definedName name="agland0">#REF!</definedName>
    <definedName name="aglandprox" localSheetId="2">[1]POL!$G$113</definedName>
    <definedName name="aglandprox">#REF!</definedName>
    <definedName name="Algae">#REF!</definedName>
    <definedName name="Algae12">#REF!</definedName>
    <definedName name="Algae21">HU!$G$24</definedName>
    <definedName name="Algae3">PR!$G$56</definedName>
    <definedName name="AlkPlaya" localSheetId="2">#REF!</definedName>
    <definedName name="AlkPlaya">#REF!</definedName>
    <definedName name="AllDry10" localSheetId="2">[1]FR!#REF!</definedName>
    <definedName name="AllDry10">FH!#REF!</definedName>
    <definedName name="AllDry11" localSheetId="2">[1]AM!$D$5</definedName>
    <definedName name="AllDry11">AM!$D$23</definedName>
    <definedName name="AllDry12" localSheetId="2">[1]WBF!$D$23</definedName>
    <definedName name="AllDry12">#REF!</definedName>
    <definedName name="AllDry13" localSheetId="2">[1]WBN!#REF!</definedName>
    <definedName name="AllDry13">WB!#REF!</definedName>
    <definedName name="AllDry2" localSheetId="2">[1]SR!$D$9</definedName>
    <definedName name="AllDry2">SR!#REF!</definedName>
    <definedName name="AllDry5" localSheetId="2">[1]CS!#REF!</definedName>
    <definedName name="AllDry5">#REF!</definedName>
    <definedName name="AllDry5a">#REF!</definedName>
    <definedName name="AllDry6" localSheetId="2">[1]OE!#REF!</definedName>
    <definedName name="AllDry6">OE!#REF!</definedName>
    <definedName name="AllDry6a" localSheetId="2">[1]OE!$D$21</definedName>
    <definedName name="AllDry6a">OE!#REF!</definedName>
    <definedName name="Alldry7" localSheetId="2">[1]T!$D$5</definedName>
    <definedName name="Alldry7">WC!#REF!</definedName>
    <definedName name="AllDry7a">WC!#REF!</definedName>
    <definedName name="AllDry8" localSheetId="2">[1]INV!$D$15</definedName>
    <definedName name="AllDry8">INV!#REF!</definedName>
    <definedName name="AllDry8a">INV!#REF!</definedName>
    <definedName name="AllDry9" localSheetId="2">[1]FA!$D$20</definedName>
    <definedName name="AllDry9">#REF!</definedName>
    <definedName name="AllFlowDry">F!#REF!</definedName>
    <definedName name="AllFlowing">F!#REF!</definedName>
    <definedName name="AllFlowingDry">F!#REF!</definedName>
    <definedName name="AllFlowingWet">F!#REF!</definedName>
    <definedName name="AllForbCov">F!$D$229</definedName>
    <definedName name="AllHerbCov">F!$D$223</definedName>
    <definedName name="AllMoss">F!$D$193</definedName>
    <definedName name="AllNat">F!$D$250</definedName>
    <definedName name="AllOpenPond">F!$D$77</definedName>
    <definedName name="AllSat">F!$D$23</definedName>
    <definedName name="AllSat1">F!$D$22</definedName>
    <definedName name="AllSat2">F!$D$21</definedName>
    <definedName name="AllWater14">SBM!#REF!</definedName>
    <definedName name="AllWet">F!$D$30</definedName>
    <definedName name="AllWoody1">WS!$G$77</definedName>
    <definedName name="AltTime10">FH!$G$120</definedName>
    <definedName name="AltTime11">AM!#REF!</definedName>
    <definedName name="AltTime20">PH!$G$214</definedName>
    <definedName name="AltTime8">INV!$G$138</definedName>
    <definedName name="AltTime9">#REF!</definedName>
    <definedName name="AltTiming" localSheetId="2">[1]STR!$G$4</definedName>
    <definedName name="AltTiming">#REF!</definedName>
    <definedName name="AltTimingIN">#REF!</definedName>
    <definedName name="AltTimingOut" localSheetId="2">[1]STR!$G$5</definedName>
    <definedName name="AltTimingOut">#REF!</definedName>
    <definedName name="Amphib" localSheetId="2">[1]INV!$G$161</definedName>
    <definedName name="Amphib">INV!#REF!</definedName>
    <definedName name="AmphibScore">AM!#REF!</definedName>
    <definedName name="AmphibScore8">INV!#REF!</definedName>
    <definedName name="AmphScore">#REF!</definedName>
    <definedName name="AmPres11">AM!#REF!</definedName>
    <definedName name="AmpSiteS">#REF!</definedName>
    <definedName name="Anad3">PR!#REF!</definedName>
    <definedName name="Anad4">NR!#REF!</definedName>
    <definedName name="AnadFish" localSheetId="2">[1]INV!$G$159</definedName>
    <definedName name="AnadFish">INV!#REF!</definedName>
    <definedName name="AnadFish7">WC!#REF!</definedName>
    <definedName name="AnadHUC7" localSheetId="2">[1]T!$G$37</definedName>
    <definedName name="AnadHUC7">WC!#REF!</definedName>
    <definedName name="AnadPrio7" localSheetId="2">[1]T!#REF!</definedName>
    <definedName name="AnadPrio7">WC!#REF!</definedName>
    <definedName name="AnadPrioShed" localSheetId="2">[1]FA!$G$123</definedName>
    <definedName name="AnadPrioShed">#REF!</definedName>
    <definedName name="AnadScore2_">SFS!#REF!</definedName>
    <definedName name="AnimSens_S" localSheetId="2">[1]Sen!#REF!</definedName>
    <definedName name="AnimSens_S">#REF!</definedName>
    <definedName name="AnnCropCA">OF!#REF!</definedName>
    <definedName name="AnoxF1a">FH!$G$134</definedName>
    <definedName name="AnoxF1b">FH!$G$135</definedName>
    <definedName name="AnoxRisk10">FH!#REF!</definedName>
    <definedName name="AqCov8">INV!$G$70</definedName>
    <definedName name="AqFertilPD">PH!#REF!</definedName>
    <definedName name="AqPest8" localSheetId="2">[1]INV!$G$76</definedName>
    <definedName name="AqPest8">INV!#REF!</definedName>
    <definedName name="AqPlantCov9">#REF!</definedName>
    <definedName name="AqStruc11">AM!#REF!</definedName>
    <definedName name="Aquif1" localSheetId="2">[1]WS!#REF!</definedName>
    <definedName name="Aquif1">WS!#REF!</definedName>
    <definedName name="Aquifer" localSheetId="2">[1]WS!#REF!</definedName>
    <definedName name="Aquifer">WS!#REF!</definedName>
    <definedName name="Aquifer4" localSheetId="2">[1]NR!$G$151</definedName>
    <definedName name="Aquifer4">NR!#REF!</definedName>
    <definedName name="AquifVul">OF!#REF!</definedName>
    <definedName name="AqVul">OF!$E$2</definedName>
    <definedName name="Aspect">OF!$E$3</definedName>
    <definedName name="aspect0">#REF!</definedName>
    <definedName name="Aspect1">WS!#REF!</definedName>
    <definedName name="Aspect11">AM!#REF!</definedName>
    <definedName name="Aspect2_">SFS!#REF!</definedName>
    <definedName name="Aspect4">NR!#REF!</definedName>
    <definedName name="Aspect7">WC!#REF!</definedName>
    <definedName name="Aspect7v">WC!#REF!</definedName>
    <definedName name="Aspect7vw">#REF!</definedName>
    <definedName name="Aspect7w">#REF!</definedName>
    <definedName name="AspectCA">OF!#REF!</definedName>
    <definedName name="AspectPD">PH!#REF!</definedName>
    <definedName name="BareGpct">#REF!</definedName>
    <definedName name="BearHab9">#REF!</definedName>
    <definedName name="BearPD">PH!#REF!</definedName>
    <definedName name="BearShed">#REF!</definedName>
    <definedName name="BearShed14">SBM!#REF!</definedName>
    <definedName name="BearShed9">#REF!</definedName>
    <definedName name="Beaver_S">#REF!</definedName>
    <definedName name="Beaver10">FH!$G$80</definedName>
    <definedName name="Beaver11">AM!$G$66</definedName>
    <definedName name="Beaver12">#REF!</definedName>
    <definedName name="Beaver13">WB!$G$91</definedName>
    <definedName name="Beaver14">SBM!$D$71</definedName>
    <definedName name="Beaver14a">SBM!$G$71</definedName>
    <definedName name="Beaver9">#REF!</definedName>
    <definedName name="BeaverPD">PH!$G$78</definedName>
    <definedName name="BestInScape" localSheetId="2">#REF!</definedName>
    <definedName name="BestInScape">#REF!</definedName>
    <definedName name="BestInShed" localSheetId="2">#REF!</definedName>
    <definedName name="BestInShed">#REF!</definedName>
    <definedName name="BigPondProx12" localSheetId="2">[1]WBF!$G$137</definedName>
    <definedName name="BigPondProx12">#REF!</definedName>
    <definedName name="BioDivZone">OF!$E$4</definedName>
    <definedName name="Biological">#REF!</definedName>
    <definedName name="BioSens">#REF!</definedName>
    <definedName name="Bioshed14">SBM!#REF!</definedName>
    <definedName name="BioShedX">#REF!</definedName>
    <definedName name="BioZone14">SBM!#REF!</definedName>
    <definedName name="BMP_11">AM!$G$119</definedName>
    <definedName name="BMP_13">WB!$G$149</definedName>
    <definedName name="BMP_14">SBM!$G$164</definedName>
    <definedName name="BMPs1a">HU!#REF!</definedName>
    <definedName name="BMPs1b">HU!#REF!</definedName>
    <definedName name="BMPsoils20">PH!$G$211</definedName>
    <definedName name="BMPsoilsPU">HU!$G$51</definedName>
    <definedName name="BMPwildPU">HU!$G$52</definedName>
    <definedName name="BoatsPD" localSheetId="2">[1]PD!$G$114</definedName>
    <definedName name="BoatsPD">PH!#REF!</definedName>
    <definedName name="BoatVector" localSheetId="2">[1]STR!$G$19</definedName>
    <definedName name="BoatVector">#REF!</definedName>
    <definedName name="Bog" localSheetId="2">#REF!</definedName>
    <definedName name="Bog">#REF!</definedName>
    <definedName name="Bog_S" localSheetId="2">[1]Sen!$D$3</definedName>
    <definedName name="Bog_S">#REF!</definedName>
    <definedName name="BogPct5K">OF!#REF!</definedName>
    <definedName name="BogW" localSheetId="2">#REF!</definedName>
    <definedName name="BogW">#REF!</definedName>
    <definedName name="Browsed14">SBM!#REF!</definedName>
    <definedName name="BrowsedS">#REF!</definedName>
    <definedName name="BuffAllNat">F!$D$254</definedName>
    <definedName name="BuffCovTyp4">NR!#REF!</definedName>
    <definedName name="BuffCUnatPct9" localSheetId="2">[1]FA!#REF!</definedName>
    <definedName name="BuffCUnatPct9">#REF!</definedName>
    <definedName name="BuffDisturbTyp" localSheetId="2">[1]STR!$G$46</definedName>
    <definedName name="BuffDisturbTyp">#REF!</definedName>
    <definedName name="BufferWeeds" localSheetId="2">#REF!</definedName>
    <definedName name="BufferWeeds">#REF!</definedName>
    <definedName name="BuffLU10" localSheetId="2">[1]FR!#REF!</definedName>
    <definedName name="BuffLU10">FH!#REF!</definedName>
    <definedName name="BuffLU11" localSheetId="2">[1]AM!$G$158</definedName>
    <definedName name="BuffLU11">AM!#REF!</definedName>
    <definedName name="BuffLU14" localSheetId="2">[1]SBM!#REF!</definedName>
    <definedName name="BuffLU14">SBM!#REF!</definedName>
    <definedName name="BuffLU8" localSheetId="2">[1]INV!#REF!</definedName>
    <definedName name="BuffLU8">INV!#REF!</definedName>
    <definedName name="BuffLU9" localSheetId="2">[1]FA!$G$99</definedName>
    <definedName name="BuffLU9">#REF!</definedName>
    <definedName name="BuffLUpd" localSheetId="2">[1]PD!$G$141</definedName>
    <definedName name="BuffLUpd">PH!$G$188</definedName>
    <definedName name="BuffLUtype13" localSheetId="2">[1]WBN!$G$134</definedName>
    <definedName name="BuffLUtype13">WB!#REF!</definedName>
    <definedName name="BuffNatPct11">AM!$G$101</definedName>
    <definedName name="BuffNatPct13" localSheetId="2">[1]WBN!$G$128</definedName>
    <definedName name="BuffNatPct13">WB!$G$131</definedName>
    <definedName name="BuffNatPct8">INV!$G$123</definedName>
    <definedName name="BuffPctCU10" localSheetId="2">[1]FR!#REF!</definedName>
    <definedName name="BuffPctCU10">FH!#REF!</definedName>
    <definedName name="BuffPctNat9">#REF!</definedName>
    <definedName name="BuffSlope_S" localSheetId="2">[1]Sen!$G$122</definedName>
    <definedName name="BuffSlope_S">#REF!</definedName>
    <definedName name="BuffSlope2">SR!#REF!</definedName>
    <definedName name="BuffSlope3">PR!#REF!</definedName>
    <definedName name="BuffSlope4">NR!#REF!</definedName>
    <definedName name="BuffVdens" localSheetId="2">[1]STR!#REF!</definedName>
    <definedName name="BuffVdens">#REF!</definedName>
    <definedName name="BuffVeg2" localSheetId="2">[1]SR!#REF!</definedName>
    <definedName name="BuffVeg2">SR!#REF!</definedName>
    <definedName name="BuffVpct3" localSheetId="2">[1]PR!#REF!</definedName>
    <definedName name="BuffVpct3">PR!#REF!</definedName>
    <definedName name="BuffVpct4" localSheetId="2">[1]NR!#REF!</definedName>
    <definedName name="BuffVpct4">NR!#REF!</definedName>
    <definedName name="CAimperv">#REF!</definedName>
    <definedName name="calcarPD" localSheetId="2">[1]PD!#REF!</definedName>
    <definedName name="calcarPD">PH!#REF!</definedName>
    <definedName name="Calcium3" localSheetId="2">[1]PR!#REF!</definedName>
    <definedName name="Calcium3">PR!#REF!</definedName>
    <definedName name="Calcium5" localSheetId="2">[1]CS!#REF!</definedName>
    <definedName name="Calcium5">#REF!</definedName>
    <definedName name="CAnatPct2" localSheetId="2">[1]SR!$G$154</definedName>
    <definedName name="CAnatPct2">SR!#REF!</definedName>
    <definedName name="CAnatPct4" localSheetId="2">[1]NR!$G$155</definedName>
    <definedName name="CAnatPct4">NR!#REF!</definedName>
    <definedName name="CApct1" localSheetId="2">[1]WS!$G$79</definedName>
    <definedName name="CApct1">WS!#REF!</definedName>
    <definedName name="CApct2" localSheetId="2">[1]SR!$G$85</definedName>
    <definedName name="CApct2">SR!#REF!</definedName>
    <definedName name="CApct2F" localSheetId="2">[1]SR!$G$75</definedName>
    <definedName name="CApct2F">SR!#REF!</definedName>
    <definedName name="CApct3" localSheetId="2">[1]PR!$G$111</definedName>
    <definedName name="CApct3">PR!#REF!</definedName>
    <definedName name="CApct4" localSheetId="2">[1]NR!$G$111</definedName>
    <definedName name="CApct4">NR!#REF!</definedName>
    <definedName name="CApctB3">PR!$G$97</definedName>
    <definedName name="CARB1A">NR!$G$140</definedName>
    <definedName name="CARB1B">NR!$G$141</definedName>
    <definedName name="CarbShed">OE!#REF!</definedName>
    <definedName name="CAunveg1" localSheetId="2">[1]WS!$G$84</definedName>
    <definedName name="CAunveg1">WS!#REF!</definedName>
    <definedName name="Cedar14">SBM!#REF!</definedName>
    <definedName name="CedarPD">PH!#REF!</definedName>
    <definedName name="CellHasFormula">GET.CELL(48,INDIRECT("rc",FALSE))</definedName>
    <definedName name="CfixA1a">AM!$G$140</definedName>
    <definedName name="CfixA1b">AM!#REF!</definedName>
    <definedName name="CfixF1a">FH!$G$124</definedName>
    <definedName name="CfixF1b">FH!#REF!</definedName>
    <definedName name="CfixI1a">INV!$G$151</definedName>
    <definedName name="CfixI1b">INV!#REF!</definedName>
    <definedName name="CfixS1a">SBM!$G$173</definedName>
    <definedName name="CfixS1b">SBM!$G$174</definedName>
    <definedName name="CfixV1a">PH!$G$223</definedName>
    <definedName name="CfixV1b">PH!#REF!</definedName>
    <definedName name="CfixW1a">WB!$G$163</definedName>
    <definedName name="CfixW1b">WB!#REF!</definedName>
    <definedName name="ChannConn">OF!$E$5</definedName>
    <definedName name="Class" localSheetId="2">#REF!</definedName>
    <definedName name="Class">#REF!</definedName>
    <definedName name="ClassRich1k">OF!$E$6</definedName>
    <definedName name="ClassRich5k">OF!#REF!</definedName>
    <definedName name="ClassRichIn">OF!$E$7</definedName>
    <definedName name="ClassRichIn14">SBM!$G$34</definedName>
    <definedName name="ClassRichIn15">PH!$G$30</definedName>
    <definedName name="ClassRichIn8">INV!$G$22</definedName>
    <definedName name="cliff0" localSheetId="2">[1]POL!$G$76</definedName>
    <definedName name="cliff0">#REF!</definedName>
    <definedName name="Cliff14">SBM!$D$151</definedName>
    <definedName name="Cliffs14" localSheetId="2">[1]SBM!$G$78</definedName>
    <definedName name="Cliffs14">SBM!$G$151</definedName>
    <definedName name="Climate11">AM!#REF!</definedName>
    <definedName name="Climate12">#REF!</definedName>
    <definedName name="ClimateLF">SFS!#REF!</definedName>
    <definedName name="ClimatePD">PH!#REF!</definedName>
    <definedName name="ClimateS">#REF!</definedName>
    <definedName name="Colonizer">#REF!</definedName>
    <definedName name="CompetPD">PH!#REF!</definedName>
    <definedName name="Connec3">PR!#REF!</definedName>
    <definedName name="Connec4">NR!#REF!</definedName>
    <definedName name="Connec8">INV!#REF!</definedName>
    <definedName name="ConnecDn2">SR!#REF!</definedName>
    <definedName name="ConnecDn3">PR!#REF!</definedName>
    <definedName name="ConnecDn4">NR!#REF!</definedName>
    <definedName name="Connectiv2">SR!#REF!</definedName>
    <definedName name="ConnectivLF">SFS!#REF!</definedName>
    <definedName name="ConnecUp10">FH!#REF!</definedName>
    <definedName name="ConnecUp11">AM!#REF!</definedName>
    <definedName name="ConnecUp13">WB!#REF!</definedName>
    <definedName name="ConnecUp2">SR!#REF!</definedName>
    <definedName name="ConnecUp3">PR!#REF!</definedName>
    <definedName name="ConnecUp4">NR!#REF!</definedName>
    <definedName name="ConnLocalW">SBM!#REF!</definedName>
    <definedName name="ConnLocalW11">AM!#REF!</definedName>
    <definedName name="ConnLocalW14">SBM!#REF!</definedName>
    <definedName name="ConnLocalW15">PH!#REF!</definedName>
    <definedName name="ConnLocalWet11">AM!#REF!</definedName>
    <definedName name="ConnLocalWet13">WB!#REF!</definedName>
    <definedName name="ConnLocalWetS">#REF!</definedName>
    <definedName name="ConnLocalWL">#REF!</definedName>
    <definedName name="ConsInvest" localSheetId="2">[1]PU!$G$22</definedName>
    <definedName name="ConsInvest">HU!#REF!</definedName>
    <definedName name="Constric_C" localSheetId="2">[1]CQ!#REF!</definedName>
    <definedName name="Constric_C">#REF!</definedName>
    <definedName name="Constric_S" localSheetId="2">[1]Sen!$G$34</definedName>
    <definedName name="Constric_S">#REF!</definedName>
    <definedName name="Constric1" localSheetId="2">[1]WS!$G$53</definedName>
    <definedName name="Constric1">WS!$G$64</definedName>
    <definedName name="Constric10" localSheetId="2">[1]FR!$G$64</definedName>
    <definedName name="Constric10">FH!#REF!</definedName>
    <definedName name="Constric2" localSheetId="2">[1]SR!$G$41</definedName>
    <definedName name="Constric2">SR!$G$71</definedName>
    <definedName name="Constric3" localSheetId="2">[1]PR!$G$58</definedName>
    <definedName name="Constric3">PR!$G$69</definedName>
    <definedName name="Constric4" localSheetId="2">[1]NR!$G$54</definedName>
    <definedName name="Constric4">NR!$G$84</definedName>
    <definedName name="Constric5" localSheetId="2">[1]CS!$G$63</definedName>
    <definedName name="Constric5">#REF!</definedName>
    <definedName name="Constric6" localSheetId="2">[1]OE!$G$60</definedName>
    <definedName name="Constric6">OE!$G$74</definedName>
    <definedName name="Constricted">#REF!</definedName>
    <definedName name="ConsumpU">#REF!</definedName>
    <definedName name="ContribUp" localSheetId="2">#REF!</definedName>
    <definedName name="ContribUp">#REF!</definedName>
    <definedName name="Conven">HU!#REF!</definedName>
    <definedName name="Core1" localSheetId="2">[1]STR!$G$25</definedName>
    <definedName name="Core1">#REF!</definedName>
    <definedName name="Core1_11" localSheetId="2">[1]AM!$G$125</definedName>
    <definedName name="Core1_11">AM!$G$107</definedName>
    <definedName name="Core1_13" localSheetId="2">[1]WBN!$G$118</definedName>
    <definedName name="Core1_13">WB!$G$137</definedName>
    <definedName name="Core10">FH!#REF!</definedName>
    <definedName name="Core12a" localSheetId="2">[1]WBF!$G$102</definedName>
    <definedName name="Core12a">#REF!</definedName>
    <definedName name="Core12b" localSheetId="2">[1]WBF!$G$107</definedName>
    <definedName name="Core12b">#REF!</definedName>
    <definedName name="Core13a">WB!$G$137</definedName>
    <definedName name="Core14a" localSheetId="2">[1]SBM!$G$84</definedName>
    <definedName name="Core14a">SBM!$G$152</definedName>
    <definedName name="Core14b" localSheetId="2">[1]SBM!$G$89</definedName>
    <definedName name="Core14b">SBM!$G$159</definedName>
    <definedName name="Core1pd" localSheetId="2">[1]PD!$G$120</definedName>
    <definedName name="Core1pd">PH!$G$199</definedName>
    <definedName name="Core1PU">HU!$G$39</definedName>
    <definedName name="Core2" localSheetId="2">[1]STR!$G$30</definedName>
    <definedName name="Core2">#REF!</definedName>
    <definedName name="Core2_11" localSheetId="2">[1]AM!$G$130</definedName>
    <definedName name="Core2_11">AM!$G$114</definedName>
    <definedName name="Core2_13" localSheetId="2">[1]WBN!$G$123</definedName>
    <definedName name="Core2_13">WB!$G$144</definedName>
    <definedName name="Core2pd" localSheetId="2">[1]PD!$G$125</definedName>
    <definedName name="Core2pd">PH!$G$206</definedName>
    <definedName name="Core2PU">HU!$G$46</definedName>
    <definedName name="Core9">#REF!</definedName>
    <definedName name="County" localSheetId="2">#REF!</definedName>
    <definedName name="County">#REF!</definedName>
    <definedName name="CountyNPrank" localSheetId="2">#REF!</definedName>
    <definedName name="CountyNPrank">#REF!</definedName>
    <definedName name="CoverAppro_C" localSheetId="2">[1]CQ!#REF!</definedName>
    <definedName name="CoverAppro_C">#REF!</definedName>
    <definedName name="CoverAppro2" localSheetId="2">#REF!</definedName>
    <definedName name="CoverAppro2">#REF!</definedName>
    <definedName name="Cowardin" localSheetId="2">#REF!</definedName>
    <definedName name="Cowardin">#REF!</definedName>
    <definedName name="CropDist">#REF!</definedName>
    <definedName name="CropDist0">#REF!</definedName>
    <definedName name="crops0" localSheetId="2">[1]POL!$G$105</definedName>
    <definedName name="crops0">#REF!</definedName>
    <definedName name="Crowds" localSheetId="2">#REF!</definedName>
    <definedName name="Crowds">#REF!</definedName>
    <definedName name="Crowds2" localSheetId="2">#REF!</definedName>
    <definedName name="Crowds2">#REF!</definedName>
    <definedName name="Cshed6">OE!#REF!</definedName>
    <definedName name="Cshed9">#REF!</definedName>
    <definedName name="CSshed">#REF!</definedName>
    <definedName name="Cstock1a">OE!$G$120</definedName>
    <definedName name="Cstock1b">OE!$G$121</definedName>
    <definedName name="CtyRankNP" localSheetId="2">#REF!</definedName>
    <definedName name="CtyRankNP">#REF!</definedName>
    <definedName name="CUbuffLUtype8" localSheetId="2">[1]INV!$G$128</definedName>
    <definedName name="CUbuffLUtype8">INV!$G$129</definedName>
    <definedName name="CUbuffNatPct14" localSheetId="2">[1]SBM!$G$94</definedName>
    <definedName name="CUbuffNatPct14">SBM!$G$142</definedName>
    <definedName name="CUbuffPctNat_S" localSheetId="2">[1]Sen!#REF!</definedName>
    <definedName name="CUbuffPctNat_S">#REF!</definedName>
    <definedName name="CUbuffPctNat8">INV!$G$129</definedName>
    <definedName name="CUratio_S" localSheetId="2">[1]Sen!$G$174</definedName>
    <definedName name="CUratio_S">#REF!</definedName>
    <definedName name="CUratioSS">SR!#REF!</definedName>
    <definedName name="CUtypeLU14" localSheetId="2">[1]SBM!$G$100</definedName>
    <definedName name="CUtypeLU14">SBM!$G$148</definedName>
    <definedName name="dbhPD">PH!$G$105</definedName>
    <definedName name="DeadZone" localSheetId="2">#REF!</definedName>
    <definedName name="DeadZone">#REF!</definedName>
    <definedName name="Decid6">OE!$G$83</definedName>
    <definedName name="DecidPct5">#REF!</definedName>
    <definedName name="DeepSpot10">FH!#REF!</definedName>
    <definedName name="DeepSpot11" localSheetId="2">[1]AM!$G$43</definedName>
    <definedName name="DeepSpot11">AM!#REF!</definedName>
    <definedName name="DeepSpot12" localSheetId="2">[1]WBF!#REF!</definedName>
    <definedName name="DeepSpot12">#REF!</definedName>
    <definedName name="DeepSpot13">WB!#REF!</definedName>
    <definedName name="DeepSpot2">SR!#REF!</definedName>
    <definedName name="DeepSpot3">PR!#REF!</definedName>
    <definedName name="DeerShed14">SBM!#REF!</definedName>
    <definedName name="DeerShedPS">#REF!</definedName>
    <definedName name="DeerShedPS2">#REF!</definedName>
    <definedName name="DELAY1A">NR!$G$148</definedName>
    <definedName name="DELAY1B">NR!$G$149</definedName>
    <definedName name="Depth_S" localSheetId="2">[1]Sen!$G$18</definedName>
    <definedName name="Depth_S">#REF!</definedName>
    <definedName name="Depth10" localSheetId="2">[1]FR!$G$48</definedName>
    <definedName name="Depth10">FH!$G$45</definedName>
    <definedName name="Depth12" localSheetId="2">[1]WBF!$G$44</definedName>
    <definedName name="Depth12">#REF!</definedName>
    <definedName name="Depth13" localSheetId="2">[1]WBN!$G$36</definedName>
    <definedName name="Depth13">WB!#REF!</definedName>
    <definedName name="Depth15" localSheetId="2">[1]PD!$G$37</definedName>
    <definedName name="Depth15">PH!$G$55</definedName>
    <definedName name="Depth2_">SFS!$G$24</definedName>
    <definedName name="Depth5" localSheetId="2">[1]CS!$G$47</definedName>
    <definedName name="Depth5">#REF!</definedName>
    <definedName name="Depth6" localSheetId="2">[1]OE!$G$48</definedName>
    <definedName name="Depth6">OE!#REF!</definedName>
    <definedName name="Depth7" localSheetId="2">[1]T!$G$13</definedName>
    <definedName name="Depth7">WC!$G$35</definedName>
    <definedName name="Depth7w">#REF!</definedName>
    <definedName name="Depth8" localSheetId="2">[1]INV!$G$53</definedName>
    <definedName name="Depth8">INV!$G$53</definedName>
    <definedName name="Depth9" localSheetId="2">[1]FA!$G$38</definedName>
    <definedName name="Depth9">#REF!</definedName>
    <definedName name="DepthC2" localSheetId="2">[1]SR!$G$30</definedName>
    <definedName name="DepthC2">SR!$G$22</definedName>
    <definedName name="DepthDiv8">INV!$G$59</definedName>
    <definedName name="DepthDom5">#REF!</definedName>
    <definedName name="DepthEven10" localSheetId="2">[1]FR!$G$54</definedName>
    <definedName name="DepthEven10">FH!$G$51</definedName>
    <definedName name="DepthEven11" localSheetId="2">[1]AM!#REF!</definedName>
    <definedName name="DepthEven11">AM!#REF!</definedName>
    <definedName name="DepthEven12" localSheetId="2">[1]WBF!$G$50</definedName>
    <definedName name="DepthEven12">#REF!</definedName>
    <definedName name="DepthEven13" localSheetId="2">[1]WBN!$G$42</definedName>
    <definedName name="DepthEven13">WB!$G$53</definedName>
    <definedName name="DepthEven8" localSheetId="2">[1]INV!$G$59</definedName>
    <definedName name="DepthEven8">INV!#REF!</definedName>
    <definedName name="Designated" localSheetId="2">#REF!</definedName>
    <definedName name="Designated">#REF!</definedName>
    <definedName name="Desorb3">PR!#REF!</definedName>
    <definedName name="DevCA">OF!#REF!</definedName>
    <definedName name="Deveg_C">#REF!</definedName>
    <definedName name="Deveg11" localSheetId="2">[1]AM!$G$113</definedName>
    <definedName name="Deveg11">AM!#REF!</definedName>
    <definedName name="Deveg13" localSheetId="2">[1]WBN!$G$113</definedName>
    <definedName name="Deveg13">WB!#REF!</definedName>
    <definedName name="Deveg14" localSheetId="2">[1]SBM!$G$79</definedName>
    <definedName name="Deveg14">SBM!#REF!</definedName>
    <definedName name="Deveg2" localSheetId="2">[1]SR!$G$70</definedName>
    <definedName name="Deveg2">SR!#REF!</definedName>
    <definedName name="Deveg5" localSheetId="2">[1]CS!$G$126</definedName>
    <definedName name="Deveg5">#REF!</definedName>
    <definedName name="Deveg6" localSheetId="2">[1]OE!$G$110</definedName>
    <definedName name="Deveg6">OE!#REF!</definedName>
    <definedName name="Deveg8" localSheetId="2">[1]INV!$G$116</definedName>
    <definedName name="Deveg8">INV!#REF!</definedName>
    <definedName name="devegPD" localSheetId="2">[1]PD!$G$109</definedName>
    <definedName name="devegPD">PH!#REF!</definedName>
    <definedName name="DisGrassRems">PH!#REF!</definedName>
    <definedName name="DisParkRems">PH!#REF!</definedName>
    <definedName name="DisRd14" localSheetId="2">[1]SBM!$G$109</definedName>
    <definedName name="DisRd14">SBM!#REF!</definedName>
    <definedName name="Dist2DevCrop">OF!$E$8</definedName>
    <definedName name="Dist2Road">OF!$E$9</definedName>
    <definedName name="DistBigWooded">OF!#REF!</definedName>
    <definedName name="DistDisturbAq">OF!#REF!</definedName>
    <definedName name="DistExceedSS" localSheetId="2">[1]SR!#REF!</definedName>
    <definedName name="DistExceedSS">SR!#REF!</definedName>
    <definedName name="DistGrass11">AM!#REF!</definedName>
    <definedName name="DistGrass13">WB!#REF!</definedName>
    <definedName name="DistGrass14">SBM!#REF!</definedName>
    <definedName name="DistNatCov">OF!#REF!</definedName>
    <definedName name="DistNatGrass">OF!#REF!</definedName>
    <definedName name="DistPark14">SBM!#REF!</definedName>
    <definedName name="DistParkRem11">AM!#REF!</definedName>
    <definedName name="DistPond11">AM!#REF!</definedName>
    <definedName name="DistPop">OF!$E$10</definedName>
    <definedName name="DistRd10">FH!#REF!</definedName>
    <definedName name="DistRd15">PH!#REF!</definedName>
    <definedName name="DistRd9">#REF!</definedName>
    <definedName name="DistRdPD" localSheetId="2">[1]PD!$G$163</definedName>
    <definedName name="DistRdPD">PH!#REF!</definedName>
    <definedName name="DistRdPU">HU!#REF!</definedName>
    <definedName name="Disturb" localSheetId="2">#REF!</definedName>
    <definedName name="Disturb">#REF!</definedName>
    <definedName name="Disturb5k">OF!#REF!</definedName>
    <definedName name="DisturbStress">#REF!</definedName>
    <definedName name="DisWettype11">AM!#REF!</definedName>
    <definedName name="DisWettype11v">AM!#REF!</definedName>
    <definedName name="DisWettype13">WB!#REF!</definedName>
    <definedName name="DisWettype13v">WB!#REF!</definedName>
    <definedName name="DisWettype8">INV!#REF!</definedName>
    <definedName name="DisWettype8v">INV!#REF!</definedName>
    <definedName name="DisWettypePD">PH!#REF!</definedName>
    <definedName name="DisWettypeS">#REF!</definedName>
    <definedName name="Ditching1">WS!#REF!</definedName>
    <definedName name="DomDepth3" localSheetId="2">[1]PR!$G$47</definedName>
    <definedName name="DomDepth3">PR!$G$33</definedName>
    <definedName name="DownDistExceedSS" localSheetId="2">[1]SR!$G$112</definedName>
    <definedName name="DownDistExceedSS">SR!#REF!</definedName>
    <definedName name="DownEroding" localSheetId="2">#REF!</definedName>
    <definedName name="DownEroding">#REF!</definedName>
    <definedName name="DownExceed" localSheetId="2">#REF!</definedName>
    <definedName name="DownExceed">#REF!</definedName>
    <definedName name="DownExceed2">SR!#REF!</definedName>
    <definedName name="DownExceedDist" localSheetId="2">#REF!</definedName>
    <definedName name="DownExceedDist">#REF!</definedName>
    <definedName name="DownExceedSS">SR!#REF!</definedName>
    <definedName name="DownNitrate" localSheetId="2">#REF!</definedName>
    <definedName name="DownNitrate">#REF!</definedName>
    <definedName name="DownPhos" localSheetId="2">#REF!</definedName>
    <definedName name="DownPhos">#REF!</definedName>
    <definedName name="DownStorage" localSheetId="2">#REF!</definedName>
    <definedName name="DownStorage">#REF!</definedName>
    <definedName name="DownStore1" localSheetId="2">[1]WS!$G$102</definedName>
    <definedName name="DownStore1">WS!#REF!</definedName>
    <definedName name="DownThermo" localSheetId="2">#REF!</definedName>
    <definedName name="DownThermo">#REF!</definedName>
    <definedName name="DownTurb" localSheetId="2">#REF!</definedName>
    <definedName name="DownTurb">#REF!</definedName>
    <definedName name="downwood0" localSheetId="2">[1]POL!$G$69</definedName>
    <definedName name="downwood0">#REF!</definedName>
    <definedName name="DownWood15">PH!$G$114</definedName>
    <definedName name="DownWQdis2">SR!#REF!</definedName>
    <definedName name="Drawdown3" localSheetId="2">[1]PR!$G$14</definedName>
    <definedName name="Drawdown3">PR!#REF!</definedName>
    <definedName name="Drier" localSheetId="2">[1]STR!$G$3</definedName>
    <definedName name="Drier">#REF!</definedName>
    <definedName name="drier1">WS!#REF!</definedName>
    <definedName name="drier1a">WS!#REF!</definedName>
    <definedName name="Drier3" localSheetId="2">[1]PR!$G$105</definedName>
    <definedName name="Drier3">PR!#REF!</definedName>
    <definedName name="Drier4" localSheetId="2">[1]NR!$G$103</definedName>
    <definedName name="Drier4">NR!#REF!</definedName>
    <definedName name="Drier5" localSheetId="2">[1]CS!$G$135</definedName>
    <definedName name="Drier5">#REF!</definedName>
    <definedName name="DrierEx">#REF!</definedName>
    <definedName name="Drink4" localSheetId="2">[1]NR!$G$136</definedName>
    <definedName name="Drink4">NR!#REF!</definedName>
    <definedName name="DryIntercept">SR!#REF!</definedName>
    <definedName name="DuckDens">OF!$E$11</definedName>
    <definedName name="DuckDens13">WB!#REF!</definedName>
    <definedName name="DuckDens8v">INV!#REF!</definedName>
    <definedName name="DuckFood12" localSheetId="2">[1]WBF!$G$84</definedName>
    <definedName name="DuckFood12">#REF!</definedName>
    <definedName name="DuckFood13" localSheetId="2">[1]WBN!$G$93</definedName>
    <definedName name="DuckFood13">WB!#REF!</definedName>
    <definedName name="DuckHunt">#REF!</definedName>
    <definedName name="DWsource3">PR!#REF!</definedName>
    <definedName name="Elev">SR!#REF!</definedName>
    <definedName name="Elev1">WS!#REF!</definedName>
    <definedName name="Elev10">FH!#REF!</definedName>
    <definedName name="Elev11">AM!#REF!</definedName>
    <definedName name="Elev12">#REF!</definedName>
    <definedName name="Elev13">WB!#REF!</definedName>
    <definedName name="Elev14">SBM!#REF!</definedName>
    <definedName name="Elev2">SR!#REF!</definedName>
    <definedName name="Elev2_">SFS!#REF!</definedName>
    <definedName name="Elev2a">SR!#REF!</definedName>
    <definedName name="Elev3">PR!#REF!</definedName>
    <definedName name="Elev4">NR!#REF!</definedName>
    <definedName name="Elev5">#REF!</definedName>
    <definedName name="Elev6">OE!#REF!</definedName>
    <definedName name="Elev7">WC!#REF!</definedName>
    <definedName name="Elev7w">#REF!</definedName>
    <definedName name="Elev9">#REF!</definedName>
    <definedName name="Elevatn2">SFS!#REF!</definedName>
    <definedName name="ElevPctileHUC8">OF!$E$12</definedName>
    <definedName name="ElevPD">PH!#REF!</definedName>
    <definedName name="ElevPU">HU!#REF!</definedName>
    <definedName name="ElevS">#REF!</definedName>
    <definedName name="EmPct12" localSheetId="2">[1]WBF!$G$78</definedName>
    <definedName name="EmPct12">#REF!</definedName>
    <definedName name="EmPct13" localSheetId="2">[1]WBN!$G$74</definedName>
    <definedName name="EmPct13">WB!$G$125</definedName>
    <definedName name="EmPct8" localSheetId="2">[1]INV!$G$88</definedName>
    <definedName name="EmPct8">INV!#REF!</definedName>
    <definedName name="EmSens1_C" localSheetId="2">[1]CQ!$G$37</definedName>
    <definedName name="EmSens1_C">#REF!</definedName>
    <definedName name="EmSens1_S" localSheetId="2">[1]Sen!$G$62</definedName>
    <definedName name="EmSens1_S">#REF!</definedName>
    <definedName name="EmSens2_C" localSheetId="2">[1]CQ!$G$46</definedName>
    <definedName name="EmSens2_C">#REF!</definedName>
    <definedName name="EmSens2_S" localSheetId="2">[1]Sen!#REF!</definedName>
    <definedName name="EmSens2_S">#REF!</definedName>
    <definedName name="Enrich">#REF!</definedName>
    <definedName name="Entrain">SR!#REF!</definedName>
    <definedName name="Erodib_S" localSheetId="2">[1]Sen!$G$157</definedName>
    <definedName name="Erodib_S">#REF!</definedName>
    <definedName name="Erodible2">SR!#REF!</definedName>
    <definedName name="ErodibleSS" localSheetId="2">[1]SR!$G$116</definedName>
    <definedName name="ErodibleSS">SR!#REF!</definedName>
    <definedName name="Eroding_C" localSheetId="2">[1]CQ!#REF!</definedName>
    <definedName name="Eroding_C">#REF!</definedName>
    <definedName name="Eroding2" localSheetId="2">#REF!</definedName>
    <definedName name="Eroding2">#REF!</definedName>
    <definedName name="ErodScore3" localSheetId="2">[1]PR!$G$128</definedName>
    <definedName name="ErodScore3">PR!#REF!</definedName>
    <definedName name="EstuPos1">WS!#REF!</definedName>
    <definedName name="EstuPos1low" localSheetId="2">[1]WS!$D$5</definedName>
    <definedName name="EstuPos1low">WS!#REF!</definedName>
    <definedName name="EstuPos1mid" localSheetId="2">[1]WS!$D$6</definedName>
    <definedName name="EstuPos1mid">WS!#REF!</definedName>
    <definedName name="EstuPos1up">WS!#REF!</definedName>
    <definedName name="EstuPos3" localSheetId="2">[1]PR!$G$10</definedName>
    <definedName name="EstuPos3">PR!#REF!</definedName>
    <definedName name="EstuPos5">#REF!</definedName>
    <definedName name="EstuPos9" localSheetId="2">[1]FA!#REF!</definedName>
    <definedName name="EstuPos9">#REF!</definedName>
    <definedName name="EstuPosLo9" localSheetId="2">[1]FA!#REF!</definedName>
    <definedName name="EstuPosLo9">#REF!</definedName>
    <definedName name="EstuPosMid9" localSheetId="2">[1]FA!#REF!</definedName>
    <definedName name="EstuPosMid9">#REF!</definedName>
    <definedName name="EstuPosPD" localSheetId="2">[1]PD!$G$21</definedName>
    <definedName name="EstuPosPD">PH!#REF!</definedName>
    <definedName name="EstuPosUp9" localSheetId="2">[1]FA!#REF!</definedName>
    <definedName name="EstuPosUp9">#REF!</definedName>
    <definedName name="exoticmivs8" localSheetId="2">[1]INV!$G$75</definedName>
    <definedName name="exoticmivs8">INV!#REF!</definedName>
    <definedName name="Exotics" localSheetId="2">[1]CQ!$G$13</definedName>
    <definedName name="Exotics">#REF!</definedName>
    <definedName name="ExportPot6">OE!#REF!</definedName>
    <definedName name="ExposedCA">OF!#REF!</definedName>
    <definedName name="Fen2_">SFS!$D$22</definedName>
    <definedName name="FenBogMarsh">OF!$E$13</definedName>
    <definedName name="FenMarshSwamp">OF!$E$14</definedName>
    <definedName name="FenPct">OF!$E$15</definedName>
    <definedName name="FenPct5K">OF!#REF!</definedName>
    <definedName name="Fertility">#REF!</definedName>
    <definedName name="FireHay12" localSheetId="2">[1]WBF!$G$90</definedName>
    <definedName name="FireHay12">#REF!</definedName>
    <definedName name="FireHay13" localSheetId="2">[1]WBN!$G$99</definedName>
    <definedName name="FireHay13">WB!#REF!</definedName>
    <definedName name="FireHay3" localSheetId="2">[1]PR!$G$75</definedName>
    <definedName name="FireHay3">PR!#REF!</definedName>
    <definedName name="FireHay5" localSheetId="2">[1]CS!$G$101</definedName>
    <definedName name="FireHay5">#REF!</definedName>
    <definedName name="FireHay6" localSheetId="2">[1]OE!$G$85</definedName>
    <definedName name="FireHay6">OE!#REF!</definedName>
    <definedName name="FireHayPD" localSheetId="2">[1]PD!$G$86</definedName>
    <definedName name="FireHayPD">PH!#REF!</definedName>
    <definedName name="Fish10">FH!$G$79</definedName>
    <definedName name="Fish11">AM!$G$65</definedName>
    <definedName name="Fish12a">#REF!</definedName>
    <definedName name="Fish13">WB!$G$90</definedName>
    <definedName name="Fish8">INV!$G$79</definedName>
    <definedName name="FishAcc11">AM!#REF!</definedName>
    <definedName name="FishAcc12" localSheetId="2">[1]WBF!$G$101</definedName>
    <definedName name="FishAcc12">#REF!</definedName>
    <definedName name="FishAccessS">#REF!</definedName>
    <definedName name="Fishing" localSheetId="2">[1]FR!$D$111</definedName>
    <definedName name="Fishing">FH!#REF!</definedName>
    <definedName name="Fishing9">#REF!</definedName>
    <definedName name="FishPres">OF!$E$16</definedName>
    <definedName name="FishRare10">FH!#REF!</definedName>
    <definedName name="FishScore">FH!#REF!</definedName>
    <definedName name="FishScore8">INV!#REF!</definedName>
    <definedName name="FloDist1">WS!$G$17</definedName>
    <definedName name="FloDist4">NR!#REF!</definedName>
    <definedName name="FloDist6">OE!#REF!</definedName>
    <definedName name="Floodable" localSheetId="2">#REF!</definedName>
    <definedName name="Floodable">#REF!</definedName>
    <definedName name="FloodBdg1" localSheetId="2">[1]WS!$G$96</definedName>
    <definedName name="FloodBdg1">WS!#REF!</definedName>
    <definedName name="Flow8">INV!#REF!</definedName>
    <definedName name="FlowDist2">SR!#REF!</definedName>
    <definedName name="FlowDist3">PR!#REF!</definedName>
    <definedName name="FlowIn2">SR!#REF!</definedName>
    <definedName name="FlowThruFringe">F!#REF!</definedName>
    <definedName name="Fluc2">SR!$G$17</definedName>
    <definedName name="FlucMax1" localSheetId="2">[1]WS!#REF!</definedName>
    <definedName name="FlucMax1">WS!#REF!</definedName>
    <definedName name="FlucMax11" localSheetId="2">[1]AM!#REF!</definedName>
    <definedName name="FlucMax11">AM!#REF!</definedName>
    <definedName name="FlucMax13" localSheetId="2">[1]WBN!#REF!</definedName>
    <definedName name="FlucMax13">WB!#REF!</definedName>
    <definedName name="FlucMax2" localSheetId="2">[1]SR!#REF!</definedName>
    <definedName name="FlucMax2">SR!#REF!</definedName>
    <definedName name="FlucMax3" localSheetId="2">[1]PR!#REF!</definedName>
    <definedName name="FlucMax3">PR!#REF!</definedName>
    <definedName name="FlucMax4" localSheetId="2">[1]NR!#REF!</definedName>
    <definedName name="FlucMax4">NR!#REF!</definedName>
    <definedName name="FlucMax5" localSheetId="2">[1]CS!#REF!</definedName>
    <definedName name="FlucMax5">#REF!</definedName>
    <definedName name="FlucMax6" localSheetId="2">[1]OE!#REF!</definedName>
    <definedName name="FlucMax6">OE!#REF!</definedName>
    <definedName name="FlucMost2" localSheetId="2">[1]SR!#REF!</definedName>
    <definedName name="FlucMost2">SR!#REF!</definedName>
    <definedName name="FlucPD">PH!$G$50</definedName>
    <definedName name="Fluctu11" localSheetId="2">[1]AM!$G$37</definedName>
    <definedName name="Fluctu11">AM!$G$30</definedName>
    <definedName name="Fluctu13" localSheetId="2">[1]WBN!$G$30</definedName>
    <definedName name="Fluctu13">WB!$G$48</definedName>
    <definedName name="Fluctu3" localSheetId="2">[1]PR!$G$41</definedName>
    <definedName name="Fluctu3">PR!$G$28</definedName>
    <definedName name="Fluctu4" localSheetId="2">[1]NR!$G$37</definedName>
    <definedName name="Fluctu4">NR!$G$42</definedName>
    <definedName name="Fluctu5" localSheetId="2">[1]CS!$G$41</definedName>
    <definedName name="Fluctu5">#REF!</definedName>
    <definedName name="Fluctu6" localSheetId="2">[1]OE!$G$42</definedName>
    <definedName name="Fluctu6">OE!$G$31</definedName>
    <definedName name="Fluctu8" localSheetId="2">[1]INV!$G$47</definedName>
    <definedName name="Fluctu8">INV!$G$48</definedName>
    <definedName name="Fluctua1" localSheetId="2">[1]WS!$G$42</definedName>
    <definedName name="Fluctua1">WS!$G$25</definedName>
    <definedName name="FocalSp14">SBM!#REF!</definedName>
    <definedName name="Food8">INV!#REF!</definedName>
    <definedName name="forb0">#REF!</definedName>
    <definedName name="ForbCov14">SBM!$G$128</definedName>
    <definedName name="forbsPD">PH!$G$157</definedName>
    <definedName name="ForestedPeat">F!$D$7</definedName>
    <definedName name="ForestPctScape11" localSheetId="2">[1]AM!$G$135</definedName>
    <definedName name="ForestPctScape11">AM!#REF!</definedName>
    <definedName name="ForestPctScape14" localSheetId="2">[1]SBM!$G$116</definedName>
    <definedName name="ForestPctScape14">SBM!#REF!</definedName>
    <definedName name="ForestProx11" localSheetId="2">[1]AM!$G$141</definedName>
    <definedName name="ForestProx11">AM!#REF!</definedName>
    <definedName name="ForestProx14" localSheetId="2">[1]SBM!$G$122</definedName>
    <definedName name="ForestProx14">SBM!#REF!</definedName>
    <definedName name="ForestSize11" localSheetId="2">[1]AM!$G$146</definedName>
    <definedName name="ForestSize11">AM!#REF!</definedName>
    <definedName name="ForestSize14" localSheetId="2">[1]SBM!$G$127</definedName>
    <definedName name="ForestSize14">SBM!#REF!</definedName>
    <definedName name="FragStress">#REF!</definedName>
    <definedName name="Freeze_S" localSheetId="2">[1]Sen!$G$115</definedName>
    <definedName name="Freeze_S">#REF!</definedName>
    <definedName name="Freeze1" localSheetId="2">[1]WS!$G$62</definedName>
    <definedName name="Freeze1">WS!#REF!</definedName>
    <definedName name="Freeze10">FH!#REF!</definedName>
    <definedName name="Freeze12" localSheetId="2">[1]WBF!$D$71</definedName>
    <definedName name="Freeze12">#REF!</definedName>
    <definedName name="Freeze2" localSheetId="2">[1]SR!#REF!</definedName>
    <definedName name="Freeze2">SR!#REF!</definedName>
    <definedName name="Freeze3" localSheetId="2">[1]PR!$G$73</definedName>
    <definedName name="Freeze3">PR!#REF!</definedName>
    <definedName name="Freeze4" localSheetId="2">[1]NR!$G$101</definedName>
    <definedName name="Freeze4">NR!#REF!</definedName>
    <definedName name="Freeze5" localSheetId="2">[1]CS!$G$81</definedName>
    <definedName name="Freeze5">#REF!</definedName>
    <definedName name="Freeze6" localSheetId="2">[1]OE!$G$78</definedName>
    <definedName name="Freeze6">OE!#REF!</definedName>
    <definedName name="Freeze9" localSheetId="2">[1]FA!#REF!</definedName>
    <definedName name="Freeze9">#REF!</definedName>
    <definedName name="FreezeDur5">#REF!</definedName>
    <definedName name="FreezeDura3">PR!#REF!</definedName>
    <definedName name="FreezeProne" localSheetId="2">#REF!</definedName>
    <definedName name="FreezeProne">#REF!</definedName>
    <definedName name="Freezing">WS!#REF!</definedName>
    <definedName name="Fresh11" localSheetId="2">[1]AM!#REF!</definedName>
    <definedName name="Fresh11">AM!#REF!</definedName>
    <definedName name="Friction">WS!#REF!</definedName>
    <definedName name="Fringe">OF!$E$17</definedName>
    <definedName name="Fringe1" localSheetId="2">[1]WS!$G$3</definedName>
    <definedName name="Fringe1">WS!#REF!</definedName>
    <definedName name="Fringe10" localSheetId="2">[1]FR!$D$3</definedName>
    <definedName name="Fringe10">FH!$G$43</definedName>
    <definedName name="Fringe12" localSheetId="2">[1]WBF!$D$3</definedName>
    <definedName name="Fringe12">#REF!</definedName>
    <definedName name="Fringe12a">#REF!</definedName>
    <definedName name="Fringe13">WB!#REF!</definedName>
    <definedName name="Fringe14">SBM!#REF!</definedName>
    <definedName name="Fringe14a">SBM!#REF!</definedName>
    <definedName name="Fringe2" localSheetId="2">[1]SR!#REF!</definedName>
    <definedName name="Fringe2">SR!#REF!</definedName>
    <definedName name="Fringe21">HU!$G$15</definedName>
    <definedName name="Fringe7a">WC!#REF!</definedName>
    <definedName name="Fringe7b">WC!#REF!</definedName>
    <definedName name="Fringe9">#REF!</definedName>
    <definedName name="FrozDur4">NR!#REF!</definedName>
    <definedName name="FrozDur6">OE!#REF!</definedName>
    <definedName name="Frozen2">SR!#REF!</definedName>
    <definedName name="FscoreWBF">#REF!</definedName>
    <definedName name="Gcover_S" localSheetId="2">[1]Sen!$G$105</definedName>
    <definedName name="Gcover_S">#REF!</definedName>
    <definedName name="gcover0" localSheetId="2">[1]POL!$G$64</definedName>
    <definedName name="gcover0">#REF!</definedName>
    <definedName name="Gcover11" localSheetId="2">[1]AM!$G$93</definedName>
    <definedName name="Gcover11">AM!#REF!</definedName>
    <definedName name="Gcover14" localSheetId="2">[1]SBM!$G$57</definedName>
    <definedName name="Gcover14">SBM!#REF!</definedName>
    <definedName name="Gcover2" localSheetId="2">[1]SR!$G$56</definedName>
    <definedName name="Gcover2">SR!$G$80</definedName>
    <definedName name="Gcover3" localSheetId="2">[1]PR!$G$81</definedName>
    <definedName name="Gcover3">PR!$G$78</definedName>
    <definedName name="Gcover4" localSheetId="2">[1]NR!$G$75</definedName>
    <definedName name="Gcover4">NR!$G$103</definedName>
    <definedName name="Gcover5" localSheetId="2">[1]CS!$G$107</definedName>
    <definedName name="Gcover5">#REF!</definedName>
    <definedName name="Gcover6" localSheetId="2">[1]OE!$G$91</definedName>
    <definedName name="Gcover6">OE!$G$101</definedName>
    <definedName name="Gcover8" localSheetId="2">[1]INV!$G$103</definedName>
    <definedName name="Gcover8">INV!#REF!</definedName>
    <definedName name="GDD">OF!#REF!</definedName>
    <definedName name="GDD_S">#REF!</definedName>
    <definedName name="GDDa2">SFS!#REF!</definedName>
    <definedName name="GDDa3">WC!#REF!</definedName>
    <definedName name="GDDpd">PH!#REF!</definedName>
    <definedName name="Geog11">AM!#REF!</definedName>
    <definedName name="GeogPD">PH!#REF!</definedName>
    <definedName name="Geograph14">SBM!#REF!</definedName>
    <definedName name="Geography12">#REF!</definedName>
    <definedName name="Geography14">SBM!#REF!</definedName>
    <definedName name="GeogS">#REF!</definedName>
    <definedName name="girreg0" localSheetId="2">[1]POL!$G$72</definedName>
    <definedName name="girreg0">#REF!</definedName>
    <definedName name="Girreg1" localSheetId="2">[1]WS!$G$63</definedName>
    <definedName name="Girreg1">WS!$G$83</definedName>
    <definedName name="Girreg11" localSheetId="2">[1]AM!$G$104</definedName>
    <definedName name="Girreg11">AM!$G$97</definedName>
    <definedName name="Girreg14" localSheetId="2">[1]SBM!$G$72</definedName>
    <definedName name="Girreg14">SBM!#REF!</definedName>
    <definedName name="Girreg2" localSheetId="2">[1]SR!$G$61</definedName>
    <definedName name="Girreg2">SR!$G$85</definedName>
    <definedName name="Girreg3" localSheetId="2">[1]PR!$G$91</definedName>
    <definedName name="Girreg3">PR!$G$83</definedName>
    <definedName name="Girreg4" localSheetId="2">[1]NR!$G$92</definedName>
    <definedName name="Girreg4">NR!$G$108</definedName>
    <definedName name="Girreg5" localSheetId="2">[1]CS!$G$117</definedName>
    <definedName name="Girreg5">#REF!</definedName>
    <definedName name="Girreg6" localSheetId="2">[1]OE!$G$101</definedName>
    <definedName name="Girreg6">OE!#REF!</definedName>
    <definedName name="Girreg8" localSheetId="2">[1]INV!$G$111</definedName>
    <definedName name="Girreg8">INV!$G$116</definedName>
    <definedName name="GirregCQ">#REF!</definedName>
    <definedName name="GirregPD" localSheetId="2">[1]PD!$G$100</definedName>
    <definedName name="GirregPD">PH!$G$148</definedName>
    <definedName name="Glacier1">WS!#REF!</definedName>
    <definedName name="Glacier10">FH!#REF!</definedName>
    <definedName name="Glacier11">AM!#REF!</definedName>
    <definedName name="Glacier2">SR!#REF!</definedName>
    <definedName name="glacier2_">SFS!#REF!</definedName>
    <definedName name="Glacier3">PR!#REF!</definedName>
    <definedName name="Glacier5">#REF!</definedName>
    <definedName name="Glacier6">OE!#REF!</definedName>
    <definedName name="Glacier7">WC!#REF!</definedName>
    <definedName name="Glacier7w">#REF!</definedName>
    <definedName name="Glacier8">INV!#REF!</definedName>
    <definedName name="Glacier9">#REF!</definedName>
    <definedName name="GlacierPD">PH!#REF!</definedName>
    <definedName name="Glean20">PH!#REF!</definedName>
    <definedName name="GpA_2">SFS!#REF!</definedName>
    <definedName name="GpA7c">WC!#REF!</definedName>
    <definedName name="GpA7w">#REF!</definedName>
    <definedName name="GpB_2">SFS!#REF!</definedName>
    <definedName name="GpB7c">WC!#REF!</definedName>
    <definedName name="GpB7w">#REF!</definedName>
    <definedName name="GpC_2">SFS!#REF!</definedName>
    <definedName name="Gradient1" localSheetId="2">[1]WS!$G$67</definedName>
    <definedName name="Gradient1">WS!$G$72</definedName>
    <definedName name="Gradient11" localSheetId="2">[1]AM!$G$108</definedName>
    <definedName name="Gradient11">AM!$G$75</definedName>
    <definedName name="Gradient12" localSheetId="2">[1]WBF!$G$96</definedName>
    <definedName name="Gradient12">#REF!</definedName>
    <definedName name="Gradient13" localSheetId="2">[1]WBN!$G$108</definedName>
    <definedName name="Gradient13">WB!$G$96</definedName>
    <definedName name="Gradient2" localSheetId="2">[1]SR!$G$65</definedName>
    <definedName name="Gradient2">SR!$G$75</definedName>
    <definedName name="Gradient3" localSheetId="2">[1]PR!$G$95</definedName>
    <definedName name="Gradient3">PR!$G$73</definedName>
    <definedName name="Gradient4" localSheetId="2">[1]NR!$G$96</definedName>
    <definedName name="Gradient4">NR!$G$92</definedName>
    <definedName name="Gradient5" localSheetId="2">[1]CS!$G$121</definedName>
    <definedName name="Gradient5">#REF!</definedName>
    <definedName name="Gradient6" localSheetId="2">[1]OE!$G$105</definedName>
    <definedName name="Gradient6">OE!$G$78</definedName>
    <definedName name="gramin0" localSheetId="2">[1]POL!$G$18</definedName>
    <definedName name="gramin0">#REF!</definedName>
    <definedName name="Granite10">FH!#REF!</definedName>
    <definedName name="Granite4">NR!#REF!</definedName>
    <definedName name="Granite5">#REF!</definedName>
    <definedName name="Granite6">OE!#REF!</definedName>
    <definedName name="Granite7">INV!#REF!</definedName>
    <definedName name="GranitePD">PH!#REF!</definedName>
    <definedName name="GraniteSoilPD">PH!#REF!</definedName>
    <definedName name="GrassRem0v">#REF!</definedName>
    <definedName name="GrassRemS">#REF!</definedName>
    <definedName name="groundw0" localSheetId="2">[1]POL!#REF!</definedName>
    <definedName name="groundw0">#REF!</definedName>
    <definedName name="Groundw1">WS!$G$68</definedName>
    <definedName name="Groundw10">FH!$G$97</definedName>
    <definedName name="GroundW11" localSheetId="2">[1]AM!$G$49</definedName>
    <definedName name="GroundW11">AM!$G$71</definedName>
    <definedName name="Groundw13" localSheetId="2">[1]WBN!#REF!</definedName>
    <definedName name="Groundw13">WB!#REF!</definedName>
    <definedName name="Groundw2_">SFS!$G$36</definedName>
    <definedName name="Groundw3">PR!#REF!</definedName>
    <definedName name="Groundw4" localSheetId="2">[1]NR!$G$44</definedName>
    <definedName name="Groundw4">NR!$G$88</definedName>
    <definedName name="GroundW5" localSheetId="2">[1]CS!$G$53</definedName>
    <definedName name="GroundW5">#REF!</definedName>
    <definedName name="Groundw6">OE!#REF!</definedName>
    <definedName name="GroundW8" localSheetId="2">[1]INV!$G$64</definedName>
    <definedName name="Groundw8">INV!$G$86</definedName>
    <definedName name="GroundW9" localSheetId="2">[1]FA!$G$45</definedName>
    <definedName name="GroundW9">#REF!</definedName>
    <definedName name="GroundwCooling">WC!#REF!</definedName>
    <definedName name="GroundwDisch">SFS!#REF!</definedName>
    <definedName name="GroundwLF">SFS!#REF!</definedName>
    <definedName name="GroundwWarming">#REF!</definedName>
    <definedName name="GrowDD">OF!$E$18</definedName>
    <definedName name="GrowthRate">#REF!</definedName>
    <definedName name="GT10HA">F!$D$336</definedName>
    <definedName name="Gwater7" localSheetId="2">[1]T!$G$19</definedName>
    <definedName name="Gwater7">WC!$G$62</definedName>
    <definedName name="Gwater7w">#REF!</definedName>
    <definedName name="GWDspring">OF!$E$19</definedName>
    <definedName name="GWIN1A">WC!$G$75</definedName>
    <definedName name="GWIN1B">WC!#REF!</definedName>
    <definedName name="GWpd">PH!$G$84</definedName>
    <definedName name="GWplantdiv">PH!$G$84</definedName>
    <definedName name="GWRechar">OF!#REF!</definedName>
    <definedName name="GWrisk1">WS!$G$15</definedName>
    <definedName name="GWrisk4" localSheetId="2">[1]NR!$G$139</definedName>
    <definedName name="GWrisk4">NR!#REF!</definedName>
    <definedName name="GWval7" localSheetId="2">[1]T!#REF!</definedName>
    <definedName name="GWval7">WC!#REF!</definedName>
    <definedName name="GWvul">OF!#REF!</definedName>
    <definedName name="HabStruc1b">WB!$G$160</definedName>
    <definedName name="HabStrucA1a">AM!$G$136</definedName>
    <definedName name="HabStrucA1b">AM!$G$137</definedName>
    <definedName name="HabStrucF1a">FH!$G$130</definedName>
    <definedName name="HabStrucF1b">FH!$G$131</definedName>
    <definedName name="HabStrucI1a">INV!$G$147</definedName>
    <definedName name="HabStrucI1b">INV!$G$148</definedName>
    <definedName name="HabStrucS1a">SBM!$G$169</definedName>
    <definedName name="HabStrucS1b">SBM!$G$170</definedName>
    <definedName name="HabStrucW1a">WB!$G$159</definedName>
    <definedName name="HabStrucW1b">WB!$G$160</definedName>
    <definedName name="Hardwd14">SBM!$G$114</definedName>
    <definedName name="HardwdPD">PH!$G$126</definedName>
    <definedName name="Hardwood8">INV!$G$98</definedName>
    <definedName name="Harvested" localSheetId="2">#REF!</definedName>
    <definedName name="Harvested">#REF!</definedName>
    <definedName name="HasWater5">#REF!</definedName>
    <definedName name="herb2pd" localSheetId="2">[1]PD!$G$69</definedName>
    <definedName name="herb2pd">PH!#REF!</definedName>
    <definedName name="herbdcom0">#REF!</definedName>
    <definedName name="herbdiv0">#REF!</definedName>
    <definedName name="HerbDiv8">INV!$G$120</definedName>
    <definedName name="HerbDom1">#REF!</definedName>
    <definedName name="HerbDom14">SBM!$G$139</definedName>
    <definedName name="herbdom15">PH!$G$168</definedName>
    <definedName name="HerbDom2" localSheetId="2">[1]Sen!$G$68</definedName>
    <definedName name="HerbDom2">#REF!</definedName>
    <definedName name="herblt50">#REF!</definedName>
    <definedName name="herbpct0">#REF!</definedName>
    <definedName name="herbrare0" localSheetId="2">[1]POL!$G$31</definedName>
    <definedName name="herbrare0">#REF!</definedName>
    <definedName name="herbsens0" localSheetId="2">[1]POL!$G$22</definedName>
    <definedName name="herbsens0">#REF!</definedName>
    <definedName name="HerbSens2_S" localSheetId="2">[1]Sen!$G$71</definedName>
    <definedName name="HerbSens2_S">#REF!</definedName>
    <definedName name="HerbUbiq1">#REF!</definedName>
    <definedName name="HerbWood15">PH!$G$94</definedName>
    <definedName name="HerbWoodMix11">AM!$G$80</definedName>
    <definedName name="HerbWoodMix14">SBM!$G$82</definedName>
    <definedName name="HistAccum5">#REF!</definedName>
    <definedName name="HistAccum6">OE!#REF!</definedName>
    <definedName name="HistDry12" localSheetId="2">[1]WBF!$G$18</definedName>
    <definedName name="HistDry12">#REF!</definedName>
    <definedName name="HistDry13" localSheetId="2">[1]WBN!$G$10</definedName>
    <definedName name="HistDry13">WB!#REF!</definedName>
    <definedName name="HistDry3">PR!#REF!</definedName>
    <definedName name="HistDry4" localSheetId="2">[1]NR!#REF!</definedName>
    <definedName name="HistDry4">NR!#REF!</definedName>
    <definedName name="HistDry5" localSheetId="2">[1]CS!$G$15</definedName>
    <definedName name="HistDry5">#REF!</definedName>
    <definedName name="HistList">OF!$E$20</definedName>
    <definedName name="HistWet11" localSheetId="2">[1]AM!#REF!</definedName>
    <definedName name="HistWet11">AM!#REF!</definedName>
    <definedName name="HistWet12" localSheetId="2">[1]WBF!#REF!</definedName>
    <definedName name="HistWet12">#REF!</definedName>
    <definedName name="HistWet13" localSheetId="2">[1]WBN!#REF!</definedName>
    <definedName name="HistWet13">WB!#REF!</definedName>
    <definedName name="HistWet3" localSheetId="2">[1]PR!#REF!</definedName>
    <definedName name="HistWet3">PR!#REF!</definedName>
    <definedName name="HistWet4" localSheetId="2">[1]NR!#REF!</definedName>
    <definedName name="HistWet4">NR!#REF!</definedName>
    <definedName name="HistWet5" localSheetId="2">[1]CS!#REF!</definedName>
    <definedName name="HistWet5">#REF!</definedName>
    <definedName name="HotSpring7" localSheetId="2">[1]T!$D$4</definedName>
    <definedName name="HotSpring7">WC!#REF!</definedName>
    <definedName name="Hotspring9" localSheetId="2">[1]FA!$D$5</definedName>
    <definedName name="Hotspring9">#REF!</definedName>
    <definedName name="HtDiv12" localSheetId="2">[1]WBF!#REF!</definedName>
    <definedName name="HtDiv12">#REF!</definedName>
    <definedName name="HtDiv13" localSheetId="2">[1]WBN!$G$105</definedName>
    <definedName name="HtDiv13">WB!#REF!</definedName>
    <definedName name="HtDivPD" localSheetId="2">[1]PD!$G$92</definedName>
    <definedName name="HtDivPD">PH!#REF!</definedName>
    <definedName name="htunif0" localSheetId="2">[1]POL!$G$61</definedName>
    <definedName name="htunif0">#REF!</definedName>
    <definedName name="HtUnif14">SBM!#REF!</definedName>
    <definedName name="HUCbigW12" localSheetId="2">[1]WBF!$G$164</definedName>
    <definedName name="HUCbigW12">#REF!</definedName>
    <definedName name="HUCbigW13" localSheetId="2">[1]WBN!$G$192</definedName>
    <definedName name="HUCbigW13">WB!#REF!</definedName>
    <definedName name="HUCbigW14">SBM!#REF!</definedName>
    <definedName name="HUCdiv11" localSheetId="2">[1]AM!$G$214</definedName>
    <definedName name="HUCdiv11">AM!#REF!</definedName>
    <definedName name="HUCdiv12" localSheetId="2">[1]WBF!$G$152</definedName>
    <definedName name="HUCdiv12">#REF!</definedName>
    <definedName name="HUCdiv13">WB!#REF!</definedName>
    <definedName name="HUCdiv14" localSheetId="2">[1]SBM!$G$180</definedName>
    <definedName name="HUCdiv14">SBM!#REF!</definedName>
    <definedName name="Hydro10">FH!#REF!</definedName>
    <definedName name="Hydro11">AM!#REF!</definedName>
    <definedName name="Hydro12">#REF!</definedName>
    <definedName name="Hydro13">WB!#REF!</definedName>
    <definedName name="HydroConn_C" localSheetId="2">[1]CQ!$G$3</definedName>
    <definedName name="HydroConn_C">#REF!</definedName>
    <definedName name="HydroConn2" localSheetId="2">#REF!</definedName>
    <definedName name="HydroConn2">#REF!</definedName>
    <definedName name="Hydropd8">INV!#REF!</definedName>
    <definedName name="Hydropd9">#REF!</definedName>
    <definedName name="HydroStress">#REF!</definedName>
    <definedName name="IBA">OF!#REF!</definedName>
    <definedName name="IBA12a">#REF!</definedName>
    <definedName name="IBirdArea">OF!$E$21</definedName>
    <definedName name="Ice2_">SFS!#REF!</definedName>
    <definedName name="IceDur2">SFS!#REF!</definedName>
    <definedName name="IceDura10">FH!#REF!</definedName>
    <definedName name="IFDRY2">SR!#REF!</definedName>
    <definedName name="IFNOOUT2">SR!#REF!</definedName>
    <definedName name="IFOUT2">SR!#REF!</definedName>
    <definedName name="imperv2_">SFS!#REF!</definedName>
    <definedName name="Imperv4" localSheetId="2">[1]NR!$G$116</definedName>
    <definedName name="Imperv4">NR!#REF!</definedName>
    <definedName name="Imperv7">WC!#REF!</definedName>
    <definedName name="Imperv7w">#REF!</definedName>
    <definedName name="ImpervCA">INV!#REF!</definedName>
    <definedName name="ImpervCA3" localSheetId="2">[1]PR!$G$116</definedName>
    <definedName name="ImpervCA3">PR!#REF!</definedName>
    <definedName name="ImpervCA9">#REF!</definedName>
    <definedName name="ImpervPct" localSheetId="2">#REF!</definedName>
    <definedName name="ImpervPct">#REF!</definedName>
    <definedName name="ImpervPctSS" localSheetId="2">[1]SR!$G$90</definedName>
    <definedName name="ImpervPctSS">SR!#REF!</definedName>
    <definedName name="InBigRemnant">OF!$E$19</definedName>
    <definedName name="Inclus11" localSheetId="2">[1]AM!$B$98</definedName>
    <definedName name="Inclus11">AM!#REF!</definedName>
    <definedName name="Inclus11a">AM!#REF!</definedName>
    <definedName name="Inclus14" localSheetId="2">[1]SBM!$G$66</definedName>
    <definedName name="Inclus14">SBM!$G$124</definedName>
    <definedName name="Inclus4" localSheetId="2">[1]NR!$G$84</definedName>
    <definedName name="Inclus4">NR!$G$112</definedName>
    <definedName name="INFILT1a">WS!$G$99</definedName>
    <definedName name="Infilt1b">WS!$G$100</definedName>
    <definedName name="inflo">#REF!</definedName>
    <definedName name="Inflo2">SR!#REF!</definedName>
    <definedName name="Inflo3">PR!#REF!</definedName>
    <definedName name="Inflo4">NR!#REF!</definedName>
    <definedName name="InfloPD">PH!$G$83</definedName>
    <definedName name="Inflow" localSheetId="2">[1]STR!$G$10</definedName>
    <definedName name="Inflow">#REF!</definedName>
    <definedName name="Inflow10">FH!#REF!</definedName>
    <definedName name="Inflows">F!$D$108</definedName>
    <definedName name="InflowW">#REF!</definedName>
    <definedName name="InOut">F!#REF!</definedName>
    <definedName name="InTemp7">#REF!</definedName>
    <definedName name="Interann10">FH!#REF!</definedName>
    <definedName name="Interann6" localSheetId="2">[1]OE!$G$16</definedName>
    <definedName name="Interann6">OE!#REF!</definedName>
    <definedName name="Interann8" localSheetId="2">[1]INV!$G$10</definedName>
    <definedName name="Interann8">INV!#REF!</definedName>
    <definedName name="interannPD" localSheetId="2">[1]PD!$G$28</definedName>
    <definedName name="interannPD">PH!#REF!</definedName>
    <definedName name="Interannual4" localSheetId="2">[1]NR!$G$4</definedName>
    <definedName name="Interannual4">NR!#REF!</definedName>
    <definedName name="Intercep4">NR!#REF!</definedName>
    <definedName name="IntercepDry3">PR!#REF!</definedName>
    <definedName name="IntercepWet3">PR!#REF!</definedName>
    <definedName name="Interspers10" localSheetId="2">[1]FR!$G$58</definedName>
    <definedName name="Interspers10">FH!$G$74</definedName>
    <definedName name="Interspers11" localSheetId="2">[1]AM!$G$48</definedName>
    <definedName name="Interspers11">AM!$G$60</definedName>
    <definedName name="Interspers12" localSheetId="2">[1]WBF!$G$54</definedName>
    <definedName name="Interspers12">#REF!</definedName>
    <definedName name="Interspers13" localSheetId="2">[1]WBN!$G$49</definedName>
    <definedName name="Interspers13">WB!$G$84</definedName>
    <definedName name="Interspers14">SBM!$G$67</definedName>
    <definedName name="Interspers2" localSheetId="2">[1]SR!#REF!</definedName>
    <definedName name="Interspers2">SR!$G$55</definedName>
    <definedName name="Interspers3" localSheetId="2">[1]PR!#REF!</definedName>
    <definedName name="Interspers3">PR!$G$52</definedName>
    <definedName name="Interspers4" localSheetId="2">[1]NR!$G$43</definedName>
    <definedName name="Interspers4">NR!$G$68</definedName>
    <definedName name="Interspers5" localSheetId="2">[1]CS!#REF!</definedName>
    <definedName name="Interspers5">#REF!</definedName>
    <definedName name="Interspers6" localSheetId="2">[1]OE!$G$54</definedName>
    <definedName name="Interspers6">OE!$G$57</definedName>
    <definedName name="Interspers8" localSheetId="2">[1]INV!$G$63</definedName>
    <definedName name="Interspers8">INV!$G$74</definedName>
    <definedName name="Interspers9" localSheetId="2">[1]FA!$G$44</definedName>
    <definedName name="Interspers9">#REF!</definedName>
    <definedName name="InterspersPD">PH!$G$74</definedName>
    <definedName name="Invasives">PH!$G$171</definedName>
    <definedName name="Invest">HU!#REF!</definedName>
    <definedName name="Invest1a">HU!#REF!</definedName>
    <definedName name="Invest1b">HU!#REF!</definedName>
    <definedName name="Invest21">HU!$G$66</definedName>
    <definedName name="InvScore2_">SFS!#REF!</definedName>
    <definedName name="Island13">WB!$G$88</definedName>
    <definedName name="Islands11" localSheetId="2">[1]AM!$G$70</definedName>
    <definedName name="Islands11">AM!#REF!</definedName>
    <definedName name="Islands12">#REF!</definedName>
    <definedName name="Islands13" localSheetId="2">[1]WBN!$G$69</definedName>
    <definedName name="Islands13">WB!#REF!</definedName>
    <definedName name="Iso3Wet">PR!#REF!</definedName>
    <definedName name="IsoDry_S" localSheetId="2">[1]Sen!$G$5</definedName>
    <definedName name="IsoDry_S">#REF!</definedName>
    <definedName name="IsoDry1" localSheetId="2">[1]WS!$G$29</definedName>
    <definedName name="IsoDry1">WS!$G$30</definedName>
    <definedName name="ISOdry10" localSheetId="2">[1]FR!$G$37</definedName>
    <definedName name="ISOdry10">FH!$G$55</definedName>
    <definedName name="ISOdry11" localSheetId="2">[1]AM!$G$20</definedName>
    <definedName name="ISOdry11">AM!#REF!</definedName>
    <definedName name="IsoDry12" localSheetId="2">[1]WBF!#REF!</definedName>
    <definedName name="IsoDry12">#REF!</definedName>
    <definedName name="ISOdry13" localSheetId="2">[1]WBN!$G$23</definedName>
    <definedName name="ISOdry13">WB!$G$57</definedName>
    <definedName name="IsoDry2" localSheetId="2">[1]SR!$G$17</definedName>
    <definedName name="IsoDry2">SR!#REF!</definedName>
    <definedName name="ISOdry3" localSheetId="2">[1]PR!$G$34</definedName>
    <definedName name="ISOdry3">PR!#REF!</definedName>
    <definedName name="ISOdry4" localSheetId="2">[1]NR!$G$24</definedName>
    <definedName name="ISOdry4">NR!#REF!</definedName>
    <definedName name="ISOdry6" localSheetId="2">[1]OE!$G$29</definedName>
    <definedName name="ISOdry6">OE!#REF!</definedName>
    <definedName name="ISOdry7" localSheetId="2">[1]T!$G$6</definedName>
    <definedName name="ISOdry7">WC!$G$41</definedName>
    <definedName name="ISOdry7w">#REF!</definedName>
    <definedName name="IsoDry8" localSheetId="2">[1]INV!$G$30</definedName>
    <definedName name="IsoDry8">INV!#REF!</definedName>
    <definedName name="IsoWet1" localSheetId="2">[1]WS!$G$15</definedName>
    <definedName name="IsoWet1">WS!#REF!</definedName>
    <definedName name="ISOwet10" localSheetId="2">[1]FR!$G$23</definedName>
    <definedName name="ISOwet10">FH!#REF!</definedName>
    <definedName name="ISOwet11" localSheetId="2">[1]AM!$G$6</definedName>
    <definedName name="ISOwet11">AM!$G$35</definedName>
    <definedName name="ISOwet12" localSheetId="2">[1]WBF!$G$37</definedName>
    <definedName name="ISOwet12">#REF!</definedName>
    <definedName name="ISOwet13" localSheetId="2">[1]WBN!#REF!</definedName>
    <definedName name="ISOwet13">WB!#REF!</definedName>
    <definedName name="IsoWet2">SR!$G$28</definedName>
    <definedName name="IsoWet2a">SR!$G$28</definedName>
    <definedName name="IsoWet2s">SR!$G$28</definedName>
    <definedName name="IsoWet3p">PR!#REF!</definedName>
    <definedName name="ISOwet4" localSheetId="2">[1]NR!$G$10</definedName>
    <definedName name="ISOwet4">NR!#REF!</definedName>
    <definedName name="ISOwet5" localSheetId="2">[1]CS!$G$21</definedName>
    <definedName name="ISOwet5">#REF!</definedName>
    <definedName name="ISOwet6" localSheetId="2">[1]OE!$G$22</definedName>
    <definedName name="ISOwet6">OE!#REF!</definedName>
    <definedName name="IsoWet8" localSheetId="2">[1]INV!$G$16</definedName>
    <definedName name="IsoWet8">INV!#REF!</definedName>
    <definedName name="ISOwet9" localSheetId="2">[1]FA!$G$21</definedName>
    <definedName name="ISOwet9">#REF!</definedName>
    <definedName name="Karst10">FH!#REF!</definedName>
    <definedName name="Karst10a">FH!#REF!</definedName>
    <definedName name="Karst11">AM!#REF!</definedName>
    <definedName name="Karst16">PH!#REF!</definedName>
    <definedName name="Karst16a">PH!#REF!</definedName>
    <definedName name="Karst5a">#REF!</definedName>
    <definedName name="Karst6">OE!#REF!</definedName>
    <definedName name="Karst6a">OE!#REF!</definedName>
    <definedName name="Karst7a">INV!#REF!</definedName>
    <definedName name="Karst8">INV!#REF!</definedName>
    <definedName name="Karst9">#REF!</definedName>
    <definedName name="Karst9a">#REF!</definedName>
    <definedName name="Karstt5">#REF!</definedName>
    <definedName name="LabileC1a">OE!$G$124</definedName>
    <definedName name="LabileC1b">OE!$G$125</definedName>
    <definedName name="Lacus7">WC!#REF!</definedName>
    <definedName name="Lacus9">#REF!</definedName>
    <definedName name="Lacust10" localSheetId="2">[1]FR!#REF!</definedName>
    <definedName name="Lacust10">FH!#REF!</definedName>
    <definedName name="Lacust13" localSheetId="2">[1]WBN!$D$3</definedName>
    <definedName name="Lacust13">WB!$D$41</definedName>
    <definedName name="Lake">OF!$E$22</definedName>
    <definedName name="Lake10">FH!$G$44</definedName>
    <definedName name="Lake12">#REF!</definedName>
    <definedName name="Lake13">WB!$G$41</definedName>
    <definedName name="Lake21">HU!$G$16</definedName>
    <definedName name="Lake3">PR!$G$27</definedName>
    <definedName name="Lake9">#REF!</definedName>
    <definedName name="LakeNear13" localSheetId="2">[1]WBN!$D$163</definedName>
    <definedName name="LakeNear13">WB!#REF!</definedName>
    <definedName name="LakeProx_S" localSheetId="2">[1]Sen!$G$153</definedName>
    <definedName name="LakeProx_S">#REF!</definedName>
    <definedName name="LakeProx13" localSheetId="2">[1]WBN!$G$162</definedName>
    <definedName name="LakeProx13">WB!#REF!</definedName>
    <definedName name="LCdivers">OF!#REF!</definedName>
    <definedName name="LGIndex">OF!$E$23</definedName>
    <definedName name="ListSpecies">OF!#REF!</definedName>
    <definedName name="LiveStore">WS!#REF!</definedName>
    <definedName name="LiveStore2">SR!#REF!</definedName>
    <definedName name="lomarsh0" localSheetId="2">[1]POL!$G$3</definedName>
    <definedName name="lomarsh0">#REF!</definedName>
    <definedName name="LoMarsh2" localSheetId="2">[1]SR!$G$117</definedName>
    <definedName name="LoMarsh2">SR!#REF!</definedName>
    <definedName name="LoMarsh6" localSheetId="2">[1]OE!$G$10</definedName>
    <definedName name="LoMarsh6">OE!#REF!</definedName>
    <definedName name="LoMarsh8" localSheetId="2">[1]INV!$G$4</definedName>
    <definedName name="LoMarsh8">INV!#REF!</definedName>
    <definedName name="LowMarsh1" localSheetId="2">[1]WS!$G$8</definedName>
    <definedName name="LowMarsh1">WS!#REF!</definedName>
    <definedName name="LowMarsh10">FH!#REF!</definedName>
    <definedName name="LowMarsh12" localSheetId="2">[1]WBF!$G$6</definedName>
    <definedName name="LowMarsh12">#REF!</definedName>
    <definedName name="LowMarsh1all" localSheetId="2">[1]WS!$D$9</definedName>
    <definedName name="LowMarsh1all">WS!#REF!</definedName>
    <definedName name="LowMarsh1gt50" localSheetId="2">[1]WS!$D$10</definedName>
    <definedName name="LowMarsh1gt50">WS!#REF!</definedName>
    <definedName name="LowMarsh9" localSheetId="2">[1]FA!$G$8</definedName>
    <definedName name="LowMarsh9">#REF!</definedName>
    <definedName name="LowMarshAll14" localSheetId="2">[1]SBM!$D$4</definedName>
    <definedName name="LowMarshAll14">SBM!#REF!</definedName>
    <definedName name="LowMarshPct14" localSheetId="2">[1]SBM!$G$3</definedName>
    <definedName name="LowMarshPct14">SBM!#REF!</definedName>
    <definedName name="LowMarshPD" localSheetId="2">[1]PD!$G$3</definedName>
    <definedName name="LowMarshPD">PH!#REF!</definedName>
    <definedName name="Lscape">PH!#REF!</definedName>
    <definedName name="Lscape11">AM!#REF!</definedName>
    <definedName name="Lscape12">#REF!</definedName>
    <definedName name="Lscape13">WB!#REF!</definedName>
    <definedName name="Lscape14">SBM!#REF!</definedName>
    <definedName name="Lscape8">INV!#REF!</definedName>
    <definedName name="Lscape9">#REF!</definedName>
    <definedName name="LscapeA1a">AM!#REF!</definedName>
    <definedName name="LscapeA1b">AM!#REF!</definedName>
    <definedName name="LscapeClassRichW">WB!#REF!</definedName>
    <definedName name="LscapeI1a">INV!#REF!</definedName>
    <definedName name="LscapeI1b">INV!#REF!</definedName>
    <definedName name="LscapePD">PH!#REF!</definedName>
    <definedName name="LscapeS1a">SBM!$G$177</definedName>
    <definedName name="LscapeS1b">SBM!#REF!</definedName>
    <definedName name="LscapeW1a">WB!$G$166</definedName>
    <definedName name="LscapeW1b">WB!#REF!</definedName>
    <definedName name="Mainland14">SBM!#REF!</definedName>
    <definedName name="MarshFenSwamp">OF!$E$26</definedName>
    <definedName name="MarshPct">OF!$E$24</definedName>
    <definedName name="MarshPct5K">OF!#REF!</definedName>
    <definedName name="MarshUniq">OF!$E$25</definedName>
    <definedName name="MatureF" localSheetId="2">[1]Sen!$D$4</definedName>
    <definedName name="MatureF">#REF!</definedName>
    <definedName name="MaxFluc2" localSheetId="2">[1]SR!$G$130</definedName>
    <definedName name="MaxFluc2">SR!#REF!</definedName>
    <definedName name="Mesosaline11" localSheetId="2">[1]AM!#REF!</definedName>
    <definedName name="Mesosaline11">AM!#REF!</definedName>
    <definedName name="MethLimit5">#REF!</definedName>
    <definedName name="MinSIze13" localSheetId="2">[1]WBN!$D$73</definedName>
    <definedName name="MinSIze13">WB!#REF!</definedName>
    <definedName name="MitigaSite" localSheetId="2">[1]PU!$G$24</definedName>
    <definedName name="MitigaSite">HU!#REF!</definedName>
    <definedName name="MitSite" localSheetId="2">#REF!</definedName>
    <definedName name="MitSite">#REF!</definedName>
    <definedName name="MixHerbWood">OF!$E$27</definedName>
    <definedName name="MixWaterVeg">OF!$E$28</definedName>
    <definedName name="Moss6">OE!$G$95</definedName>
    <definedName name="Moss8">INV!$G$110</definedName>
    <definedName name="MossCov5">#REF!</definedName>
    <definedName name="MossPD">PH!$G$142</definedName>
    <definedName name="Mudflat12" localSheetId="2">[1]WBF!$G$65</definedName>
    <definedName name="Mudflat12">#REF!</definedName>
    <definedName name="NatBuff0">#REF!</definedName>
    <definedName name="NatCApct3" localSheetId="2">[1]PR!$G$150</definedName>
    <definedName name="NatCApct3">PR!#REF!</definedName>
    <definedName name="NatCov1k">OF!$E$29</definedName>
    <definedName name="NatCov2mi11">AM!#REF!</definedName>
    <definedName name="NatCov5k">OF!#REF!</definedName>
    <definedName name="NatGrassDis0">#REF!</definedName>
    <definedName name="natLCpct0">#REF!</definedName>
    <definedName name="NatPctScape8" localSheetId="2">[1]INV!#REF!</definedName>
    <definedName name="NatPctScape8">INV!#REF!</definedName>
    <definedName name="natvacres0" localSheetId="2">[1]POL!$G$89</definedName>
    <definedName name="natvacres0">#REF!</definedName>
    <definedName name="natveg0" localSheetId="2">[1]POL!$G$77</definedName>
    <definedName name="natveg0">#REF!</definedName>
    <definedName name="NatVegBuffPD" localSheetId="2">[1]PD!#REF!</definedName>
    <definedName name="NatVegBuffPD">PH!#REF!</definedName>
    <definedName name="NatVegCA" localSheetId="2">[1]STR!$G$40</definedName>
    <definedName name="NatVegCA">#REF!</definedName>
    <definedName name="NatVegCApd" localSheetId="2">[1]PD!$G$135</definedName>
    <definedName name="NatVegCApd">PH!$G$182</definedName>
    <definedName name="NatVegCUpct_S" localSheetId="2">[1]Sen!$G$116</definedName>
    <definedName name="NatVegCUpct_S">#REF!</definedName>
    <definedName name="NatVegCUpct10" localSheetId="2">[1]FR!$G$97</definedName>
    <definedName name="NatVegCUpct10">FH!$G$101</definedName>
    <definedName name="NatVegCUpct9" localSheetId="2">[1]FA!$G$93</definedName>
    <definedName name="NatVegCUpct9">#REF!</definedName>
    <definedName name="NatVegPct11" localSheetId="2">[1]AM!$G$152</definedName>
    <definedName name="NatVegPct11">AM!$G$101</definedName>
    <definedName name="NatVegPctCU8" localSheetId="2">[1]INV!$G$122</definedName>
    <definedName name="NatVegPctCU8">INV!$G$123</definedName>
    <definedName name="NatVegPctScape_S" localSheetId="2">[1]Sen!#REF!</definedName>
    <definedName name="NatVegPctScape_S">#REF!</definedName>
    <definedName name="NatVegPctScape14" localSheetId="2">[1]SBM!$G$133</definedName>
    <definedName name="NatVegPctScape14">SBM!#REF!</definedName>
    <definedName name="NatVegProx_S" localSheetId="2">[1]Sen!$G$127</definedName>
    <definedName name="NatVegProx_S">#REF!</definedName>
    <definedName name="NatVegProx11" localSheetId="2">[1]AM!$G$188</definedName>
    <definedName name="NatVegProx11">AM!#REF!</definedName>
    <definedName name="NatVegProx14" localSheetId="2">[1]SBM!$G$147</definedName>
    <definedName name="NatVegProx14">SBM!#REF!</definedName>
    <definedName name="NatVegProx8" localSheetId="2">[1]INV!#REF!</definedName>
    <definedName name="NatVegProx8">INV!#REF!</definedName>
    <definedName name="NatVegSize_S" localSheetId="2">[1]Sen!$G$133</definedName>
    <definedName name="NatVegSize_S">#REF!</definedName>
    <definedName name="NatVegSize11" localSheetId="2">[1]AM!$G$194</definedName>
    <definedName name="NatVegSize11">AM!#REF!</definedName>
    <definedName name="NatVegSize14" localSheetId="2">[1]SBM!$G$153</definedName>
    <definedName name="NatVegSize14">SBM!#REF!</definedName>
    <definedName name="NatVegTractSize" localSheetId="2">[1]WBN!$G$142</definedName>
    <definedName name="NatVegTractSize">WB!#REF!</definedName>
    <definedName name="natvprox0" localSheetId="2">[1]POL!$G$83</definedName>
    <definedName name="natvprox0">#REF!</definedName>
    <definedName name="NatWoodDis0">#REF!</definedName>
    <definedName name="Navigable" localSheetId="2">#REF!</definedName>
    <definedName name="Navigable">#REF!</definedName>
    <definedName name="Ndown4">NR!#REF!</definedName>
    <definedName name="NestBirdCol">OF!#REF!</definedName>
    <definedName name="NestSites">#REF!</definedName>
    <definedName name="NewWet">NR!$G$121</definedName>
    <definedName name="NewWet_S">#REF!</definedName>
    <definedName name="NewWet10">FH!#REF!</definedName>
    <definedName name="NewWet11">AM!#REF!</definedName>
    <definedName name="NewWet12">#REF!</definedName>
    <definedName name="NewWet2a">SR!#REF!</definedName>
    <definedName name="NewWet3">PR!#REF!</definedName>
    <definedName name="NewWet3F">PR!#REF!</definedName>
    <definedName name="NewWet5">#REF!</definedName>
    <definedName name="NewWet6">OE!$G$111</definedName>
    <definedName name="NewWet8">INV!#REF!</definedName>
    <definedName name="NewWetNot">OF!#REF!</definedName>
    <definedName name="NewWetNot6">OE!$D$112</definedName>
    <definedName name="NewWetPD">PH!$G$192</definedName>
    <definedName name="Nfix10">FH!#REF!</definedName>
    <definedName name="Nfix14">SBM!#REF!</definedName>
    <definedName name="Nfix4">NR!#REF!</definedName>
    <definedName name="Nfix5">#REF!</definedName>
    <definedName name="Nfix9">#REF!</definedName>
    <definedName name="Nfixer4" localSheetId="2">[1]NR!#REF!</definedName>
    <definedName name="Nfixer4">NR!#REF!</definedName>
    <definedName name="Nfixer5" localSheetId="2">[1]CS!#REF!</definedName>
    <definedName name="Nfixer5">#REF!</definedName>
    <definedName name="Nfixer6" localSheetId="2">[1]OE!$G$79</definedName>
    <definedName name="Nfixer6">OE!$G$89</definedName>
    <definedName name="Nfixers8" localSheetId="2">[1]INV!$G$94</definedName>
    <definedName name="Nfixers8">INV!$G$104</definedName>
    <definedName name="NfixPD">PH!$G$132</definedName>
    <definedName name="NfixS">#REF!</definedName>
    <definedName name="Nload4" localSheetId="2">[1]NR!#REF!</definedName>
    <definedName name="Nload4">NR!#REF!</definedName>
    <definedName name="nnativ11" localSheetId="2">[1]AM!$G$121</definedName>
    <definedName name="nnativ11">AM!#REF!</definedName>
    <definedName name="NNfish" localSheetId="2">[1]FR!$G$85</definedName>
    <definedName name="NNfish">FH!#REF!</definedName>
    <definedName name="NNfish9" localSheetId="2">[1]FA!$G$82</definedName>
    <definedName name="NNfish9">#REF!</definedName>
    <definedName name="NoAccess9" localSheetId="2">[1]FA!#REF!</definedName>
    <definedName name="NoAccess9">#REF!</definedName>
    <definedName name="NoDeer">PH!#REF!</definedName>
    <definedName name="NoDeerPD">PH!#REF!</definedName>
    <definedName name="NoDrainage" localSheetId="2">[1]WS!$G$72</definedName>
    <definedName name="NoDrainage">WS!#REF!</definedName>
    <definedName name="NoEmPct">#REF!</definedName>
    <definedName name="NoFreezeFR" localSheetId="2">[1]FR!$G$88</definedName>
    <definedName name="NoFreezeFR">FH!#REF!</definedName>
    <definedName name="NoHerb_S">#REF!</definedName>
    <definedName name="NoHerbCov">F!$D$219</definedName>
    <definedName name="NoInflo">#REF!</definedName>
    <definedName name="NonHydric6" localSheetId="2">[1]OE!$G$117</definedName>
    <definedName name="NonHydric6">OE!$G$111</definedName>
    <definedName name="NonNatvAnim" localSheetId="2">#REF!</definedName>
    <definedName name="NonNatvAnim">#REF!</definedName>
    <definedName name="NoOpenPonded">F!$D$72</definedName>
    <definedName name="NoOpenPonded1">F!$D$73</definedName>
    <definedName name="NoOtherWettypes">F!$D$16</definedName>
    <definedName name="NoOut_S" localSheetId="2">[1]Sen!$D$33</definedName>
    <definedName name="NoOut_S">#REF!</definedName>
    <definedName name="NoOut3">PR!#REF!</definedName>
    <definedName name="NoOutlet1" localSheetId="2">[1]WS!$D$52</definedName>
    <definedName name="NoOutlet1">WS!$D$63</definedName>
    <definedName name="NoOutlet10" localSheetId="2">[1]FR!$D$63</definedName>
    <definedName name="NoOutlet10">FH!$D$96</definedName>
    <definedName name="NoOutlet1a">WS!$D$62</definedName>
    <definedName name="NoOutlet2" localSheetId="2">[1]SR!$D$40</definedName>
    <definedName name="NoOutlet2">SR!$D$70</definedName>
    <definedName name="NoOutlet3" localSheetId="2">[1]PR!$D$57</definedName>
    <definedName name="NoOutlet3">PR!$D$68</definedName>
    <definedName name="NoOutlet4" localSheetId="2">[1]NR!$D$53</definedName>
    <definedName name="NoOutlet4">NR!$D$83</definedName>
    <definedName name="NoOutlet5">#REF!</definedName>
    <definedName name="NoOutlet6" localSheetId="2">[1]OE!$D$59</definedName>
    <definedName name="NoOutlet6">OE!$D$73</definedName>
    <definedName name="NoOutlet7" localSheetId="2">[1]T!$D$28</definedName>
    <definedName name="NoOutlet7">WC!#REF!</definedName>
    <definedName name="NoPerm10" localSheetId="2">[1]FR!$D$22</definedName>
    <definedName name="NoPerm10">FH!#REF!</definedName>
    <definedName name="NoPermW10" localSheetId="2">[1]FR!$D$35</definedName>
    <definedName name="NoPermW10">FH!$D$36</definedName>
    <definedName name="NoPersis">F!$D$25</definedName>
    <definedName name="NoPonded">F!$D$63</definedName>
    <definedName name="NormalSeasW" localSheetId="2">[1]PD!$G$33</definedName>
    <definedName name="NormalSeasW">PH!#REF!</definedName>
    <definedName name="NoSAV">#REF!</definedName>
    <definedName name="NoScum_C">#REF!</definedName>
    <definedName name="NoScum15">PH!#REF!</definedName>
    <definedName name="NoScumPD" localSheetId="2">[1]PD!$G$43</definedName>
    <definedName name="NoScumPD">PH!#REF!</definedName>
    <definedName name="NoSeasonal">F!$D$40</definedName>
    <definedName name="NoShrub">F!$D$164</definedName>
    <definedName name="NotCreated" localSheetId="2">[1]NR!$G$102</definedName>
    <definedName name="NotCreated">NR!#REF!</definedName>
    <definedName name="NotFen5">#REF!</definedName>
    <definedName name="NotNewWet">#REF!</definedName>
    <definedName name="NoTrees">F!$D$146</definedName>
    <definedName name="NoWat3">PR!#REF!</definedName>
    <definedName name="NoWater1" localSheetId="2">[1]WS!#REF!</definedName>
    <definedName name="NoWater1">WS!#REF!</definedName>
    <definedName name="NoWater3" localSheetId="2">[1]PR!$D$19</definedName>
    <definedName name="NoWater3">PR!$D$13</definedName>
    <definedName name="NoWater4" localSheetId="2">[1]NR!#REF!</definedName>
    <definedName name="NoWater4">NR!#REF!</definedName>
    <definedName name="NoWater4a" localSheetId="2">[1]NR!$D$9</definedName>
    <definedName name="NoWater4a">NR!$D$22</definedName>
    <definedName name="NoWoody" localSheetId="2">[1]CQ!$G$49</definedName>
    <definedName name="NoWoody">F!$D$141</definedName>
    <definedName name="NoWoody_S">#REF!</definedName>
    <definedName name="NoWoodyVeg">F!$D$135</definedName>
    <definedName name="NprobUp4" localSheetId="2">[1]NR!$D$129</definedName>
    <definedName name="NprobUp4">NR!#REF!</definedName>
    <definedName name="Nrank4" localSheetId="2">[1]NR!$G$142</definedName>
    <definedName name="Nrank4">NR!#REF!</definedName>
    <definedName name="NRE3a" localSheetId="2">[1]NR!$G$168</definedName>
    <definedName name="NRE3a">NR!#REF!</definedName>
    <definedName name="Nsource4" localSheetId="2">[1]NR!$G$147</definedName>
    <definedName name="Nsource4">NR!#REF!</definedName>
    <definedName name="NtidalJux12" localSheetId="2">[1]WBF!$G$12</definedName>
    <definedName name="NtidalJux12">#REF!</definedName>
    <definedName name="NtidalJux14" localSheetId="2">[1]SBM!$G$9</definedName>
    <definedName name="NtidalJux14">SBM!#REF!</definedName>
    <definedName name="NtidalProx9" localSheetId="2">[1]FA!$G$14</definedName>
    <definedName name="NtidalProx9">#REF!</definedName>
    <definedName name="NutrAvail5">#REF!</definedName>
    <definedName name="NutrAvail6">OE!#REF!</definedName>
    <definedName name="Nutrients15">PH!#REF!</definedName>
    <definedName name="NutrIn20">PH!#REF!</definedName>
    <definedName name="NutrIn8" localSheetId="2">[1]INV!$G$139</definedName>
    <definedName name="NutrIn8">INV!#REF!</definedName>
    <definedName name="NutrIn9" localSheetId="2">[1]FA!$G$118</definedName>
    <definedName name="NutrIn9">#REF!</definedName>
    <definedName name="OpenlandPct11" localSheetId="2">[1]AM!#REF!</definedName>
    <definedName name="OpenlandPct11">AM!#REF!</definedName>
    <definedName name="OpenlandProx11" localSheetId="2">[1]AM!#REF!</definedName>
    <definedName name="OpenlandProx11">AM!#REF!</definedName>
    <definedName name="OpenPct1">WS!$G$38</definedName>
    <definedName name="OpenPctScape12" localSheetId="2">[1]WBF!$G$112</definedName>
    <definedName name="OpenPctScape12">#REF!</definedName>
    <definedName name="OpenPonded2">SR!$G$36</definedName>
    <definedName name="OpenPonded7">WC!$G$49</definedName>
    <definedName name="OpenPonded7a">#REF!</definedName>
    <definedName name="OpenScapeProx12" localSheetId="2">[1]WBF!$G$118</definedName>
    <definedName name="OpenScapeProx12">#REF!</definedName>
    <definedName name="OpenSize2">SR!#REF!</definedName>
    <definedName name="OpenStrucs14" localSheetId="2">[1]SBM!#REF!</definedName>
    <definedName name="OpenStrucs14">SBM!#REF!</definedName>
    <definedName name="OpenUndev">OF!#REF!</definedName>
    <definedName name="OpenUndev8">INV!#REF!</definedName>
    <definedName name="OpenUndevA">OF!#REF!</definedName>
    <definedName name="OpenUndevA0">#REF!</definedName>
    <definedName name="OpenUndevA15">PH!#REF!</definedName>
    <definedName name="OpenUndevB">OF!#REF!</definedName>
    <definedName name="OpenUndevB11">AM!#REF!</definedName>
    <definedName name="OpenUndevB13">WB!#REF!</definedName>
    <definedName name="OpenUndevB14">SBM!#REF!</definedName>
    <definedName name="OpenUndevS">#REF!</definedName>
    <definedName name="OpenW">F!$D$70</definedName>
    <definedName name="OpenWpct3">PR!$G$39</definedName>
    <definedName name="OpenwSize13">WB!#REF!</definedName>
    <definedName name="OpWater">F!#REF!</definedName>
    <definedName name="OpWaterDry">F!#REF!</definedName>
    <definedName name="OpWaterWet">F!#REF!</definedName>
    <definedName name="Organic4">NR!#REF!</definedName>
    <definedName name="OUT2A">SR!$G$101</definedName>
    <definedName name="OUT2B">SR!#REF!</definedName>
    <definedName name="OUT3A">PR!$G$113</definedName>
    <definedName name="OUT3B">PR!#REF!</definedName>
    <definedName name="OUT7A">WC!$G$78</definedName>
    <definedName name="OUT7B">WC!#REF!</definedName>
    <definedName name="OutC1a">OE!$G$128</definedName>
    <definedName name="OutC1b">OE!#REF!</definedName>
    <definedName name="OutDur2" localSheetId="2">[1]SR!$G$36</definedName>
    <definedName name="OutDur2">SR!$G$65</definedName>
    <definedName name="OutDur2_">SFS!$G$30</definedName>
    <definedName name="OutDur7" localSheetId="2">[1]T!$G$24</definedName>
    <definedName name="OutDur7">WC!$G$56</definedName>
    <definedName name="OutDura_S" localSheetId="2">[1]Sen!$G$29</definedName>
    <definedName name="OutDura_S">#REF!</definedName>
    <definedName name="OutDura1" localSheetId="2">[1]WS!$G$48</definedName>
    <definedName name="OutDura1">WS!$G$58</definedName>
    <definedName name="OutDura10" localSheetId="2">[1]FR!$G$59</definedName>
    <definedName name="OutDura10">FH!$G$91</definedName>
    <definedName name="OutDura3" localSheetId="2">[1]PR!$G$53</definedName>
    <definedName name="OutDura3">PR!$G$63</definedName>
    <definedName name="OutDura4" localSheetId="2">[1]NR!$G$49</definedName>
    <definedName name="OutDura4">NR!$G$78</definedName>
    <definedName name="OutDura5" localSheetId="2">[1]CS!$G$58</definedName>
    <definedName name="OutDura5">#REF!</definedName>
    <definedName name="OutDura6" localSheetId="2">[1]OE!$G$55</definedName>
    <definedName name="OutDura6">OE!$G$68</definedName>
    <definedName name="OutDura9" localSheetId="2">[1]FA!$G$50</definedName>
    <definedName name="OutDura9">#REF!</definedName>
    <definedName name="Outlet4">NR!#REF!</definedName>
    <definedName name="Outlet4p">NR!#REF!</definedName>
    <definedName name="OutNone">F!$D$120</definedName>
    <definedName name="OutNone1">F!$D$119</definedName>
    <definedName name="OWarea">OF!$E$30</definedName>
    <definedName name="Owner">HU!#REF!</definedName>
    <definedName name="Ownership" localSheetId="2">[1]PU!$G$6</definedName>
    <definedName name="Ownership">HU!$G$29</definedName>
    <definedName name="OwnerSS">#REF!</definedName>
    <definedName name="OWpatchSize8">INV!#REF!</definedName>
    <definedName name="OWpct">OF!$E$31</definedName>
    <definedName name="OWpct_AM">OF!$E$33</definedName>
    <definedName name="OWpct_INV">OF!$E$32</definedName>
    <definedName name="OWpct_WB">OF!$E$34</definedName>
    <definedName name="OWpct10">FH!$G$63</definedName>
    <definedName name="OWpct11">AM!$G$43</definedName>
    <definedName name="OWpct13">WB!$G$65</definedName>
    <definedName name="OWpct4">NR!$G$55</definedName>
    <definedName name="OWpct6">OE!$G$44</definedName>
    <definedName name="OWpct8">INV!$G$63</definedName>
    <definedName name="ParkRem0v">#REF!</definedName>
    <definedName name="ParkRemS">#REF!</definedName>
    <definedName name="Pcp_S" localSheetId="2">[1]Sen!$G$179</definedName>
    <definedName name="Pcp_S">#REF!</definedName>
    <definedName name="PdataDown3">PR!#REF!</definedName>
    <definedName name="PdataUp3">PR!#REF!</definedName>
    <definedName name="PdataUpDis3" localSheetId="2">[1]PR!#REF!</definedName>
    <definedName name="PdataUpDis3">PR!#REF!</definedName>
    <definedName name="PdownDis3" localSheetId="2">[1]PR!$G$137</definedName>
    <definedName name="PdownDis3">PR!#REF!</definedName>
    <definedName name="PerennCropCA">OF!#REF!</definedName>
    <definedName name="PerimNatCov">OF!$E$35</definedName>
    <definedName name="PermPctAll12">#REF!</definedName>
    <definedName name="PermWaterAll14" localSheetId="2">[1]SBM!$D$16</definedName>
    <definedName name="PermWaterAll14">SBM!$D$48</definedName>
    <definedName name="PermWpct10">FH!$G$30</definedName>
    <definedName name="PermWpct11" localSheetId="2">[1]AM!$G$13</definedName>
    <definedName name="PermWpct11">AM!#REF!</definedName>
    <definedName name="PermWpct12" localSheetId="2">[1]WBF!$G$30</definedName>
    <definedName name="PermWpct12">#REF!</definedName>
    <definedName name="PermWpct13" localSheetId="2">[1]WBN!$G$16</definedName>
    <definedName name="PermWpct13">WB!$G$35</definedName>
    <definedName name="PermWpct14">SBM!$G$47</definedName>
    <definedName name="PermWpct3" localSheetId="2">[1]PR!#REF!</definedName>
    <definedName name="PermWpct3">PR!#REF!</definedName>
    <definedName name="PermWpct4" localSheetId="2">[1]NR!$G$17</definedName>
    <definedName name="PermWpct4">NR!$G$29</definedName>
    <definedName name="PermWpct5" localSheetId="2">[1]CS!$G$28</definedName>
    <definedName name="PermWpct5">#REF!</definedName>
    <definedName name="PermWpct8" localSheetId="2">[1]INV!$G$23</definedName>
    <definedName name="PermWpct8">INV!$G$35</definedName>
    <definedName name="PermWpct9">#REF!</definedName>
    <definedName name="PermWpd">PH!#REF!</definedName>
    <definedName name="Persis3" localSheetId="2">[1]PR!$G$27</definedName>
    <definedName name="Persis3">PR!$G$20</definedName>
    <definedName name="PersisPD">PH!$G$43</definedName>
    <definedName name="persist0" localSheetId="2">[1]POL!$G$9</definedName>
    <definedName name="persist0">#REF!</definedName>
    <definedName name="PersistPct1" localSheetId="2">[1]WS!$G$22</definedName>
    <definedName name="PersistPct1">WS!#REF!</definedName>
    <definedName name="PersistPct2" localSheetId="2">[1]SR!$G$123</definedName>
    <definedName name="PersistPct2">SR!#REF!</definedName>
    <definedName name="PestFish10" localSheetId="2">[1]FR!$G$82</definedName>
    <definedName name="PestFish10">FH!#REF!</definedName>
    <definedName name="PestFish11" localSheetId="2">[1]AM!$G$118</definedName>
    <definedName name="PestFish11">AM!#REF!</definedName>
    <definedName name="PestFish9" localSheetId="2">[1]FA!$G$79</definedName>
    <definedName name="PestFish9">#REF!</definedName>
    <definedName name="Phab1a">#REF!</definedName>
    <definedName name="Phab1b">#REF!</definedName>
    <definedName name="PhosDn3">PR!#REF!</definedName>
    <definedName name="PhosUp3">PR!#REF!</definedName>
    <definedName name="PhysAccess" localSheetId="2">#REF!</definedName>
    <definedName name="PhysAccess">#REF!</definedName>
    <definedName name="PhysAccum5">#REF!</definedName>
    <definedName name="Physical" localSheetId="2">[1]CQ!#REF!</definedName>
    <definedName name="Physical">#REF!</definedName>
    <definedName name="PlantCov5">#REF!</definedName>
    <definedName name="PlantCov6">OE!#REF!</definedName>
    <definedName name="PlantSiteS">#REF!</definedName>
    <definedName name="Playa" localSheetId="2">#REF!</definedName>
    <definedName name="Playa">#REF!</definedName>
    <definedName name="Playa10" localSheetId="2">[1]FR!$D$4</definedName>
    <definedName name="Playa10">FH!#REF!</definedName>
    <definedName name="Playa11" localSheetId="2">[1]AM!$D$3</definedName>
    <definedName name="Playa11">AM!#REF!</definedName>
    <definedName name="Playa12" localSheetId="2">[1]WBF!$D$4</definedName>
    <definedName name="Playa12">#REF!</definedName>
    <definedName name="Playa12a">#REF!</definedName>
    <definedName name="Playa5" localSheetId="2">[1]CS!$D$4</definedName>
    <definedName name="Playa5">#REF!</definedName>
    <definedName name="Playa8" localSheetId="2">[1]INV!$D$3</definedName>
    <definedName name="Playa8">INV!#REF!</definedName>
    <definedName name="Playa9" localSheetId="2">[1]FA!$D$4</definedName>
    <definedName name="Playa9">#REF!</definedName>
    <definedName name="Pload3" localSheetId="2">[1]PR!$G$146</definedName>
    <definedName name="Pload3">PR!#REF!</definedName>
    <definedName name="PollenOff">#REF!</definedName>
    <definedName name="PollenOn">#REF!</definedName>
    <definedName name="PolluIn" localSheetId="2">[1]INV!$G$136</definedName>
    <definedName name="PolluIn">INV!#REF!</definedName>
    <definedName name="PolluIn13">WB!#REF!</definedName>
    <definedName name="PolluIn14" localSheetId="2">[1]WBF!$D$159</definedName>
    <definedName name="PolluIn14">#REF!</definedName>
    <definedName name="PolluSource">OF!#REF!</definedName>
    <definedName name="PolluSource0">#REF!</definedName>
    <definedName name="PolluSource10">FH!#REF!</definedName>
    <definedName name="PolluSource11">AM!#REF!</definedName>
    <definedName name="PolluSource15">PH!#REF!</definedName>
    <definedName name="PolluSource2">SR!#REF!</definedName>
    <definedName name="PolluSource3">PR!#REF!</definedName>
    <definedName name="PolluSource4">NR!#REF!</definedName>
    <definedName name="PolluSource8">INV!#REF!</definedName>
    <definedName name="PolluUpConn">#REF!</definedName>
    <definedName name="Ponded">F!#REF!</definedName>
    <definedName name="PondedOWpct0">#REF!</definedName>
    <definedName name="PondedOWpct14">SBM!$G$54</definedName>
    <definedName name="PondedOWpct21">HU!$G$17</definedName>
    <definedName name="PondedOWpctPD">PH!$G$61</definedName>
    <definedName name="PondedPct2">SR!#REF!</definedName>
    <definedName name="PondedPct6">OE!$G$36</definedName>
    <definedName name="PondOpenSize11">AM!#REF!</definedName>
    <definedName name="PondPct4">NR!$G$47</definedName>
    <definedName name="PondPctScape11" localSheetId="2">[1]AM!$G$200</definedName>
    <definedName name="PondPctScape11">AM!#REF!</definedName>
    <definedName name="PondPctScape12" localSheetId="2">[1]WBF!$G$123</definedName>
    <definedName name="PondPctScape12">#REF!</definedName>
    <definedName name="PondPctScape14" localSheetId="2">[1]SBM!$G$159</definedName>
    <definedName name="PondPctScape14">SBM!#REF!</definedName>
    <definedName name="PondProx_S" localSheetId="2">[1]Sen!$G$146</definedName>
    <definedName name="PondProx_S">#REF!</definedName>
    <definedName name="PondProx11" localSheetId="2">[1]AM!$G$207</definedName>
    <definedName name="PondProx11">AM!#REF!</definedName>
    <definedName name="PondProx12" localSheetId="2">[1]WBF!$G$130</definedName>
    <definedName name="PondProx12">#REF!</definedName>
    <definedName name="PondProx13" localSheetId="2">[1]WBN!$G$155</definedName>
    <definedName name="PondProx13">WB!#REF!</definedName>
    <definedName name="PondProx14" localSheetId="2">[1]SBM!$G$166</definedName>
    <definedName name="PondProx14">SBM!#REF!</definedName>
    <definedName name="PondProx15" localSheetId="2">[1]PD!$G$156</definedName>
    <definedName name="PondProx15">PH!#REF!</definedName>
    <definedName name="PondScape_S" localSheetId="2">[1]Sen!$G$139</definedName>
    <definedName name="PondScape_S">#REF!</definedName>
    <definedName name="PondScape15" localSheetId="2">[1]PD!$G$149</definedName>
    <definedName name="PondScape15">PH!#REF!</definedName>
    <definedName name="PondScapePct13" localSheetId="2">[1]WBN!$G$148</definedName>
    <definedName name="PondScapePct13">WB!#REF!</definedName>
    <definedName name="PondSizeVar11" localSheetId="2">[1]AM!#REF!</definedName>
    <definedName name="PondSizeVar11">AM!#REF!</definedName>
    <definedName name="PopCtr12">#REF!</definedName>
    <definedName name="PopCtr14">SBM!#REF!</definedName>
    <definedName name="PopCtr15">PH!#REF!</definedName>
    <definedName name="PopCtr9">#REF!</definedName>
    <definedName name="PopCtrDisPU">HU!#REF!</definedName>
    <definedName name="PopCtrDisS">#REF!</definedName>
    <definedName name="PopCtrDist">#REF!</definedName>
    <definedName name="PopDist10">FH!#REF!</definedName>
    <definedName name="PopDist4">NR!#REF!</definedName>
    <definedName name="PosShed3" localSheetId="2">[1]PR!$G$107</definedName>
    <definedName name="PosShed3">PR!#REF!</definedName>
    <definedName name="PPET">OF!$E$36</definedName>
    <definedName name="PprobUp2" localSheetId="2">[1]PR!$D$134</definedName>
    <definedName name="PprobUp2">PR!#REF!</definedName>
    <definedName name="Prank3" localSheetId="2">[1]PR!$G$141</definedName>
    <definedName name="Prank3">PR!#REF!</definedName>
    <definedName name="Precip11" localSheetId="2">[1]AM!$G$237</definedName>
    <definedName name="Precip11">AM!#REF!</definedName>
    <definedName name="Precip12" localSheetId="2">[1]WBF!$G$174</definedName>
    <definedName name="Precip12">#REF!</definedName>
    <definedName name="Precip2">SFS!#REF!</definedName>
    <definedName name="PrecipAnnu" localSheetId="2">#REF!</definedName>
    <definedName name="PrecipAnnu">#REF!</definedName>
    <definedName name="PrecipPD" localSheetId="2">[1]PD!$G$188</definedName>
    <definedName name="PrecipPD">PH!#REF!</definedName>
    <definedName name="Pred1a">AM!$G$143</definedName>
    <definedName name="Pred1b">AM!#REF!</definedName>
    <definedName name="PredA1a">AM!$G$143</definedName>
    <definedName name="PredA1b">AM!#REF!</definedName>
    <definedName name="_xlnm.Print_Area" localSheetId="0">CoverPg!$A$1:$B$14</definedName>
    <definedName name="_xlnm.Print_Area" localSheetId="1">F!$A$1:$E$306</definedName>
    <definedName name="_xlnm.Print_Area" localSheetId="3">OF!$B$2:$D$73</definedName>
    <definedName name="_xlnm.Print_Area" localSheetId="2">S!$A$1:$F$81</definedName>
    <definedName name="_xlnm.Print_Area" localSheetId="23">Scores!$A$1:$K$24</definedName>
    <definedName name="Produc">SBM!#REF!</definedName>
    <definedName name="Produc10">FH!#REF!</definedName>
    <definedName name="Produc11">AM!#REF!</definedName>
    <definedName name="Produc12">#REF!</definedName>
    <definedName name="Produc13">WB!#REF!</definedName>
    <definedName name="Produc14">SBM!#REF!</definedName>
    <definedName name="Produc9">#REF!</definedName>
    <definedName name="Productiv">#REF!</definedName>
    <definedName name="Productiv6">OE!#REF!</definedName>
    <definedName name="ProtecStatus">HU!#REF!</definedName>
    <definedName name="Protect13">WB!#REF!</definedName>
    <definedName name="Provis21">HU!$G$53</definedName>
    <definedName name="Pscape1a">#REF!</definedName>
    <definedName name="Pscape1b">#REF!</definedName>
    <definedName name="Psubs1a">#REF!</definedName>
    <definedName name="Psubs1b">#REF!</definedName>
    <definedName name="PubAccess" localSheetId="2">[1]PU!$G$9</definedName>
    <definedName name="PubAccess">HU!#REF!</definedName>
    <definedName name="Public">OF!$E$37</definedName>
    <definedName name="RAMSAR">OF!#REF!</definedName>
    <definedName name="RaptorNest">OF!$E$38</definedName>
    <definedName name="Rare11" localSheetId="2">[1]AM!$G$232</definedName>
    <definedName name="Rare11">AM!#REF!</definedName>
    <definedName name="Rare12" localSheetId="2">[1]WBF!$G$170</definedName>
    <definedName name="Rare12">#REF!</definedName>
    <definedName name="Rare13" localSheetId="2">[1]WBN!$G$199</definedName>
    <definedName name="Rare13">WB!#REF!</definedName>
    <definedName name="Rare14" localSheetId="2">[1]SBM!$G$199</definedName>
    <definedName name="Rare14">SBM!#REF!</definedName>
    <definedName name="rare8" localSheetId="2">[1]INV!$G$144</definedName>
    <definedName name="rare8">INV!#REF!</definedName>
    <definedName name="RareAll" localSheetId="2">[1]CQ!$G$76</definedName>
    <definedName name="RareAll">#REF!</definedName>
    <definedName name="RareAmphib">AM!$G$132</definedName>
    <definedName name="RareBirdUse">OF!$E$39</definedName>
    <definedName name="rarecommu" localSheetId="2">[1]POL!$G$123</definedName>
    <definedName name="rarecommu">#REF!</definedName>
    <definedName name="RareComPD">PH!#REF!</definedName>
    <definedName name="RareFish">FH!$G$119</definedName>
    <definedName name="RareFNA" localSheetId="2">[1]FR!$G$106</definedName>
    <definedName name="RareFNA">FH!#REF!</definedName>
    <definedName name="RareFR">FH!#REF!</definedName>
    <definedName name="rareherb" localSheetId="2">[1]POL!$G$122</definedName>
    <definedName name="rareherb">#REF!</definedName>
    <definedName name="RarePcom" localSheetId="2">[1]PD!$G$183</definedName>
    <definedName name="RarePcom">PH!#REF!</definedName>
    <definedName name="RarePlant">PH!$G$213</definedName>
    <definedName name="RarePlantRange">OF!$E$40</definedName>
    <definedName name="RarePspp" localSheetId="2">[1]PD!$G$178</definedName>
    <definedName name="RarePspp">PH!#REF!</definedName>
    <definedName name="RareSBM">F!$D$333</definedName>
    <definedName name="RareSpPD">PH!#REF!</definedName>
    <definedName name="RareType" localSheetId="2">#REF!</definedName>
    <definedName name="RareType">#REF!</definedName>
    <definedName name="RareTypePD">PH!#REF!</definedName>
    <definedName name="RareWB">F!$D$332</definedName>
    <definedName name="RareWB13">WB!$G$156</definedName>
    <definedName name="RareWclass_S">#REF!</definedName>
    <definedName name="RareWclass0">#REF!</definedName>
    <definedName name="RareWclass11">AM!#REF!</definedName>
    <definedName name="RareWclass12">#REF!</definedName>
    <definedName name="RareWclass13">WB!#REF!</definedName>
    <definedName name="RareWclass14">SBM!#REF!</definedName>
    <definedName name="RareWclass8">INV!#REF!</definedName>
    <definedName name="RareWclassPD">PH!#REF!</definedName>
    <definedName name="RdBox" localSheetId="2">[1]STR!$G$61</definedName>
    <definedName name="RdBox">#REF!</definedName>
    <definedName name="RdBox14" localSheetId="2">[1]SBM!$G$108</definedName>
    <definedName name="RdBox14">SBM!#REF!</definedName>
    <definedName name="RdCirc11">[2]AM!$G$206</definedName>
    <definedName name="RdDens1">WS!#REF!</definedName>
    <definedName name="RdDens11">AM!#REF!</definedName>
    <definedName name="RdDens14">SBM!#REF!</definedName>
    <definedName name="RdDens1k">OF!$E$41</definedName>
    <definedName name="RdDens2">SR!#REF!</definedName>
    <definedName name="RdDens3">PR!#REF!</definedName>
    <definedName name="RdDens4">NR!#REF!</definedName>
    <definedName name="RdDens5k">OF!#REF!</definedName>
    <definedName name="RdDens7">WC!#REF!</definedName>
    <definedName name="RdDensCA">OF!#REF!</definedName>
    <definedName name="RdDensPD">PH!#REF!</definedName>
    <definedName name="RdDensPU">HU!#REF!</definedName>
    <definedName name="RdDensS">#REF!</definedName>
    <definedName name="RdDis11" localSheetId="2">[1]AM!$G$167</definedName>
    <definedName name="RdDis11">AM!#REF!</definedName>
    <definedName name="RdDis13" localSheetId="2">[1]WBN!$G$179</definedName>
    <definedName name="RdDis13">WB!#REF!</definedName>
    <definedName name="RecPot">HU!#REF!</definedName>
    <definedName name="RecreaPoten" localSheetId="2">[1]PU!$G$16</definedName>
    <definedName name="RecreaPoten">HU!$G$34</definedName>
    <definedName name="RecUse">#REF!</definedName>
    <definedName name="REDOX1A">NR!$G$144</definedName>
    <definedName name="REDOX1B">NR!$G$145</definedName>
    <definedName name="Redox4">NR!#REF!</definedName>
    <definedName name="RegInv">OF!#REF!</definedName>
    <definedName name="Reserve">OF!$E$42</definedName>
    <definedName name="ResFish" localSheetId="2">[1]INV!$G$160</definedName>
    <definedName name="ResFish">INV!#REF!</definedName>
    <definedName name="ResFishScore2_">SFS!#REF!</definedName>
    <definedName name="RESIST1a">WS!$G$103</definedName>
    <definedName name="Resist1b">WS!$G$104</definedName>
    <definedName name="RichScape11">INV!$G$8</definedName>
    <definedName name="RipFloodpl">OF!$E$43</definedName>
    <definedName name="RoadCirc11" localSheetId="2">[1]AM!$G$166</definedName>
    <definedName name="RoadCirc11">AM!#REF!</definedName>
    <definedName name="RoadDist" localSheetId="2">#REF!</definedName>
    <definedName name="RoadDist">#REF!</definedName>
    <definedName name="Rock0">#REF!</definedName>
    <definedName name="Rock15">PH!$G$191</definedName>
    <definedName name="Runoff">OF!#REF!</definedName>
    <definedName name="Runoff1">WS!#REF!</definedName>
    <definedName name="Runoff10">FH!#REF!</definedName>
    <definedName name="Runoff11">AM!#REF!</definedName>
    <definedName name="Runoff15">PH!#REF!</definedName>
    <definedName name="Runoff2">SR!#REF!</definedName>
    <definedName name="Runoff3">PR!#REF!</definedName>
    <definedName name="Runoff4">NR!#REF!</definedName>
    <definedName name="Runoff7">WC!#REF!</definedName>
    <definedName name="Runoff8">INV!#REF!</definedName>
    <definedName name="S1A">S!#REF!</definedName>
    <definedName name="S2A">S!#REF!</definedName>
    <definedName name="S2B">S!#REF!</definedName>
    <definedName name="S2C">S!#REF!</definedName>
    <definedName name="S3A">S!#REF!</definedName>
    <definedName name="S3B">S!#REF!</definedName>
    <definedName name="S3C">S!#REF!</definedName>
    <definedName name="S4A">S!#REF!</definedName>
    <definedName name="S4B">S!#REF!</definedName>
    <definedName name="S4C">S!#REF!</definedName>
    <definedName name="S5A">S!#REF!</definedName>
    <definedName name="S5B">S!#REF!</definedName>
    <definedName name="S5C">S!#REF!</definedName>
    <definedName name="s6a">S!#REF!</definedName>
    <definedName name="s6a1">S!#REF!</definedName>
    <definedName name="s6b">S!#REF!</definedName>
    <definedName name="S7A">S!#REF!</definedName>
    <definedName name="S7B">S!#REF!</definedName>
    <definedName name="S7C">S!#REF!</definedName>
    <definedName name="S8A">S!#REF!</definedName>
    <definedName name="S8A1">S!#REF!</definedName>
    <definedName name="S8B">S!#REF!</definedName>
    <definedName name="S8C">S!#REF!</definedName>
    <definedName name="s9a">S!#REF!</definedName>
    <definedName name="s9b">S!#REF!</definedName>
    <definedName name="s9c">S!#REF!</definedName>
    <definedName name="Salin10">FH!$G$107</definedName>
    <definedName name="Salin11">AM!$G$120</definedName>
    <definedName name="Salin13">WB!$G$150</definedName>
    <definedName name="Salin3" localSheetId="2">[1]PR!$G$4</definedName>
    <definedName name="Salin3">PR!$G$92</definedName>
    <definedName name="Salin4">NR!#REF!</definedName>
    <definedName name="Salin5">#REF!</definedName>
    <definedName name="Salin6" localSheetId="2">[1]OE!$G$4</definedName>
    <definedName name="Salin6">OE!#REF!</definedName>
    <definedName name="Salin9" localSheetId="2">[1]FA!#REF!</definedName>
    <definedName name="Salin9">#REF!</definedName>
    <definedName name="Saline11" localSheetId="2">[1]AM!#REF!</definedName>
    <definedName name="Saline11">AM!#REF!</definedName>
    <definedName name="Salinity11" localSheetId="2">[1]AM!#REF!</definedName>
    <definedName name="Salinity11">AM!#REF!</definedName>
    <definedName name="Salinity2" localSheetId="2">[1]SR!$G$3</definedName>
    <definedName name="Salinity2">SR!#REF!</definedName>
    <definedName name="SalinPD" localSheetId="2">[1]PD!$G$15</definedName>
    <definedName name="SalinPD">PH!#REF!</definedName>
    <definedName name="Salmon5">#REF!</definedName>
    <definedName name="SalmonShedPS">#REF!</definedName>
    <definedName name="SalmonShedPS2">#REF!</definedName>
    <definedName name="SalmoShed9">#REF!</definedName>
    <definedName name="SatPct_S">#REF!</definedName>
    <definedName name="SatPct0">#REF!</definedName>
    <definedName name="SatPct10">FH!$G$23</definedName>
    <definedName name="SatPct11">AM!$G$23</definedName>
    <definedName name="SatPct12">#REF!</definedName>
    <definedName name="SatPct13">WB!$G$28</definedName>
    <definedName name="SatPct14">SBM!$G$40</definedName>
    <definedName name="SatPct15">PH!$G$36</definedName>
    <definedName name="SatPct2v">SR!#REF!</definedName>
    <definedName name="SatPct3">PR!$G$13</definedName>
    <definedName name="SatPct4">NR!$G$22</definedName>
    <definedName name="SatPct7">WC!$G$22</definedName>
    <definedName name="SatPct8">INV!$G$28</definedName>
    <definedName name="SatPct9">#REF!</definedName>
    <definedName name="SatPctPD">PH!$G$36</definedName>
    <definedName name="Satur10">FH!$D$23</definedName>
    <definedName name="SAV_LT5">#REF!</definedName>
    <definedName name="SAV1pd" localSheetId="2">[1]PD!$G$46</definedName>
    <definedName name="SAV1pd">PH!#REF!</definedName>
    <definedName name="sav2pd" localSheetId="2">[1]PD!$G$50</definedName>
    <definedName name="sav2pd">PH!#REF!</definedName>
    <definedName name="SAVdom1">#REF!</definedName>
    <definedName name="SAVpct3" localSheetId="2">[1]PR!#REF!</definedName>
    <definedName name="SAVpct3">PR!#REF!</definedName>
    <definedName name="SAVpct5" localSheetId="2">[1]CS!#REF!</definedName>
    <definedName name="SAVpct5">#REF!</definedName>
    <definedName name="SAVpctS">#REF!</definedName>
    <definedName name="SAVsens1" localSheetId="2">[1]Sen!$G$48</definedName>
    <definedName name="SAVsens1">#REF!</definedName>
    <definedName name="SAVsens1_C" localSheetId="2">[1]CQ!$G$23</definedName>
    <definedName name="SAVsens1_C">#REF!</definedName>
    <definedName name="SAVsens2_C" localSheetId="2">[1]CQ!$G$27</definedName>
    <definedName name="SAVsens2_C">#REF!</definedName>
    <definedName name="SAVsens2_S" localSheetId="2">[1]Sen!$G$52</definedName>
    <definedName name="SAVsens2_S">#REF!</definedName>
    <definedName name="SAVubq1">#REF!</definedName>
    <definedName name="SAVubq2" localSheetId="2">[1]Sen!$G$56</definedName>
    <definedName name="SAVubq2">#REF!</definedName>
    <definedName name="SBhab13">WB!$G$120</definedName>
    <definedName name="SBMscore">SBM!#REF!</definedName>
    <definedName name="SBMscore10">AM!#REF!</definedName>
    <definedName name="SBMscore8">INV!#REF!</definedName>
    <definedName name="SBMscore9">#REF!</definedName>
    <definedName name="SBMsiteS">#REF!</definedName>
    <definedName name="SBstaging">OF!$E$44</definedName>
    <definedName name="ScapeLU11" localSheetId="2">[1]AM!$G$180</definedName>
    <definedName name="ScapeLU11">AM!#REF!</definedName>
    <definedName name="ScapeLU14" localSheetId="2">[1]SBM!$G$139</definedName>
    <definedName name="ScapeLU14">SBM!#REF!</definedName>
    <definedName name="SciUse" localSheetId="2">[1]PU!$G$20</definedName>
    <definedName name="SciUse">HU!#REF!</definedName>
    <definedName name="SciUses">OF!#REF!</definedName>
    <definedName name="ScorePLDf">PH!#REF!</definedName>
    <definedName name="ScorePOLf" localSheetId="2">[1]PD!$G$199</definedName>
    <definedName name="ScorePOLf">PH!#REF!</definedName>
    <definedName name="ScoreSBM">PH!#REF!</definedName>
    <definedName name="ScoreSBMf" localSheetId="2">[1]PD!$G$201</definedName>
    <definedName name="ScoreSBMf">PH!#REF!</definedName>
    <definedName name="ScoreSubsis">PH!#REF!</definedName>
    <definedName name="ScoreWBFf" localSheetId="2">[1]PD!$G$200</definedName>
    <definedName name="ScoreWBFf">PH!#REF!</definedName>
    <definedName name="Scum15" localSheetId="2">[1]CQ!$G$20</definedName>
    <definedName name="Scum15">#REF!</definedName>
    <definedName name="Scum3" localSheetId="2">[1]PR!$G$74</definedName>
    <definedName name="Scum3">PR!#REF!</definedName>
    <definedName name="Scum9" localSheetId="2">[1]FA!$G$91</definedName>
    <definedName name="Scum9">#REF!</definedName>
    <definedName name="SeasPct1" localSheetId="2">[1]WS!$G$36</definedName>
    <definedName name="SeasPct1">WS!$G$19</definedName>
    <definedName name="SeasPct2" localSheetId="2">[1]SR!$G$24</definedName>
    <definedName name="SeasPct2">SR!$G$11</definedName>
    <definedName name="SeasPct8" localSheetId="2">[1]INV!$G$37</definedName>
    <definedName name="SeasPct8">INV!$G$42</definedName>
    <definedName name="SeasTime1" localSheetId="2">[1]WS!#REF!</definedName>
    <definedName name="SeasTime1">WS!#REF!</definedName>
    <definedName name="SeasTime11" localSheetId="2">[1]AM!$G$33</definedName>
    <definedName name="SeasTime11">AM!#REF!</definedName>
    <definedName name="SeasTime13" localSheetId="2">[1]WBN!#REF!</definedName>
    <definedName name="SeasTime13">WB!#REF!</definedName>
    <definedName name="SeasTime8" localSheetId="2">[1]INV!$G$43</definedName>
    <definedName name="SeasTime8">INV!#REF!</definedName>
    <definedName name="SeasTimeV1" localSheetId="2">[1]WS!#REF!</definedName>
    <definedName name="SeasTimeV1">WS!#REF!</definedName>
    <definedName name="SeasTiming10" localSheetId="2">[1]FR!$G$44</definedName>
    <definedName name="SeasTiming10">FH!#REF!</definedName>
    <definedName name="SeasTiming9">#REF!</definedName>
    <definedName name="SeasW_S" localSheetId="2">[1]Sen!$G$12</definedName>
    <definedName name="SeasW_S">#REF!</definedName>
    <definedName name="SeasWpct11" localSheetId="2">[1]AM!$G$27</definedName>
    <definedName name="SeasWpct11">AM!#REF!</definedName>
    <definedName name="SeasWpct12" localSheetId="2">[1]WBF!$G$24</definedName>
    <definedName name="SeasWpct12">#REF!</definedName>
    <definedName name="SeasWpct13">WB!$G$42</definedName>
    <definedName name="SeasWpct3" localSheetId="2">[1]PR!#REF!</definedName>
    <definedName name="SeasWpct3">PR!#REF!</definedName>
    <definedName name="SeasWpct4" localSheetId="2">[1]NR!$G$31</definedName>
    <definedName name="SeasWpct4">NR!$G$36</definedName>
    <definedName name="SeasWpct5" localSheetId="2">[1]CS!$G$35</definedName>
    <definedName name="SeasWpct5">#REF!</definedName>
    <definedName name="SeasWpct6" localSheetId="2">[1]OE!$G$36</definedName>
    <definedName name="SeasWpct6">OE!$G$25</definedName>
    <definedName name="SeasWpct9" localSheetId="2">[1]FA!$G$28</definedName>
    <definedName name="SeasWpct9">#REF!</definedName>
    <definedName name="SeasWpctPD">PH!$G$43</definedName>
    <definedName name="SedCA8">INV!$G$140</definedName>
    <definedName name="SedDisturb20">PH!$G$216</definedName>
    <definedName name="Sedge14">SBM!$G$134</definedName>
    <definedName name="Sedge5">#REF!</definedName>
    <definedName name="sedgePD">PH!$G$163</definedName>
    <definedName name="SedIn10">FH!#REF!</definedName>
    <definedName name="SedIn2" localSheetId="2">[1]SR!$G$102</definedName>
    <definedName name="SedIn2">SR!#REF!</definedName>
    <definedName name="SedIn20">PH!#REF!</definedName>
    <definedName name="SedIn8" localSheetId="2">[1]INV!$G$140</definedName>
    <definedName name="SedIn8">INV!#REF!</definedName>
    <definedName name="SedIn9" localSheetId="2">[1]FA!$G$119</definedName>
    <definedName name="SedIn9">#REF!</definedName>
    <definedName name="SedLoad" localSheetId="2">[1]STR!$G$7</definedName>
    <definedName name="SedLoad">#REF!</definedName>
    <definedName name="SEDTRAP1A">PR!$G$109</definedName>
    <definedName name="SEDTRAP1B">PR!$G$110</definedName>
    <definedName name="SedUp2">SR!#REF!</definedName>
    <definedName name="SENS1" localSheetId="2">[1]Sen!$G$186</definedName>
    <definedName name="SENS1">#REF!</definedName>
    <definedName name="SENS2" localSheetId="2">[1]Sen!$G$187</definedName>
    <definedName name="SENS2">#REF!</definedName>
    <definedName name="SENS3" localSheetId="2">[1]Sen!$G$188</definedName>
    <definedName name="SENS3">#REF!</definedName>
    <definedName name="SENS4" localSheetId="2">[1]Sen!$G$189</definedName>
    <definedName name="SENS4">#REF!</definedName>
    <definedName name="SENS5">#REF!</definedName>
    <definedName name="SensAm">OF!$E$45</definedName>
    <definedName name="Shade10">FH!$G$37</definedName>
    <definedName name="SHADE1A">WC!$G$68</definedName>
    <definedName name="SHADE1B">WC!#REF!</definedName>
    <definedName name="Shade6">OE!$G$19</definedName>
    <definedName name="Shade7" localSheetId="2">[1]T!$G$29</definedName>
    <definedName name="Shade7">WC!$G$29</definedName>
    <definedName name="Shade7w">#REF!</definedName>
    <definedName name="Shade9" localSheetId="2">[1]FA!$G$70</definedName>
    <definedName name="Shade9">#REF!</definedName>
    <definedName name="ShadeIn7">WC!#REF!</definedName>
    <definedName name="ShedPos_S" localSheetId="2">[1]Sen!$G$170</definedName>
    <definedName name="ShedPos_S">#REF!</definedName>
    <definedName name="ShedPos1" localSheetId="2">[1]WS!$G$75</definedName>
    <definedName name="ShedPos1">WS!#REF!</definedName>
    <definedName name="ShedPos4" localSheetId="2">[1]NR!$G$107</definedName>
    <definedName name="ShedPos4">NR!#REF!</definedName>
    <definedName name="ShedWet2" localSheetId="2">[1]SR!$G$81</definedName>
    <definedName name="ShedWet2">SR!#REF!</definedName>
    <definedName name="Shoal2" localSheetId="2">[1]SR!$G$150</definedName>
    <definedName name="Shoal2">SR!#REF!</definedName>
    <definedName name="Shoaling" localSheetId="2">#REF!</definedName>
    <definedName name="Shoaling">#REF!</definedName>
    <definedName name="ShoalSS">SR!#REF!</definedName>
    <definedName name="ShoreSlope11" localSheetId="2">[1]AM!$G$60</definedName>
    <definedName name="ShoreSlope11">AM!#REF!</definedName>
    <definedName name="ShoreSlope13">WB!$G$72</definedName>
    <definedName name="ShrubCanop14">SBM!$G$105</definedName>
    <definedName name="ShrubDiv14">SBM!$G$111</definedName>
    <definedName name="ShrubDivPD">PH!#REF!</definedName>
    <definedName name="ShrubDom0">#REF!</definedName>
    <definedName name="ShrubDom1">#REF!</definedName>
    <definedName name="ShrubHtDiv14">SBM!#REF!</definedName>
    <definedName name="ShrubHtDivS">#REF!</definedName>
    <definedName name="ShrubPattS">#REF!</definedName>
    <definedName name="ShrubSens1" localSheetId="2">[1]Sen!$G$80</definedName>
    <definedName name="ShrubSens1">#REF!</definedName>
    <definedName name="ShrubSens1_C" localSheetId="2">[1]CQ!$G$55</definedName>
    <definedName name="ShrubSens1_C">#REF!</definedName>
    <definedName name="ShrubSens1_S" localSheetId="2">[1]Sen!#REF!</definedName>
    <definedName name="ShrubSens1_S">#REF!</definedName>
    <definedName name="ShrubShaded">PH!#REF!</definedName>
    <definedName name="ShrubShaded11">AM!#REF!</definedName>
    <definedName name="ShrubSubcan14">SBM!#REF!</definedName>
    <definedName name="ShrubSun">PH!$G$117</definedName>
    <definedName name="ShrubSun11">AM!#REF!</definedName>
    <definedName name="ShrubUbq1">#REF!</definedName>
    <definedName name="ShurbHtDiv14">SBM!$C$87</definedName>
    <definedName name="Size_S" localSheetId="2">[1]Sen!$G$163</definedName>
    <definedName name="Size_S">#REF!</definedName>
    <definedName name="Size0" localSheetId="2">[1]POL!$G$95</definedName>
    <definedName name="Size0">#REF!</definedName>
    <definedName name="Size12" localSheetId="2">[1]WBF!$G$145</definedName>
    <definedName name="Size12">#REF!</definedName>
    <definedName name="Size13" localSheetId="2">[1]WBN!$G$166</definedName>
    <definedName name="Size13">WB!#REF!</definedName>
    <definedName name="Size14" localSheetId="2">[1]SBM!$G$173</definedName>
    <definedName name="Size14">SBM!#REF!</definedName>
    <definedName name="SizePD">PH!#REF!</definedName>
    <definedName name="SlidePD">PH!#REF!</definedName>
    <definedName name="SlopeBuffer">OF!$E$46</definedName>
    <definedName name="SlopeUnif2" localSheetId="2">[1]SR!#REF!</definedName>
    <definedName name="SlopeUnif2">SR!#REF!</definedName>
    <definedName name="SlopeUnif3" localSheetId="2">[1]PR!#REF!</definedName>
    <definedName name="SlopeUnif3">PR!#REF!</definedName>
    <definedName name="SlopeUnif4" localSheetId="2">[1]NR!#REF!</definedName>
    <definedName name="SlopeUnif4">NR!#REF!</definedName>
    <definedName name="SlopeUnif5" localSheetId="2">[1]CS!#REF!</definedName>
    <definedName name="SlopeUnif5">#REF!</definedName>
    <definedName name="SlopeUnif6" localSheetId="2">[1]OE!#REF!</definedName>
    <definedName name="SlopeUnif6">OE!#REF!</definedName>
    <definedName name="SmallAA">F!$D$51</definedName>
    <definedName name="SnagB13">WB!$G$116</definedName>
    <definedName name="SnagD14">SBM!$G$120</definedName>
    <definedName name="Snags0">#REF!</definedName>
    <definedName name="Snags14" localSheetId="2">[1]SBM!#REF!</definedName>
    <definedName name="Snags14">SBM!#REF!</definedName>
    <definedName name="Snags15">PH!$G$138</definedName>
    <definedName name="Snow_S">#REF!</definedName>
    <definedName name="Snow1">WS!#REF!</definedName>
    <definedName name="Snow10">FH!#REF!</definedName>
    <definedName name="Snow11">AM!#REF!</definedName>
    <definedName name="Snow12">#REF!</definedName>
    <definedName name="Snow1a">WS!#REF!</definedName>
    <definedName name="Snow2">SR!#REF!</definedName>
    <definedName name="Snow2_">SFS!#REF!</definedName>
    <definedName name="Snow2a">SFS!#REF!</definedName>
    <definedName name="Snow3">PR!#REF!</definedName>
    <definedName name="Snow4">NR!#REF!</definedName>
    <definedName name="Snow5">#REF!</definedName>
    <definedName name="Snow6">OE!#REF!</definedName>
    <definedName name="SnowPD">PH!#REF!</definedName>
    <definedName name="Snows">#REF!</definedName>
    <definedName name="Snows_S">#REF!</definedName>
    <definedName name="Snows_S2">#REF!</definedName>
    <definedName name="Soil2_">SFS!$G$46</definedName>
    <definedName name="SoilAlt2">SR!$G$94</definedName>
    <definedName name="SoilAlt3">PR!$G$102</definedName>
    <definedName name="SoilDisturb" localSheetId="2">[1]STR!$G$8</definedName>
    <definedName name="SoilDisturb">#REF!</definedName>
    <definedName name="soildisturb0" localSheetId="2">[1]POL!$G$102</definedName>
    <definedName name="soildisturb0">#REF!</definedName>
    <definedName name="SoilDisturb11" localSheetId="2">[1]AM!$G$224</definedName>
    <definedName name="SoilDisturb11">AM!#REF!</definedName>
    <definedName name="SoilDisturb15" localSheetId="2">[1]PD!$D$171</definedName>
    <definedName name="SoilDisturb15">PH!$D$216</definedName>
    <definedName name="SoilDisturb4" localSheetId="2">[1]NR!$G$104</definedName>
    <definedName name="SoilDisturb4">NR!$G$133</definedName>
    <definedName name="SoilDisturb5" localSheetId="2">[1]CS!$G$136</definedName>
    <definedName name="SoilDisturb5">#REF!</definedName>
    <definedName name="SoilDisturb6" localSheetId="2">[1]OE!$G$115</definedName>
    <definedName name="SoilDisturb6">OE!#REF!</definedName>
    <definedName name="SoilDisturb8" localSheetId="2">[1]INV!$G$141</definedName>
    <definedName name="SoilDisturb8">INV!$G$141</definedName>
    <definedName name="SoilOrgPct">OF!$E$47</definedName>
    <definedName name="SoilTex">OF!$E$48</definedName>
    <definedName name="SoilTex_NROE">OF!$E$50</definedName>
    <definedName name="SoilTex_PR">OF!$E$49</definedName>
    <definedName name="SoilTex_S" localSheetId="2">[1]Sen!$G$110</definedName>
    <definedName name="SoilTex_S">#REF!</definedName>
    <definedName name="SoilTex_WS">OF!$E$48</definedName>
    <definedName name="SoilTex1">WS!$G$87</definedName>
    <definedName name="SoilTex3" localSheetId="2">[1]PR!$G$86</definedName>
    <definedName name="SoilTex3">PR!$G$87</definedName>
    <definedName name="SoilTex4" localSheetId="2">[1]NR!$G$87</definedName>
    <definedName name="SoilTex4">NR!$G$116</definedName>
    <definedName name="SoilTex5" localSheetId="2">[1]CS!$G$112</definedName>
    <definedName name="SoilTex5">#REF!</definedName>
    <definedName name="SoilTex6">OE!$G$106</definedName>
    <definedName name="SoilTex8" localSheetId="2">[1]INV!#REF!</definedName>
    <definedName name="SoilTex8">INV!#REF!</definedName>
    <definedName name="SoilTexPD" localSheetId="2">[1]PD!$G$95</definedName>
    <definedName name="SoilTexPD">PH!$G$152</definedName>
    <definedName name="SOLAR1A">WC!$G$71</definedName>
    <definedName name="SOLAR1B">WC!$G$72</definedName>
    <definedName name="SolarHeat">WC!#REF!</definedName>
    <definedName name="SolarHeatWarming">#REF!</definedName>
    <definedName name="SongbMam" localSheetId="2">[1]INV!$G$164</definedName>
    <definedName name="SongbMam">INV!#REF!</definedName>
    <definedName name="SPA">HU!#REF!</definedName>
    <definedName name="SppArea">PH!#REF!</definedName>
    <definedName name="SpPatch14" localSheetId="2">[1]SBM!#REF!</definedName>
    <definedName name="SpPatch14">SBM!#REF!</definedName>
    <definedName name="SpPatchy8" localSheetId="2">[1]INV!#REF!</definedName>
    <definedName name="SpPatchy8">INV!#REF!</definedName>
    <definedName name="Spring">OF!$E$51</definedName>
    <definedName name="SSubq2" localSheetId="2">[1]Sen!$G$89</definedName>
    <definedName name="SSubq2">#REF!</definedName>
    <definedName name="Stain8">INV!$G$78</definedName>
    <definedName name="Stained11">AM!$G$64</definedName>
    <definedName name="Stained6">OE!$G$61</definedName>
    <definedName name="Steep1">WS!$D$73</definedName>
    <definedName name="Steep13" localSheetId="2">[1]WBN!$D$109</definedName>
    <definedName name="Steep13">WB!$D$97</definedName>
    <definedName name="Steep1ws">WS!$D$73</definedName>
    <definedName name="Steep2ws">WS!$D$74</definedName>
    <definedName name="Stess11">AM!#REF!</definedName>
    <definedName name="STORE1a">WS!$G$107</definedName>
    <definedName name="Store1b">WS!#REF!</definedName>
    <definedName name="StrataDiv">#REF!</definedName>
    <definedName name="StreamInGrad3">PR!#REF!</definedName>
    <definedName name="Stress10">FH!#REF!</definedName>
    <definedName name="Stress11">AM!#REF!</definedName>
    <definedName name="Stress12">#REF!</definedName>
    <definedName name="Stress13">WB!#REF!</definedName>
    <definedName name="Stress14">SBM!#REF!</definedName>
    <definedName name="Stress9">#REF!</definedName>
    <definedName name="StressA1a">AM!$G$146</definedName>
    <definedName name="StressA1b">AM!#REF!</definedName>
    <definedName name="StressF1a">FH!$G$138</definedName>
    <definedName name="StressF1b">FH!#REF!</definedName>
    <definedName name="StressI1a">INV!$G$154</definedName>
    <definedName name="StressI1b">INV!#REF!</definedName>
    <definedName name="Stressors13">WB!#REF!</definedName>
    <definedName name="Stressors8">INV!#REF!</definedName>
    <definedName name="StressP1a">#REF!</definedName>
    <definedName name="StressP1b">#REF!</definedName>
    <definedName name="StressPD">PH!#REF!</definedName>
    <definedName name="StressS1a">SBM!$G$180</definedName>
    <definedName name="StressS1b">SBM!#REF!</definedName>
    <definedName name="StressV1a">PH!$G$233</definedName>
    <definedName name="StressV1b">PH!#REF!</definedName>
    <definedName name="StressW1a">WB!$G$169</definedName>
    <definedName name="StressW1b">WB!#REF!</definedName>
    <definedName name="struc0" localSheetId="2">[1]POL!#REF!</definedName>
    <definedName name="struc0">#REF!</definedName>
    <definedName name="Struc10">FH!#REF!</definedName>
    <definedName name="Struc11">AM!#REF!</definedName>
    <definedName name="Struc12">#REF!</definedName>
    <definedName name="Struc13">WB!#REF!</definedName>
    <definedName name="Struc14" localSheetId="2">[1]SBM!$D$77</definedName>
    <definedName name="Struc14">SBM!#REF!</definedName>
    <definedName name="Struc9">#REF!</definedName>
    <definedName name="StrucA">SBM!#REF!</definedName>
    <definedName name="StrucB">SBM!#REF!</definedName>
    <definedName name="Structure8">INV!#REF!</definedName>
    <definedName name="Sub0Days">OF!$E$52</definedName>
    <definedName name="Subsist">#REF!</definedName>
    <definedName name="Subsist10">FH!#REF!</definedName>
    <definedName name="Subsist9">#REF!</definedName>
    <definedName name="Subsurf">WS!#REF!</definedName>
    <definedName name="Subzero10">FH!#REF!</definedName>
    <definedName name="Subzero2">SR!#REF!</definedName>
    <definedName name="Subzero5">#REF!</definedName>
    <definedName name="Sustain">#REF!</definedName>
    <definedName name="Sustain1" localSheetId="2">[1]WS!$G$106</definedName>
    <definedName name="Sustain1">WS!#REF!</definedName>
    <definedName name="Sustain11" localSheetId="2">[1]AM!$G$244</definedName>
    <definedName name="Sustain11">AM!#REF!</definedName>
    <definedName name="Sustain12" localSheetId="2">[1]WBF!$G$181</definedName>
    <definedName name="Sustain12">#REF!</definedName>
    <definedName name="Sustain13" localSheetId="2">[1]WBN!$G$211</definedName>
    <definedName name="Sustain13">WB!#REF!</definedName>
    <definedName name="sustain14" localSheetId="2">[1]SBM!$G$211</definedName>
    <definedName name="sustain14">SBM!#REF!</definedName>
    <definedName name="Sustain2" localSheetId="2">[1]SR!$G$160</definedName>
    <definedName name="Sustain2">SR!#REF!</definedName>
    <definedName name="Sustain3" localSheetId="2">[1]PR!$G$156</definedName>
    <definedName name="Sustain3">PR!#REF!</definedName>
    <definedName name="Sustain4" localSheetId="2">[1]NR!$G$161</definedName>
    <definedName name="Sustain4">NR!#REF!</definedName>
    <definedName name="sustain8" localSheetId="2">[1]INV!$G$155</definedName>
    <definedName name="sustain8">INV!#REF!</definedName>
    <definedName name="SustainPD" localSheetId="2">[1]PD!$G$195</definedName>
    <definedName name="SustainPD">PH!#REF!</definedName>
    <definedName name="SwampMarshPct">OF!$E$53</definedName>
    <definedName name="SwampPct1K">OF!$E$28</definedName>
    <definedName name="SwampPct5K">OF!#REF!</definedName>
    <definedName name="SwampPctWet">OF!$E$23</definedName>
    <definedName name="Swater">F!$D$17</definedName>
    <definedName name="Swater2">SR!#REF!</definedName>
    <definedName name="SWOpd">PH!$D$36</definedName>
    <definedName name="System" localSheetId="2">#REF!</definedName>
    <definedName name="System">#REF!</definedName>
    <definedName name="TEknown" localSheetId="2">#REF!</definedName>
    <definedName name="TEknown">#REF!</definedName>
    <definedName name="TEMP1A">NR!$G$136</definedName>
    <definedName name="TEMP1B">NR!$G$137</definedName>
    <definedName name="TEpredicted" localSheetId="2">#REF!</definedName>
    <definedName name="TEpredicted">#REF!</definedName>
    <definedName name="TerrFertilPD">PH!#REF!</definedName>
    <definedName name="TerrStruc11">AM!#REF!</definedName>
    <definedName name="TEST1">S!#REF!</definedName>
    <definedName name="TEST10">S!#REF!</definedName>
    <definedName name="TEST11">S!#REF!</definedName>
    <definedName name="TEST12">S!#REF!</definedName>
    <definedName name="TEST13">S!#REF!</definedName>
    <definedName name="TEST14">S!#REF!</definedName>
    <definedName name="TEST15">S!#REF!</definedName>
    <definedName name="TEST18">S!#REF!</definedName>
    <definedName name="TEST19">S!#REF!</definedName>
    <definedName name="TEST2">S!#REF!</definedName>
    <definedName name="TEST20">S!#REF!</definedName>
    <definedName name="TEST21">S!#REF!</definedName>
    <definedName name="TEST3">S!#REF!</definedName>
    <definedName name="TEST4">S!#REF!</definedName>
    <definedName name="TEST5">S!#REF!</definedName>
    <definedName name="TEST6">S!#REF!</definedName>
    <definedName name="TEST7">S!#REF!</definedName>
    <definedName name="TEST8">S!#REF!</definedName>
    <definedName name="TEST9">S!#REF!</definedName>
    <definedName name="ThruFlo1" localSheetId="2">[1]WS!$G$56</definedName>
    <definedName name="ThruFlo1">WS!$G$52</definedName>
    <definedName name="ThruFlo10" localSheetId="2">[1]FR!$G$67</definedName>
    <definedName name="ThruFlo10">FH!$G$85</definedName>
    <definedName name="ThruFlo12" localSheetId="2">[1]WBF!$G$55</definedName>
    <definedName name="ThruFlo12">#REF!</definedName>
    <definedName name="ThruFlo2" localSheetId="2">[1]SR!$G$44</definedName>
    <definedName name="ThruFlo2">SR!$G$59</definedName>
    <definedName name="ThruFlo3" localSheetId="2">[1]PR!$G$61</definedName>
    <definedName name="ThruFlo3">PR!$G$57</definedName>
    <definedName name="ThruFlo4" localSheetId="2">[1]NR!$G$57</definedName>
    <definedName name="ThruFlo4">NR!$G$72</definedName>
    <definedName name="ThruFlo5" localSheetId="2">[1]CS!$G$66</definedName>
    <definedName name="ThruFlo5">#REF!</definedName>
    <definedName name="ThruFlo6" localSheetId="2">[1]OE!$G$63</definedName>
    <definedName name="ThruFlo6">OE!$G$62</definedName>
    <definedName name="ThruFlo8" localSheetId="2">[1]INV!$G$69</definedName>
    <definedName name="ThruFlo8">INV!$G$80</definedName>
    <definedName name="ThruFlo9" localSheetId="2">[1]FA!$G$58</definedName>
    <definedName name="ThruFlo9">#REF!</definedName>
    <definedName name="ThruFlow13" localSheetId="2">[1]WBN!$G$50</definedName>
    <definedName name="ThruFlow13">WB!#REF!</definedName>
    <definedName name="Tidal" localSheetId="2">#REF!</definedName>
    <definedName name="Tidal">#REF!</definedName>
    <definedName name="tidal0">#REF!</definedName>
    <definedName name="Tidal1" localSheetId="2">[1]WS!$D$2</definedName>
    <definedName name="Tidal1">WS!#REF!</definedName>
    <definedName name="Tidal10" localSheetId="2">[1]FR!$D$2</definedName>
    <definedName name="Tidal10">FH!#REF!</definedName>
    <definedName name="Tidal11" localSheetId="2">[1]AM!$D$2</definedName>
    <definedName name="Tidal11">AM!#REF!</definedName>
    <definedName name="Tidal12" localSheetId="2">[1]WBF!$D$2</definedName>
    <definedName name="Tidal12">#REF!</definedName>
    <definedName name="Tidal13" localSheetId="2">[1]WBN!$D$2</definedName>
    <definedName name="Tidal13">WB!#REF!</definedName>
    <definedName name="Tidal14" localSheetId="2">[1]SBM!$D$2</definedName>
    <definedName name="Tidal14">SBM!#REF!</definedName>
    <definedName name="Tidal2" localSheetId="2">[1]SR!$D$2</definedName>
    <definedName name="Tidal2">SR!#REF!</definedName>
    <definedName name="Tidal3" localSheetId="2">[1]PR!$D$2</definedName>
    <definedName name="Tidal3">PR!#REF!</definedName>
    <definedName name="Tidal4" localSheetId="2">[1]NR!$D$2</definedName>
    <definedName name="Tidal4">NR!#REF!</definedName>
    <definedName name="Tidal5">#REF!</definedName>
    <definedName name="Tidal6" localSheetId="2">[1]OE!$D$2</definedName>
    <definedName name="Tidal6">OE!#REF!</definedName>
    <definedName name="Tidal7" localSheetId="2">[1]T!$D$2</definedName>
    <definedName name="Tidal7">WC!#REF!</definedName>
    <definedName name="Tidal8" localSheetId="2">[1]INV!$D$2</definedName>
    <definedName name="Tidal8">INV!#REF!</definedName>
    <definedName name="Tidal9" localSheetId="2">[1]FA!$D$2</definedName>
    <definedName name="Tidal9">#REF!</definedName>
    <definedName name="TidalNTconn13" localSheetId="2">[1]WBN!#REF!</definedName>
    <definedName name="TidalNTconn13">WB!#REF!</definedName>
    <definedName name="TidalPD" localSheetId="2">[1]PD!$D$2</definedName>
    <definedName name="TidalPD">PH!#REF!</definedName>
    <definedName name="TidalProx_S">#REF!</definedName>
    <definedName name="TidalProx1">WS!#REF!</definedName>
    <definedName name="TidalProx10">FH!#REF!</definedName>
    <definedName name="TidalProx11">AM!#REF!</definedName>
    <definedName name="TidalProx12" localSheetId="2">[1]WBF!$G$141</definedName>
    <definedName name="TidalProx12">#REF!</definedName>
    <definedName name="TidalProx13">WB!#REF!</definedName>
    <definedName name="TidalProx14">SBM!#REF!</definedName>
    <definedName name="TidalProx3">PR!#REF!</definedName>
    <definedName name="TidalProx4">NR!#REF!</definedName>
    <definedName name="TidalProx5" localSheetId="2">[1]CS!$G$131</definedName>
    <definedName name="TidalProx5">#REF!</definedName>
    <definedName name="TidalProx6">OE!#REF!</definedName>
    <definedName name="TidalProx8">INV!#REF!</definedName>
    <definedName name="TidalProx9">#REF!</definedName>
    <definedName name="TidalProxPD">PH!#REF!</definedName>
    <definedName name="TidalProxPU">HU!#REF!</definedName>
    <definedName name="TidalProxS">#REF!</definedName>
    <definedName name="TidalW" localSheetId="2">#REF!</definedName>
    <definedName name="TidalW">#REF!</definedName>
    <definedName name="TideProx2">SR!#REF!</definedName>
    <definedName name="TideProx7">#REF!</definedName>
    <definedName name="TnonTconn10">FH!#REF!</definedName>
    <definedName name="TnonTpd" localSheetId="2">[1]PD!$G$9</definedName>
    <definedName name="TnonTpd">PH!#REF!</definedName>
    <definedName name="TooSaline">F!$D$308</definedName>
    <definedName name="TooSteep12" localSheetId="2">[1]WBF!$D$97</definedName>
    <definedName name="TooSteep12">#REF!</definedName>
    <definedName name="TooSteep13">WB!$D$100</definedName>
    <definedName name="ToxData10">FH!#REF!</definedName>
    <definedName name="ToxData2">SR!#REF!</definedName>
    <definedName name="ToxData9">#REF!</definedName>
    <definedName name="ToxDn2">SR!#REF!</definedName>
    <definedName name="ToxDown2">SR!#REF!</definedName>
    <definedName name="Toxic" localSheetId="2">[1]STR!$G$6</definedName>
    <definedName name="Toxic">#REF!</definedName>
    <definedName name="Toxic0">#REF!</definedName>
    <definedName name="Toxic10">FH!$G$121</definedName>
    <definedName name="Toxic11">AM!$G$133</definedName>
    <definedName name="Toxic20">PH!$G$215</definedName>
    <definedName name="Toxic8">INV!$G$139</definedName>
    <definedName name="ToxicData">#REF!</definedName>
    <definedName name="toxics13" localSheetId="2">[1]WBN!$G$186</definedName>
    <definedName name="ToxOnsite">#REF!</definedName>
    <definedName name="ToxUp2">SR!#REF!</definedName>
    <definedName name="TprobUp" localSheetId="2">[1]T!$D$39</definedName>
    <definedName name="TprobUp">WC!#REF!</definedName>
    <definedName name="Trail">OF!$E$54</definedName>
    <definedName name="Transport1" localSheetId="2">[1]WS!$G$92</definedName>
    <definedName name="Transport1">WS!#REF!</definedName>
    <definedName name="Transport3" localSheetId="2">[1]PR!$G$124</definedName>
    <definedName name="Transport3">PR!#REF!</definedName>
    <definedName name="Transport4" localSheetId="2">[1]NR!$G$124</definedName>
    <definedName name="Transport4">NR!#REF!</definedName>
    <definedName name="TransportSS" localSheetId="2">[1]SR!$G$98</definedName>
    <definedName name="TransportSS">SR!#REF!</definedName>
    <definedName name="TRAP1A">SR!$G$97</definedName>
    <definedName name="TRAP1B">SR!$G$98</definedName>
    <definedName name="TreeCovPD">PH!$G$99</definedName>
    <definedName name="TreeCovS">#REF!</definedName>
    <definedName name="TreeDBHs">#REF!</definedName>
    <definedName name="TreeForm13">WB!$G$107</definedName>
    <definedName name="TreeForm5" localSheetId="2">[1]CS!$G$88</definedName>
    <definedName name="TreeForm5">#REF!</definedName>
    <definedName name="TreeForm6" localSheetId="2">[1]OE!#REF!</definedName>
    <definedName name="TreeForm6">OE!#REF!</definedName>
    <definedName name="TreeFrag_S" localSheetId="2">[1]Sen!#REF!</definedName>
    <definedName name="TreeFrag_S">#REF!</definedName>
    <definedName name="TreeFrag14" localSheetId="2">[1]SBM!#REF!</definedName>
    <definedName name="TreeFrag14">SBM!#REF!</definedName>
    <definedName name="TreePct14">SBM!$G$87</definedName>
    <definedName name="Trees13">WB!$G$107</definedName>
    <definedName name="TreeTyp13">WB!$G$107</definedName>
    <definedName name="TreeTypes14" localSheetId="2">[1]SBM!$G$41</definedName>
    <definedName name="TreeTypes14">SBM!$G$93</definedName>
    <definedName name="TreeVar11" localSheetId="2">[1]AM!$G$80</definedName>
    <definedName name="TreeVar11">AM!$G$85</definedName>
    <definedName name="TreeVar8" localSheetId="2">[1]INV!#REF!</definedName>
    <definedName name="TreeVar8">INV!#REF!</definedName>
    <definedName name="TrumSwan">OF!$E$55</definedName>
    <definedName name="TurbExceed">SR!#REF!</definedName>
    <definedName name="TurbExceedSS">SR!#REF!</definedName>
    <definedName name="Turbid15" localSheetId="2">[1]PD!$D$170</definedName>
    <definedName name="Turbid15">PH!#REF!</definedName>
    <definedName name="TurbUp2" localSheetId="2">[1]SR!$D$109</definedName>
    <definedName name="TurbUp2">SR!#REF!</definedName>
    <definedName name="Unbrow">SBM!#REF!</definedName>
    <definedName name="Unbrowsed">PH!#REF!</definedName>
    <definedName name="Undercut10" localSheetId="2">[1]FR!$G$73</definedName>
    <definedName name="Undercut10">FH!#REF!</definedName>
    <definedName name="Undercut11" localSheetId="2">[1]AM!$G$54</definedName>
    <definedName name="Undercut11">AM!#REF!</definedName>
    <definedName name="Undercut2" localSheetId="2">[1]SR!$G$139</definedName>
    <definedName name="Undercut2">SR!#REF!</definedName>
    <definedName name="Undercut9" localSheetId="2">[1]FA!$G$64</definedName>
    <definedName name="Undercut9">#REF!</definedName>
    <definedName name="UndevOpenL100">OF!$E$54</definedName>
    <definedName name="UndevOpenL1k">OF!$E$56</definedName>
    <definedName name="UndevOpenL5k">OF!#REF!</definedName>
    <definedName name="Unif1" localSheetId="2">[1]WS!#REF!</definedName>
    <definedName name="Unif1">WS!#REF!</definedName>
    <definedName name="Unif11" localSheetId="2">[1]AM!#REF!</definedName>
    <definedName name="Unif11">AM!#REF!</definedName>
    <definedName name="UniPatch8">INV!#REF!</definedName>
    <definedName name="UniqClass">OF!$E$57</definedName>
    <definedName name="UniqFenMarsh">OF!$E$58</definedName>
    <definedName name="UniqFenMarshSwamp">OF!$E$59</definedName>
    <definedName name="UniqPatch">#REF!</definedName>
    <definedName name="UniqPatch11" localSheetId="2">[1]AM!$G$228</definedName>
    <definedName name="UniqPatch11">AM!#REF!</definedName>
    <definedName name="UniqPatch12">#REF!</definedName>
    <definedName name="UniqPatch12a">#REF!</definedName>
    <definedName name="UniqPatch13">WB!#REF!</definedName>
    <definedName name="UniqPatch14">SBM!#REF!</definedName>
    <definedName name="UniqPatchPD" localSheetId="2">[1]PD!$G$174</definedName>
    <definedName name="UniqPatchPD">PH!#REF!</definedName>
    <definedName name="UniqVegF">#REF!</definedName>
    <definedName name="UniqWet">OF!#REF!</definedName>
    <definedName name="UniqWet_S">#REF!</definedName>
    <definedName name="UniqWet10">AM!#REF!</definedName>
    <definedName name="UniqWet13">WB!#REF!</definedName>
    <definedName name="UniqWet14">SBM!#REF!</definedName>
    <definedName name="Unprotec">#REF!</definedName>
    <definedName name="UpEdge_S">#REF!</definedName>
    <definedName name="UpEdge14" localSheetId="2">[1]SBM!$G$62</definedName>
    <definedName name="UpEdge14">SBM!#REF!</definedName>
    <definedName name="UpEdgeShape4" localSheetId="2">[1]NR!$G$80</definedName>
    <definedName name="UpEdgeShape4">NR!#REF!</definedName>
    <definedName name="UpErodible" localSheetId="2">#REF!</definedName>
    <definedName name="UpErodible">#REF!</definedName>
    <definedName name="UpEutro1k">OF!$E$53</definedName>
    <definedName name="UpExceed2">SR!#REF!</definedName>
    <definedName name="UpExceedDist" localSheetId="2">#REF!</definedName>
    <definedName name="UpExceedDist">#REF!</definedName>
    <definedName name="UpNitrate" localSheetId="2">#REF!</definedName>
    <definedName name="UpNitrate">#REF!</definedName>
    <definedName name="UpPhos" localSheetId="2">#REF!</definedName>
    <definedName name="UpPhos">#REF!</definedName>
    <definedName name="UpPollute" localSheetId="2">#REF!</definedName>
    <definedName name="UpPollute">#REF!</definedName>
    <definedName name="UpRip1k">OF!#REF!</definedName>
    <definedName name="UpRip5k">OF!#REF!</definedName>
    <definedName name="UpStorage" localSheetId="2">#REF!</definedName>
    <definedName name="UpStorage">#REF!</definedName>
    <definedName name="UpStore1" localSheetId="2">[1]WS!$G$88</definedName>
    <definedName name="UpStore1">WS!#REF!</definedName>
    <definedName name="UpStore3" localSheetId="2">[1]PR!$G$120</definedName>
    <definedName name="UpStore3">PR!#REF!</definedName>
    <definedName name="UpStore4" localSheetId="2">[1]NR!$G$120</definedName>
    <definedName name="UpStore4">NR!#REF!</definedName>
    <definedName name="UpStoreSS" localSheetId="2">[1]SR!$G$94</definedName>
    <definedName name="UpStoreSS">SR!#REF!</definedName>
    <definedName name="UpThermo" localSheetId="2">#REF!</definedName>
    <definedName name="UpThermo">#REF!</definedName>
    <definedName name="UpTransport" localSheetId="2">#REF!</definedName>
    <definedName name="UpTransport">#REF!</definedName>
    <definedName name="UpTurbid" localSheetId="2">#REF!</definedName>
    <definedName name="UpTurbid">#REF!</definedName>
    <definedName name="UpWQdis2" localSheetId="2">[1]SR!#REF!</definedName>
    <definedName name="UpWQdis2">SR!#REF!</definedName>
    <definedName name="Use1a">HU!$G$76</definedName>
    <definedName name="Use1b">HU!#REF!</definedName>
    <definedName name="VegClear" localSheetId="2">[1]STR!$G$9</definedName>
    <definedName name="VegClear">#REF!</definedName>
    <definedName name="VegCon1k">OF!$E$60</definedName>
    <definedName name="VegGap11" localSheetId="2">[1]AM!#REF!</definedName>
    <definedName name="VegGap11">AM!#REF!</definedName>
    <definedName name="VegGap14" localSheetId="2">[1]SBM!$G$54</definedName>
    <definedName name="VegGap14">SBM!#REF!</definedName>
    <definedName name="VegGaps8" localSheetId="2">[1]INV!$G$100</definedName>
    <definedName name="VegGaps8">INV!#REF!</definedName>
    <definedName name="VegIntersp8">INV!$G$90</definedName>
    <definedName name="VegWabs3" localSheetId="2">[1]PR!$G$67</definedName>
    <definedName name="VegWabs3">PR!$G$46</definedName>
    <definedName name="VegWrel3" localSheetId="2">[1]PR!$G$147</definedName>
    <definedName name="VegWrel3">PR!#REF!</definedName>
    <definedName name="Visib12">#REF!</definedName>
    <definedName name="Visibility" localSheetId="2">[1]PU!$G$2</definedName>
    <definedName name="Visibility">HU!$G$25</definedName>
    <definedName name="VisibWet">#REF!</definedName>
    <definedName name="Vremove6" localSheetId="2">[1]OE!$G$116</definedName>
    <definedName name="Vremove6">OE!#REF!</definedName>
    <definedName name="Vscape1a">PH!$G$230</definedName>
    <definedName name="Vscape1b">PH!#REF!</definedName>
    <definedName name="VscoreSRM">SBM!#REF!</definedName>
    <definedName name="VscoreWBF">#REF!</definedName>
    <definedName name="VscoreWBN">WB!#REF!</definedName>
    <definedName name="Vspace1a">PH!$G$226</definedName>
    <definedName name="Vspace1b">PH!$G$227</definedName>
    <definedName name="Vstruc1a">PH!$G$219</definedName>
    <definedName name="Vstruc1b">PH!$G$220</definedName>
    <definedName name="vwidth0">#REF!</definedName>
    <definedName name="Vwidth1">WS!$G$45</definedName>
    <definedName name="Vwidth11">AM!$G$50</definedName>
    <definedName name="Vwidth14">SBM!$G$61</definedName>
    <definedName name="VwidthAbs_S" localSheetId="2">[1]Sen!$G$40</definedName>
    <definedName name="VwidthAbs_S">#REF!</definedName>
    <definedName name="VwidthAbs13" localSheetId="2">[1]WBN!$G$56</definedName>
    <definedName name="VwidthAbs13">WB!$G$78</definedName>
    <definedName name="VwidthAbs4" localSheetId="2">[1]NR!$G$63</definedName>
    <definedName name="VwidthAbs4">NR!$G$62</definedName>
    <definedName name="VwidthAbs5" localSheetId="2">[1]CS!$G$75</definedName>
    <definedName name="VwidthAbs5">#REF!</definedName>
    <definedName name="VwidthAbs6" localSheetId="2">[1]OE!$G$72</definedName>
    <definedName name="VwidthAbs6">OE!$G$51</definedName>
    <definedName name="VwidthRel_S" localSheetId="2">[1]Sen!$G$37</definedName>
    <definedName name="VwidthRel_S">#REF!</definedName>
    <definedName name="VwidthRel4" localSheetId="2">[1]NR!$G$148</definedName>
    <definedName name="VwidthRel4">NR!#REF!</definedName>
    <definedName name="VwidthRel5" localSheetId="2">[1]CS!$G$72</definedName>
    <definedName name="VwidthRel5">#REF!</definedName>
    <definedName name="VwidthRel6" localSheetId="2">[1]OE!$G$69</definedName>
    <definedName name="VwidthRel6">OE!#REF!</definedName>
    <definedName name="WarmInflo7">WC!#REF!</definedName>
    <definedName name="Warmth1">WS!#REF!</definedName>
    <definedName name="warmth10">FH!#REF!</definedName>
    <definedName name="warmth12">#REF!</definedName>
    <definedName name="Warmth2">SR!#REF!</definedName>
    <definedName name="Warmth3">PR!#REF!</definedName>
    <definedName name="Warmth4">NR!#REF!</definedName>
    <definedName name="Warmth5">#REF!</definedName>
    <definedName name="Warmth6">OE!#REF!</definedName>
    <definedName name="Warmth7">WC!#REF!</definedName>
    <definedName name="warmth8">INV!#REF!</definedName>
    <definedName name="WatEdgeSlope2">SR!$G$43</definedName>
    <definedName name="Water0">#REF!</definedName>
    <definedName name="Water10">FH!$D$23</definedName>
    <definedName name="Water11">AM!$D$23</definedName>
    <definedName name="Water12">#REF!</definedName>
    <definedName name="Water13">WB!$D$28</definedName>
    <definedName name="Water14">SBM!$D$40</definedName>
    <definedName name="Water15">PH!$D$36</definedName>
    <definedName name="Water1a">FH!$G$127</definedName>
    <definedName name="Water1b">FH!#REF!</definedName>
    <definedName name="Water2">SFS!#REF!</definedName>
    <definedName name="Water2a">SR!#REF!</definedName>
    <definedName name="Water3">PR!$D$13</definedName>
    <definedName name="Water4">NR!$D$22</definedName>
    <definedName name="Water7">WC!$D$22</definedName>
    <definedName name="Water7w">#REF!</definedName>
    <definedName name="Water8">INV!$D$28</definedName>
    <definedName name="Water9">#REF!</definedName>
    <definedName name="WaterI1a">INV!$G$144</definedName>
    <definedName name="WaterI1b">INV!#REF!</definedName>
    <definedName name="Waterscape11">AM!#REF!</definedName>
    <definedName name="WatProb">OF!$E$61</definedName>
    <definedName name="WatProbVar">OF!#REF!</definedName>
    <definedName name="Wave2" localSheetId="2">[1]SR!$G$146</definedName>
    <definedName name="Wave2">SR!#REF!</definedName>
    <definedName name="Waves" localSheetId="2">[1]STR!$G$15</definedName>
    <definedName name="Waves">#REF!</definedName>
    <definedName name="Waves15" localSheetId="2">[1]PD!$G$105</definedName>
    <definedName name="Waves15">PH!#REF!</definedName>
    <definedName name="WBFscore10">AM!#REF!</definedName>
    <definedName name="WBFscores" localSheetId="2">[1]FR!$D$112</definedName>
    <definedName name="WBFsiteS">#REF!</definedName>
    <definedName name="WbirdF" localSheetId="2">[1]INV!$G$162</definedName>
    <definedName name="WbirdF">INV!#REF!</definedName>
    <definedName name="WbirdFeed" localSheetId="2">[1]FA!$G$124</definedName>
    <definedName name="WbirdFeed">#REF!</definedName>
    <definedName name="WbirdNest" localSheetId="2">[1]INV!$G$163</definedName>
    <definedName name="WbirdScore10">FH!#REF!</definedName>
    <definedName name="WbirdScore8">INV!#REF!</definedName>
    <definedName name="WBN4a">WB!#REF!</definedName>
    <definedName name="WBscore">WB!#REF!</definedName>
    <definedName name="WBstaging">OF!$E$62</definedName>
    <definedName name="WclassDom7">WC!$G$11</definedName>
    <definedName name="WclassSub7">WC!$G$16</definedName>
    <definedName name="WeedSource" localSheetId="2">[1]STR!$G$35</definedName>
    <definedName name="WeedSource">#REF!</definedName>
    <definedName name="WeedSourcePD" localSheetId="2">[1]PD!$G$130</definedName>
    <definedName name="WeedSourcePD">PH!$G$177</definedName>
    <definedName name="WellWater" localSheetId="2">#REF!</definedName>
    <definedName name="WellWater">#REF!</definedName>
    <definedName name="Wet1a">HU!$G$79</definedName>
    <definedName name="Wet1b">HU!$G$80</definedName>
    <definedName name="WetArea">OF!$E$63</definedName>
    <definedName name="WetClass">OF!$E$13</definedName>
    <definedName name="WetDens1k">OF!$E$64</definedName>
    <definedName name="WetDens1k_NoBog">OF!$E$65</definedName>
    <definedName name="WetDens1k_NoVeg">OF!$E$12</definedName>
    <definedName name="WetDens1k_OW">OF!$E$66</definedName>
    <definedName name="WetDens5k">OF!#REF!</definedName>
    <definedName name="WetDens5k_NoBog">OF!#REF!</definedName>
    <definedName name="WetDens5k_NoVeg">OF!#REF!</definedName>
    <definedName name="WetDens5k_OW">OF!#REF!</definedName>
    <definedName name="WetDistrib13" localSheetId="2">[1]WBN!#REF!</definedName>
    <definedName name="WetDistrib13">WB!#REF!</definedName>
    <definedName name="WetDivers">OF!#REF!</definedName>
    <definedName name="WetDivers14">SBM!#REF!</definedName>
    <definedName name="WetDivers15">PH!#REF!</definedName>
    <definedName name="WetDiversB11">AM!#REF!</definedName>
    <definedName name="WetDiversB13">WB!#REF!</definedName>
    <definedName name="WetIntercept">SR!#REF!</definedName>
    <definedName name="WetMnArea1k_NoBog">OF!$E$9</definedName>
    <definedName name="WetMnArea1k_OW">OF!#REF!</definedName>
    <definedName name="WetMnArea5k_NoVeg">OF!#REF!</definedName>
    <definedName name="WetMnArea5k_OW">OF!#REF!</definedName>
    <definedName name="WetPct0">#REF!</definedName>
    <definedName name="WetPctCA">WS!$G$92</definedName>
    <definedName name="WetPctCA1">WS!$G$92</definedName>
    <definedName name="WetPctCA2">SR!$G$89</definedName>
    <definedName name="WetPctCA4">NR!$G$128</definedName>
    <definedName name="WetPctHUC8">OF!$E$67</definedName>
    <definedName name="WetPctOfCA">OF!#REF!</definedName>
    <definedName name="WetPerim2Area">OF!$E$68</definedName>
    <definedName name="WetScapes">OF!#REF!</definedName>
    <definedName name="Wetscapes_S">#REF!</definedName>
    <definedName name="Wetscapes10v">AM!#REF!</definedName>
    <definedName name="WetScapes11">AM!#REF!</definedName>
    <definedName name="WetScapes14">SBM!#REF!</definedName>
    <definedName name="Wetscapes15">PH!#REF!</definedName>
    <definedName name="WetScapes8">INV!#REF!</definedName>
    <definedName name="WetScapesA11">WB!#REF!</definedName>
    <definedName name="WetScapesA13">WB!#REF!</definedName>
    <definedName name="WetscapesA13v">WB!#REF!</definedName>
    <definedName name="WetscapesA14v">SBM!#REF!</definedName>
    <definedName name="WetscapesB">OF!#REF!</definedName>
    <definedName name="WetSizePU">HU!#REF!</definedName>
    <definedName name="Wetter" localSheetId="2">[1]STR!$G$2</definedName>
    <definedName name="Wetter">#REF!</definedName>
    <definedName name="wetter1">WS!#REF!</definedName>
    <definedName name="Wetter5">#REF!</definedName>
    <definedName name="WetterEx">#REF!</definedName>
    <definedName name="Wettype10">FH!$G$18</definedName>
    <definedName name="Wettype11">AM!#REF!</definedName>
    <definedName name="Wettype12">#REF!</definedName>
    <definedName name="Wettype13">WB!$G$23</definedName>
    <definedName name="Wettype14">SBM!$G$29</definedName>
    <definedName name="Wettype2">SFS!$G$19</definedName>
    <definedName name="Wettype4">NR!$G$17</definedName>
    <definedName name="Wettype5">#REF!</definedName>
    <definedName name="Wettype6">OE!$G$14</definedName>
    <definedName name="Wettype8">INV!$G$17</definedName>
    <definedName name="Wettype9">#REF!</definedName>
    <definedName name="WettypePD">PH!$G$25</definedName>
    <definedName name="WettypeS">#REF!</definedName>
    <definedName name="wetuniq" localSheetId="2">[1]POL!$G$118</definedName>
    <definedName name="wetuniq">#REF!</definedName>
    <definedName name="wetuniq0">#REF!</definedName>
    <definedName name="WetUniq14">SBM!#REF!</definedName>
    <definedName name="WetVegArea">OF!$E$69</definedName>
    <definedName name="WetVegPct">OF!$E$7</definedName>
    <definedName name="WetWooded">OF!$E$70</definedName>
    <definedName name="WidthAbs2" localSheetId="2">[1]SR!$G$50</definedName>
    <definedName name="WidthAbs2">SR!$G$49</definedName>
    <definedName name="WidthPD">PH!$G$68</definedName>
    <definedName name="WidthRel2" localSheetId="2">[1]SR!$G$136</definedName>
    <definedName name="WidthRel2">SR!#REF!</definedName>
    <definedName name="WindSumm">OF!$E$71</definedName>
    <definedName name="WindWin">OF!$E$72</definedName>
    <definedName name="wood1pd" localSheetId="2">[1]PD!$G$74</definedName>
    <definedName name="wood1pd">PH!#REF!</definedName>
    <definedName name="wood2pd" localSheetId="2">[1]PD!$G$80</definedName>
    <definedName name="wood2pd">PH!$G$123</definedName>
    <definedName name="WoodAbove10" localSheetId="2">[1]FR!$G$79</definedName>
    <definedName name="WoodAbove10">FH!$G$70</definedName>
    <definedName name="WoodAbove11" localSheetId="2">[1]AM!$G$67</definedName>
    <definedName name="WoodAbove11">AM!$G$56</definedName>
    <definedName name="WoodAbove12" localSheetId="2">[1]WBF!#REF!</definedName>
    <definedName name="WoodAbove12">#REF!</definedName>
    <definedName name="WoodAbove14" localSheetId="2">[1]SBM!$G$22</definedName>
    <definedName name="WoodAbove14">SBM!#REF!</definedName>
    <definedName name="WoodAbove9" localSheetId="2">[1]FA!$G$76</definedName>
    <definedName name="WoodAbove9">#REF!</definedName>
    <definedName name="WoodCov8">INV!#REF!</definedName>
    <definedName name="WoodDown11" localSheetId="2">[1]AM!$G$101</definedName>
    <definedName name="WoodDown11">AM!$G$94</definedName>
    <definedName name="WoodDown14" localSheetId="2">[1]SBM!$G$69</definedName>
    <definedName name="WoodDown14">SBM!$G$102</definedName>
    <definedName name="WoodDown8" localSheetId="2">[1]INV!$G$108</definedName>
    <definedName name="WoodDown8">INV!$G$95</definedName>
    <definedName name="WoodPatch">OF!#REF!</definedName>
    <definedName name="WoodPatch11">AM!#REF!</definedName>
    <definedName name="WoodPatch14">SBM!#REF!</definedName>
    <definedName name="WoodPatchPD">PH!#REF!</definedName>
    <definedName name="WoodPatt14">SBM!$G$82</definedName>
    <definedName name="WoodsUndev">OF!#REF!</definedName>
    <definedName name="WoodsUndev15">PH!#REF!</definedName>
    <definedName name="WoodsUndevA">OF!#REF!</definedName>
    <definedName name="WoodsUndevA14">SBM!#REF!</definedName>
    <definedName name="WoodsUndevB">OF!#REF!</definedName>
    <definedName name="WoodsUndevS">#REF!</definedName>
    <definedName name="WoodTypes_S" localSheetId="2">[1]Sen!#REF!</definedName>
    <definedName name="WoodTypes_S">#REF!</definedName>
    <definedName name="WoodUndev8">INV!#REF!</definedName>
    <definedName name="WoodUndevA11">AM!#REF!</definedName>
    <definedName name="WoodWaterEdge7">WC!#REF!</definedName>
    <definedName name="woody">F!$D$141</definedName>
    <definedName name="Woody12">#REF!</definedName>
    <definedName name="Woody13">WB!$G$101</definedName>
    <definedName name="Woody14" localSheetId="2">[1]SBM!$G$37</definedName>
    <definedName name="Woody14">SBM!$G$82</definedName>
    <definedName name="WoodyCovPD">PH!$G$88</definedName>
    <definedName name="woodydbh0" localSheetId="2">[1]POL!$G$42</definedName>
    <definedName name="woodydbh0">#REF!</definedName>
    <definedName name="WoodyEdge14" localSheetId="2">[1]SBM!$G$31</definedName>
    <definedName name="WoodyEdge14">SBM!#REF!</definedName>
    <definedName name="woodynn0" localSheetId="2">[1]POL!$G$36</definedName>
    <definedName name="woodynn0">#REF!</definedName>
    <definedName name="woodypct0">#REF!</definedName>
    <definedName name="WoodyPct14" localSheetId="2">[1]SBM!$G$25</definedName>
    <definedName name="WoodyPct14">SBM!$G$76</definedName>
    <definedName name="WoodyPct2">SFS!$G$40</definedName>
    <definedName name="WoodyPct4">NR!$G$97</definedName>
    <definedName name="WoodyPct5" localSheetId="2">[1]CS!$G$82</definedName>
    <definedName name="WoodyPct5">#REF!</definedName>
    <definedName name="WoodySens2_C" localSheetId="2">[1]CQ!$G$65</definedName>
    <definedName name="WoodySens2_C">#REF!</definedName>
    <definedName name="WoodySens2_S" localSheetId="2">[1]Sen!$G$86</definedName>
    <definedName name="WoodySens2_S">#REF!</definedName>
    <definedName name="WQdisDown4" localSheetId="2">[1]NR!$G$132</definedName>
    <definedName name="WQdisDown4">NR!#REF!</definedName>
    <definedName name="WQdistUp7" localSheetId="2">[1]T!#REF!</definedName>
    <definedName name="WQdistUp7">WC!#REF!</definedName>
    <definedName name="WQdown4">NR!#REF!</definedName>
    <definedName name="WQdown7">WC!#REF!</definedName>
    <definedName name="WQdownDis" localSheetId="2">[1]STR!#REF!</definedName>
    <definedName name="WQdownDis">#REF!</definedName>
    <definedName name="WQdownDis11" localSheetId="2">[1]AM!#REF!</definedName>
    <definedName name="WQdownDis11">AM!#REF!</definedName>
    <definedName name="WQdownDis12" localSheetId="2">[1]WBF!#REF!</definedName>
    <definedName name="WQdownDis12">#REF!</definedName>
    <definedName name="WQdownDis13" localSheetId="2">[1]WBN!#REF!</definedName>
    <definedName name="WQdownDis13">WB!#REF!</definedName>
    <definedName name="WQdownDis7" localSheetId="2">[1]T!$G$42</definedName>
    <definedName name="WQdownDis7">WC!#REF!</definedName>
    <definedName name="WQdownDis8" localSheetId="2">[1]INV!#REF!</definedName>
    <definedName name="WQdownDis8">INV!#REF!</definedName>
    <definedName name="WQdownDis9" localSheetId="2">[1]FA!$G$115</definedName>
    <definedName name="WQdownDis9">#REF!</definedName>
    <definedName name="WQin10">FH!#REF!</definedName>
    <definedName name="WQin11">AM!#REF!</definedName>
    <definedName name="WQindex10">FH!#REF!</definedName>
    <definedName name="WQindex11">AM!#REF!</definedName>
    <definedName name="WQNdisUp4" localSheetId="2">[1]NR!#REF!</definedName>
    <definedName name="WQNdisUp4">NR!#REF!</definedName>
    <definedName name="WQprob10">FH!$G$112</definedName>
    <definedName name="WQprob11">AM!$G$125</definedName>
    <definedName name="WQprob8">INV!$G$132</definedName>
    <definedName name="WQprobDownS" localSheetId="2">[1]STR!#REF!</definedName>
    <definedName name="WQprobDownS">#REF!</definedName>
    <definedName name="WQprobUpS" localSheetId="2">[1]STR!$G$62</definedName>
    <definedName name="WQprobUpS">#REF!</definedName>
    <definedName name="WQrisk">OF!$E$73</definedName>
    <definedName name="WQrisk3">PR!#REF!</definedName>
    <definedName name="WQrisk4">NR!#REF!</definedName>
    <definedName name="WQrisk8">INV!#REF!</definedName>
    <definedName name="WQriskS">#REF!</definedName>
    <definedName name="WQstress">#REF!</definedName>
    <definedName name="WQup11" localSheetId="2">[1]AM!$G$220</definedName>
    <definedName name="WQup11">AM!#REF!</definedName>
    <definedName name="WQup13">WB!#REF!</definedName>
    <definedName name="WQup4">NR!#REF!</definedName>
    <definedName name="WQup7">WC!#REF!</definedName>
    <definedName name="WQup9" localSheetId="2">[1]FA!$G$107</definedName>
    <definedName name="WQup9">#REF!</definedName>
    <definedName name="WQupDis" localSheetId="2">[1]STR!#REF!</definedName>
    <definedName name="WQupDis">#REF!</definedName>
    <definedName name="WQupDis11" localSheetId="2">[1]AM!#REF!</definedName>
    <definedName name="WQupDis11">AM!#REF!</definedName>
    <definedName name="WQupDis12" localSheetId="2">[1]WBF!#REF!</definedName>
    <definedName name="WQupDis12">#REF!</definedName>
    <definedName name="WQupDis13" localSheetId="2">[1]WBN!#REF!</definedName>
    <definedName name="WQupDis13">WB!#REF!</definedName>
    <definedName name="WQupdis8" localSheetId="2">[1]INV!#REF!</definedName>
    <definedName name="WQupdis8">INV!#REF!</definedName>
    <definedName name="WQupDis9" localSheetId="2">[1]FA!#REF!</definedName>
    <definedName name="WQupDis9">#REF!</definedName>
    <definedName name="Wscape">WB!#REF!</definedName>
    <definedName name="Wscape14">SBM!#REF!</definedName>
    <definedName name="Z_B8E02330_2419_4DE6_AD01_7ACC7A5D18DD_.wvu.Cols" localSheetId="23" hidden="1">Scores!$E:$E,Scores!#REF!</definedName>
    <definedName name="Z_B8E02330_2419_4DE6_AD01_7ACC7A5D18DD_.wvu.PrintArea" localSheetId="0" hidden="1">CoverPg!$A$1:$B$14</definedName>
    <definedName name="Z_B8E02330_2419_4DE6_AD01_7ACC7A5D18DD_.wvu.PrintArea" localSheetId="1" hidden="1">F!$A$1:$D$306</definedName>
    <definedName name="Z_B8E02330_2419_4DE6_AD01_7ACC7A5D18DD_.wvu.PrintArea" localSheetId="3" hidden="1">OF!$B$2:$D$73</definedName>
    <definedName name="Z_B8E02330_2419_4DE6_AD01_7ACC7A5D18DD_.wvu.PrintArea" localSheetId="2" hidden="1">S!$A$1:$F$81</definedName>
    <definedName name="Z_B8E02330_2419_4DE6_AD01_7ACC7A5D18DD_.wvu.PrintArea" localSheetId="23" hidden="1">Scores!$A$1:$G$24</definedName>
  </definedNames>
  <calcPr calcId="145621"/>
  <customWorkbookViews>
    <customWorkbookView name="Paul Adamus - Personal View" guid="{B8E02330-2419-4DE6-AD01-7ACC7A5D18DD}" mergeInterval="0" personalView="1" maximized="1" xWindow="1" yWindow="1" windowWidth="1020" windowHeight="490" tabRatio="1000" activeSheetId="3"/>
  </customWorkbookViews>
</workbook>
</file>

<file path=xl/calcChain.xml><?xml version="1.0" encoding="utf-8"?>
<calcChain xmlns="http://schemas.openxmlformats.org/spreadsheetml/2006/main">
  <c r="I81" i="4" l="1"/>
  <c r="J81" i="4"/>
  <c r="K81" i="4"/>
  <c r="L81" i="4"/>
  <c r="M81" i="4"/>
  <c r="N81" i="4"/>
  <c r="O81" i="4"/>
  <c r="P81" i="4"/>
  <c r="Q81" i="4"/>
  <c r="R81" i="4"/>
  <c r="S81" i="4"/>
  <c r="T81" i="4"/>
  <c r="U81" i="4"/>
  <c r="V81" i="4"/>
  <c r="W81" i="4"/>
  <c r="X81" i="4"/>
  <c r="Y81" i="4"/>
  <c r="Z81" i="4"/>
  <c r="AA81" i="4"/>
  <c r="AB81" i="4"/>
  <c r="AC81" i="4"/>
  <c r="AD81" i="4"/>
  <c r="AE81" i="4"/>
  <c r="AF81" i="4"/>
  <c r="AG81" i="4"/>
  <c r="AH81" i="4"/>
  <c r="AI81" i="4"/>
  <c r="AJ81" i="4"/>
  <c r="AK81" i="4"/>
  <c r="AL81" i="4"/>
  <c r="AM81" i="4"/>
  <c r="AN81" i="4"/>
  <c r="AO81" i="4"/>
  <c r="AP81" i="4"/>
  <c r="AQ81" i="4"/>
  <c r="AR81" i="4"/>
  <c r="AS81" i="4"/>
  <c r="AT81" i="4"/>
  <c r="AU81" i="4"/>
  <c r="AV81" i="4"/>
  <c r="AW81" i="4"/>
  <c r="AX81" i="4"/>
  <c r="AY81" i="4"/>
  <c r="AZ81" i="4"/>
  <c r="BA81" i="4"/>
  <c r="BB81" i="4"/>
  <c r="BC81" i="4"/>
  <c r="BD81" i="4"/>
  <c r="BE81" i="4"/>
  <c r="BF81" i="4"/>
  <c r="BG81" i="4"/>
  <c r="BH81" i="4"/>
  <c r="BI81" i="4"/>
  <c r="BJ81" i="4"/>
  <c r="BK81" i="4"/>
  <c r="BL81" i="4"/>
  <c r="BM81" i="4"/>
  <c r="BN81" i="4"/>
  <c r="BO81" i="4"/>
  <c r="BP81" i="4"/>
  <c r="BQ81" i="4"/>
  <c r="BR81" i="4"/>
  <c r="BS81" i="4"/>
  <c r="BT81" i="4"/>
  <c r="BU81" i="4"/>
  <c r="BV81" i="4"/>
  <c r="BW81" i="4"/>
  <c r="BX81" i="4"/>
  <c r="BY81" i="4"/>
  <c r="BZ81" i="4"/>
  <c r="CA81" i="4"/>
  <c r="CB81" i="4"/>
  <c r="CC81" i="4"/>
  <c r="CD81" i="4"/>
  <c r="CE81" i="4"/>
  <c r="CF81" i="4"/>
  <c r="CG81" i="4"/>
  <c r="CH81" i="4"/>
  <c r="CI81" i="4"/>
  <c r="CJ81" i="4"/>
  <c r="CK81" i="4"/>
  <c r="CL81" i="4"/>
  <c r="CM81" i="4"/>
  <c r="CN81" i="4"/>
  <c r="CO81" i="4"/>
  <c r="CP81" i="4"/>
  <c r="CQ81" i="4"/>
  <c r="CR81" i="4"/>
  <c r="CS81" i="4"/>
  <c r="CT81" i="4"/>
  <c r="CU81" i="4"/>
  <c r="CV81" i="4"/>
  <c r="CW81" i="4"/>
  <c r="CX81" i="4"/>
  <c r="CY81" i="4"/>
  <c r="CZ81" i="4"/>
  <c r="DA81" i="4"/>
  <c r="DB81" i="4"/>
  <c r="DC81" i="4"/>
  <c r="DD81" i="4"/>
  <c r="DE81" i="4"/>
  <c r="DF81" i="4"/>
  <c r="DG81" i="4"/>
  <c r="DH81" i="4"/>
  <c r="DI81" i="4"/>
  <c r="DJ81" i="4"/>
  <c r="DK81" i="4"/>
  <c r="DL81" i="4"/>
  <c r="DM81" i="4"/>
  <c r="DN81" i="4"/>
  <c r="DO81" i="4"/>
  <c r="DP81" i="4"/>
  <c r="DQ81" i="4"/>
  <c r="DR81" i="4"/>
  <c r="DS81" i="4"/>
  <c r="DT81" i="4"/>
  <c r="DU81" i="4"/>
  <c r="DV81" i="4"/>
  <c r="DW81" i="4"/>
  <c r="DX81" i="4"/>
  <c r="DY81" i="4"/>
  <c r="DZ81" i="4"/>
  <c r="EA81" i="4"/>
  <c r="EB81" i="4"/>
  <c r="EC81" i="4"/>
  <c r="ED81" i="4"/>
  <c r="EE81" i="4"/>
  <c r="EF81" i="4"/>
  <c r="EG81" i="4"/>
  <c r="EH81" i="4"/>
  <c r="EI81" i="4"/>
  <c r="EJ81" i="4"/>
  <c r="EK81" i="4"/>
  <c r="EL81" i="4"/>
  <c r="EM81" i="4"/>
  <c r="EN81" i="4"/>
  <c r="EO81" i="4"/>
  <c r="EP81" i="4"/>
  <c r="EQ81" i="4"/>
  <c r="ER81" i="4"/>
  <c r="ES81" i="4"/>
  <c r="ET81" i="4"/>
  <c r="EU81" i="4"/>
  <c r="EV81" i="4"/>
  <c r="EW81" i="4"/>
  <c r="EX81" i="4"/>
  <c r="EY81" i="4"/>
  <c r="EZ81" i="4"/>
  <c r="FA81" i="4"/>
  <c r="FB81" i="4"/>
  <c r="FC81" i="4"/>
  <c r="FD81" i="4"/>
  <c r="FE81" i="4"/>
  <c r="FF81" i="4"/>
  <c r="FG81" i="4"/>
  <c r="FH81" i="4"/>
  <c r="FI81" i="4"/>
  <c r="FJ81" i="4"/>
  <c r="FK81" i="4"/>
  <c r="FL81" i="4"/>
  <c r="FM81" i="4"/>
  <c r="FN81" i="4"/>
  <c r="FO81" i="4"/>
  <c r="FP81" i="4"/>
  <c r="FQ81" i="4"/>
  <c r="FR81" i="4"/>
  <c r="FS81" i="4"/>
  <c r="FT81" i="4"/>
  <c r="FU81" i="4"/>
  <c r="FV81" i="4"/>
  <c r="FW81" i="4"/>
  <c r="FX81" i="4"/>
  <c r="FY81" i="4"/>
  <c r="FZ81" i="4"/>
  <c r="GA81" i="4"/>
  <c r="GB81" i="4"/>
  <c r="GC81" i="4"/>
  <c r="GD81" i="4"/>
  <c r="GE81" i="4"/>
  <c r="GF81" i="4"/>
  <c r="GG81" i="4"/>
  <c r="GH81" i="4"/>
  <c r="GI81" i="4"/>
  <c r="GJ81" i="4"/>
  <c r="GK81" i="4"/>
  <c r="GL81" i="4"/>
  <c r="GM81" i="4"/>
  <c r="GN81" i="4"/>
  <c r="GO81" i="4"/>
  <c r="GP81" i="4"/>
  <c r="GQ81" i="4"/>
  <c r="GR81" i="4"/>
  <c r="GS81" i="4"/>
  <c r="GT81" i="4"/>
  <c r="GU81" i="4"/>
  <c r="GV81" i="4"/>
  <c r="GW81" i="4"/>
  <c r="GX81" i="4"/>
  <c r="GY81" i="4"/>
  <c r="GZ81" i="4"/>
  <c r="HA81" i="4"/>
  <c r="HB81" i="4"/>
  <c r="HC81" i="4"/>
  <c r="HD81" i="4"/>
  <c r="HE81" i="4"/>
  <c r="HF81" i="4"/>
  <c r="HG81" i="4"/>
  <c r="I80" i="4"/>
  <c r="J80" i="4"/>
  <c r="K80" i="4"/>
  <c r="L80" i="4"/>
  <c r="M80" i="4"/>
  <c r="N80" i="4"/>
  <c r="O80" i="4"/>
  <c r="P80" i="4"/>
  <c r="Q80" i="4"/>
  <c r="R80" i="4"/>
  <c r="S80" i="4"/>
  <c r="T80" i="4"/>
  <c r="U80" i="4"/>
  <c r="V80" i="4"/>
  <c r="W80" i="4"/>
  <c r="X80" i="4"/>
  <c r="Y80" i="4"/>
  <c r="Z80" i="4"/>
  <c r="AA80" i="4"/>
  <c r="AB80" i="4"/>
  <c r="AC80" i="4"/>
  <c r="AD80" i="4"/>
  <c r="AE80" i="4"/>
  <c r="AF80" i="4"/>
  <c r="AG80" i="4"/>
  <c r="AH80" i="4"/>
  <c r="AI80" i="4"/>
  <c r="AJ80" i="4"/>
  <c r="AK80" i="4"/>
  <c r="AL80" i="4"/>
  <c r="AM80" i="4"/>
  <c r="AN80" i="4"/>
  <c r="AO80" i="4"/>
  <c r="AP80" i="4"/>
  <c r="AQ80" i="4"/>
  <c r="AR80" i="4"/>
  <c r="AS80" i="4"/>
  <c r="AT80" i="4"/>
  <c r="AU80" i="4"/>
  <c r="AV80" i="4"/>
  <c r="AW80" i="4"/>
  <c r="AX80" i="4"/>
  <c r="AY80" i="4"/>
  <c r="AZ80" i="4"/>
  <c r="BA80" i="4"/>
  <c r="BB80" i="4"/>
  <c r="BC80" i="4"/>
  <c r="BD80" i="4"/>
  <c r="BE80" i="4"/>
  <c r="BF80" i="4"/>
  <c r="BG80" i="4"/>
  <c r="BH80" i="4"/>
  <c r="BI80" i="4"/>
  <c r="BJ80" i="4"/>
  <c r="BK80" i="4"/>
  <c r="BL80" i="4"/>
  <c r="BM80" i="4"/>
  <c r="BN80" i="4"/>
  <c r="BO80" i="4"/>
  <c r="BP80" i="4"/>
  <c r="BQ80" i="4"/>
  <c r="BR80" i="4"/>
  <c r="BS80" i="4"/>
  <c r="BT80" i="4"/>
  <c r="BU80" i="4"/>
  <c r="BV80" i="4"/>
  <c r="BW80" i="4"/>
  <c r="BX80" i="4"/>
  <c r="BY80" i="4"/>
  <c r="BZ80" i="4"/>
  <c r="CA80" i="4"/>
  <c r="CB80" i="4"/>
  <c r="CC80" i="4"/>
  <c r="CD80" i="4"/>
  <c r="CE80" i="4"/>
  <c r="CF80" i="4"/>
  <c r="CG80" i="4"/>
  <c r="CH80" i="4"/>
  <c r="CI80" i="4"/>
  <c r="CJ80" i="4"/>
  <c r="CK80" i="4"/>
  <c r="CL80" i="4"/>
  <c r="CM80" i="4"/>
  <c r="CN80" i="4"/>
  <c r="CO80" i="4"/>
  <c r="CP80" i="4"/>
  <c r="CQ80" i="4"/>
  <c r="CR80" i="4"/>
  <c r="CS80" i="4"/>
  <c r="CT80" i="4"/>
  <c r="CU80" i="4"/>
  <c r="CV80" i="4"/>
  <c r="CW80" i="4"/>
  <c r="CX80" i="4"/>
  <c r="CY80" i="4"/>
  <c r="CZ80" i="4"/>
  <c r="DA80" i="4"/>
  <c r="DB80" i="4"/>
  <c r="DC80" i="4"/>
  <c r="DD80" i="4"/>
  <c r="DE80" i="4"/>
  <c r="DF80" i="4"/>
  <c r="DG80" i="4"/>
  <c r="DH80" i="4"/>
  <c r="DI80" i="4"/>
  <c r="DJ80" i="4"/>
  <c r="DK80" i="4"/>
  <c r="DL80" i="4"/>
  <c r="DM80" i="4"/>
  <c r="DN80" i="4"/>
  <c r="DO80" i="4"/>
  <c r="DP80" i="4"/>
  <c r="DQ80" i="4"/>
  <c r="DR80" i="4"/>
  <c r="DS80" i="4"/>
  <c r="DT80" i="4"/>
  <c r="DU80" i="4"/>
  <c r="DV80" i="4"/>
  <c r="DW80" i="4"/>
  <c r="DX80" i="4"/>
  <c r="DY80" i="4"/>
  <c r="DZ80" i="4"/>
  <c r="EA80" i="4"/>
  <c r="EB80" i="4"/>
  <c r="EC80" i="4"/>
  <c r="ED80" i="4"/>
  <c r="EE80" i="4"/>
  <c r="EF80" i="4"/>
  <c r="EG80" i="4"/>
  <c r="EH80" i="4"/>
  <c r="EI80" i="4"/>
  <c r="EJ80" i="4"/>
  <c r="EK80" i="4"/>
  <c r="EL80" i="4"/>
  <c r="EM80" i="4"/>
  <c r="EN80" i="4"/>
  <c r="EO80" i="4"/>
  <c r="EP80" i="4"/>
  <c r="EQ80" i="4"/>
  <c r="ER80" i="4"/>
  <c r="ES80" i="4"/>
  <c r="ET80" i="4"/>
  <c r="EU80" i="4"/>
  <c r="EV80" i="4"/>
  <c r="EW80" i="4"/>
  <c r="EX80" i="4"/>
  <c r="EY80" i="4"/>
  <c r="EZ80" i="4"/>
  <c r="FA80" i="4"/>
  <c r="FB80" i="4"/>
  <c r="FC80" i="4"/>
  <c r="FD80" i="4"/>
  <c r="FE80" i="4"/>
  <c r="FF80" i="4"/>
  <c r="FG80" i="4"/>
  <c r="FH80" i="4"/>
  <c r="FI80" i="4"/>
  <c r="FJ80" i="4"/>
  <c r="FK80" i="4"/>
  <c r="FL80" i="4"/>
  <c r="FM80" i="4"/>
  <c r="FN80" i="4"/>
  <c r="FO80" i="4"/>
  <c r="FP80" i="4"/>
  <c r="FQ80" i="4"/>
  <c r="FR80" i="4"/>
  <c r="FS80" i="4"/>
  <c r="FT80" i="4"/>
  <c r="FU80" i="4"/>
  <c r="FV80" i="4"/>
  <c r="FW80" i="4"/>
  <c r="FX80" i="4"/>
  <c r="FY80" i="4"/>
  <c r="FZ80" i="4"/>
  <c r="GA80" i="4"/>
  <c r="GB80" i="4"/>
  <c r="GC80" i="4"/>
  <c r="GD80" i="4"/>
  <c r="GE80" i="4"/>
  <c r="GF80" i="4"/>
  <c r="GG80" i="4"/>
  <c r="GH80" i="4"/>
  <c r="GI80" i="4"/>
  <c r="GJ80" i="4"/>
  <c r="GK80" i="4"/>
  <c r="GL80" i="4"/>
  <c r="GM80" i="4"/>
  <c r="GN80" i="4"/>
  <c r="GO80" i="4"/>
  <c r="GP80" i="4"/>
  <c r="GQ80" i="4"/>
  <c r="GR80" i="4"/>
  <c r="GS80" i="4"/>
  <c r="GT80" i="4"/>
  <c r="GU80" i="4"/>
  <c r="GV80" i="4"/>
  <c r="GW80" i="4"/>
  <c r="GX80" i="4"/>
  <c r="GY80" i="4"/>
  <c r="GZ80" i="4"/>
  <c r="HA80" i="4"/>
  <c r="HB80" i="4"/>
  <c r="HC80" i="4"/>
  <c r="HD80" i="4"/>
  <c r="HE80" i="4"/>
  <c r="HF80" i="4"/>
  <c r="HG80" i="4"/>
  <c r="H81" i="4"/>
  <c r="H80" i="4"/>
  <c r="I63" i="4"/>
  <c r="J63" i="4"/>
  <c r="K63" i="4"/>
  <c r="L63" i="4"/>
  <c r="M63" i="4"/>
  <c r="N63" i="4"/>
  <c r="O63" i="4"/>
  <c r="P63" i="4"/>
  <c r="Q63" i="4"/>
  <c r="R63" i="4"/>
  <c r="S63" i="4"/>
  <c r="T63" i="4"/>
  <c r="U63" i="4"/>
  <c r="V63" i="4"/>
  <c r="W63" i="4"/>
  <c r="X63" i="4"/>
  <c r="Y63" i="4"/>
  <c r="Z63" i="4"/>
  <c r="AA63" i="4"/>
  <c r="AB63" i="4"/>
  <c r="AC63" i="4"/>
  <c r="AD63" i="4"/>
  <c r="AE63" i="4"/>
  <c r="AF63" i="4"/>
  <c r="AG63" i="4"/>
  <c r="AH63" i="4"/>
  <c r="AI63" i="4"/>
  <c r="AJ63" i="4"/>
  <c r="AK63" i="4"/>
  <c r="AL63" i="4"/>
  <c r="AM63" i="4"/>
  <c r="AN63" i="4"/>
  <c r="AO63" i="4"/>
  <c r="AP63" i="4"/>
  <c r="AQ63" i="4"/>
  <c r="AR63" i="4"/>
  <c r="AS63" i="4"/>
  <c r="AT63" i="4"/>
  <c r="AU63" i="4"/>
  <c r="AV63" i="4"/>
  <c r="AW63" i="4"/>
  <c r="AX63" i="4"/>
  <c r="AY63" i="4"/>
  <c r="AZ63" i="4"/>
  <c r="BA63" i="4"/>
  <c r="BB63" i="4"/>
  <c r="BC63" i="4"/>
  <c r="BD63" i="4"/>
  <c r="BE63" i="4"/>
  <c r="BF63" i="4"/>
  <c r="BG63" i="4"/>
  <c r="BH63" i="4"/>
  <c r="BI63" i="4"/>
  <c r="BJ63" i="4"/>
  <c r="BK63" i="4"/>
  <c r="BL63" i="4"/>
  <c r="BM63" i="4"/>
  <c r="BN63" i="4"/>
  <c r="BO63" i="4"/>
  <c r="BP63" i="4"/>
  <c r="BQ63" i="4"/>
  <c r="BR63" i="4"/>
  <c r="BS63" i="4"/>
  <c r="BT63" i="4"/>
  <c r="BU63" i="4"/>
  <c r="BV63" i="4"/>
  <c r="BW63" i="4"/>
  <c r="BX63" i="4"/>
  <c r="BY63" i="4"/>
  <c r="BZ63" i="4"/>
  <c r="CA63" i="4"/>
  <c r="CB63" i="4"/>
  <c r="CC63" i="4"/>
  <c r="CD63" i="4"/>
  <c r="CE63" i="4"/>
  <c r="CF63" i="4"/>
  <c r="CG63" i="4"/>
  <c r="CH63" i="4"/>
  <c r="CI63" i="4"/>
  <c r="CJ63" i="4"/>
  <c r="CK63" i="4"/>
  <c r="CL63" i="4"/>
  <c r="CM63" i="4"/>
  <c r="CN63" i="4"/>
  <c r="CO63" i="4"/>
  <c r="CP63" i="4"/>
  <c r="CQ63" i="4"/>
  <c r="CR63" i="4"/>
  <c r="CS63" i="4"/>
  <c r="CT63" i="4"/>
  <c r="CU63" i="4"/>
  <c r="CV63" i="4"/>
  <c r="CW63" i="4"/>
  <c r="CX63" i="4"/>
  <c r="CY63" i="4"/>
  <c r="CZ63" i="4"/>
  <c r="DA63" i="4"/>
  <c r="DB63" i="4"/>
  <c r="DC63" i="4"/>
  <c r="DD63" i="4"/>
  <c r="DE63" i="4"/>
  <c r="DF63" i="4"/>
  <c r="DG63" i="4"/>
  <c r="DH63" i="4"/>
  <c r="DI63" i="4"/>
  <c r="DJ63" i="4"/>
  <c r="DK63" i="4"/>
  <c r="DL63" i="4"/>
  <c r="DM63" i="4"/>
  <c r="DN63" i="4"/>
  <c r="DO63" i="4"/>
  <c r="DP63" i="4"/>
  <c r="DQ63" i="4"/>
  <c r="DR63" i="4"/>
  <c r="DS63" i="4"/>
  <c r="DT63" i="4"/>
  <c r="DU63" i="4"/>
  <c r="DV63" i="4"/>
  <c r="DW63" i="4"/>
  <c r="DX63" i="4"/>
  <c r="DY63" i="4"/>
  <c r="DZ63" i="4"/>
  <c r="EA63" i="4"/>
  <c r="EB63" i="4"/>
  <c r="EC63" i="4"/>
  <c r="ED63" i="4"/>
  <c r="EE63" i="4"/>
  <c r="EF63" i="4"/>
  <c r="EG63" i="4"/>
  <c r="EH63" i="4"/>
  <c r="EI63" i="4"/>
  <c r="EJ63" i="4"/>
  <c r="EK63" i="4"/>
  <c r="EL63" i="4"/>
  <c r="EM63" i="4"/>
  <c r="EN63" i="4"/>
  <c r="EO63" i="4"/>
  <c r="EP63" i="4"/>
  <c r="EQ63" i="4"/>
  <c r="ER63" i="4"/>
  <c r="ES63" i="4"/>
  <c r="ET63" i="4"/>
  <c r="EU63" i="4"/>
  <c r="EV63" i="4"/>
  <c r="EW63" i="4"/>
  <c r="EX63" i="4"/>
  <c r="EY63" i="4"/>
  <c r="EZ63" i="4"/>
  <c r="FA63" i="4"/>
  <c r="FB63" i="4"/>
  <c r="FC63" i="4"/>
  <c r="FD63" i="4"/>
  <c r="FE63" i="4"/>
  <c r="FF63" i="4"/>
  <c r="FG63" i="4"/>
  <c r="FH63" i="4"/>
  <c r="FI63" i="4"/>
  <c r="FJ63" i="4"/>
  <c r="FK63" i="4"/>
  <c r="FL63" i="4"/>
  <c r="FM63" i="4"/>
  <c r="FN63" i="4"/>
  <c r="FO63" i="4"/>
  <c r="FP63" i="4"/>
  <c r="FQ63" i="4"/>
  <c r="FR63" i="4"/>
  <c r="FS63" i="4"/>
  <c r="FT63" i="4"/>
  <c r="FU63" i="4"/>
  <c r="FV63" i="4"/>
  <c r="FW63" i="4"/>
  <c r="FX63" i="4"/>
  <c r="FY63" i="4"/>
  <c r="FZ63" i="4"/>
  <c r="GA63" i="4"/>
  <c r="GB63" i="4"/>
  <c r="GC63" i="4"/>
  <c r="GD63" i="4"/>
  <c r="GE63" i="4"/>
  <c r="GF63" i="4"/>
  <c r="GG63" i="4"/>
  <c r="GH63" i="4"/>
  <c r="GI63" i="4"/>
  <c r="GJ63" i="4"/>
  <c r="GK63" i="4"/>
  <c r="GL63" i="4"/>
  <c r="GM63" i="4"/>
  <c r="GN63" i="4"/>
  <c r="GO63" i="4"/>
  <c r="GP63" i="4"/>
  <c r="GQ63" i="4"/>
  <c r="GR63" i="4"/>
  <c r="GS63" i="4"/>
  <c r="GT63" i="4"/>
  <c r="GU63" i="4"/>
  <c r="GV63" i="4"/>
  <c r="GW63" i="4"/>
  <c r="GX63" i="4"/>
  <c r="GY63" i="4"/>
  <c r="GZ63" i="4"/>
  <c r="HA63" i="4"/>
  <c r="HB63" i="4"/>
  <c r="HC63" i="4"/>
  <c r="HD63" i="4"/>
  <c r="HE63" i="4"/>
  <c r="HF63" i="4"/>
  <c r="HG63" i="4"/>
  <c r="I62" i="4"/>
  <c r="J62" i="4"/>
  <c r="K62" i="4"/>
  <c r="L62" i="4"/>
  <c r="M62" i="4"/>
  <c r="N62" i="4"/>
  <c r="O62" i="4"/>
  <c r="P62" i="4"/>
  <c r="Q62" i="4"/>
  <c r="R62" i="4"/>
  <c r="S62" i="4"/>
  <c r="T62" i="4"/>
  <c r="U62" i="4"/>
  <c r="V62" i="4"/>
  <c r="W62" i="4"/>
  <c r="X62" i="4"/>
  <c r="Y62" i="4"/>
  <c r="Z62" i="4"/>
  <c r="AA62" i="4"/>
  <c r="AB62" i="4"/>
  <c r="AC62" i="4"/>
  <c r="AD62" i="4"/>
  <c r="AE62" i="4"/>
  <c r="AF62" i="4"/>
  <c r="AG62" i="4"/>
  <c r="AH62" i="4"/>
  <c r="AI62" i="4"/>
  <c r="AJ62" i="4"/>
  <c r="AK62" i="4"/>
  <c r="AL62" i="4"/>
  <c r="AM62" i="4"/>
  <c r="AN62" i="4"/>
  <c r="AO62" i="4"/>
  <c r="AP62" i="4"/>
  <c r="AQ62" i="4"/>
  <c r="AR62" i="4"/>
  <c r="AS62" i="4"/>
  <c r="AT62" i="4"/>
  <c r="AU62" i="4"/>
  <c r="AV62" i="4"/>
  <c r="AW62" i="4"/>
  <c r="AX62" i="4"/>
  <c r="AY62" i="4"/>
  <c r="AZ62" i="4"/>
  <c r="BA62" i="4"/>
  <c r="BB62" i="4"/>
  <c r="BC62" i="4"/>
  <c r="BD62" i="4"/>
  <c r="BE62" i="4"/>
  <c r="BF62" i="4"/>
  <c r="BG62" i="4"/>
  <c r="BH62" i="4"/>
  <c r="BI62" i="4"/>
  <c r="BJ62" i="4"/>
  <c r="BK62" i="4"/>
  <c r="BL62" i="4"/>
  <c r="BM62" i="4"/>
  <c r="BN62" i="4"/>
  <c r="BO62" i="4"/>
  <c r="BP62" i="4"/>
  <c r="BQ62" i="4"/>
  <c r="BR62" i="4"/>
  <c r="BS62" i="4"/>
  <c r="BT62" i="4"/>
  <c r="BU62" i="4"/>
  <c r="BV62" i="4"/>
  <c r="BW62" i="4"/>
  <c r="BX62" i="4"/>
  <c r="BY62" i="4"/>
  <c r="BZ62" i="4"/>
  <c r="CA62" i="4"/>
  <c r="CB62" i="4"/>
  <c r="CC62" i="4"/>
  <c r="CD62" i="4"/>
  <c r="CE62" i="4"/>
  <c r="CF62" i="4"/>
  <c r="CG62" i="4"/>
  <c r="CH62" i="4"/>
  <c r="CI62" i="4"/>
  <c r="CJ62" i="4"/>
  <c r="CK62" i="4"/>
  <c r="CL62" i="4"/>
  <c r="CM62" i="4"/>
  <c r="CN62" i="4"/>
  <c r="CO62" i="4"/>
  <c r="CP62" i="4"/>
  <c r="CQ62" i="4"/>
  <c r="CR62" i="4"/>
  <c r="CS62" i="4"/>
  <c r="CT62" i="4"/>
  <c r="CU62" i="4"/>
  <c r="CV62" i="4"/>
  <c r="CW62" i="4"/>
  <c r="CX62" i="4"/>
  <c r="CY62" i="4"/>
  <c r="CZ62" i="4"/>
  <c r="DA62" i="4"/>
  <c r="DB62" i="4"/>
  <c r="DC62" i="4"/>
  <c r="DD62" i="4"/>
  <c r="DE62" i="4"/>
  <c r="DF62" i="4"/>
  <c r="DG62" i="4"/>
  <c r="DH62" i="4"/>
  <c r="DI62" i="4"/>
  <c r="DJ62" i="4"/>
  <c r="DK62" i="4"/>
  <c r="DL62" i="4"/>
  <c r="DM62" i="4"/>
  <c r="DN62" i="4"/>
  <c r="DO62" i="4"/>
  <c r="DP62" i="4"/>
  <c r="DQ62" i="4"/>
  <c r="DR62" i="4"/>
  <c r="DS62" i="4"/>
  <c r="DT62" i="4"/>
  <c r="DU62" i="4"/>
  <c r="DV62" i="4"/>
  <c r="DW62" i="4"/>
  <c r="DX62" i="4"/>
  <c r="DY62" i="4"/>
  <c r="DZ62" i="4"/>
  <c r="EA62" i="4"/>
  <c r="EB62" i="4"/>
  <c r="EC62" i="4"/>
  <c r="ED62" i="4"/>
  <c r="EE62" i="4"/>
  <c r="EF62" i="4"/>
  <c r="EG62" i="4"/>
  <c r="EH62" i="4"/>
  <c r="EI62" i="4"/>
  <c r="EJ62" i="4"/>
  <c r="EK62" i="4"/>
  <c r="EL62" i="4"/>
  <c r="EM62" i="4"/>
  <c r="EN62" i="4"/>
  <c r="EO62" i="4"/>
  <c r="EP62" i="4"/>
  <c r="EQ62" i="4"/>
  <c r="ER62" i="4"/>
  <c r="ES62" i="4"/>
  <c r="ET62" i="4"/>
  <c r="EU62" i="4"/>
  <c r="EV62" i="4"/>
  <c r="EW62" i="4"/>
  <c r="EX62" i="4"/>
  <c r="EY62" i="4"/>
  <c r="EZ62" i="4"/>
  <c r="FA62" i="4"/>
  <c r="FB62" i="4"/>
  <c r="FC62" i="4"/>
  <c r="FD62" i="4"/>
  <c r="FE62" i="4"/>
  <c r="FF62" i="4"/>
  <c r="FG62" i="4"/>
  <c r="FH62" i="4"/>
  <c r="FI62" i="4"/>
  <c r="FJ62" i="4"/>
  <c r="FK62" i="4"/>
  <c r="FL62" i="4"/>
  <c r="FM62" i="4"/>
  <c r="FN62" i="4"/>
  <c r="FO62" i="4"/>
  <c r="FP62" i="4"/>
  <c r="FQ62" i="4"/>
  <c r="FR62" i="4"/>
  <c r="FS62" i="4"/>
  <c r="FT62" i="4"/>
  <c r="FU62" i="4"/>
  <c r="FV62" i="4"/>
  <c r="FW62" i="4"/>
  <c r="FX62" i="4"/>
  <c r="FY62" i="4"/>
  <c r="FZ62" i="4"/>
  <c r="GA62" i="4"/>
  <c r="GB62" i="4"/>
  <c r="GC62" i="4"/>
  <c r="GD62" i="4"/>
  <c r="GE62" i="4"/>
  <c r="GF62" i="4"/>
  <c r="GG62" i="4"/>
  <c r="GH62" i="4"/>
  <c r="GI62" i="4"/>
  <c r="GJ62" i="4"/>
  <c r="GK62" i="4"/>
  <c r="GL62" i="4"/>
  <c r="GM62" i="4"/>
  <c r="GN62" i="4"/>
  <c r="GO62" i="4"/>
  <c r="GP62" i="4"/>
  <c r="GQ62" i="4"/>
  <c r="GR62" i="4"/>
  <c r="GS62" i="4"/>
  <c r="GT62" i="4"/>
  <c r="GU62" i="4"/>
  <c r="GV62" i="4"/>
  <c r="GW62" i="4"/>
  <c r="GX62" i="4"/>
  <c r="GY62" i="4"/>
  <c r="GZ62" i="4"/>
  <c r="HA62" i="4"/>
  <c r="HB62" i="4"/>
  <c r="HC62" i="4"/>
  <c r="HD62" i="4"/>
  <c r="HE62" i="4"/>
  <c r="HF62" i="4"/>
  <c r="HG62" i="4"/>
  <c r="H63" i="4"/>
  <c r="H62" i="4"/>
  <c r="I45" i="4"/>
  <c r="J45" i="4"/>
  <c r="K45" i="4"/>
  <c r="L45" i="4"/>
  <c r="M45" i="4"/>
  <c r="N45" i="4"/>
  <c r="O45" i="4"/>
  <c r="P45" i="4"/>
  <c r="Q45" i="4"/>
  <c r="R45" i="4"/>
  <c r="S45" i="4"/>
  <c r="T45" i="4"/>
  <c r="U45" i="4"/>
  <c r="V45" i="4"/>
  <c r="W45" i="4"/>
  <c r="X45" i="4"/>
  <c r="Y45" i="4"/>
  <c r="Z45" i="4"/>
  <c r="AA45" i="4"/>
  <c r="AB45" i="4"/>
  <c r="AC45" i="4"/>
  <c r="AD45" i="4"/>
  <c r="AE45" i="4"/>
  <c r="AF45" i="4"/>
  <c r="AG45" i="4"/>
  <c r="AH45" i="4"/>
  <c r="AI45" i="4"/>
  <c r="AJ45" i="4"/>
  <c r="AK45" i="4"/>
  <c r="AL45" i="4"/>
  <c r="AM45" i="4"/>
  <c r="AN45" i="4"/>
  <c r="AO45" i="4"/>
  <c r="AP45" i="4"/>
  <c r="AQ45" i="4"/>
  <c r="AR45" i="4"/>
  <c r="AS45" i="4"/>
  <c r="AT45" i="4"/>
  <c r="AU45" i="4"/>
  <c r="AV45" i="4"/>
  <c r="AW45" i="4"/>
  <c r="AX45" i="4"/>
  <c r="AY45" i="4"/>
  <c r="AZ45" i="4"/>
  <c r="BA45" i="4"/>
  <c r="BB45" i="4"/>
  <c r="BC45" i="4"/>
  <c r="BD45" i="4"/>
  <c r="BE45" i="4"/>
  <c r="BF45" i="4"/>
  <c r="BG45" i="4"/>
  <c r="BH45" i="4"/>
  <c r="BI45" i="4"/>
  <c r="BJ45" i="4"/>
  <c r="BK45" i="4"/>
  <c r="BL45" i="4"/>
  <c r="BM45" i="4"/>
  <c r="BN45" i="4"/>
  <c r="BO45" i="4"/>
  <c r="BP45" i="4"/>
  <c r="BQ45" i="4"/>
  <c r="BR45" i="4"/>
  <c r="BS45" i="4"/>
  <c r="BT45" i="4"/>
  <c r="BU45" i="4"/>
  <c r="BV45" i="4"/>
  <c r="BW45" i="4"/>
  <c r="BX45" i="4"/>
  <c r="BY45" i="4"/>
  <c r="BZ45" i="4"/>
  <c r="CA45" i="4"/>
  <c r="CB45" i="4"/>
  <c r="CC45" i="4"/>
  <c r="CD45" i="4"/>
  <c r="CE45" i="4"/>
  <c r="CF45" i="4"/>
  <c r="CG45" i="4"/>
  <c r="CH45" i="4"/>
  <c r="CI45" i="4"/>
  <c r="CJ45" i="4"/>
  <c r="CK45" i="4"/>
  <c r="CL45" i="4"/>
  <c r="CM45" i="4"/>
  <c r="CN45" i="4"/>
  <c r="CO45" i="4"/>
  <c r="CP45" i="4"/>
  <c r="CQ45" i="4"/>
  <c r="CR45" i="4"/>
  <c r="CS45" i="4"/>
  <c r="CT45" i="4"/>
  <c r="CU45" i="4"/>
  <c r="CV45" i="4"/>
  <c r="CW45" i="4"/>
  <c r="CX45" i="4"/>
  <c r="CY45" i="4"/>
  <c r="CZ45" i="4"/>
  <c r="DA45" i="4"/>
  <c r="DB45" i="4"/>
  <c r="DC45" i="4"/>
  <c r="DD45" i="4"/>
  <c r="DE45" i="4"/>
  <c r="DF45" i="4"/>
  <c r="DG45" i="4"/>
  <c r="DH45" i="4"/>
  <c r="DI45" i="4"/>
  <c r="DJ45" i="4"/>
  <c r="DK45" i="4"/>
  <c r="DL45" i="4"/>
  <c r="DM45" i="4"/>
  <c r="DN45" i="4"/>
  <c r="DO45" i="4"/>
  <c r="DP45" i="4"/>
  <c r="DQ45" i="4"/>
  <c r="DR45" i="4"/>
  <c r="DS45" i="4"/>
  <c r="DT45" i="4"/>
  <c r="DU45" i="4"/>
  <c r="DV45" i="4"/>
  <c r="DW45" i="4"/>
  <c r="DX45" i="4"/>
  <c r="DY45" i="4"/>
  <c r="DZ45" i="4"/>
  <c r="EA45" i="4"/>
  <c r="EB45" i="4"/>
  <c r="EC45" i="4"/>
  <c r="ED45" i="4"/>
  <c r="EE45" i="4"/>
  <c r="EF45" i="4"/>
  <c r="EG45" i="4"/>
  <c r="EH45" i="4"/>
  <c r="EI45" i="4"/>
  <c r="EJ45" i="4"/>
  <c r="EK45" i="4"/>
  <c r="EL45" i="4"/>
  <c r="EM45" i="4"/>
  <c r="EN45" i="4"/>
  <c r="EO45" i="4"/>
  <c r="EP45" i="4"/>
  <c r="EQ45" i="4"/>
  <c r="ER45" i="4"/>
  <c r="ES45" i="4"/>
  <c r="ET45" i="4"/>
  <c r="EU45" i="4"/>
  <c r="EV45" i="4"/>
  <c r="EW45" i="4"/>
  <c r="EX45" i="4"/>
  <c r="EY45" i="4"/>
  <c r="EZ45" i="4"/>
  <c r="FA45" i="4"/>
  <c r="FB45" i="4"/>
  <c r="FC45" i="4"/>
  <c r="FD45" i="4"/>
  <c r="FE45" i="4"/>
  <c r="FF45" i="4"/>
  <c r="FG45" i="4"/>
  <c r="FH45" i="4"/>
  <c r="FI45" i="4"/>
  <c r="FJ45" i="4"/>
  <c r="FK45" i="4"/>
  <c r="FL45" i="4"/>
  <c r="FM45" i="4"/>
  <c r="FN45" i="4"/>
  <c r="FO45" i="4"/>
  <c r="FP45" i="4"/>
  <c r="FQ45" i="4"/>
  <c r="FR45" i="4"/>
  <c r="FS45" i="4"/>
  <c r="FT45" i="4"/>
  <c r="FU45" i="4"/>
  <c r="FV45" i="4"/>
  <c r="FW45" i="4"/>
  <c r="FX45" i="4"/>
  <c r="FY45" i="4"/>
  <c r="FZ45" i="4"/>
  <c r="GA45" i="4"/>
  <c r="GB45" i="4"/>
  <c r="GC45" i="4"/>
  <c r="GD45" i="4"/>
  <c r="GE45" i="4"/>
  <c r="GF45" i="4"/>
  <c r="GG45" i="4"/>
  <c r="GH45" i="4"/>
  <c r="GI45" i="4"/>
  <c r="GJ45" i="4"/>
  <c r="GK45" i="4"/>
  <c r="GL45" i="4"/>
  <c r="GM45" i="4"/>
  <c r="GN45" i="4"/>
  <c r="GO45" i="4"/>
  <c r="GP45" i="4"/>
  <c r="GQ45" i="4"/>
  <c r="GR45" i="4"/>
  <c r="GS45" i="4"/>
  <c r="GT45" i="4"/>
  <c r="GU45" i="4"/>
  <c r="GV45" i="4"/>
  <c r="GW45" i="4"/>
  <c r="GX45" i="4"/>
  <c r="GY45" i="4"/>
  <c r="GZ45" i="4"/>
  <c r="HA45" i="4"/>
  <c r="HB45" i="4"/>
  <c r="HC45" i="4"/>
  <c r="HD45" i="4"/>
  <c r="HE45" i="4"/>
  <c r="HF45" i="4"/>
  <c r="HG45" i="4"/>
  <c r="I44" i="4"/>
  <c r="J44" i="4"/>
  <c r="K44" i="4"/>
  <c r="L44" i="4"/>
  <c r="M44" i="4"/>
  <c r="N44" i="4"/>
  <c r="O44" i="4"/>
  <c r="P44" i="4"/>
  <c r="Q44" i="4"/>
  <c r="R44" i="4"/>
  <c r="S44" i="4"/>
  <c r="T44" i="4"/>
  <c r="U44" i="4"/>
  <c r="V44" i="4"/>
  <c r="W44" i="4"/>
  <c r="X44" i="4"/>
  <c r="Y44" i="4"/>
  <c r="Z44" i="4"/>
  <c r="AA44" i="4"/>
  <c r="AB44" i="4"/>
  <c r="AC44" i="4"/>
  <c r="AD44" i="4"/>
  <c r="AE44" i="4"/>
  <c r="AF44" i="4"/>
  <c r="AG44" i="4"/>
  <c r="AH44" i="4"/>
  <c r="AI44" i="4"/>
  <c r="AJ44" i="4"/>
  <c r="AK44" i="4"/>
  <c r="AL44" i="4"/>
  <c r="AM44" i="4"/>
  <c r="AN44" i="4"/>
  <c r="AO44" i="4"/>
  <c r="AP44" i="4"/>
  <c r="AQ44" i="4"/>
  <c r="AR44" i="4"/>
  <c r="AS44" i="4"/>
  <c r="AT44" i="4"/>
  <c r="AU44" i="4"/>
  <c r="AV44" i="4"/>
  <c r="AW44" i="4"/>
  <c r="AX44" i="4"/>
  <c r="AY44" i="4"/>
  <c r="AZ44" i="4"/>
  <c r="BA44" i="4"/>
  <c r="BB44" i="4"/>
  <c r="BC44" i="4"/>
  <c r="BD44" i="4"/>
  <c r="BE44" i="4"/>
  <c r="BF44" i="4"/>
  <c r="BG44" i="4"/>
  <c r="BH44" i="4"/>
  <c r="BI44" i="4"/>
  <c r="BJ44" i="4"/>
  <c r="BK44" i="4"/>
  <c r="BL44" i="4"/>
  <c r="BM44" i="4"/>
  <c r="BN44" i="4"/>
  <c r="BO44" i="4"/>
  <c r="BP44" i="4"/>
  <c r="BQ44" i="4"/>
  <c r="BR44" i="4"/>
  <c r="BS44" i="4"/>
  <c r="BT44" i="4"/>
  <c r="BU44" i="4"/>
  <c r="BV44" i="4"/>
  <c r="BW44" i="4"/>
  <c r="BX44" i="4"/>
  <c r="BY44" i="4"/>
  <c r="BZ44" i="4"/>
  <c r="CA44" i="4"/>
  <c r="CB44" i="4"/>
  <c r="CC44" i="4"/>
  <c r="CD44" i="4"/>
  <c r="CE44" i="4"/>
  <c r="CF44" i="4"/>
  <c r="CG44" i="4"/>
  <c r="CH44" i="4"/>
  <c r="CI44" i="4"/>
  <c r="CJ44" i="4"/>
  <c r="CK44" i="4"/>
  <c r="CL44" i="4"/>
  <c r="CM44" i="4"/>
  <c r="CN44" i="4"/>
  <c r="CO44" i="4"/>
  <c r="CP44" i="4"/>
  <c r="CQ44" i="4"/>
  <c r="CR44" i="4"/>
  <c r="CS44" i="4"/>
  <c r="CT44" i="4"/>
  <c r="CU44" i="4"/>
  <c r="CV44" i="4"/>
  <c r="CW44" i="4"/>
  <c r="CX44" i="4"/>
  <c r="CY44" i="4"/>
  <c r="CZ44" i="4"/>
  <c r="DA44" i="4"/>
  <c r="DB44" i="4"/>
  <c r="DC44" i="4"/>
  <c r="DD44" i="4"/>
  <c r="DE44" i="4"/>
  <c r="DF44" i="4"/>
  <c r="DG44" i="4"/>
  <c r="DH44" i="4"/>
  <c r="DI44" i="4"/>
  <c r="DJ44" i="4"/>
  <c r="DK44" i="4"/>
  <c r="DL44" i="4"/>
  <c r="DM44" i="4"/>
  <c r="DN44" i="4"/>
  <c r="DO44" i="4"/>
  <c r="DP44" i="4"/>
  <c r="DQ44" i="4"/>
  <c r="DR44" i="4"/>
  <c r="DS44" i="4"/>
  <c r="DT44" i="4"/>
  <c r="DU44" i="4"/>
  <c r="DV44" i="4"/>
  <c r="DW44" i="4"/>
  <c r="DX44" i="4"/>
  <c r="DY44" i="4"/>
  <c r="DZ44" i="4"/>
  <c r="EA44" i="4"/>
  <c r="EB44" i="4"/>
  <c r="EC44" i="4"/>
  <c r="ED44" i="4"/>
  <c r="EE44" i="4"/>
  <c r="EF44" i="4"/>
  <c r="EG44" i="4"/>
  <c r="EH44" i="4"/>
  <c r="EI44" i="4"/>
  <c r="EJ44" i="4"/>
  <c r="EK44" i="4"/>
  <c r="EL44" i="4"/>
  <c r="EM44" i="4"/>
  <c r="EN44" i="4"/>
  <c r="EO44" i="4"/>
  <c r="EP44" i="4"/>
  <c r="EQ44" i="4"/>
  <c r="ER44" i="4"/>
  <c r="ES44" i="4"/>
  <c r="ET44" i="4"/>
  <c r="EU44" i="4"/>
  <c r="EV44" i="4"/>
  <c r="EW44" i="4"/>
  <c r="EX44" i="4"/>
  <c r="EY44" i="4"/>
  <c r="EZ44" i="4"/>
  <c r="FA44" i="4"/>
  <c r="FB44" i="4"/>
  <c r="FC44" i="4"/>
  <c r="FD44" i="4"/>
  <c r="FE44" i="4"/>
  <c r="FF44" i="4"/>
  <c r="FG44" i="4"/>
  <c r="FH44" i="4"/>
  <c r="FI44" i="4"/>
  <c r="FJ44" i="4"/>
  <c r="FK44" i="4"/>
  <c r="FL44" i="4"/>
  <c r="FM44" i="4"/>
  <c r="FN44" i="4"/>
  <c r="FO44" i="4"/>
  <c r="FP44" i="4"/>
  <c r="FQ44" i="4"/>
  <c r="FR44" i="4"/>
  <c r="FS44" i="4"/>
  <c r="FT44" i="4"/>
  <c r="FU44" i="4"/>
  <c r="FV44" i="4"/>
  <c r="FW44" i="4"/>
  <c r="FX44" i="4"/>
  <c r="FY44" i="4"/>
  <c r="FZ44" i="4"/>
  <c r="GA44" i="4"/>
  <c r="GB44" i="4"/>
  <c r="GC44" i="4"/>
  <c r="GD44" i="4"/>
  <c r="GE44" i="4"/>
  <c r="GF44" i="4"/>
  <c r="GG44" i="4"/>
  <c r="GH44" i="4"/>
  <c r="GI44" i="4"/>
  <c r="GJ44" i="4"/>
  <c r="GK44" i="4"/>
  <c r="GL44" i="4"/>
  <c r="GM44" i="4"/>
  <c r="GN44" i="4"/>
  <c r="GO44" i="4"/>
  <c r="GP44" i="4"/>
  <c r="GQ44" i="4"/>
  <c r="GR44" i="4"/>
  <c r="GS44" i="4"/>
  <c r="GT44" i="4"/>
  <c r="GU44" i="4"/>
  <c r="GV44" i="4"/>
  <c r="GW44" i="4"/>
  <c r="GX44" i="4"/>
  <c r="GY44" i="4"/>
  <c r="GZ44" i="4"/>
  <c r="HA44" i="4"/>
  <c r="HB44" i="4"/>
  <c r="HC44" i="4"/>
  <c r="HD44" i="4"/>
  <c r="HE44" i="4"/>
  <c r="HF44" i="4"/>
  <c r="HG44" i="4"/>
  <c r="H45" i="4"/>
  <c r="H44" i="4"/>
  <c r="I32" i="4"/>
  <c r="J32" i="4"/>
  <c r="K32" i="4"/>
  <c r="L32" i="4"/>
  <c r="M32" i="4"/>
  <c r="N32" i="4"/>
  <c r="O32" i="4"/>
  <c r="P32" i="4"/>
  <c r="Q32" i="4"/>
  <c r="R32" i="4"/>
  <c r="S32" i="4"/>
  <c r="T32" i="4"/>
  <c r="U32" i="4"/>
  <c r="V32" i="4"/>
  <c r="W32" i="4"/>
  <c r="X32" i="4"/>
  <c r="Y32" i="4"/>
  <c r="Z32" i="4"/>
  <c r="AA32" i="4"/>
  <c r="AB32" i="4"/>
  <c r="AC32" i="4"/>
  <c r="AD32" i="4"/>
  <c r="AE32" i="4"/>
  <c r="AF32" i="4"/>
  <c r="AG32" i="4"/>
  <c r="AH32" i="4"/>
  <c r="AI32" i="4"/>
  <c r="AJ32" i="4"/>
  <c r="AK32" i="4"/>
  <c r="AL32" i="4"/>
  <c r="AM32" i="4"/>
  <c r="AN32" i="4"/>
  <c r="AO32" i="4"/>
  <c r="AP32" i="4"/>
  <c r="AQ32" i="4"/>
  <c r="AR32" i="4"/>
  <c r="AS32" i="4"/>
  <c r="AT32" i="4"/>
  <c r="AU32" i="4"/>
  <c r="AV32" i="4"/>
  <c r="AW32" i="4"/>
  <c r="AX32" i="4"/>
  <c r="AY32" i="4"/>
  <c r="AZ32" i="4"/>
  <c r="BA32" i="4"/>
  <c r="BB32" i="4"/>
  <c r="BC32" i="4"/>
  <c r="BD32" i="4"/>
  <c r="BE32" i="4"/>
  <c r="BF32" i="4"/>
  <c r="BG32" i="4"/>
  <c r="BH32" i="4"/>
  <c r="BI32" i="4"/>
  <c r="BJ32" i="4"/>
  <c r="BK32" i="4"/>
  <c r="BL32" i="4"/>
  <c r="BM32" i="4"/>
  <c r="BN32" i="4"/>
  <c r="BO32" i="4"/>
  <c r="BP32" i="4"/>
  <c r="BQ32" i="4"/>
  <c r="BR32" i="4"/>
  <c r="BS32" i="4"/>
  <c r="BT32" i="4"/>
  <c r="BU32" i="4"/>
  <c r="BV32" i="4"/>
  <c r="BW32" i="4"/>
  <c r="BX32" i="4"/>
  <c r="BY32" i="4"/>
  <c r="BZ32" i="4"/>
  <c r="CA32" i="4"/>
  <c r="CB32" i="4"/>
  <c r="CC32" i="4"/>
  <c r="CD32" i="4"/>
  <c r="CE32" i="4"/>
  <c r="CF32" i="4"/>
  <c r="CG32" i="4"/>
  <c r="CH32" i="4"/>
  <c r="CI32" i="4"/>
  <c r="CJ32" i="4"/>
  <c r="CK32" i="4"/>
  <c r="CL32" i="4"/>
  <c r="CM32" i="4"/>
  <c r="CN32" i="4"/>
  <c r="CO32" i="4"/>
  <c r="CP32" i="4"/>
  <c r="CQ32" i="4"/>
  <c r="CR32" i="4"/>
  <c r="CS32" i="4"/>
  <c r="CT32" i="4"/>
  <c r="CU32" i="4"/>
  <c r="CV32" i="4"/>
  <c r="CW32" i="4"/>
  <c r="CX32" i="4"/>
  <c r="CY32" i="4"/>
  <c r="CZ32" i="4"/>
  <c r="DA32" i="4"/>
  <c r="DB32" i="4"/>
  <c r="DC32" i="4"/>
  <c r="DD32" i="4"/>
  <c r="DE32" i="4"/>
  <c r="DF32" i="4"/>
  <c r="DG32" i="4"/>
  <c r="DH32" i="4"/>
  <c r="DI32" i="4"/>
  <c r="DJ32" i="4"/>
  <c r="DK32" i="4"/>
  <c r="DL32" i="4"/>
  <c r="DM32" i="4"/>
  <c r="DN32" i="4"/>
  <c r="DO32" i="4"/>
  <c r="DP32" i="4"/>
  <c r="DQ32" i="4"/>
  <c r="DR32" i="4"/>
  <c r="DS32" i="4"/>
  <c r="DT32" i="4"/>
  <c r="DU32" i="4"/>
  <c r="DV32" i="4"/>
  <c r="DW32" i="4"/>
  <c r="DX32" i="4"/>
  <c r="DY32" i="4"/>
  <c r="DZ32" i="4"/>
  <c r="EA32" i="4"/>
  <c r="EB32" i="4"/>
  <c r="EC32" i="4"/>
  <c r="ED32" i="4"/>
  <c r="EE32" i="4"/>
  <c r="EF32" i="4"/>
  <c r="EG32" i="4"/>
  <c r="EH32" i="4"/>
  <c r="EI32" i="4"/>
  <c r="EJ32" i="4"/>
  <c r="EK32" i="4"/>
  <c r="EL32" i="4"/>
  <c r="EM32" i="4"/>
  <c r="EN32" i="4"/>
  <c r="EO32" i="4"/>
  <c r="EP32" i="4"/>
  <c r="EQ32" i="4"/>
  <c r="ER32" i="4"/>
  <c r="ES32" i="4"/>
  <c r="ET32" i="4"/>
  <c r="EU32" i="4"/>
  <c r="EV32" i="4"/>
  <c r="EW32" i="4"/>
  <c r="EX32" i="4"/>
  <c r="EY32" i="4"/>
  <c r="EZ32" i="4"/>
  <c r="FA32" i="4"/>
  <c r="FB32" i="4"/>
  <c r="FC32" i="4"/>
  <c r="FD32" i="4"/>
  <c r="FE32" i="4"/>
  <c r="FF32" i="4"/>
  <c r="FG32" i="4"/>
  <c r="FH32" i="4"/>
  <c r="FI32" i="4"/>
  <c r="FJ32" i="4"/>
  <c r="FK32" i="4"/>
  <c r="FL32" i="4"/>
  <c r="FM32" i="4"/>
  <c r="FN32" i="4"/>
  <c r="FO32" i="4"/>
  <c r="FP32" i="4"/>
  <c r="FQ32" i="4"/>
  <c r="FR32" i="4"/>
  <c r="FS32" i="4"/>
  <c r="FT32" i="4"/>
  <c r="FU32" i="4"/>
  <c r="FV32" i="4"/>
  <c r="FW32" i="4"/>
  <c r="FX32" i="4"/>
  <c r="FY32" i="4"/>
  <c r="FZ32" i="4"/>
  <c r="GA32" i="4"/>
  <c r="GB32" i="4"/>
  <c r="GC32" i="4"/>
  <c r="GD32" i="4"/>
  <c r="GE32" i="4"/>
  <c r="GF32" i="4"/>
  <c r="GG32" i="4"/>
  <c r="GH32" i="4"/>
  <c r="GI32" i="4"/>
  <c r="GJ32" i="4"/>
  <c r="GK32" i="4"/>
  <c r="GL32" i="4"/>
  <c r="GM32" i="4"/>
  <c r="GN32" i="4"/>
  <c r="GO32" i="4"/>
  <c r="GP32" i="4"/>
  <c r="GQ32" i="4"/>
  <c r="GR32" i="4"/>
  <c r="GS32" i="4"/>
  <c r="GT32" i="4"/>
  <c r="GU32" i="4"/>
  <c r="GV32" i="4"/>
  <c r="GW32" i="4"/>
  <c r="GX32" i="4"/>
  <c r="GY32" i="4"/>
  <c r="GZ32" i="4"/>
  <c r="HA32" i="4"/>
  <c r="HB32" i="4"/>
  <c r="HC32" i="4"/>
  <c r="HD32" i="4"/>
  <c r="HE32" i="4"/>
  <c r="HF32" i="4"/>
  <c r="HG32" i="4"/>
  <c r="I31" i="4"/>
  <c r="J31" i="4"/>
  <c r="K31" i="4"/>
  <c r="L31" i="4"/>
  <c r="M31" i="4"/>
  <c r="N31" i="4"/>
  <c r="O31" i="4"/>
  <c r="P31" i="4"/>
  <c r="Q31" i="4"/>
  <c r="R31" i="4"/>
  <c r="S31" i="4"/>
  <c r="T31" i="4"/>
  <c r="U31" i="4"/>
  <c r="V31" i="4"/>
  <c r="W31" i="4"/>
  <c r="X31" i="4"/>
  <c r="Y31" i="4"/>
  <c r="Z31" i="4"/>
  <c r="AA31" i="4"/>
  <c r="AB31" i="4"/>
  <c r="AC31" i="4"/>
  <c r="AD31" i="4"/>
  <c r="AE31" i="4"/>
  <c r="AF31" i="4"/>
  <c r="AG31" i="4"/>
  <c r="AH31" i="4"/>
  <c r="AI31" i="4"/>
  <c r="AJ31" i="4"/>
  <c r="AK31" i="4"/>
  <c r="AL31" i="4"/>
  <c r="AM31" i="4"/>
  <c r="AN31" i="4"/>
  <c r="AO31" i="4"/>
  <c r="AP31" i="4"/>
  <c r="AQ31" i="4"/>
  <c r="AR31" i="4"/>
  <c r="AS31" i="4"/>
  <c r="AT31" i="4"/>
  <c r="AU31" i="4"/>
  <c r="AV31" i="4"/>
  <c r="AW31" i="4"/>
  <c r="AX31" i="4"/>
  <c r="AY31" i="4"/>
  <c r="AZ31" i="4"/>
  <c r="BA31" i="4"/>
  <c r="BB31" i="4"/>
  <c r="BC31" i="4"/>
  <c r="BD31" i="4"/>
  <c r="BE31" i="4"/>
  <c r="BF31" i="4"/>
  <c r="BG31" i="4"/>
  <c r="BH31" i="4"/>
  <c r="BI31" i="4"/>
  <c r="BJ31" i="4"/>
  <c r="BK31" i="4"/>
  <c r="BL31" i="4"/>
  <c r="BM31" i="4"/>
  <c r="BN31" i="4"/>
  <c r="BO31" i="4"/>
  <c r="BP31" i="4"/>
  <c r="BQ31" i="4"/>
  <c r="BR31" i="4"/>
  <c r="BS31" i="4"/>
  <c r="BT31" i="4"/>
  <c r="BU31" i="4"/>
  <c r="BV31" i="4"/>
  <c r="BW31" i="4"/>
  <c r="BX31" i="4"/>
  <c r="BY31" i="4"/>
  <c r="BZ31" i="4"/>
  <c r="CA31" i="4"/>
  <c r="CB31" i="4"/>
  <c r="CC31" i="4"/>
  <c r="CD31" i="4"/>
  <c r="CE31" i="4"/>
  <c r="CF31" i="4"/>
  <c r="CG31" i="4"/>
  <c r="CH31" i="4"/>
  <c r="CI31" i="4"/>
  <c r="CJ31" i="4"/>
  <c r="CK31" i="4"/>
  <c r="CL31" i="4"/>
  <c r="CM31" i="4"/>
  <c r="CN31" i="4"/>
  <c r="CO31" i="4"/>
  <c r="CP31" i="4"/>
  <c r="CQ31" i="4"/>
  <c r="CR31" i="4"/>
  <c r="CS31" i="4"/>
  <c r="CT31" i="4"/>
  <c r="CU31" i="4"/>
  <c r="CV31" i="4"/>
  <c r="CW31" i="4"/>
  <c r="CX31" i="4"/>
  <c r="CY31" i="4"/>
  <c r="CZ31" i="4"/>
  <c r="DA31" i="4"/>
  <c r="DB31" i="4"/>
  <c r="DC31" i="4"/>
  <c r="DD31" i="4"/>
  <c r="DE31" i="4"/>
  <c r="DF31" i="4"/>
  <c r="DG31" i="4"/>
  <c r="DH31" i="4"/>
  <c r="DI31" i="4"/>
  <c r="DJ31" i="4"/>
  <c r="DK31" i="4"/>
  <c r="DL31" i="4"/>
  <c r="DM31" i="4"/>
  <c r="DN31" i="4"/>
  <c r="DO31" i="4"/>
  <c r="DP31" i="4"/>
  <c r="DQ31" i="4"/>
  <c r="DR31" i="4"/>
  <c r="DS31" i="4"/>
  <c r="DT31" i="4"/>
  <c r="DU31" i="4"/>
  <c r="DV31" i="4"/>
  <c r="DW31" i="4"/>
  <c r="DX31" i="4"/>
  <c r="DY31" i="4"/>
  <c r="DZ31" i="4"/>
  <c r="EA31" i="4"/>
  <c r="EB31" i="4"/>
  <c r="EC31" i="4"/>
  <c r="ED31" i="4"/>
  <c r="EE31" i="4"/>
  <c r="EF31" i="4"/>
  <c r="EG31" i="4"/>
  <c r="EH31" i="4"/>
  <c r="EI31" i="4"/>
  <c r="EJ31" i="4"/>
  <c r="EK31" i="4"/>
  <c r="EL31" i="4"/>
  <c r="EM31" i="4"/>
  <c r="EN31" i="4"/>
  <c r="EO31" i="4"/>
  <c r="EP31" i="4"/>
  <c r="EQ31" i="4"/>
  <c r="ER31" i="4"/>
  <c r="ES31" i="4"/>
  <c r="ET31" i="4"/>
  <c r="EU31" i="4"/>
  <c r="EV31" i="4"/>
  <c r="EW31" i="4"/>
  <c r="EX31" i="4"/>
  <c r="EY31" i="4"/>
  <c r="EZ31" i="4"/>
  <c r="FA31" i="4"/>
  <c r="FB31" i="4"/>
  <c r="FC31" i="4"/>
  <c r="FD31" i="4"/>
  <c r="FE31" i="4"/>
  <c r="FF31" i="4"/>
  <c r="FG31" i="4"/>
  <c r="FH31" i="4"/>
  <c r="FI31" i="4"/>
  <c r="FJ31" i="4"/>
  <c r="FK31" i="4"/>
  <c r="FL31" i="4"/>
  <c r="FM31" i="4"/>
  <c r="FN31" i="4"/>
  <c r="FO31" i="4"/>
  <c r="FP31" i="4"/>
  <c r="FQ31" i="4"/>
  <c r="FR31" i="4"/>
  <c r="FS31" i="4"/>
  <c r="FT31" i="4"/>
  <c r="FU31" i="4"/>
  <c r="FV31" i="4"/>
  <c r="FW31" i="4"/>
  <c r="FX31" i="4"/>
  <c r="FY31" i="4"/>
  <c r="FZ31" i="4"/>
  <c r="GA31" i="4"/>
  <c r="GB31" i="4"/>
  <c r="GC31" i="4"/>
  <c r="GD31" i="4"/>
  <c r="GE31" i="4"/>
  <c r="GF31" i="4"/>
  <c r="GG31" i="4"/>
  <c r="GH31" i="4"/>
  <c r="GI31" i="4"/>
  <c r="GJ31" i="4"/>
  <c r="GK31" i="4"/>
  <c r="GL31" i="4"/>
  <c r="GM31" i="4"/>
  <c r="GN31" i="4"/>
  <c r="GO31" i="4"/>
  <c r="GP31" i="4"/>
  <c r="GQ31" i="4"/>
  <c r="GR31" i="4"/>
  <c r="GS31" i="4"/>
  <c r="GT31" i="4"/>
  <c r="GU31" i="4"/>
  <c r="GV31" i="4"/>
  <c r="GW31" i="4"/>
  <c r="GX31" i="4"/>
  <c r="GY31" i="4"/>
  <c r="GZ31" i="4"/>
  <c r="HA31" i="4"/>
  <c r="HB31" i="4"/>
  <c r="HC31" i="4"/>
  <c r="HD31" i="4"/>
  <c r="HE31" i="4"/>
  <c r="HF31" i="4"/>
  <c r="HG31" i="4"/>
  <c r="H32" i="4"/>
  <c r="H31" i="4"/>
  <c r="I17" i="4"/>
  <c r="J17" i="4"/>
  <c r="K17" i="4"/>
  <c r="L17" i="4"/>
  <c r="M17" i="4"/>
  <c r="N17" i="4"/>
  <c r="O17" i="4"/>
  <c r="P17" i="4"/>
  <c r="Q17" i="4"/>
  <c r="R17" i="4"/>
  <c r="S17" i="4"/>
  <c r="T17" i="4"/>
  <c r="U17" i="4"/>
  <c r="V17" i="4"/>
  <c r="W17" i="4"/>
  <c r="X17" i="4"/>
  <c r="Y17" i="4"/>
  <c r="Z17" i="4"/>
  <c r="AA17" i="4"/>
  <c r="AB17" i="4"/>
  <c r="AC17" i="4"/>
  <c r="AD17" i="4"/>
  <c r="AE17" i="4"/>
  <c r="AF17" i="4"/>
  <c r="AG17" i="4"/>
  <c r="AH17" i="4"/>
  <c r="AI17" i="4"/>
  <c r="AJ17" i="4"/>
  <c r="AK17" i="4"/>
  <c r="AL17" i="4"/>
  <c r="AM17" i="4"/>
  <c r="AN17" i="4"/>
  <c r="AO17" i="4"/>
  <c r="AP17" i="4"/>
  <c r="AQ17" i="4"/>
  <c r="AR17" i="4"/>
  <c r="AS17" i="4"/>
  <c r="AT17" i="4"/>
  <c r="AU17" i="4"/>
  <c r="AV17" i="4"/>
  <c r="AW17" i="4"/>
  <c r="AX17" i="4"/>
  <c r="AY17" i="4"/>
  <c r="AZ17" i="4"/>
  <c r="BA17" i="4"/>
  <c r="BB17" i="4"/>
  <c r="BC17" i="4"/>
  <c r="BD17" i="4"/>
  <c r="BE17" i="4"/>
  <c r="BF17" i="4"/>
  <c r="BG17" i="4"/>
  <c r="BH17" i="4"/>
  <c r="BI17" i="4"/>
  <c r="BJ17" i="4"/>
  <c r="BK17" i="4"/>
  <c r="BL17" i="4"/>
  <c r="BM17" i="4"/>
  <c r="BN17" i="4"/>
  <c r="BO17" i="4"/>
  <c r="BP17" i="4"/>
  <c r="BQ17" i="4"/>
  <c r="BR17" i="4"/>
  <c r="BS17" i="4"/>
  <c r="BT17" i="4"/>
  <c r="BU17" i="4"/>
  <c r="BV17" i="4"/>
  <c r="BW17" i="4"/>
  <c r="BX17" i="4"/>
  <c r="BY17" i="4"/>
  <c r="BZ17" i="4"/>
  <c r="CA17" i="4"/>
  <c r="CB17" i="4"/>
  <c r="CC17" i="4"/>
  <c r="CD17" i="4"/>
  <c r="CE17" i="4"/>
  <c r="CF17" i="4"/>
  <c r="CG17" i="4"/>
  <c r="CH17" i="4"/>
  <c r="CI17" i="4"/>
  <c r="CJ17" i="4"/>
  <c r="CK17" i="4"/>
  <c r="CL17" i="4"/>
  <c r="CM17" i="4"/>
  <c r="CN17" i="4"/>
  <c r="CO17" i="4"/>
  <c r="CP17" i="4"/>
  <c r="CQ17" i="4"/>
  <c r="CR17" i="4"/>
  <c r="CS17" i="4"/>
  <c r="CT17" i="4"/>
  <c r="CU17" i="4"/>
  <c r="CV17" i="4"/>
  <c r="CW17" i="4"/>
  <c r="CX17" i="4"/>
  <c r="CY17" i="4"/>
  <c r="CZ17" i="4"/>
  <c r="DA17" i="4"/>
  <c r="DB17" i="4"/>
  <c r="DC17" i="4"/>
  <c r="DD17" i="4"/>
  <c r="DE17" i="4"/>
  <c r="DF17" i="4"/>
  <c r="DG17" i="4"/>
  <c r="DH17" i="4"/>
  <c r="DI17" i="4"/>
  <c r="DJ17" i="4"/>
  <c r="DK17" i="4"/>
  <c r="DL17" i="4"/>
  <c r="DM17" i="4"/>
  <c r="DN17" i="4"/>
  <c r="DO17" i="4"/>
  <c r="DP17" i="4"/>
  <c r="DQ17" i="4"/>
  <c r="DR17" i="4"/>
  <c r="DS17" i="4"/>
  <c r="DT17" i="4"/>
  <c r="DU17" i="4"/>
  <c r="DV17" i="4"/>
  <c r="DW17" i="4"/>
  <c r="DX17" i="4"/>
  <c r="DY17" i="4"/>
  <c r="DZ17" i="4"/>
  <c r="EA17" i="4"/>
  <c r="EB17" i="4"/>
  <c r="EC17" i="4"/>
  <c r="ED17" i="4"/>
  <c r="EE17" i="4"/>
  <c r="EF17" i="4"/>
  <c r="EG17" i="4"/>
  <c r="EH17" i="4"/>
  <c r="EI17" i="4"/>
  <c r="EJ17" i="4"/>
  <c r="EK17" i="4"/>
  <c r="EL17" i="4"/>
  <c r="EM17" i="4"/>
  <c r="EN17" i="4"/>
  <c r="EO17" i="4"/>
  <c r="EP17" i="4"/>
  <c r="EQ17" i="4"/>
  <c r="ER17" i="4"/>
  <c r="ES17" i="4"/>
  <c r="ET17" i="4"/>
  <c r="EU17" i="4"/>
  <c r="EV17" i="4"/>
  <c r="EW17" i="4"/>
  <c r="EX17" i="4"/>
  <c r="EY17" i="4"/>
  <c r="EZ17" i="4"/>
  <c r="FA17" i="4"/>
  <c r="FB17" i="4"/>
  <c r="FC17" i="4"/>
  <c r="FD17" i="4"/>
  <c r="FE17" i="4"/>
  <c r="FF17" i="4"/>
  <c r="FG17" i="4"/>
  <c r="FH17" i="4"/>
  <c r="FI17" i="4"/>
  <c r="FJ17" i="4"/>
  <c r="FK17" i="4"/>
  <c r="FL17" i="4"/>
  <c r="FM17" i="4"/>
  <c r="FN17" i="4"/>
  <c r="FO17" i="4"/>
  <c r="FP17" i="4"/>
  <c r="FQ17" i="4"/>
  <c r="FR17" i="4"/>
  <c r="FS17" i="4"/>
  <c r="FT17" i="4"/>
  <c r="FU17" i="4"/>
  <c r="FV17" i="4"/>
  <c r="FW17" i="4"/>
  <c r="FX17" i="4"/>
  <c r="FY17" i="4"/>
  <c r="FZ17" i="4"/>
  <c r="GA17" i="4"/>
  <c r="GB17" i="4"/>
  <c r="GC17" i="4"/>
  <c r="GD17" i="4"/>
  <c r="GE17" i="4"/>
  <c r="GF17" i="4"/>
  <c r="GG17" i="4"/>
  <c r="GH17" i="4"/>
  <c r="GI17" i="4"/>
  <c r="GJ17" i="4"/>
  <c r="GK17" i="4"/>
  <c r="GL17" i="4"/>
  <c r="GM17" i="4"/>
  <c r="GN17" i="4"/>
  <c r="GO17" i="4"/>
  <c r="GP17" i="4"/>
  <c r="GQ17" i="4"/>
  <c r="GR17" i="4"/>
  <c r="GS17" i="4"/>
  <c r="GT17" i="4"/>
  <c r="GU17" i="4"/>
  <c r="GV17" i="4"/>
  <c r="GW17" i="4"/>
  <c r="GX17" i="4"/>
  <c r="GY17" i="4"/>
  <c r="GZ17" i="4"/>
  <c r="HA17" i="4"/>
  <c r="HB17" i="4"/>
  <c r="HC17" i="4"/>
  <c r="HD17" i="4"/>
  <c r="HE17" i="4"/>
  <c r="HF17" i="4"/>
  <c r="HG17" i="4"/>
  <c r="I16" i="4"/>
  <c r="J16" i="4"/>
  <c r="K16" i="4"/>
  <c r="L16" i="4"/>
  <c r="M16" i="4"/>
  <c r="N16" i="4"/>
  <c r="O16" i="4"/>
  <c r="P16" i="4"/>
  <c r="Q16" i="4"/>
  <c r="R16" i="4"/>
  <c r="S16" i="4"/>
  <c r="T16" i="4"/>
  <c r="U16" i="4"/>
  <c r="V16" i="4"/>
  <c r="W16" i="4"/>
  <c r="X16" i="4"/>
  <c r="Y16" i="4"/>
  <c r="Z16" i="4"/>
  <c r="AA16" i="4"/>
  <c r="AB16" i="4"/>
  <c r="AC16" i="4"/>
  <c r="AD16" i="4"/>
  <c r="AE16" i="4"/>
  <c r="AF16" i="4"/>
  <c r="AG16" i="4"/>
  <c r="AH16" i="4"/>
  <c r="AI16" i="4"/>
  <c r="AJ16" i="4"/>
  <c r="AK16" i="4"/>
  <c r="AL16" i="4"/>
  <c r="AM16" i="4"/>
  <c r="AN16" i="4"/>
  <c r="AO16" i="4"/>
  <c r="AP16" i="4"/>
  <c r="AQ16" i="4"/>
  <c r="AR16" i="4"/>
  <c r="AS16" i="4"/>
  <c r="AT16" i="4"/>
  <c r="AU16" i="4"/>
  <c r="AV16" i="4"/>
  <c r="AW16" i="4"/>
  <c r="AX16" i="4"/>
  <c r="AY16" i="4"/>
  <c r="AZ16" i="4"/>
  <c r="BA16" i="4"/>
  <c r="BB16" i="4"/>
  <c r="BC16" i="4"/>
  <c r="BD16" i="4"/>
  <c r="BE16" i="4"/>
  <c r="BF16" i="4"/>
  <c r="BG16" i="4"/>
  <c r="BH16" i="4"/>
  <c r="BI16" i="4"/>
  <c r="BJ16" i="4"/>
  <c r="BK16" i="4"/>
  <c r="BL16" i="4"/>
  <c r="BM16" i="4"/>
  <c r="BN16" i="4"/>
  <c r="BO16" i="4"/>
  <c r="BP16" i="4"/>
  <c r="BQ16" i="4"/>
  <c r="BR16" i="4"/>
  <c r="BS16" i="4"/>
  <c r="BT16" i="4"/>
  <c r="BU16" i="4"/>
  <c r="BV16" i="4"/>
  <c r="BW16" i="4"/>
  <c r="BX16" i="4"/>
  <c r="BY16" i="4"/>
  <c r="BZ16" i="4"/>
  <c r="CA16" i="4"/>
  <c r="CB16" i="4"/>
  <c r="CC16" i="4"/>
  <c r="CD16" i="4"/>
  <c r="CE16" i="4"/>
  <c r="CF16" i="4"/>
  <c r="CG16" i="4"/>
  <c r="CH16" i="4"/>
  <c r="CI16" i="4"/>
  <c r="CJ16" i="4"/>
  <c r="CK16" i="4"/>
  <c r="CL16" i="4"/>
  <c r="CM16" i="4"/>
  <c r="CN16" i="4"/>
  <c r="CO16" i="4"/>
  <c r="CP16" i="4"/>
  <c r="CQ16" i="4"/>
  <c r="CR16" i="4"/>
  <c r="CS16" i="4"/>
  <c r="CT16" i="4"/>
  <c r="CU16" i="4"/>
  <c r="CV16" i="4"/>
  <c r="CW16" i="4"/>
  <c r="CX16" i="4"/>
  <c r="CY16" i="4"/>
  <c r="CZ16" i="4"/>
  <c r="DA16" i="4"/>
  <c r="DB16" i="4"/>
  <c r="DC16" i="4"/>
  <c r="DD16" i="4"/>
  <c r="DE16" i="4"/>
  <c r="DF16" i="4"/>
  <c r="DG16" i="4"/>
  <c r="DH16" i="4"/>
  <c r="DI16" i="4"/>
  <c r="DJ16" i="4"/>
  <c r="DK16" i="4"/>
  <c r="DL16" i="4"/>
  <c r="DM16" i="4"/>
  <c r="DN16" i="4"/>
  <c r="DO16" i="4"/>
  <c r="DP16" i="4"/>
  <c r="DQ16" i="4"/>
  <c r="DR16" i="4"/>
  <c r="DS16" i="4"/>
  <c r="DT16" i="4"/>
  <c r="DU16" i="4"/>
  <c r="DV16" i="4"/>
  <c r="DW16" i="4"/>
  <c r="DX16" i="4"/>
  <c r="DY16" i="4"/>
  <c r="DZ16" i="4"/>
  <c r="EA16" i="4"/>
  <c r="EB16" i="4"/>
  <c r="EC16" i="4"/>
  <c r="ED16" i="4"/>
  <c r="EE16" i="4"/>
  <c r="EF16" i="4"/>
  <c r="EG16" i="4"/>
  <c r="EH16" i="4"/>
  <c r="EI16" i="4"/>
  <c r="EJ16" i="4"/>
  <c r="EK16" i="4"/>
  <c r="EL16" i="4"/>
  <c r="EM16" i="4"/>
  <c r="EN16" i="4"/>
  <c r="EO16" i="4"/>
  <c r="EP16" i="4"/>
  <c r="EQ16" i="4"/>
  <c r="ER16" i="4"/>
  <c r="ES16" i="4"/>
  <c r="ET16" i="4"/>
  <c r="EU16" i="4"/>
  <c r="EV16" i="4"/>
  <c r="EW16" i="4"/>
  <c r="EX16" i="4"/>
  <c r="EY16" i="4"/>
  <c r="EZ16" i="4"/>
  <c r="FA16" i="4"/>
  <c r="FB16" i="4"/>
  <c r="FC16" i="4"/>
  <c r="FD16" i="4"/>
  <c r="FE16" i="4"/>
  <c r="FF16" i="4"/>
  <c r="FG16" i="4"/>
  <c r="FH16" i="4"/>
  <c r="FI16" i="4"/>
  <c r="FJ16" i="4"/>
  <c r="FK16" i="4"/>
  <c r="FL16" i="4"/>
  <c r="FM16" i="4"/>
  <c r="FN16" i="4"/>
  <c r="FO16" i="4"/>
  <c r="FP16" i="4"/>
  <c r="FQ16" i="4"/>
  <c r="FR16" i="4"/>
  <c r="FS16" i="4"/>
  <c r="FT16" i="4"/>
  <c r="FU16" i="4"/>
  <c r="FV16" i="4"/>
  <c r="FW16" i="4"/>
  <c r="FX16" i="4"/>
  <c r="FY16" i="4"/>
  <c r="FZ16" i="4"/>
  <c r="GA16" i="4"/>
  <c r="GB16" i="4"/>
  <c r="GC16" i="4"/>
  <c r="GD16" i="4"/>
  <c r="GE16" i="4"/>
  <c r="GF16" i="4"/>
  <c r="GG16" i="4"/>
  <c r="GH16" i="4"/>
  <c r="GI16" i="4"/>
  <c r="GJ16" i="4"/>
  <c r="GK16" i="4"/>
  <c r="GL16" i="4"/>
  <c r="GM16" i="4"/>
  <c r="GN16" i="4"/>
  <c r="GO16" i="4"/>
  <c r="GP16" i="4"/>
  <c r="GQ16" i="4"/>
  <c r="GR16" i="4"/>
  <c r="GS16" i="4"/>
  <c r="GT16" i="4"/>
  <c r="GU16" i="4"/>
  <c r="GV16" i="4"/>
  <c r="GW16" i="4"/>
  <c r="GX16" i="4"/>
  <c r="GY16" i="4"/>
  <c r="GZ16" i="4"/>
  <c r="HA16" i="4"/>
  <c r="HB16" i="4"/>
  <c r="HC16" i="4"/>
  <c r="HD16" i="4"/>
  <c r="HE16" i="4"/>
  <c r="HF16" i="4"/>
  <c r="HG16" i="4"/>
  <c r="H17" i="4"/>
  <c r="H16" i="4"/>
  <c r="F80" i="4" l="1"/>
  <c r="F81" i="4" s="1"/>
  <c r="F62" i="4"/>
  <c r="F63" i="4" s="1"/>
  <c r="F44" i="4"/>
  <c r="F45" i="4" s="1"/>
  <c r="F31" i="4"/>
  <c r="F32" i="4" s="1"/>
  <c r="F16" i="4"/>
  <c r="F17" i="4" s="1"/>
  <c r="A131" i="18" l="1"/>
  <c r="D132" i="18"/>
  <c r="G132" i="18" s="1"/>
  <c r="C132" i="18"/>
  <c r="C131" i="18"/>
  <c r="D119" i="17"/>
  <c r="G119" i="17" s="1"/>
  <c r="C119" i="17"/>
  <c r="C118" i="17"/>
  <c r="A118" i="17"/>
  <c r="D213" i="23"/>
  <c r="G213" i="23" s="1"/>
  <c r="C213" i="23"/>
  <c r="C212" i="23"/>
  <c r="A212" i="23"/>
  <c r="B212" i="23"/>
  <c r="B131" i="18"/>
  <c r="B118" i="17"/>
  <c r="D166" i="21"/>
  <c r="G166" i="21" s="1"/>
  <c r="A165" i="21"/>
  <c r="B165" i="21"/>
  <c r="C165" i="21"/>
  <c r="C166" i="21"/>
  <c r="D156" i="20" l="1"/>
  <c r="G156" i="20" s="1"/>
  <c r="C156" i="20"/>
  <c r="C155" i="20"/>
  <c r="A155" i="20"/>
  <c r="B155" i="20"/>
  <c r="C90" i="17"/>
  <c r="C89" i="17"/>
  <c r="C88" i="17"/>
  <c r="C87" i="17"/>
  <c r="C86" i="17"/>
  <c r="C85" i="15"/>
  <c r="C84" i="15"/>
  <c r="C83" i="15"/>
  <c r="C82" i="15"/>
  <c r="C81" i="15"/>
  <c r="C67" i="14"/>
  <c r="C66" i="14"/>
  <c r="C65" i="14"/>
  <c r="C64" i="14"/>
  <c r="C63" i="14"/>
  <c r="C77" i="11"/>
  <c r="C76" i="11"/>
  <c r="C75" i="11"/>
  <c r="C74" i="11"/>
  <c r="C73" i="11"/>
  <c r="C62" i="10"/>
  <c r="C61" i="10"/>
  <c r="C60" i="10"/>
  <c r="C59" i="10"/>
  <c r="C58" i="10"/>
  <c r="C64" i="9"/>
  <c r="C63" i="9"/>
  <c r="C62" i="9"/>
  <c r="C61" i="9"/>
  <c r="C60" i="9"/>
  <c r="C57" i="8"/>
  <c r="C56" i="8"/>
  <c r="C55" i="8"/>
  <c r="C54" i="8"/>
  <c r="C53" i="8"/>
  <c r="G73" i="27" l="1"/>
  <c r="D97" i="27"/>
  <c r="D96" i="27"/>
  <c r="D95" i="27"/>
  <c r="D90" i="27"/>
  <c r="D89" i="27"/>
  <c r="D88" i="27"/>
  <c r="D253" i="23"/>
  <c r="D252" i="23"/>
  <c r="D244" i="23"/>
  <c r="D243" i="23"/>
  <c r="D242" i="23"/>
  <c r="D241" i="23"/>
  <c r="D201" i="21"/>
  <c r="D200" i="21"/>
  <c r="D199" i="21"/>
  <c r="D197" i="21"/>
  <c r="D192" i="21"/>
  <c r="D191" i="21"/>
  <c r="D190" i="21"/>
  <c r="D189" i="21"/>
  <c r="D188" i="21"/>
  <c r="D190" i="20"/>
  <c r="D189" i="20"/>
  <c r="D187" i="20"/>
  <c r="D185" i="20"/>
  <c r="D176" i="20"/>
  <c r="D181" i="20"/>
  <c r="D180" i="20"/>
  <c r="D179" i="20"/>
  <c r="D178" i="20"/>
  <c r="G166" i="20"/>
  <c r="D165" i="18"/>
  <c r="D164" i="18"/>
  <c r="D157" i="18"/>
  <c r="D156" i="18"/>
  <c r="D155" i="18"/>
  <c r="D154" i="18"/>
  <c r="D173" i="15"/>
  <c r="D172" i="15"/>
  <c r="D165" i="15"/>
  <c r="D164" i="15"/>
  <c r="D163" i="15"/>
  <c r="D162" i="15"/>
  <c r="D157" i="17"/>
  <c r="D155" i="17"/>
  <c r="D149" i="17"/>
  <c r="D148" i="17"/>
  <c r="D147" i="17"/>
  <c r="D143" i="17"/>
  <c r="D142" i="14"/>
  <c r="D135" i="14"/>
  <c r="D145" i="14"/>
  <c r="D138" i="14"/>
  <c r="D137" i="14"/>
  <c r="D175" i="11"/>
  <c r="D174" i="11"/>
  <c r="D172" i="11"/>
  <c r="D171" i="11"/>
  <c r="D164" i="11"/>
  <c r="D165" i="11"/>
  <c r="D162" i="11"/>
  <c r="D161" i="11"/>
  <c r="D182" i="20" l="1"/>
  <c r="D166" i="15"/>
  <c r="D158" i="18"/>
  <c r="D139" i="14"/>
  <c r="C16" i="5" s="1"/>
  <c r="D245" i="23"/>
  <c r="C22" i="5" s="1"/>
  <c r="D163" i="11"/>
  <c r="D166" i="11" s="1"/>
  <c r="C15" i="5" s="1"/>
  <c r="D173" i="11"/>
  <c r="D123" i="10"/>
  <c r="D122" i="10"/>
  <c r="D69" i="31"/>
  <c r="D67" i="31"/>
  <c r="D61" i="31"/>
  <c r="D60" i="31"/>
  <c r="D59" i="31"/>
  <c r="D132" i="8"/>
  <c r="D131" i="8"/>
  <c r="D127" i="8"/>
  <c r="D121" i="8"/>
  <c r="D120" i="8"/>
  <c r="D119" i="8"/>
  <c r="D118" i="8"/>
  <c r="D117" i="8"/>
  <c r="D116" i="8"/>
  <c r="G61" i="23"/>
  <c r="D81" i="21"/>
  <c r="F81" i="21" s="1"/>
  <c r="D80" i="21"/>
  <c r="F80" i="21" s="1"/>
  <c r="D79" i="21"/>
  <c r="F79" i="21" s="1"/>
  <c r="D78" i="21"/>
  <c r="F78" i="21" s="1"/>
  <c r="D77" i="21"/>
  <c r="F77" i="21" s="1"/>
  <c r="C81" i="21"/>
  <c r="C80" i="21"/>
  <c r="C79" i="21"/>
  <c r="C78" i="21"/>
  <c r="C77" i="21"/>
  <c r="C76" i="21"/>
  <c r="A76" i="21"/>
  <c r="B76" i="21"/>
  <c r="G76" i="21" l="1"/>
  <c r="B17" i="8" l="1"/>
  <c r="B16" i="8"/>
  <c r="B15" i="8"/>
  <c r="B14" i="8"/>
  <c r="B13" i="8"/>
  <c r="B12" i="8"/>
  <c r="B11" i="8"/>
  <c r="B10" i="8"/>
  <c r="B9" i="8"/>
  <c r="B8" i="8"/>
  <c r="B7" i="8"/>
  <c r="B6" i="8"/>
  <c r="B5" i="8"/>
  <c r="B4" i="8"/>
  <c r="B3" i="8"/>
  <c r="B62" i="27"/>
  <c r="B66" i="27"/>
  <c r="B53" i="27"/>
  <c r="B52" i="27"/>
  <c r="B51" i="27"/>
  <c r="B46" i="27"/>
  <c r="B39" i="27"/>
  <c r="B34" i="27"/>
  <c r="B29" i="27"/>
  <c r="B25" i="27"/>
  <c r="B24" i="27"/>
  <c r="B17" i="27"/>
  <c r="B16" i="27"/>
  <c r="B15" i="27"/>
  <c r="G12" i="27"/>
  <c r="B216" i="23"/>
  <c r="B215" i="23"/>
  <c r="B214" i="23"/>
  <c r="B211" i="23"/>
  <c r="B206" i="23"/>
  <c r="B199" i="23"/>
  <c r="B192" i="23"/>
  <c r="B191" i="23"/>
  <c r="B188" i="23"/>
  <c r="B182" i="23"/>
  <c r="B177" i="23"/>
  <c r="B171" i="23"/>
  <c r="B168" i="23"/>
  <c r="B163" i="23"/>
  <c r="B157" i="23"/>
  <c r="B152" i="23"/>
  <c r="B148" i="23"/>
  <c r="B142" i="23"/>
  <c r="B138" i="23"/>
  <c r="B132" i="23"/>
  <c r="B126" i="23"/>
  <c r="B123" i="23"/>
  <c r="B117" i="23"/>
  <c r="B114" i="23"/>
  <c r="B105" i="23"/>
  <c r="B99" i="23"/>
  <c r="B94" i="23"/>
  <c r="B88" i="23"/>
  <c r="B84" i="23"/>
  <c r="B83" i="23"/>
  <c r="B78" i="23"/>
  <c r="B74" i="23"/>
  <c r="B61" i="23"/>
  <c r="B68" i="23"/>
  <c r="B55" i="23"/>
  <c r="B50" i="23"/>
  <c r="B43" i="23"/>
  <c r="B36" i="23"/>
  <c r="B30" i="23"/>
  <c r="B25" i="23"/>
  <c r="G10" i="23"/>
  <c r="B164" i="21"/>
  <c r="B159" i="21"/>
  <c r="B152" i="21"/>
  <c r="B151" i="21"/>
  <c r="B148" i="21"/>
  <c r="B142" i="21"/>
  <c r="B139" i="21"/>
  <c r="B134" i="21"/>
  <c r="B128" i="21"/>
  <c r="B124" i="21"/>
  <c r="B114" i="21"/>
  <c r="B82" i="21"/>
  <c r="B111" i="21"/>
  <c r="B105" i="21"/>
  <c r="B102" i="21"/>
  <c r="B120" i="21"/>
  <c r="B93" i="21"/>
  <c r="B87" i="21"/>
  <c r="B71" i="21"/>
  <c r="B67" i="21"/>
  <c r="B54" i="21"/>
  <c r="B61" i="21"/>
  <c r="B47" i="21"/>
  <c r="B40" i="21"/>
  <c r="B34" i="21"/>
  <c r="B29" i="21"/>
  <c r="G21" i="21"/>
  <c r="G10" i="21"/>
  <c r="G3" i="21"/>
  <c r="B150" i="20"/>
  <c r="B149" i="20"/>
  <c r="B144" i="20"/>
  <c r="B137" i="20"/>
  <c r="B131" i="20"/>
  <c r="B125" i="20"/>
  <c r="B120" i="20"/>
  <c r="B116" i="20"/>
  <c r="B107" i="20"/>
  <c r="B101" i="20"/>
  <c r="B96" i="20"/>
  <c r="B91" i="20"/>
  <c r="B90" i="20"/>
  <c r="B88" i="20"/>
  <c r="B89" i="20"/>
  <c r="B84" i="20"/>
  <c r="B65" i="20"/>
  <c r="B57" i="20"/>
  <c r="B78" i="20"/>
  <c r="B72" i="20"/>
  <c r="B53" i="20"/>
  <c r="B48" i="20"/>
  <c r="B42" i="20"/>
  <c r="B41" i="20"/>
  <c r="B35" i="20"/>
  <c r="B28" i="20"/>
  <c r="B23" i="20"/>
  <c r="G19" i="20"/>
  <c r="G18" i="20"/>
  <c r="G13" i="20"/>
  <c r="G11" i="20"/>
  <c r="G9" i="20"/>
  <c r="G6" i="20"/>
  <c r="B133" i="18"/>
  <c r="B120" i="18"/>
  <c r="B125" i="18"/>
  <c r="B119" i="18"/>
  <c r="B114" i="18"/>
  <c r="B107" i="18"/>
  <c r="B101" i="18"/>
  <c r="B97" i="18"/>
  <c r="B80" i="18"/>
  <c r="B94" i="18"/>
  <c r="B85" i="18"/>
  <c r="B75" i="18"/>
  <c r="B71" i="18"/>
  <c r="B66" i="18"/>
  <c r="B65" i="18"/>
  <c r="B64" i="18"/>
  <c r="B60" i="18"/>
  <c r="B43" i="18"/>
  <c r="B35" i="18"/>
  <c r="B56" i="18"/>
  <c r="B50" i="18"/>
  <c r="B30" i="18"/>
  <c r="B23" i="18"/>
  <c r="G19" i="18"/>
  <c r="B141" i="15"/>
  <c r="B140" i="15"/>
  <c r="B139" i="15"/>
  <c r="B138" i="15"/>
  <c r="B132" i="15"/>
  <c r="B129" i="15"/>
  <c r="B123" i="15"/>
  <c r="B120" i="15"/>
  <c r="B116" i="15"/>
  <c r="B110" i="15"/>
  <c r="B104" i="15"/>
  <c r="B98" i="15"/>
  <c r="B90" i="15"/>
  <c r="B95" i="15"/>
  <c r="B86" i="15"/>
  <c r="B78" i="15"/>
  <c r="B80" i="15"/>
  <c r="B79" i="15"/>
  <c r="B74" i="15"/>
  <c r="B63" i="15"/>
  <c r="B70" i="15"/>
  <c r="B59" i="15"/>
  <c r="B53" i="15"/>
  <c r="B48" i="15"/>
  <c r="B42" i="15"/>
  <c r="B35" i="15"/>
  <c r="B28" i="15"/>
  <c r="B22" i="15"/>
  <c r="B17" i="15"/>
  <c r="G14" i="15"/>
  <c r="G8" i="15"/>
  <c r="B121" i="17"/>
  <c r="B120" i="17"/>
  <c r="B112" i="17"/>
  <c r="B107" i="17"/>
  <c r="B101" i="17"/>
  <c r="B97" i="17"/>
  <c r="B91" i="17"/>
  <c r="B85" i="17"/>
  <c r="B80" i="17"/>
  <c r="B79" i="17"/>
  <c r="B78" i="17"/>
  <c r="B74" i="17"/>
  <c r="B63" i="17"/>
  <c r="B55" i="17"/>
  <c r="B70" i="17"/>
  <c r="B51" i="17"/>
  <c r="B45" i="17"/>
  <c r="B44" i="17"/>
  <c r="B43" i="17"/>
  <c r="B37" i="17"/>
  <c r="B30" i="17"/>
  <c r="B23" i="17"/>
  <c r="B18" i="17"/>
  <c r="G14" i="17"/>
  <c r="G13" i="17"/>
  <c r="B111" i="14"/>
  <c r="B106" i="14"/>
  <c r="B101" i="14"/>
  <c r="B95" i="14"/>
  <c r="B89" i="14"/>
  <c r="B83" i="14"/>
  <c r="B78" i="14"/>
  <c r="B74" i="14"/>
  <c r="B68" i="14"/>
  <c r="B62" i="14"/>
  <c r="B61" i="14"/>
  <c r="B57" i="14"/>
  <c r="B44" i="14"/>
  <c r="B36" i="14"/>
  <c r="B51" i="14"/>
  <c r="B31" i="14"/>
  <c r="B25" i="14"/>
  <c r="B19" i="14"/>
  <c r="B14" i="14"/>
  <c r="G4" i="14"/>
  <c r="B133" i="11"/>
  <c r="B128" i="11"/>
  <c r="B121" i="11"/>
  <c r="B116" i="11"/>
  <c r="B112" i="11"/>
  <c r="B108" i="11"/>
  <c r="B103" i="11"/>
  <c r="B97" i="11"/>
  <c r="B92" i="11"/>
  <c r="B88" i="11"/>
  <c r="B84" i="11"/>
  <c r="B78" i="11"/>
  <c r="B72" i="11"/>
  <c r="B68" i="11"/>
  <c r="B55" i="11"/>
  <c r="B47" i="11"/>
  <c r="B62" i="11"/>
  <c r="B42" i="11"/>
  <c r="B36" i="11"/>
  <c r="B29" i="11"/>
  <c r="B22" i="11"/>
  <c r="B17" i="11"/>
  <c r="G13" i="11"/>
  <c r="G11" i="11"/>
  <c r="B102" i="10"/>
  <c r="B92" i="10"/>
  <c r="B87" i="10"/>
  <c r="B83" i="10"/>
  <c r="B78" i="10"/>
  <c r="B73" i="10"/>
  <c r="B69" i="10"/>
  <c r="B63" i="10"/>
  <c r="B57" i="10"/>
  <c r="B56" i="10"/>
  <c r="B52" i="10"/>
  <c r="B39" i="10"/>
  <c r="B46" i="10"/>
  <c r="B33" i="10"/>
  <c r="B28" i="10"/>
  <c r="B27" i="10"/>
  <c r="B20" i="10"/>
  <c r="B13" i="10"/>
  <c r="B97" i="10"/>
  <c r="G10" i="10"/>
  <c r="G9" i="10"/>
  <c r="B94" i="9"/>
  <c r="B89" i="9"/>
  <c r="B85" i="9"/>
  <c r="B80" i="9"/>
  <c r="B75" i="9"/>
  <c r="B71" i="9"/>
  <c r="B65" i="9"/>
  <c r="B59" i="9"/>
  <c r="B55" i="9"/>
  <c r="B36" i="9"/>
  <c r="B28" i="9"/>
  <c r="B49" i="9"/>
  <c r="B43" i="9"/>
  <c r="B22" i="9"/>
  <c r="B17" i="9"/>
  <c r="B11" i="9"/>
  <c r="G8" i="9"/>
  <c r="G7" i="9"/>
  <c r="B62" i="12"/>
  <c r="B56" i="12"/>
  <c r="B49" i="12"/>
  <c r="B41" i="12"/>
  <c r="B35" i="12"/>
  <c r="B29" i="12"/>
  <c r="B22" i="12"/>
  <c r="B16" i="12"/>
  <c r="B11" i="12"/>
  <c r="G8" i="12"/>
  <c r="B46" i="31"/>
  <c r="B40" i="31"/>
  <c r="B36" i="31"/>
  <c r="B30" i="31"/>
  <c r="B24" i="31"/>
  <c r="B19" i="31"/>
  <c r="G12" i="31"/>
  <c r="G11" i="31"/>
  <c r="B92" i="8"/>
  <c r="B87" i="8"/>
  <c r="B83" i="8"/>
  <c r="B77" i="8"/>
  <c r="B72" i="8"/>
  <c r="B68" i="8"/>
  <c r="B64" i="8"/>
  <c r="B58" i="8"/>
  <c r="B52" i="8"/>
  <c r="B38" i="8"/>
  <c r="B30" i="8"/>
  <c r="B45" i="8"/>
  <c r="B25" i="8"/>
  <c r="B19" i="8"/>
  <c r="G12" i="8"/>
  <c r="G15" i="31" l="1"/>
  <c r="G14" i="31"/>
  <c r="A10" i="31"/>
  <c r="B10" i="31"/>
  <c r="G10" i="31"/>
  <c r="B13" i="27" l="1"/>
  <c r="B12" i="27"/>
  <c r="B11" i="27"/>
  <c r="B10" i="27"/>
  <c r="B9" i="27"/>
  <c r="B8" i="27"/>
  <c r="B7" i="27"/>
  <c r="B6" i="27"/>
  <c r="B5" i="27"/>
  <c r="B4" i="27"/>
  <c r="B3" i="27"/>
  <c r="A13" i="27"/>
  <c r="A12" i="27"/>
  <c r="A11" i="27"/>
  <c r="A10" i="27"/>
  <c r="A9" i="27"/>
  <c r="A8" i="27"/>
  <c r="A7" i="27"/>
  <c r="A6" i="27"/>
  <c r="A5" i="27"/>
  <c r="A4" i="27"/>
  <c r="A3" i="27"/>
  <c r="B23" i="23"/>
  <c r="B22" i="23"/>
  <c r="B21" i="23"/>
  <c r="B20" i="23"/>
  <c r="B19" i="23"/>
  <c r="B18" i="23"/>
  <c r="B17" i="23"/>
  <c r="B16" i="23"/>
  <c r="B15" i="23"/>
  <c r="B14" i="23"/>
  <c r="B13" i="23"/>
  <c r="B12" i="23"/>
  <c r="B11" i="23"/>
  <c r="B10" i="23"/>
  <c r="B9" i="23"/>
  <c r="B8" i="23"/>
  <c r="B7" i="23"/>
  <c r="B6" i="23"/>
  <c r="B5" i="23"/>
  <c r="B4" i="23"/>
  <c r="B3" i="23"/>
  <c r="A23" i="23"/>
  <c r="A22" i="23"/>
  <c r="A21" i="23"/>
  <c r="A20" i="23"/>
  <c r="A19" i="23"/>
  <c r="A18" i="23"/>
  <c r="A17" i="23"/>
  <c r="A16" i="23"/>
  <c r="A15" i="23"/>
  <c r="A14" i="23"/>
  <c r="A13" i="23"/>
  <c r="A12" i="23"/>
  <c r="A11" i="23"/>
  <c r="A10" i="23"/>
  <c r="A9" i="23"/>
  <c r="A8" i="23"/>
  <c r="A7" i="23"/>
  <c r="A6" i="23"/>
  <c r="A5" i="23"/>
  <c r="A4" i="23"/>
  <c r="A3" i="23"/>
  <c r="B27" i="21"/>
  <c r="B26" i="21"/>
  <c r="B24" i="21"/>
  <c r="B23" i="21"/>
  <c r="B25" i="21"/>
  <c r="B22" i="21"/>
  <c r="B21" i="21"/>
  <c r="B20" i="21"/>
  <c r="B19" i="21"/>
  <c r="B18" i="21"/>
  <c r="B17" i="21"/>
  <c r="B16" i="21"/>
  <c r="B15" i="21"/>
  <c r="B14" i="21"/>
  <c r="B13" i="21"/>
  <c r="B12" i="21"/>
  <c r="B11" i="21"/>
  <c r="B10" i="21"/>
  <c r="B9" i="21"/>
  <c r="B8" i="21"/>
  <c r="B7" i="21"/>
  <c r="B6" i="21"/>
  <c r="B5" i="21"/>
  <c r="B4" i="21"/>
  <c r="B3" i="21"/>
  <c r="A27" i="21"/>
  <c r="A26" i="21"/>
  <c r="A24" i="21"/>
  <c r="A23" i="21"/>
  <c r="A25" i="21"/>
  <c r="A22" i="21"/>
  <c r="A21" i="21"/>
  <c r="A20" i="21"/>
  <c r="A19" i="21"/>
  <c r="A18" i="21"/>
  <c r="A17" i="21"/>
  <c r="A16" i="21"/>
  <c r="A15" i="21"/>
  <c r="A14" i="21"/>
  <c r="A13" i="21"/>
  <c r="A12" i="21"/>
  <c r="A11" i="21"/>
  <c r="A10" i="21"/>
  <c r="A9" i="21"/>
  <c r="A8" i="21"/>
  <c r="A7" i="21"/>
  <c r="A6" i="21"/>
  <c r="A5" i="21"/>
  <c r="A4" i="21"/>
  <c r="A3" i="21"/>
  <c r="B21" i="20"/>
  <c r="B20" i="20"/>
  <c r="B19" i="20"/>
  <c r="B18" i="20"/>
  <c r="B17" i="20"/>
  <c r="B16" i="20"/>
  <c r="B15" i="20"/>
  <c r="B14" i="20"/>
  <c r="B13" i="20"/>
  <c r="B12" i="20"/>
  <c r="B11" i="20"/>
  <c r="B10" i="20"/>
  <c r="B9" i="20"/>
  <c r="B8" i="20"/>
  <c r="B7" i="20"/>
  <c r="B6" i="20"/>
  <c r="B5" i="20"/>
  <c r="B4" i="20"/>
  <c r="B3" i="20"/>
  <c r="A21" i="20"/>
  <c r="A20" i="20"/>
  <c r="A19" i="20"/>
  <c r="A18" i="20"/>
  <c r="A17" i="20"/>
  <c r="A16" i="20"/>
  <c r="A15" i="20"/>
  <c r="A14" i="20"/>
  <c r="A13" i="20"/>
  <c r="A12" i="20"/>
  <c r="A11" i="20"/>
  <c r="A10" i="20"/>
  <c r="A9" i="20"/>
  <c r="A8" i="20"/>
  <c r="A7" i="20"/>
  <c r="A6" i="20"/>
  <c r="A5" i="20"/>
  <c r="A4" i="20"/>
  <c r="A3" i="20"/>
  <c r="B21" i="18"/>
  <c r="B20" i="18"/>
  <c r="B19" i="18"/>
  <c r="B18" i="18"/>
  <c r="B17" i="18"/>
  <c r="B16" i="18"/>
  <c r="B15" i="18"/>
  <c r="B14" i="18"/>
  <c r="B13" i="18"/>
  <c r="B12" i="18"/>
  <c r="B11" i="18"/>
  <c r="B10" i="18"/>
  <c r="B9" i="18"/>
  <c r="B8" i="18"/>
  <c r="B7" i="18"/>
  <c r="B6" i="18"/>
  <c r="B5" i="18"/>
  <c r="B4" i="18"/>
  <c r="B3" i="18"/>
  <c r="A21" i="18"/>
  <c r="A20" i="18"/>
  <c r="A19" i="18"/>
  <c r="A18" i="18"/>
  <c r="A17" i="18"/>
  <c r="A16" i="18"/>
  <c r="A15" i="18"/>
  <c r="A14" i="18"/>
  <c r="A13" i="18"/>
  <c r="A12" i="18"/>
  <c r="A11" i="18"/>
  <c r="A10" i="18"/>
  <c r="A9" i="18"/>
  <c r="A8" i="18"/>
  <c r="A7" i="18"/>
  <c r="A6" i="18"/>
  <c r="A5" i="18"/>
  <c r="A4" i="18"/>
  <c r="A3" i="18"/>
  <c r="B15" i="15"/>
  <c r="B14" i="15"/>
  <c r="B13" i="15"/>
  <c r="B12" i="15"/>
  <c r="B11" i="15"/>
  <c r="B10" i="15"/>
  <c r="B9" i="15"/>
  <c r="B8" i="15"/>
  <c r="B7" i="15"/>
  <c r="B6" i="15"/>
  <c r="B5" i="15"/>
  <c r="B4" i="15"/>
  <c r="B3" i="15"/>
  <c r="A15" i="15"/>
  <c r="A14" i="15"/>
  <c r="A13" i="15"/>
  <c r="A12" i="15"/>
  <c r="A11" i="15"/>
  <c r="A10" i="15"/>
  <c r="A9" i="15"/>
  <c r="A8" i="15"/>
  <c r="A7" i="15"/>
  <c r="A6" i="15"/>
  <c r="A5" i="15"/>
  <c r="A4" i="15"/>
  <c r="A3" i="15"/>
  <c r="B16" i="17"/>
  <c r="B15" i="17"/>
  <c r="B14" i="17"/>
  <c r="B13" i="17"/>
  <c r="B12" i="17"/>
  <c r="B11" i="17"/>
  <c r="B10" i="17"/>
  <c r="B9" i="17"/>
  <c r="B8" i="17"/>
  <c r="B7" i="17"/>
  <c r="B6" i="17"/>
  <c r="B5" i="17"/>
  <c r="B4" i="17"/>
  <c r="B3" i="17"/>
  <c r="A16" i="17"/>
  <c r="A15" i="17"/>
  <c r="A14" i="17"/>
  <c r="A13" i="17"/>
  <c r="A12" i="17"/>
  <c r="A11" i="17"/>
  <c r="A10" i="17"/>
  <c r="A9" i="17"/>
  <c r="A8" i="17"/>
  <c r="A7" i="17"/>
  <c r="A6" i="17"/>
  <c r="A5" i="17"/>
  <c r="A4" i="17"/>
  <c r="A3" i="17"/>
  <c r="B12" i="14"/>
  <c r="B11" i="14"/>
  <c r="B10" i="14"/>
  <c r="B9" i="14"/>
  <c r="B8" i="14"/>
  <c r="B7" i="14"/>
  <c r="B6" i="14"/>
  <c r="B5" i="14"/>
  <c r="B4" i="14"/>
  <c r="B3" i="14"/>
  <c r="A12" i="14"/>
  <c r="A11" i="14"/>
  <c r="A10" i="14"/>
  <c r="A9" i="14"/>
  <c r="A8" i="14"/>
  <c r="A7" i="14"/>
  <c r="A6" i="14"/>
  <c r="A5" i="14"/>
  <c r="A4" i="14"/>
  <c r="A3" i="14"/>
  <c r="B10" i="11"/>
  <c r="B15" i="11"/>
  <c r="B14" i="11"/>
  <c r="B13" i="11"/>
  <c r="B12" i="11"/>
  <c r="B11" i="11"/>
  <c r="B9" i="11"/>
  <c r="B8" i="11"/>
  <c r="B7" i="11"/>
  <c r="B6" i="11"/>
  <c r="B5" i="11"/>
  <c r="B4" i="11"/>
  <c r="B3" i="11"/>
  <c r="A10" i="11"/>
  <c r="A15" i="11"/>
  <c r="A14" i="11"/>
  <c r="A13" i="11"/>
  <c r="A12" i="11"/>
  <c r="A11" i="11"/>
  <c r="A9" i="11"/>
  <c r="A8" i="11"/>
  <c r="A7" i="11"/>
  <c r="A6" i="11"/>
  <c r="A5" i="11"/>
  <c r="A4" i="11"/>
  <c r="A3" i="11"/>
  <c r="B11" i="10"/>
  <c r="B10" i="10"/>
  <c r="B9" i="10"/>
  <c r="B8" i="10"/>
  <c r="B7" i="10"/>
  <c r="B6" i="10"/>
  <c r="B5" i="10"/>
  <c r="B4" i="10"/>
  <c r="B3" i="10"/>
  <c r="A11" i="10"/>
  <c r="A10" i="10"/>
  <c r="A9" i="10"/>
  <c r="A8" i="10"/>
  <c r="A7" i="10"/>
  <c r="A6" i="10"/>
  <c r="A5" i="10"/>
  <c r="A4" i="10"/>
  <c r="A3" i="10"/>
  <c r="B9" i="9"/>
  <c r="B8" i="9"/>
  <c r="B7" i="9"/>
  <c r="B6" i="9"/>
  <c r="B5" i="9"/>
  <c r="B4" i="9"/>
  <c r="B3" i="9"/>
  <c r="A9" i="9"/>
  <c r="A8" i="9"/>
  <c r="A7" i="9"/>
  <c r="A6" i="9"/>
  <c r="A5" i="9"/>
  <c r="A4" i="9"/>
  <c r="A3" i="9"/>
  <c r="B9" i="12"/>
  <c r="B8" i="12"/>
  <c r="B7" i="12"/>
  <c r="B6" i="12"/>
  <c r="B5" i="12"/>
  <c r="B4" i="12"/>
  <c r="B3" i="12"/>
  <c r="A9" i="12"/>
  <c r="A8" i="12"/>
  <c r="A7" i="12"/>
  <c r="A6" i="12"/>
  <c r="A5" i="12"/>
  <c r="A4" i="12"/>
  <c r="A3" i="12"/>
  <c r="B17" i="31"/>
  <c r="B16" i="31"/>
  <c r="B15" i="31"/>
  <c r="B14" i="31"/>
  <c r="B13" i="31"/>
  <c r="B12" i="31"/>
  <c r="B11" i="31"/>
  <c r="B9" i="31"/>
  <c r="B8" i="31"/>
  <c r="B7" i="31"/>
  <c r="B6" i="31"/>
  <c r="B5" i="31"/>
  <c r="B4" i="31"/>
  <c r="B3" i="31"/>
  <c r="A13" i="31"/>
  <c r="A17" i="31"/>
  <c r="A16" i="31"/>
  <c r="A15" i="31"/>
  <c r="A14" i="31"/>
  <c r="A12" i="31"/>
  <c r="A11" i="31"/>
  <c r="A9" i="31"/>
  <c r="A8" i="31"/>
  <c r="A7" i="31"/>
  <c r="A6" i="31"/>
  <c r="A5" i="31"/>
  <c r="A4" i="31"/>
  <c r="A3" i="31"/>
  <c r="A17" i="8"/>
  <c r="A16" i="8"/>
  <c r="A15" i="8"/>
  <c r="A14" i="8"/>
  <c r="A13" i="8"/>
  <c r="A12" i="8"/>
  <c r="A11" i="8"/>
  <c r="A10" i="8"/>
  <c r="A9" i="8"/>
  <c r="A8" i="8"/>
  <c r="A7" i="8"/>
  <c r="A6" i="8"/>
  <c r="A5" i="8"/>
  <c r="A4" i="8"/>
  <c r="A3" i="8"/>
  <c r="G13" i="27" l="1"/>
  <c r="G11" i="27"/>
  <c r="G10" i="27"/>
  <c r="G9" i="27"/>
  <c r="G8" i="27"/>
  <c r="G7" i="27"/>
  <c r="G6" i="27"/>
  <c r="G5" i="27"/>
  <c r="G4" i="27"/>
  <c r="G3" i="27"/>
  <c r="G23" i="23"/>
  <c r="G22" i="23"/>
  <c r="G21" i="23"/>
  <c r="G20" i="23"/>
  <c r="G19" i="23"/>
  <c r="G18" i="23"/>
  <c r="G17" i="23"/>
  <c r="G16" i="23"/>
  <c r="G15" i="23"/>
  <c r="G14" i="23"/>
  <c r="G13" i="23"/>
  <c r="G12" i="23"/>
  <c r="G11" i="23"/>
  <c r="G9" i="23"/>
  <c r="G8" i="23"/>
  <c r="G7" i="23"/>
  <c r="G6" i="23"/>
  <c r="G5" i="23"/>
  <c r="G4" i="23"/>
  <c r="G3" i="23"/>
  <c r="G27" i="21"/>
  <c r="G26" i="21"/>
  <c r="G24" i="21"/>
  <c r="G23" i="21"/>
  <c r="G25" i="21"/>
  <c r="G22" i="21"/>
  <c r="G20" i="21"/>
  <c r="G19" i="21"/>
  <c r="G18" i="21"/>
  <c r="G17" i="21"/>
  <c r="G16" i="21"/>
  <c r="G15" i="21"/>
  <c r="G14" i="21"/>
  <c r="G13" i="21"/>
  <c r="G12" i="21"/>
  <c r="G11" i="21"/>
  <c r="G9" i="21"/>
  <c r="G8" i="21"/>
  <c r="G7" i="21"/>
  <c r="G6" i="21"/>
  <c r="G5" i="21"/>
  <c r="G4" i="21"/>
  <c r="G21" i="20"/>
  <c r="G20" i="20"/>
  <c r="G17" i="20"/>
  <c r="G16" i="20"/>
  <c r="G15" i="20"/>
  <c r="G14" i="20"/>
  <c r="G12" i="20"/>
  <c r="G10" i="20"/>
  <c r="G8" i="20"/>
  <c r="G7" i="20"/>
  <c r="G5" i="20"/>
  <c r="G4" i="20"/>
  <c r="G3" i="20"/>
  <c r="G21" i="18"/>
  <c r="G20" i="18"/>
  <c r="G18" i="18"/>
  <c r="G17" i="18"/>
  <c r="G14" i="18"/>
  <c r="G16" i="18"/>
  <c r="G15" i="18"/>
  <c r="G13" i="18"/>
  <c r="G12" i="18"/>
  <c r="G11" i="18"/>
  <c r="G10" i="18"/>
  <c r="G9" i="18"/>
  <c r="G8" i="18"/>
  <c r="G7" i="18"/>
  <c r="G6" i="18"/>
  <c r="G5" i="18"/>
  <c r="G4" i="18"/>
  <c r="G3" i="18"/>
  <c r="G15" i="15"/>
  <c r="G13" i="15"/>
  <c r="G12" i="15"/>
  <c r="G11" i="15"/>
  <c r="G10" i="15"/>
  <c r="G9" i="15"/>
  <c r="G7" i="15"/>
  <c r="G6" i="15"/>
  <c r="G5" i="15"/>
  <c r="G4" i="15"/>
  <c r="G3" i="15"/>
  <c r="G16" i="17"/>
  <c r="G15" i="17"/>
  <c r="G12" i="17"/>
  <c r="G10" i="17"/>
  <c r="G9" i="17"/>
  <c r="G8" i="17"/>
  <c r="G7" i="17"/>
  <c r="G6" i="17"/>
  <c r="G4" i="17"/>
  <c r="G3" i="17"/>
  <c r="G11" i="17"/>
  <c r="G5" i="17"/>
  <c r="G12" i="14"/>
  <c r="G11" i="14"/>
  <c r="G10" i="14"/>
  <c r="G9" i="14"/>
  <c r="G8" i="14"/>
  <c r="G7" i="14"/>
  <c r="G6" i="14"/>
  <c r="G5" i="14"/>
  <c r="G3" i="14"/>
  <c r="G15" i="11"/>
  <c r="G14" i="11"/>
  <c r="G12" i="11"/>
  <c r="G10" i="11"/>
  <c r="G9" i="11"/>
  <c r="G8" i="11"/>
  <c r="G7" i="11"/>
  <c r="G6" i="11"/>
  <c r="G5" i="11"/>
  <c r="G4" i="11"/>
  <c r="G3" i="11"/>
  <c r="G11" i="10"/>
  <c r="G8" i="10"/>
  <c r="G7" i="10"/>
  <c r="G6" i="10"/>
  <c r="G5" i="10"/>
  <c r="G4" i="10"/>
  <c r="G3" i="10"/>
  <c r="G9" i="9"/>
  <c r="G6" i="9"/>
  <c r="G5" i="9"/>
  <c r="G4" i="9"/>
  <c r="G3" i="9"/>
  <c r="G9" i="12"/>
  <c r="G7" i="12"/>
  <c r="G6" i="12"/>
  <c r="G5" i="12"/>
  <c r="G4" i="12"/>
  <c r="G17" i="31"/>
  <c r="G16" i="31"/>
  <c r="G13" i="31"/>
  <c r="G9" i="31"/>
  <c r="G8" i="31"/>
  <c r="G7" i="31"/>
  <c r="G6" i="31"/>
  <c r="G5" i="31"/>
  <c r="G4" i="31"/>
  <c r="G3" i="31"/>
  <c r="G17" i="8"/>
  <c r="G16" i="8"/>
  <c r="G15" i="8"/>
  <c r="G14" i="8"/>
  <c r="G13" i="8"/>
  <c r="G11" i="8"/>
  <c r="G10" i="8"/>
  <c r="G9" i="8"/>
  <c r="G8" i="8"/>
  <c r="G7" i="8"/>
  <c r="G6" i="8"/>
  <c r="G5" i="8"/>
  <c r="G4" i="8"/>
  <c r="D98" i="23"/>
  <c r="F98" i="23" s="1"/>
  <c r="D97" i="23"/>
  <c r="F97" i="23" s="1"/>
  <c r="D96" i="23"/>
  <c r="F96" i="23" s="1"/>
  <c r="D95" i="23"/>
  <c r="F95" i="23" s="1"/>
  <c r="A94" i="23"/>
  <c r="C98" i="23"/>
  <c r="C97" i="23"/>
  <c r="C96" i="23"/>
  <c r="C95" i="23"/>
  <c r="C94" i="23"/>
  <c r="D65" i="27"/>
  <c r="F65" i="27" s="1"/>
  <c r="D64" i="27"/>
  <c r="F64" i="27" s="1"/>
  <c r="D63" i="27"/>
  <c r="F63" i="27" s="1"/>
  <c r="C65" i="27"/>
  <c r="C64" i="27"/>
  <c r="C63" i="27"/>
  <c r="C62" i="27"/>
  <c r="A62" i="27"/>
  <c r="G3" i="8"/>
  <c r="G94" i="23" l="1"/>
  <c r="D250" i="23" s="1"/>
  <c r="G62" i="27"/>
  <c r="D88" i="20"/>
  <c r="G88" i="20" s="1"/>
  <c r="C88" i="20"/>
  <c r="A88" i="20"/>
  <c r="D114" i="8"/>
  <c r="D69" i="27"/>
  <c r="D68" i="27"/>
  <c r="D67" i="27"/>
  <c r="D52" i="27"/>
  <c r="D51" i="27"/>
  <c r="D50" i="27"/>
  <c r="F50" i="27" s="1"/>
  <c r="D41" i="27"/>
  <c r="F41" i="27" s="1"/>
  <c r="D38" i="27"/>
  <c r="F38" i="27" s="1"/>
  <c r="D37" i="27"/>
  <c r="F37" i="27" s="1"/>
  <c r="D36" i="27"/>
  <c r="F36" i="27" s="1"/>
  <c r="D35" i="27"/>
  <c r="F35" i="27" s="1"/>
  <c r="D30" i="27"/>
  <c r="F30" i="27" s="1"/>
  <c r="D28" i="27"/>
  <c r="F28" i="27" s="1"/>
  <c r="D21" i="27"/>
  <c r="F21" i="27" s="1"/>
  <c r="D16" i="27"/>
  <c r="D15" i="27"/>
  <c r="D207" i="23"/>
  <c r="D205" i="23"/>
  <c r="F205" i="23" s="1"/>
  <c r="D193" i="23"/>
  <c r="F193" i="23" s="1"/>
  <c r="D191" i="23"/>
  <c r="G191" i="23" s="1"/>
  <c r="D190" i="23"/>
  <c r="F190" i="23" s="1"/>
  <c r="D187" i="23"/>
  <c r="F187" i="23" s="1"/>
  <c r="D178" i="23"/>
  <c r="F178" i="23" s="1"/>
  <c r="D172" i="23"/>
  <c r="F172" i="23" s="1"/>
  <c r="D170" i="23"/>
  <c r="F170" i="23" s="1"/>
  <c r="D165" i="23"/>
  <c r="F165" i="23" s="1"/>
  <c r="D160" i="23"/>
  <c r="F160" i="23" s="1"/>
  <c r="D153" i="23"/>
  <c r="F153" i="23" s="1"/>
  <c r="D151" i="23"/>
  <c r="F151" i="23" s="1"/>
  <c r="D144" i="23"/>
  <c r="F144" i="23" s="1"/>
  <c r="D140" i="23"/>
  <c r="F140" i="23" s="1"/>
  <c r="D135" i="23"/>
  <c r="F135" i="23" s="1"/>
  <c r="D130" i="23"/>
  <c r="F130" i="23" s="1"/>
  <c r="D129" i="23"/>
  <c r="F129" i="23" s="1"/>
  <c r="D125" i="23"/>
  <c r="F125" i="23" s="1"/>
  <c r="D119" i="23"/>
  <c r="F119" i="23" s="1"/>
  <c r="D115" i="23"/>
  <c r="F115" i="23" s="1"/>
  <c r="D113" i="23"/>
  <c r="F113" i="23" s="1"/>
  <c r="D112" i="23"/>
  <c r="F112" i="23" s="1"/>
  <c r="D111" i="23"/>
  <c r="F111" i="23" s="1"/>
  <c r="D110" i="23"/>
  <c r="F110" i="23" s="1"/>
  <c r="D109" i="23"/>
  <c r="F109" i="23" s="1"/>
  <c r="D108" i="23"/>
  <c r="F108" i="23" s="1"/>
  <c r="D107" i="23"/>
  <c r="F107" i="23" s="1"/>
  <c r="D106" i="23"/>
  <c r="F106" i="23" s="1"/>
  <c r="D102" i="23"/>
  <c r="F102" i="23" s="1"/>
  <c r="D90" i="23"/>
  <c r="F90" i="23" s="1"/>
  <c r="D85" i="23"/>
  <c r="F85" i="23" s="1"/>
  <c r="D79" i="23"/>
  <c r="F79" i="23" s="1"/>
  <c r="D75" i="23"/>
  <c r="F75" i="23" s="1"/>
  <c r="D63" i="23"/>
  <c r="D73" i="23"/>
  <c r="F73" i="23" s="1"/>
  <c r="D56" i="23"/>
  <c r="F56" i="23" s="1"/>
  <c r="D53" i="23"/>
  <c r="F53" i="23" s="1"/>
  <c r="D45" i="23"/>
  <c r="F45" i="23" s="1"/>
  <c r="D40" i="23"/>
  <c r="F40" i="23" s="1"/>
  <c r="D33" i="23"/>
  <c r="D32" i="23"/>
  <c r="D31" i="23"/>
  <c r="D29" i="23"/>
  <c r="F29" i="23" s="1"/>
  <c r="D160" i="21"/>
  <c r="F160" i="21" s="1"/>
  <c r="D158" i="21"/>
  <c r="F158" i="21" s="1"/>
  <c r="D151" i="21"/>
  <c r="G151" i="21" s="1"/>
  <c r="D150" i="21"/>
  <c r="F150" i="21" s="1"/>
  <c r="D147" i="21"/>
  <c r="F147" i="21" s="1"/>
  <c r="D136" i="21"/>
  <c r="F136" i="21" s="1"/>
  <c r="D131" i="21"/>
  <c r="F131" i="21" s="1"/>
  <c r="D127" i="21"/>
  <c r="F127" i="21" s="1"/>
  <c r="D119" i="21"/>
  <c r="F119" i="21" s="1"/>
  <c r="D83" i="21"/>
  <c r="F83" i="21" s="1"/>
  <c r="D113" i="21"/>
  <c r="F113" i="21" s="1"/>
  <c r="D108" i="21"/>
  <c r="F108" i="21" s="1"/>
  <c r="D121" i="21"/>
  <c r="F121" i="21" s="1"/>
  <c r="D103" i="21"/>
  <c r="F103" i="21" s="1"/>
  <c r="D101" i="21"/>
  <c r="F101" i="21" s="1"/>
  <c r="D100" i="21"/>
  <c r="F100" i="21" s="1"/>
  <c r="D99" i="21"/>
  <c r="F99" i="21" s="1"/>
  <c r="D98" i="21"/>
  <c r="F98" i="21" s="1"/>
  <c r="D97" i="21"/>
  <c r="F97" i="21" s="1"/>
  <c r="D96" i="21"/>
  <c r="F96" i="21" s="1"/>
  <c r="D95" i="21"/>
  <c r="F95" i="21" s="1"/>
  <c r="D94" i="21"/>
  <c r="F94" i="21" s="1"/>
  <c r="D91" i="21"/>
  <c r="F91" i="21" s="1"/>
  <c r="D72" i="21"/>
  <c r="F72" i="21" s="1"/>
  <c r="D68" i="21"/>
  <c r="F68" i="21" s="1"/>
  <c r="D56" i="21"/>
  <c r="F56" i="21" s="1"/>
  <c r="D66" i="21"/>
  <c r="F66" i="21" s="1"/>
  <c r="D48" i="21"/>
  <c r="F48" i="21" s="1"/>
  <c r="D45" i="21"/>
  <c r="F45" i="21" s="1"/>
  <c r="D38" i="21"/>
  <c r="D37" i="21"/>
  <c r="D36" i="21"/>
  <c r="D35" i="21"/>
  <c r="D153" i="20"/>
  <c r="F153" i="20" s="1"/>
  <c r="D149" i="20"/>
  <c r="D145" i="20"/>
  <c r="F145" i="20" s="1"/>
  <c r="D143" i="20"/>
  <c r="F143" i="20" s="1"/>
  <c r="D136" i="20"/>
  <c r="F136" i="20" s="1"/>
  <c r="D130" i="20"/>
  <c r="F130" i="20" s="1"/>
  <c r="D124" i="20"/>
  <c r="F124" i="20" s="1"/>
  <c r="D117" i="20"/>
  <c r="F117" i="20" s="1"/>
  <c r="D115" i="20"/>
  <c r="F115" i="20" s="1"/>
  <c r="D102" i="20"/>
  <c r="F102" i="20" s="1"/>
  <c r="D97" i="20"/>
  <c r="F97" i="20" s="1"/>
  <c r="D92" i="20"/>
  <c r="F92" i="20" s="1"/>
  <c r="D90" i="20"/>
  <c r="G90" i="20" s="1"/>
  <c r="D85" i="20"/>
  <c r="F85" i="20" s="1"/>
  <c r="D69" i="20"/>
  <c r="F69" i="20" s="1"/>
  <c r="D64" i="20"/>
  <c r="F64" i="20" s="1"/>
  <c r="D83" i="20"/>
  <c r="F83" i="20" s="1"/>
  <c r="D77" i="20"/>
  <c r="F77" i="20" s="1"/>
  <c r="D56" i="20"/>
  <c r="F56" i="20" s="1"/>
  <c r="D51" i="20"/>
  <c r="F51" i="20" s="1"/>
  <c r="D44" i="20"/>
  <c r="F44" i="20" s="1"/>
  <c r="D39" i="20"/>
  <c r="F39" i="20" s="1"/>
  <c r="D30" i="20"/>
  <c r="F30" i="20" s="1"/>
  <c r="D27" i="20"/>
  <c r="F27" i="20" s="1"/>
  <c r="D123" i="18"/>
  <c r="F123" i="18" s="1"/>
  <c r="D130" i="18"/>
  <c r="D115" i="18"/>
  <c r="F115" i="18" s="1"/>
  <c r="D113" i="18"/>
  <c r="F113" i="18" s="1"/>
  <c r="D106" i="18"/>
  <c r="F106" i="18" s="1"/>
  <c r="D100" i="18"/>
  <c r="F100" i="18" s="1"/>
  <c r="D81" i="18"/>
  <c r="F81" i="18" s="1"/>
  <c r="D95" i="18"/>
  <c r="F95" i="18" s="1"/>
  <c r="D93" i="18"/>
  <c r="F93" i="18" s="1"/>
  <c r="D92" i="18"/>
  <c r="F92" i="18" s="1"/>
  <c r="D91" i="18"/>
  <c r="F91" i="18" s="1"/>
  <c r="D90" i="18"/>
  <c r="F90" i="18" s="1"/>
  <c r="D89" i="18"/>
  <c r="F89" i="18" s="1"/>
  <c r="D88" i="18"/>
  <c r="F88" i="18" s="1"/>
  <c r="D87" i="18"/>
  <c r="F87" i="18" s="1"/>
  <c r="D86" i="18"/>
  <c r="F86" i="18" s="1"/>
  <c r="D76" i="18"/>
  <c r="F76" i="18" s="1"/>
  <c r="D72" i="18"/>
  <c r="F72" i="18" s="1"/>
  <c r="D67" i="18"/>
  <c r="F67" i="18" s="1"/>
  <c r="D61" i="18"/>
  <c r="F61" i="18" s="1"/>
  <c r="D44" i="18"/>
  <c r="F44" i="18" s="1"/>
  <c r="D42" i="18"/>
  <c r="F42" i="18" s="1"/>
  <c r="D59" i="18"/>
  <c r="F59" i="18" s="1"/>
  <c r="D55" i="18"/>
  <c r="F55" i="18" s="1"/>
  <c r="D31" i="18"/>
  <c r="F31" i="18" s="1"/>
  <c r="D25" i="18"/>
  <c r="F25" i="18" s="1"/>
  <c r="D137" i="15"/>
  <c r="D131" i="15"/>
  <c r="F131" i="15" s="1"/>
  <c r="D128" i="15"/>
  <c r="F128" i="15" s="1"/>
  <c r="D122" i="15"/>
  <c r="F122" i="15" s="1"/>
  <c r="D119" i="15"/>
  <c r="F119" i="15" s="1"/>
  <c r="D111" i="15"/>
  <c r="F111" i="15" s="1"/>
  <c r="D109" i="15"/>
  <c r="F109" i="15" s="1"/>
  <c r="D103" i="15"/>
  <c r="F103" i="15" s="1"/>
  <c r="D91" i="15"/>
  <c r="F91" i="15" s="1"/>
  <c r="D96" i="15"/>
  <c r="F96" i="15" s="1"/>
  <c r="D87" i="15"/>
  <c r="F87" i="15" s="1"/>
  <c r="D83" i="15"/>
  <c r="F83" i="15" s="1"/>
  <c r="D75" i="15"/>
  <c r="F75" i="15" s="1"/>
  <c r="D67" i="15"/>
  <c r="F67" i="15" s="1"/>
  <c r="D73" i="15"/>
  <c r="F73" i="15" s="1"/>
  <c r="D62" i="15"/>
  <c r="F62" i="15" s="1"/>
  <c r="D55" i="15"/>
  <c r="F55" i="15" s="1"/>
  <c r="D50" i="15"/>
  <c r="F50" i="15" s="1"/>
  <c r="D44" i="15"/>
  <c r="F44" i="15" s="1"/>
  <c r="D41" i="15"/>
  <c r="F41" i="15" s="1"/>
  <c r="D30" i="15"/>
  <c r="F30" i="15" s="1"/>
  <c r="D21" i="15"/>
  <c r="F21" i="15" s="1"/>
  <c r="D110" i="17"/>
  <c r="D106" i="17"/>
  <c r="F106" i="17" s="1"/>
  <c r="D98" i="17"/>
  <c r="F98" i="17" s="1"/>
  <c r="D88" i="17"/>
  <c r="F88" i="17" s="1"/>
  <c r="D92" i="17"/>
  <c r="F92" i="17" s="1"/>
  <c r="D81" i="17"/>
  <c r="F81" i="17" s="1"/>
  <c r="D79" i="17"/>
  <c r="G79" i="17" s="1"/>
  <c r="D75" i="17"/>
  <c r="F75" i="17" s="1"/>
  <c r="D66" i="17"/>
  <c r="F66" i="17" s="1"/>
  <c r="D61" i="17"/>
  <c r="F61" i="17" s="1"/>
  <c r="D73" i="17"/>
  <c r="F73" i="17" s="1"/>
  <c r="D54" i="17"/>
  <c r="F54" i="17" s="1"/>
  <c r="D50" i="17"/>
  <c r="F50" i="17" s="1"/>
  <c r="D41" i="17"/>
  <c r="F41" i="17" s="1"/>
  <c r="D36" i="17"/>
  <c r="F36" i="17" s="1"/>
  <c r="D24" i="17"/>
  <c r="F24" i="17" s="1"/>
  <c r="D22" i="17"/>
  <c r="F22" i="17" s="1"/>
  <c r="D112" i="14"/>
  <c r="F112" i="14" s="1"/>
  <c r="D109" i="14"/>
  <c r="F109" i="14" s="1"/>
  <c r="D102" i="14"/>
  <c r="F102" i="14" s="1"/>
  <c r="D100" i="14"/>
  <c r="F100" i="14" s="1"/>
  <c r="D94" i="14"/>
  <c r="F94" i="14" s="1"/>
  <c r="D88" i="14"/>
  <c r="F88" i="14" s="1"/>
  <c r="D82" i="14"/>
  <c r="F82" i="14" s="1"/>
  <c r="D77" i="14"/>
  <c r="F77" i="14" s="1"/>
  <c r="D69" i="14"/>
  <c r="F69" i="14" s="1"/>
  <c r="D65" i="14"/>
  <c r="F65" i="14" s="1"/>
  <c r="D58" i="14"/>
  <c r="F58" i="14" s="1"/>
  <c r="D45" i="14"/>
  <c r="F45" i="14" s="1"/>
  <c r="D37" i="14"/>
  <c r="F37" i="14" s="1"/>
  <c r="D52" i="14"/>
  <c r="F52" i="14" s="1"/>
  <c r="D35" i="14"/>
  <c r="F35" i="14" s="1"/>
  <c r="D30" i="14"/>
  <c r="F30" i="14" s="1"/>
  <c r="D24" i="14"/>
  <c r="F24" i="14" s="1"/>
  <c r="D17" i="14"/>
  <c r="F17" i="14" s="1"/>
  <c r="D132" i="11"/>
  <c r="F132" i="11" s="1"/>
  <c r="D122" i="11"/>
  <c r="F122" i="11" s="1"/>
  <c r="D119" i="11"/>
  <c r="F119" i="11" s="1"/>
  <c r="D115" i="11"/>
  <c r="F115" i="11" s="1"/>
  <c r="D111" i="11"/>
  <c r="F111" i="11" s="1"/>
  <c r="D104" i="11"/>
  <c r="F104" i="11" s="1"/>
  <c r="D99" i="11"/>
  <c r="F99" i="11" s="1"/>
  <c r="D93" i="11"/>
  <c r="F93" i="11" s="1"/>
  <c r="D89" i="11"/>
  <c r="F89" i="11" s="1"/>
  <c r="D85" i="11"/>
  <c r="F85" i="11" s="1"/>
  <c r="D82" i="11"/>
  <c r="F82" i="11" s="1"/>
  <c r="D77" i="11"/>
  <c r="F77" i="11" s="1"/>
  <c r="D69" i="11"/>
  <c r="F69" i="11" s="1"/>
  <c r="D56" i="11"/>
  <c r="F56" i="11" s="1"/>
  <c r="D54" i="11"/>
  <c r="F54" i="11" s="1"/>
  <c r="D67" i="11"/>
  <c r="F67" i="11" s="1"/>
  <c r="D46" i="11"/>
  <c r="F46" i="11" s="1"/>
  <c r="D41" i="11"/>
  <c r="F41" i="11" s="1"/>
  <c r="D33" i="11"/>
  <c r="F33" i="11" s="1"/>
  <c r="D24" i="11"/>
  <c r="F24" i="11" s="1"/>
  <c r="D19" i="11"/>
  <c r="F19" i="11" s="1"/>
  <c r="D93" i="10"/>
  <c r="F93" i="10" s="1"/>
  <c r="D90" i="10"/>
  <c r="F90" i="10" s="1"/>
  <c r="D86" i="10"/>
  <c r="F86" i="10" s="1"/>
  <c r="D79" i="10"/>
  <c r="F79" i="10" s="1"/>
  <c r="D74" i="10"/>
  <c r="F74" i="10" s="1"/>
  <c r="D70" i="10"/>
  <c r="F70" i="10" s="1"/>
  <c r="D67" i="10"/>
  <c r="F67" i="10" s="1"/>
  <c r="D62" i="10"/>
  <c r="F62" i="10" s="1"/>
  <c r="D53" i="10"/>
  <c r="F53" i="10" s="1"/>
  <c r="D40" i="10"/>
  <c r="F40" i="10" s="1"/>
  <c r="D51" i="10"/>
  <c r="F51" i="10" s="1"/>
  <c r="D36" i="10"/>
  <c r="F36" i="10" s="1"/>
  <c r="D29" i="10"/>
  <c r="F29" i="10" s="1"/>
  <c r="D27" i="10"/>
  <c r="G27" i="10" s="1"/>
  <c r="D21" i="10"/>
  <c r="F21" i="10" s="1"/>
  <c r="D19" i="10"/>
  <c r="F19" i="10" s="1"/>
  <c r="D101" i="10"/>
  <c r="F101" i="10" s="1"/>
  <c r="D93" i="9"/>
  <c r="F93" i="9" s="1"/>
  <c r="D88" i="9"/>
  <c r="F88" i="9" s="1"/>
  <c r="D81" i="9"/>
  <c r="F81" i="9" s="1"/>
  <c r="D76" i="9"/>
  <c r="F76" i="9" s="1"/>
  <c r="D72" i="9"/>
  <c r="F72" i="9" s="1"/>
  <c r="D69" i="9"/>
  <c r="F69" i="9" s="1"/>
  <c r="D64" i="9"/>
  <c r="F64" i="9" s="1"/>
  <c r="D56" i="9"/>
  <c r="F56" i="9" s="1"/>
  <c r="D37" i="9"/>
  <c r="F37" i="9" s="1"/>
  <c r="D35" i="9"/>
  <c r="F35" i="9" s="1"/>
  <c r="D54" i="9"/>
  <c r="F54" i="9" s="1"/>
  <c r="D48" i="9"/>
  <c r="F48" i="9" s="1"/>
  <c r="D27" i="9"/>
  <c r="F27" i="9" s="1"/>
  <c r="D21" i="9"/>
  <c r="F21" i="9" s="1"/>
  <c r="D16" i="9"/>
  <c r="F16" i="9" s="1"/>
  <c r="D63" i="12"/>
  <c r="F63" i="12" s="1"/>
  <c r="D57" i="12"/>
  <c r="F57" i="12" s="1"/>
  <c r="D50" i="12"/>
  <c r="F50" i="12" s="1"/>
  <c r="D42" i="12"/>
  <c r="F42" i="12" s="1"/>
  <c r="D40" i="12"/>
  <c r="F40" i="12" s="1"/>
  <c r="D34" i="12"/>
  <c r="F34" i="12" s="1"/>
  <c r="D28" i="12"/>
  <c r="F28" i="12" s="1"/>
  <c r="D19" i="12"/>
  <c r="F19" i="12" s="1"/>
  <c r="D14" i="12"/>
  <c r="F14" i="12" s="1"/>
  <c r="D49" i="31"/>
  <c r="F49" i="31" s="1"/>
  <c r="D41" i="31"/>
  <c r="F41" i="31" s="1"/>
  <c r="D37" i="31"/>
  <c r="F37" i="31" s="1"/>
  <c r="D31" i="31"/>
  <c r="F31" i="31" s="1"/>
  <c r="D29" i="31"/>
  <c r="F29" i="31" s="1"/>
  <c r="D22" i="31"/>
  <c r="F22" i="31" s="1"/>
  <c r="D20" i="8"/>
  <c r="F20" i="8" s="1"/>
  <c r="D21" i="8"/>
  <c r="F21" i="8" s="1"/>
  <c r="D22" i="8"/>
  <c r="F22" i="8" s="1"/>
  <c r="D23" i="8"/>
  <c r="F23" i="8" s="1"/>
  <c r="D24" i="8"/>
  <c r="F24" i="8" s="1"/>
  <c r="D88" i="8"/>
  <c r="F88" i="8" s="1"/>
  <c r="D89" i="8"/>
  <c r="F89" i="8" s="1"/>
  <c r="D90" i="8"/>
  <c r="F90" i="8" s="1"/>
  <c r="D91" i="8"/>
  <c r="F91" i="8" s="1"/>
  <c r="D39" i="8"/>
  <c r="F39" i="8" s="1"/>
  <c r="D40" i="8"/>
  <c r="F40" i="8" s="1"/>
  <c r="D41" i="8"/>
  <c r="F41" i="8" s="1"/>
  <c r="D42" i="8"/>
  <c r="F42" i="8" s="1"/>
  <c r="D43" i="8"/>
  <c r="F43" i="8" s="1"/>
  <c r="D44" i="8"/>
  <c r="F44" i="8" s="1"/>
  <c r="D78" i="8"/>
  <c r="F78" i="8" s="1"/>
  <c r="D79" i="8"/>
  <c r="F79" i="8" s="1"/>
  <c r="D80" i="8"/>
  <c r="F80" i="8" s="1"/>
  <c r="D81" i="8"/>
  <c r="F81" i="8" s="1"/>
  <c r="D82" i="8"/>
  <c r="F82" i="8" s="1"/>
  <c r="D125" i="8"/>
  <c r="D96" i="8"/>
  <c r="F96" i="8" s="1"/>
  <c r="D86" i="8"/>
  <c r="F86" i="8" s="1"/>
  <c r="D73" i="8"/>
  <c r="F73" i="8" s="1"/>
  <c r="D71" i="8"/>
  <c r="F71" i="8" s="1"/>
  <c r="D65" i="8"/>
  <c r="F65" i="8" s="1"/>
  <c r="D63" i="8"/>
  <c r="D57" i="8"/>
  <c r="F57" i="8" s="1"/>
  <c r="D37" i="8"/>
  <c r="F37" i="8" s="1"/>
  <c r="D51" i="8"/>
  <c r="F51" i="8" s="1"/>
  <c r="D29" i="8"/>
  <c r="F29" i="8" s="1"/>
  <c r="D31" i="27"/>
  <c r="F31" i="27" s="1"/>
  <c r="D32" i="27"/>
  <c r="F32" i="27" s="1"/>
  <c r="D33" i="27"/>
  <c r="F33" i="27" s="1"/>
  <c r="D76" i="23"/>
  <c r="F76" i="23" s="1"/>
  <c r="D77" i="23"/>
  <c r="F77" i="23" s="1"/>
  <c r="D84" i="21"/>
  <c r="F84" i="21" s="1"/>
  <c r="D85" i="21"/>
  <c r="F85" i="21" s="1"/>
  <c r="D86" i="21"/>
  <c r="F86" i="21" s="1"/>
  <c r="D69" i="21"/>
  <c r="F69" i="21" s="1"/>
  <c r="D70" i="21"/>
  <c r="F70" i="21" s="1"/>
  <c r="D55" i="21"/>
  <c r="F55" i="21" s="1"/>
  <c r="D57" i="21"/>
  <c r="F57" i="21" s="1"/>
  <c r="D58" i="21"/>
  <c r="F58" i="21" s="1"/>
  <c r="D59" i="21"/>
  <c r="F59" i="21" s="1"/>
  <c r="D60" i="21"/>
  <c r="F60" i="21" s="1"/>
  <c r="D86" i="20"/>
  <c r="F86" i="20" s="1"/>
  <c r="D87" i="20"/>
  <c r="F87" i="20" s="1"/>
  <c r="D66" i="20"/>
  <c r="F66" i="20" s="1"/>
  <c r="D67" i="20"/>
  <c r="F67" i="20" s="1"/>
  <c r="D68" i="20"/>
  <c r="F68" i="20" s="1"/>
  <c r="D70" i="20"/>
  <c r="F70" i="20" s="1"/>
  <c r="D71" i="20"/>
  <c r="F71" i="20" s="1"/>
  <c r="D62" i="18"/>
  <c r="F62" i="18" s="1"/>
  <c r="D63" i="18"/>
  <c r="F63" i="18" s="1"/>
  <c r="D45" i="18"/>
  <c r="F45" i="18" s="1"/>
  <c r="D46" i="18"/>
  <c r="F46" i="18" s="1"/>
  <c r="D47" i="18"/>
  <c r="F47" i="18" s="1"/>
  <c r="D48" i="18"/>
  <c r="F48" i="18" s="1"/>
  <c r="D49" i="18"/>
  <c r="F49" i="18" s="1"/>
  <c r="D82" i="18"/>
  <c r="F82" i="18" s="1"/>
  <c r="D83" i="18"/>
  <c r="F83" i="18" s="1"/>
  <c r="D84" i="18"/>
  <c r="F84" i="18" s="1"/>
  <c r="D76" i="15"/>
  <c r="F76" i="15" s="1"/>
  <c r="D77" i="15"/>
  <c r="F77" i="15" s="1"/>
  <c r="D64" i="15"/>
  <c r="F64" i="15" s="1"/>
  <c r="D65" i="15"/>
  <c r="F65" i="15" s="1"/>
  <c r="D66" i="15"/>
  <c r="F66" i="15" s="1"/>
  <c r="D68" i="15"/>
  <c r="F68" i="15" s="1"/>
  <c r="D69" i="15"/>
  <c r="F69" i="15" s="1"/>
  <c r="D92" i="15"/>
  <c r="F92" i="15" s="1"/>
  <c r="D93" i="15"/>
  <c r="F93" i="15" s="1"/>
  <c r="D94" i="15"/>
  <c r="F94" i="15" s="1"/>
  <c r="D93" i="17"/>
  <c r="F93" i="17" s="1"/>
  <c r="D94" i="17"/>
  <c r="F94" i="17" s="1"/>
  <c r="D95" i="17"/>
  <c r="F95" i="17" s="1"/>
  <c r="D96" i="17"/>
  <c r="F96" i="17" s="1"/>
  <c r="D64" i="17"/>
  <c r="F64" i="17" s="1"/>
  <c r="D65" i="17"/>
  <c r="F65" i="17" s="1"/>
  <c r="D67" i="17"/>
  <c r="F67" i="17" s="1"/>
  <c r="D68" i="17"/>
  <c r="F68" i="17" s="1"/>
  <c r="D76" i="17"/>
  <c r="F76" i="17" s="1"/>
  <c r="D77" i="17"/>
  <c r="F77" i="17" s="1"/>
  <c r="D59" i="14"/>
  <c r="F59" i="14" s="1"/>
  <c r="D60" i="14"/>
  <c r="F60" i="14" s="1"/>
  <c r="D107" i="14"/>
  <c r="F107" i="14" s="1"/>
  <c r="D108" i="14"/>
  <c r="F108" i="14" s="1"/>
  <c r="D110" i="14"/>
  <c r="F110" i="14" s="1"/>
  <c r="D70" i="11"/>
  <c r="F70" i="11" s="1"/>
  <c r="D71" i="11"/>
  <c r="F71" i="11" s="1"/>
  <c r="D117" i="11"/>
  <c r="F117" i="11" s="1"/>
  <c r="D118" i="11"/>
  <c r="F118" i="11" s="1"/>
  <c r="D120" i="11"/>
  <c r="F120" i="11" s="1"/>
  <c r="D127" i="10"/>
  <c r="D41" i="10"/>
  <c r="F41" i="10" s="1"/>
  <c r="D42" i="10"/>
  <c r="F42" i="10" s="1"/>
  <c r="D43" i="10"/>
  <c r="F43" i="10" s="1"/>
  <c r="D44" i="10"/>
  <c r="F44" i="10" s="1"/>
  <c r="D45" i="10"/>
  <c r="F45" i="10" s="1"/>
  <c r="D54" i="10"/>
  <c r="F54" i="10" s="1"/>
  <c r="D55" i="10"/>
  <c r="F55" i="10" s="1"/>
  <c r="D88" i="10"/>
  <c r="F88" i="10" s="1"/>
  <c r="D89" i="10"/>
  <c r="F89" i="10" s="1"/>
  <c r="D91" i="10"/>
  <c r="F91" i="10" s="1"/>
  <c r="D120" i="10"/>
  <c r="D113" i="9"/>
  <c r="D38" i="9"/>
  <c r="F38" i="9" s="1"/>
  <c r="D39" i="9"/>
  <c r="F39" i="9" s="1"/>
  <c r="D40" i="9"/>
  <c r="F40" i="9" s="1"/>
  <c r="D41" i="9"/>
  <c r="F41" i="9" s="1"/>
  <c r="D42" i="9"/>
  <c r="F42" i="9" s="1"/>
  <c r="D57" i="9"/>
  <c r="F57" i="9" s="1"/>
  <c r="D58" i="9"/>
  <c r="F58" i="9" s="1"/>
  <c r="D108" i="9"/>
  <c r="D110" i="9" s="1"/>
  <c r="C13" i="5" s="1"/>
  <c r="D51" i="12"/>
  <c r="F51" i="12" s="1"/>
  <c r="D52" i="12"/>
  <c r="F52" i="12" s="1"/>
  <c r="D53" i="12"/>
  <c r="F53" i="12" s="1"/>
  <c r="D54" i="12"/>
  <c r="F54" i="12" s="1"/>
  <c r="D55" i="12"/>
  <c r="F55" i="12" s="1"/>
  <c r="D30" i="12"/>
  <c r="F30" i="12" s="1"/>
  <c r="D31" i="12"/>
  <c r="F31" i="12" s="1"/>
  <c r="D32" i="12"/>
  <c r="F32" i="12" s="1"/>
  <c r="D33" i="12"/>
  <c r="F33" i="12" s="1"/>
  <c r="D42" i="31"/>
  <c r="F42" i="31" s="1"/>
  <c r="D43" i="31"/>
  <c r="F43" i="31" s="1"/>
  <c r="D44" i="31"/>
  <c r="F44" i="31" s="1"/>
  <c r="D45" i="31"/>
  <c r="F45" i="31" s="1"/>
  <c r="D65" i="31"/>
  <c r="D57" i="31"/>
  <c r="D61" i="27"/>
  <c r="G53" i="27" s="1"/>
  <c r="D26" i="27"/>
  <c r="F26" i="27" s="1"/>
  <c r="D27" i="27"/>
  <c r="F27" i="27" s="1"/>
  <c r="D40" i="27"/>
  <c r="F40" i="27" s="1"/>
  <c r="D42" i="27"/>
  <c r="F42" i="27" s="1"/>
  <c r="D43" i="27"/>
  <c r="F43" i="27" s="1"/>
  <c r="D44" i="27"/>
  <c r="F44" i="27" s="1"/>
  <c r="D45" i="27"/>
  <c r="F45" i="27" s="1"/>
  <c r="D47" i="27"/>
  <c r="F47" i="27" s="1"/>
  <c r="D48" i="27"/>
  <c r="F48" i="27" s="1"/>
  <c r="D49" i="27"/>
  <c r="F49" i="27" s="1"/>
  <c r="D24" i="27"/>
  <c r="G24" i="27" s="1"/>
  <c r="D18" i="27"/>
  <c r="F18" i="27" s="1"/>
  <c r="D19" i="27"/>
  <c r="F19" i="27" s="1"/>
  <c r="D20" i="27"/>
  <c r="F20" i="27" s="1"/>
  <c r="D22" i="27"/>
  <c r="F22" i="27" s="1"/>
  <c r="D23" i="27"/>
  <c r="F23" i="27" s="1"/>
  <c r="D36" i="18"/>
  <c r="F36" i="18" s="1"/>
  <c r="D37" i="18"/>
  <c r="F37" i="18" s="1"/>
  <c r="D38" i="18"/>
  <c r="F38" i="18" s="1"/>
  <c r="D39" i="18"/>
  <c r="F39" i="18" s="1"/>
  <c r="D40" i="18"/>
  <c r="F40" i="18" s="1"/>
  <c r="D41" i="18"/>
  <c r="F41" i="18" s="1"/>
  <c r="D98" i="18"/>
  <c r="F98" i="18" s="1"/>
  <c r="D99" i="18"/>
  <c r="F99" i="18" s="1"/>
  <c r="D96" i="18"/>
  <c r="F96" i="18" s="1"/>
  <c r="D74" i="18"/>
  <c r="F74" i="18" s="1"/>
  <c r="D73" i="18"/>
  <c r="F73" i="18" s="1"/>
  <c r="D68" i="18"/>
  <c r="F68" i="18" s="1"/>
  <c r="D69" i="18"/>
  <c r="F69" i="18" s="1"/>
  <c r="D124" i="18"/>
  <c r="D121" i="18"/>
  <c r="F121" i="18" s="1"/>
  <c r="D77" i="18"/>
  <c r="F77" i="18" s="1"/>
  <c r="D78" i="18"/>
  <c r="F78" i="18" s="1"/>
  <c r="D79" i="18"/>
  <c r="F79" i="18" s="1"/>
  <c r="D24" i="18"/>
  <c r="F24" i="18" s="1"/>
  <c r="D26" i="18"/>
  <c r="F26" i="18" s="1"/>
  <c r="D27" i="18"/>
  <c r="F27" i="18" s="1"/>
  <c r="D28" i="18"/>
  <c r="F28" i="18" s="1"/>
  <c r="D29" i="18"/>
  <c r="F29" i="18" s="1"/>
  <c r="D32" i="18"/>
  <c r="F32" i="18" s="1"/>
  <c r="D33" i="18"/>
  <c r="F33" i="18" s="1"/>
  <c r="D34" i="18"/>
  <c r="F34" i="18" s="1"/>
  <c r="D65" i="18"/>
  <c r="G65" i="18" s="1"/>
  <c r="D108" i="18"/>
  <c r="F108" i="18" s="1"/>
  <c r="D109" i="18"/>
  <c r="F109" i="18" s="1"/>
  <c r="D110" i="18"/>
  <c r="F110" i="18" s="1"/>
  <c r="D111" i="18"/>
  <c r="F111" i="18" s="1"/>
  <c r="D112" i="18"/>
  <c r="F112" i="18" s="1"/>
  <c r="D119" i="18"/>
  <c r="D127" i="18"/>
  <c r="D128" i="18"/>
  <c r="D129" i="18"/>
  <c r="D117" i="15"/>
  <c r="F117" i="15" s="1"/>
  <c r="D118" i="15"/>
  <c r="F118" i="15" s="1"/>
  <c r="D89" i="15"/>
  <c r="F89" i="15" s="1"/>
  <c r="D88" i="15"/>
  <c r="F88" i="15" s="1"/>
  <c r="D29" i="15"/>
  <c r="F29" i="15" s="1"/>
  <c r="D31" i="15"/>
  <c r="F31" i="15" s="1"/>
  <c r="D32" i="15"/>
  <c r="F32" i="15" s="1"/>
  <c r="D33" i="15"/>
  <c r="F33" i="15" s="1"/>
  <c r="D34" i="15"/>
  <c r="F34" i="15" s="1"/>
  <c r="D36" i="15"/>
  <c r="F36" i="15" s="1"/>
  <c r="D37" i="15"/>
  <c r="F37" i="15" s="1"/>
  <c r="D38" i="15"/>
  <c r="F38" i="15" s="1"/>
  <c r="D39" i="15"/>
  <c r="F39" i="15" s="1"/>
  <c r="D40" i="15"/>
  <c r="F40" i="15" s="1"/>
  <c r="D43" i="15"/>
  <c r="F43" i="15" s="1"/>
  <c r="D45" i="15"/>
  <c r="F45" i="15" s="1"/>
  <c r="D46" i="15"/>
  <c r="F46" i="15" s="1"/>
  <c r="D47" i="15"/>
  <c r="F47" i="15" s="1"/>
  <c r="D121" i="15"/>
  <c r="F121" i="15" s="1"/>
  <c r="D97" i="15"/>
  <c r="F97" i="15" s="1"/>
  <c r="D60" i="15"/>
  <c r="F60" i="15" s="1"/>
  <c r="D61" i="15"/>
  <c r="F61" i="15" s="1"/>
  <c r="D112" i="15"/>
  <c r="F112" i="15" s="1"/>
  <c r="D113" i="15"/>
  <c r="F113" i="15" s="1"/>
  <c r="D114" i="15"/>
  <c r="F114" i="15" s="1"/>
  <c r="D115" i="15"/>
  <c r="F115" i="15" s="1"/>
  <c r="D78" i="15"/>
  <c r="G78" i="15" s="1"/>
  <c r="D99" i="15"/>
  <c r="F99" i="15" s="1"/>
  <c r="D100" i="15"/>
  <c r="F100" i="15" s="1"/>
  <c r="D101" i="15"/>
  <c r="F101" i="15" s="1"/>
  <c r="D102" i="15"/>
  <c r="F102" i="15" s="1"/>
  <c r="D54" i="15"/>
  <c r="F54" i="15" s="1"/>
  <c r="D56" i="15"/>
  <c r="F56" i="15" s="1"/>
  <c r="D57" i="15"/>
  <c r="F57" i="15" s="1"/>
  <c r="D58" i="15"/>
  <c r="F58" i="15" s="1"/>
  <c r="D49" i="15"/>
  <c r="F49" i="15" s="1"/>
  <c r="D51" i="15"/>
  <c r="F51" i="15" s="1"/>
  <c r="D52" i="15"/>
  <c r="F52" i="15" s="1"/>
  <c r="D105" i="15"/>
  <c r="F105" i="15" s="1"/>
  <c r="D106" i="15"/>
  <c r="F106" i="15" s="1"/>
  <c r="D107" i="15"/>
  <c r="F107" i="15" s="1"/>
  <c r="D108" i="15"/>
  <c r="F108" i="15" s="1"/>
  <c r="G139" i="15"/>
  <c r="D124" i="15"/>
  <c r="F124" i="15" s="1"/>
  <c r="D125" i="15"/>
  <c r="F125" i="15" s="1"/>
  <c r="D126" i="15"/>
  <c r="F126" i="15" s="1"/>
  <c r="D127" i="15"/>
  <c r="F127" i="15" s="1"/>
  <c r="D134" i="15"/>
  <c r="D135" i="15"/>
  <c r="D136" i="15"/>
  <c r="D46" i="14"/>
  <c r="F46" i="14" s="1"/>
  <c r="D47" i="14"/>
  <c r="F47" i="14" s="1"/>
  <c r="D48" i="14"/>
  <c r="F48" i="14" s="1"/>
  <c r="D49" i="14"/>
  <c r="F49" i="14" s="1"/>
  <c r="D50" i="14"/>
  <c r="F50" i="14" s="1"/>
  <c r="D96" i="14"/>
  <c r="F96" i="14" s="1"/>
  <c r="D97" i="14"/>
  <c r="F97" i="14" s="1"/>
  <c r="D98" i="14"/>
  <c r="F98" i="14" s="1"/>
  <c r="D99" i="14"/>
  <c r="F99" i="14" s="1"/>
  <c r="D61" i="14"/>
  <c r="G61" i="14" s="1"/>
  <c r="D32" i="14"/>
  <c r="F32" i="14" s="1"/>
  <c r="D33" i="14"/>
  <c r="F33" i="14" s="1"/>
  <c r="D34" i="14"/>
  <c r="F34" i="14" s="1"/>
  <c r="D117" i="14"/>
  <c r="D113" i="14"/>
  <c r="F113" i="14" s="1"/>
  <c r="D114" i="14"/>
  <c r="F114" i="14" s="1"/>
  <c r="D115" i="14"/>
  <c r="F115" i="14" s="1"/>
  <c r="D116" i="14"/>
  <c r="F116" i="14" s="1"/>
  <c r="D15" i="14"/>
  <c r="F15" i="14" s="1"/>
  <c r="D16" i="14"/>
  <c r="F16" i="14" s="1"/>
  <c r="D18" i="14"/>
  <c r="F18" i="14" s="1"/>
  <c r="D79" i="14"/>
  <c r="F79" i="14" s="1"/>
  <c r="D80" i="14"/>
  <c r="F80" i="14" s="1"/>
  <c r="D81" i="14"/>
  <c r="F81" i="14" s="1"/>
  <c r="D103" i="14"/>
  <c r="F103" i="14" s="1"/>
  <c r="D104" i="14"/>
  <c r="F104" i="14" s="1"/>
  <c r="D105" i="14"/>
  <c r="F105" i="14" s="1"/>
  <c r="D38" i="14"/>
  <c r="F38" i="14" s="1"/>
  <c r="D39" i="14"/>
  <c r="F39" i="14" s="1"/>
  <c r="D40" i="14"/>
  <c r="F40" i="14" s="1"/>
  <c r="D41" i="14"/>
  <c r="F41" i="14" s="1"/>
  <c r="D42" i="14"/>
  <c r="F42" i="14" s="1"/>
  <c r="D43" i="14"/>
  <c r="F43" i="14" s="1"/>
  <c r="D26" i="14"/>
  <c r="F26" i="14" s="1"/>
  <c r="D27" i="14"/>
  <c r="F27" i="14" s="1"/>
  <c r="D28" i="14"/>
  <c r="F28" i="14" s="1"/>
  <c r="D29" i="14"/>
  <c r="F29" i="14" s="1"/>
  <c r="D20" i="14"/>
  <c r="F20" i="14" s="1"/>
  <c r="D21" i="14"/>
  <c r="F21" i="14" s="1"/>
  <c r="D22" i="14"/>
  <c r="F22" i="14" s="1"/>
  <c r="D23" i="14"/>
  <c r="F23" i="14" s="1"/>
  <c r="D84" i="14"/>
  <c r="F84" i="14" s="1"/>
  <c r="D85" i="14"/>
  <c r="F85" i="14" s="1"/>
  <c r="D86" i="14"/>
  <c r="F86" i="14" s="1"/>
  <c r="D87" i="14"/>
  <c r="F87" i="14" s="1"/>
  <c r="D90" i="14"/>
  <c r="F90" i="14" s="1"/>
  <c r="D91" i="14"/>
  <c r="F91" i="14" s="1"/>
  <c r="D92" i="14"/>
  <c r="F92" i="14" s="1"/>
  <c r="D93" i="14"/>
  <c r="F93" i="14" s="1"/>
  <c r="D75" i="14"/>
  <c r="F75" i="14" s="1"/>
  <c r="D76" i="14"/>
  <c r="F76" i="14" s="1"/>
  <c r="D70" i="14"/>
  <c r="F70" i="14" s="1"/>
  <c r="D71" i="14"/>
  <c r="F71" i="14" s="1"/>
  <c r="D72" i="14"/>
  <c r="F72" i="14" s="1"/>
  <c r="D73" i="14"/>
  <c r="F73" i="14" s="1"/>
  <c r="D98" i="11"/>
  <c r="F98" i="11" s="1"/>
  <c r="D100" i="11"/>
  <c r="F100" i="11" s="1"/>
  <c r="D101" i="11"/>
  <c r="F101" i="11" s="1"/>
  <c r="D102" i="11"/>
  <c r="F102" i="11" s="1"/>
  <c r="D105" i="11"/>
  <c r="F105" i="11" s="1"/>
  <c r="D106" i="11"/>
  <c r="F106" i="11" s="1"/>
  <c r="D107" i="11"/>
  <c r="F107" i="11" s="1"/>
  <c r="D57" i="11"/>
  <c r="F57" i="11" s="1"/>
  <c r="D58" i="11"/>
  <c r="F58" i="11" s="1"/>
  <c r="D59" i="11"/>
  <c r="F59" i="11" s="1"/>
  <c r="D60" i="11"/>
  <c r="F60" i="11" s="1"/>
  <c r="D61" i="11"/>
  <c r="F61" i="11" s="1"/>
  <c r="D18" i="11"/>
  <c r="F18" i="11" s="1"/>
  <c r="D20" i="11"/>
  <c r="F20" i="11" s="1"/>
  <c r="D21" i="11"/>
  <c r="F21" i="11" s="1"/>
  <c r="D127" i="11"/>
  <c r="D123" i="11"/>
  <c r="F123" i="11" s="1"/>
  <c r="D124" i="11"/>
  <c r="F124" i="11" s="1"/>
  <c r="D125" i="11"/>
  <c r="F125" i="11" s="1"/>
  <c r="D126" i="11"/>
  <c r="F126" i="11" s="1"/>
  <c r="D113" i="11"/>
  <c r="F113" i="11" s="1"/>
  <c r="D114" i="11"/>
  <c r="F114" i="11" s="1"/>
  <c r="D90" i="11"/>
  <c r="F90" i="11" s="1"/>
  <c r="D91" i="11"/>
  <c r="F91" i="11" s="1"/>
  <c r="D30" i="11"/>
  <c r="F30" i="11" s="1"/>
  <c r="D31" i="11"/>
  <c r="F31" i="11" s="1"/>
  <c r="D32" i="11"/>
  <c r="F32" i="11" s="1"/>
  <c r="D34" i="11"/>
  <c r="F34" i="11" s="1"/>
  <c r="D35" i="11"/>
  <c r="F35" i="11" s="1"/>
  <c r="D23" i="11"/>
  <c r="F23" i="11" s="1"/>
  <c r="D25" i="11"/>
  <c r="F25" i="11" s="1"/>
  <c r="D26" i="11"/>
  <c r="F26" i="11" s="1"/>
  <c r="D27" i="11"/>
  <c r="F27" i="11" s="1"/>
  <c r="D28" i="11"/>
  <c r="F28" i="11" s="1"/>
  <c r="D37" i="11"/>
  <c r="F37" i="11" s="1"/>
  <c r="D38" i="11"/>
  <c r="F38" i="11" s="1"/>
  <c r="D39" i="11"/>
  <c r="F39" i="11" s="1"/>
  <c r="D40" i="11"/>
  <c r="F40" i="11" s="1"/>
  <c r="D43" i="11"/>
  <c r="F43" i="11" s="1"/>
  <c r="D44" i="11"/>
  <c r="F44" i="11" s="1"/>
  <c r="D45" i="11"/>
  <c r="F45" i="11" s="1"/>
  <c r="D129" i="11"/>
  <c r="F129" i="11" s="1"/>
  <c r="D130" i="11"/>
  <c r="F130" i="11" s="1"/>
  <c r="D131" i="11"/>
  <c r="F131" i="11" s="1"/>
  <c r="D94" i="11"/>
  <c r="F94" i="11" s="1"/>
  <c r="D95" i="11"/>
  <c r="F95" i="11" s="1"/>
  <c r="D96" i="11"/>
  <c r="F96" i="11" s="1"/>
  <c r="D48" i="11"/>
  <c r="F48" i="11" s="1"/>
  <c r="D49" i="11"/>
  <c r="F49" i="11" s="1"/>
  <c r="D50" i="11"/>
  <c r="F50" i="11" s="1"/>
  <c r="D51" i="11"/>
  <c r="F51" i="11" s="1"/>
  <c r="D52" i="11"/>
  <c r="F52" i="11" s="1"/>
  <c r="D53" i="11"/>
  <c r="F53" i="11" s="1"/>
  <c r="D109" i="11"/>
  <c r="F109" i="11" s="1"/>
  <c r="D110" i="11"/>
  <c r="F110" i="11" s="1"/>
  <c r="D86" i="11"/>
  <c r="F86" i="11" s="1"/>
  <c r="D87" i="11"/>
  <c r="F87" i="11" s="1"/>
  <c r="D79" i="11"/>
  <c r="F79" i="11" s="1"/>
  <c r="D80" i="11"/>
  <c r="F80" i="11" s="1"/>
  <c r="D81" i="11"/>
  <c r="F81" i="11" s="1"/>
  <c r="D83" i="11"/>
  <c r="F83" i="11" s="1"/>
  <c r="D96" i="10"/>
  <c r="D94" i="10"/>
  <c r="F94" i="10" s="1"/>
  <c r="D95" i="10"/>
  <c r="F95" i="10" s="1"/>
  <c r="D14" i="10"/>
  <c r="F14" i="10" s="1"/>
  <c r="D15" i="10"/>
  <c r="F15" i="10" s="1"/>
  <c r="D16" i="10"/>
  <c r="F16" i="10" s="1"/>
  <c r="D17" i="10"/>
  <c r="F17" i="10" s="1"/>
  <c r="D18" i="10"/>
  <c r="F18" i="10" s="1"/>
  <c r="D56" i="10"/>
  <c r="G56" i="10" s="1"/>
  <c r="D30" i="10"/>
  <c r="F30" i="10" s="1"/>
  <c r="D31" i="10"/>
  <c r="F31" i="10" s="1"/>
  <c r="D32" i="10"/>
  <c r="F32" i="10" s="1"/>
  <c r="D34" i="10"/>
  <c r="F34" i="10" s="1"/>
  <c r="D35" i="10"/>
  <c r="F35" i="10" s="1"/>
  <c r="D37" i="10"/>
  <c r="F37" i="10" s="1"/>
  <c r="D38" i="10"/>
  <c r="F38" i="10" s="1"/>
  <c r="D98" i="10"/>
  <c r="F98" i="10" s="1"/>
  <c r="D99" i="10"/>
  <c r="F99" i="10" s="1"/>
  <c r="D100" i="10"/>
  <c r="F100" i="10" s="1"/>
  <c r="D22" i="10"/>
  <c r="F22" i="10" s="1"/>
  <c r="D23" i="10"/>
  <c r="F23" i="10" s="1"/>
  <c r="D24" i="10"/>
  <c r="F24" i="10" s="1"/>
  <c r="D25" i="10"/>
  <c r="F25" i="10" s="1"/>
  <c r="D26" i="10"/>
  <c r="F26" i="10" s="1"/>
  <c r="D71" i="10"/>
  <c r="F71" i="10" s="1"/>
  <c r="D72" i="10"/>
  <c r="F72" i="10" s="1"/>
  <c r="D75" i="10"/>
  <c r="F75" i="10" s="1"/>
  <c r="D76" i="10"/>
  <c r="F76" i="10" s="1"/>
  <c r="D77" i="10"/>
  <c r="F77" i="10" s="1"/>
  <c r="D80" i="10"/>
  <c r="F80" i="10" s="1"/>
  <c r="D81" i="10"/>
  <c r="F81" i="10" s="1"/>
  <c r="D82" i="10"/>
  <c r="F82" i="10" s="1"/>
  <c r="D84" i="10"/>
  <c r="F84" i="10" s="1"/>
  <c r="D85" i="10"/>
  <c r="F85" i="10" s="1"/>
  <c r="D64" i="10"/>
  <c r="F64" i="10" s="1"/>
  <c r="D65" i="10"/>
  <c r="F65" i="10" s="1"/>
  <c r="D66" i="10"/>
  <c r="F66" i="10" s="1"/>
  <c r="D68" i="10"/>
  <c r="F68" i="10" s="1"/>
  <c r="D77" i="9"/>
  <c r="F77" i="9" s="1"/>
  <c r="D78" i="9"/>
  <c r="F78" i="9" s="1"/>
  <c r="D79" i="9"/>
  <c r="F79" i="9" s="1"/>
  <c r="D90" i="9"/>
  <c r="F90" i="9" s="1"/>
  <c r="D91" i="9"/>
  <c r="F91" i="9" s="1"/>
  <c r="D92" i="9"/>
  <c r="F92" i="9" s="1"/>
  <c r="D12" i="9"/>
  <c r="F12" i="9" s="1"/>
  <c r="D13" i="9"/>
  <c r="F13" i="9" s="1"/>
  <c r="D14" i="9"/>
  <c r="F14" i="9" s="1"/>
  <c r="D15" i="9"/>
  <c r="F15" i="9" s="1"/>
  <c r="D18" i="9"/>
  <c r="F18" i="9" s="1"/>
  <c r="D19" i="9"/>
  <c r="F19" i="9" s="1"/>
  <c r="D20" i="9"/>
  <c r="F20" i="9" s="1"/>
  <c r="D23" i="9"/>
  <c r="F23" i="9" s="1"/>
  <c r="D24" i="9"/>
  <c r="F24" i="9" s="1"/>
  <c r="D25" i="9"/>
  <c r="F25" i="9" s="1"/>
  <c r="D26" i="9"/>
  <c r="F26" i="9" s="1"/>
  <c r="D73" i="9"/>
  <c r="F73" i="9" s="1"/>
  <c r="D74" i="9"/>
  <c r="F74" i="9" s="1"/>
  <c r="D82" i="9"/>
  <c r="F82" i="9" s="1"/>
  <c r="D83" i="9"/>
  <c r="F83" i="9" s="1"/>
  <c r="D84" i="9"/>
  <c r="F84" i="9" s="1"/>
  <c r="D86" i="9"/>
  <c r="F86" i="9" s="1"/>
  <c r="D87" i="9"/>
  <c r="F87" i="9" s="1"/>
  <c r="D66" i="9"/>
  <c r="F66" i="9" s="1"/>
  <c r="D67" i="9"/>
  <c r="F67" i="9" s="1"/>
  <c r="D68" i="9"/>
  <c r="F68" i="9" s="1"/>
  <c r="D70" i="9"/>
  <c r="F70" i="9" s="1"/>
  <c r="D12" i="12"/>
  <c r="F12" i="12" s="1"/>
  <c r="D13" i="12"/>
  <c r="F13" i="12" s="1"/>
  <c r="D15" i="12"/>
  <c r="F15" i="12" s="1"/>
  <c r="D21" i="12"/>
  <c r="D17" i="12"/>
  <c r="F17" i="12" s="1"/>
  <c r="D18" i="12"/>
  <c r="F18" i="12" s="1"/>
  <c r="D20" i="12"/>
  <c r="F20" i="12" s="1"/>
  <c r="D23" i="12"/>
  <c r="F23" i="12" s="1"/>
  <c r="D24" i="12"/>
  <c r="F24" i="12" s="1"/>
  <c r="D25" i="12"/>
  <c r="F25" i="12" s="1"/>
  <c r="D26" i="12"/>
  <c r="F26" i="12" s="1"/>
  <c r="D27" i="12"/>
  <c r="F27" i="12" s="1"/>
  <c r="D36" i="12"/>
  <c r="F36" i="12" s="1"/>
  <c r="D37" i="12"/>
  <c r="F37" i="12" s="1"/>
  <c r="D38" i="12"/>
  <c r="F38" i="12" s="1"/>
  <c r="D39" i="12"/>
  <c r="F39" i="12" s="1"/>
  <c r="D43" i="12"/>
  <c r="F43" i="12" s="1"/>
  <c r="D44" i="12"/>
  <c r="F44" i="12" s="1"/>
  <c r="D45" i="12"/>
  <c r="F45" i="12" s="1"/>
  <c r="D46" i="12"/>
  <c r="F46" i="12" s="1"/>
  <c r="D47" i="12"/>
  <c r="F47" i="12" s="1"/>
  <c r="D48" i="12"/>
  <c r="F48" i="12" s="1"/>
  <c r="D64" i="12"/>
  <c r="F64" i="12" s="1"/>
  <c r="D65" i="12"/>
  <c r="F65" i="12" s="1"/>
  <c r="D58" i="12"/>
  <c r="F58" i="12" s="1"/>
  <c r="D59" i="12"/>
  <c r="F59" i="12" s="1"/>
  <c r="D60" i="12"/>
  <c r="F60" i="12" s="1"/>
  <c r="D61" i="12"/>
  <c r="F61" i="12" s="1"/>
  <c r="D38" i="31"/>
  <c r="F38" i="31" s="1"/>
  <c r="D39" i="31"/>
  <c r="F39" i="31" s="1"/>
  <c r="D20" i="31"/>
  <c r="F20" i="31" s="1"/>
  <c r="D21" i="31"/>
  <c r="F21" i="31" s="1"/>
  <c r="D23" i="31"/>
  <c r="F23" i="31" s="1"/>
  <c r="D47" i="31"/>
  <c r="F47" i="31" s="1"/>
  <c r="D48" i="31"/>
  <c r="F48" i="31" s="1"/>
  <c r="D50" i="31"/>
  <c r="F50" i="31" s="1"/>
  <c r="D25" i="31"/>
  <c r="F25" i="31" s="1"/>
  <c r="D26" i="31"/>
  <c r="F26" i="31" s="1"/>
  <c r="D27" i="31"/>
  <c r="F27" i="31" s="1"/>
  <c r="D28" i="31"/>
  <c r="F28" i="31" s="1"/>
  <c r="D32" i="31"/>
  <c r="F32" i="31" s="1"/>
  <c r="D33" i="31"/>
  <c r="F33" i="31" s="1"/>
  <c r="D34" i="31"/>
  <c r="F34" i="31" s="1"/>
  <c r="D35" i="31"/>
  <c r="F35" i="31" s="1"/>
  <c r="D62" i="8"/>
  <c r="F62" i="8" s="1"/>
  <c r="D66" i="8"/>
  <c r="F66" i="8" s="1"/>
  <c r="D67" i="8"/>
  <c r="F67" i="8" s="1"/>
  <c r="D74" i="8"/>
  <c r="F74" i="8" s="1"/>
  <c r="D75" i="8"/>
  <c r="F75" i="8" s="1"/>
  <c r="D76" i="8"/>
  <c r="F76" i="8" s="1"/>
  <c r="D84" i="8"/>
  <c r="F84" i="8" s="1"/>
  <c r="D85" i="8"/>
  <c r="F85" i="8" s="1"/>
  <c r="D31" i="8"/>
  <c r="F31" i="8" s="1"/>
  <c r="D32" i="8"/>
  <c r="F32" i="8" s="1"/>
  <c r="D33" i="8"/>
  <c r="F33" i="8" s="1"/>
  <c r="D34" i="8"/>
  <c r="F34" i="8" s="1"/>
  <c r="D35" i="8"/>
  <c r="F35" i="8" s="1"/>
  <c r="D36" i="8"/>
  <c r="F36" i="8" s="1"/>
  <c r="D46" i="8"/>
  <c r="F46" i="8" s="1"/>
  <c r="D47" i="8"/>
  <c r="F47" i="8" s="1"/>
  <c r="D48" i="8"/>
  <c r="F48" i="8" s="1"/>
  <c r="D49" i="8"/>
  <c r="F49" i="8" s="1"/>
  <c r="D50" i="8"/>
  <c r="F50" i="8" s="1"/>
  <c r="D69" i="8"/>
  <c r="F69" i="8" s="1"/>
  <c r="D70" i="8"/>
  <c r="F70" i="8" s="1"/>
  <c r="D93" i="8"/>
  <c r="F93" i="8" s="1"/>
  <c r="D94" i="8"/>
  <c r="F94" i="8" s="1"/>
  <c r="D95" i="8"/>
  <c r="F95" i="8" s="1"/>
  <c r="D26" i="8"/>
  <c r="F26" i="8" s="1"/>
  <c r="D27" i="8"/>
  <c r="F27" i="8" s="1"/>
  <c r="D28" i="8"/>
  <c r="F28" i="8" s="1"/>
  <c r="D83" i="23"/>
  <c r="G83" i="23" s="1"/>
  <c r="D31" i="21"/>
  <c r="G29" i="21" s="1"/>
  <c r="D115" i="21"/>
  <c r="F115" i="21" s="1"/>
  <c r="D116" i="21"/>
  <c r="F116" i="21" s="1"/>
  <c r="D117" i="21"/>
  <c r="F117" i="21" s="1"/>
  <c r="D118" i="21"/>
  <c r="F118" i="21" s="1"/>
  <c r="D73" i="21"/>
  <c r="F73" i="21" s="1"/>
  <c r="D74" i="21"/>
  <c r="F74" i="21" s="1"/>
  <c r="D75" i="21"/>
  <c r="F75" i="21" s="1"/>
  <c r="D135" i="21"/>
  <c r="F135" i="21" s="1"/>
  <c r="D137" i="21"/>
  <c r="F137" i="21" s="1"/>
  <c r="D138" i="21"/>
  <c r="F138" i="21" s="1"/>
  <c r="D129" i="21"/>
  <c r="F129" i="21" s="1"/>
  <c r="D130" i="21"/>
  <c r="F130" i="21" s="1"/>
  <c r="D132" i="21"/>
  <c r="F132" i="21" s="1"/>
  <c r="D133" i="21"/>
  <c r="F133" i="21" s="1"/>
  <c r="D34" i="23"/>
  <c r="D124" i="23"/>
  <c r="F124" i="23" s="1"/>
  <c r="D169" i="23"/>
  <c r="F169" i="23" s="1"/>
  <c r="D127" i="23"/>
  <c r="F127" i="23" s="1"/>
  <c r="D128" i="23"/>
  <c r="F128" i="23" s="1"/>
  <c r="D131" i="23"/>
  <c r="F131" i="23" s="1"/>
  <c r="D164" i="23"/>
  <c r="F164" i="23" s="1"/>
  <c r="D166" i="23"/>
  <c r="F166" i="23" s="1"/>
  <c r="D167" i="23"/>
  <c r="F167" i="23" s="1"/>
  <c r="D158" i="23"/>
  <c r="F158" i="23" s="1"/>
  <c r="D159" i="23"/>
  <c r="F159" i="23" s="1"/>
  <c r="D161" i="23"/>
  <c r="F161" i="23" s="1"/>
  <c r="D162" i="23"/>
  <c r="F162" i="23" s="1"/>
  <c r="D89" i="23"/>
  <c r="F89" i="23" s="1"/>
  <c r="D91" i="23"/>
  <c r="F91" i="23" s="1"/>
  <c r="D92" i="23"/>
  <c r="F92" i="23" s="1"/>
  <c r="D93" i="23"/>
  <c r="F93" i="23" s="1"/>
  <c r="D132" i="20"/>
  <c r="F132" i="20" s="1"/>
  <c r="D133" i="20"/>
  <c r="F133" i="20" s="1"/>
  <c r="D134" i="20"/>
  <c r="F134" i="20" s="1"/>
  <c r="D135" i="20"/>
  <c r="F135" i="20" s="1"/>
  <c r="D138" i="20"/>
  <c r="F138" i="20" s="1"/>
  <c r="D139" i="20"/>
  <c r="F139" i="20" s="1"/>
  <c r="D140" i="20"/>
  <c r="F140" i="20" s="1"/>
  <c r="D141" i="20"/>
  <c r="F141" i="20" s="1"/>
  <c r="D142" i="20"/>
  <c r="F142" i="20" s="1"/>
  <c r="D146" i="20"/>
  <c r="F146" i="20" s="1"/>
  <c r="D147" i="20"/>
  <c r="F147" i="20" s="1"/>
  <c r="D148" i="20"/>
  <c r="F148" i="20" s="1"/>
  <c r="D44" i="17"/>
  <c r="G44" i="17" s="1"/>
  <c r="D43" i="17"/>
  <c r="G43" i="17" s="1"/>
  <c r="D111" i="17"/>
  <c r="D108" i="17"/>
  <c r="D82" i="17"/>
  <c r="F82" i="17" s="1"/>
  <c r="D83" i="17"/>
  <c r="F83" i="17" s="1"/>
  <c r="D84" i="17"/>
  <c r="F84" i="17" s="1"/>
  <c r="D78" i="17"/>
  <c r="G78" i="17" s="1"/>
  <c r="D99" i="17"/>
  <c r="F99" i="17" s="1"/>
  <c r="D100" i="17"/>
  <c r="F100" i="17" s="1"/>
  <c r="D19" i="17"/>
  <c r="F19" i="17" s="1"/>
  <c r="D20" i="17"/>
  <c r="F20" i="17" s="1"/>
  <c r="D21" i="17"/>
  <c r="F21" i="17" s="1"/>
  <c r="D59" i="8"/>
  <c r="F59" i="8" s="1"/>
  <c r="D60" i="8"/>
  <c r="F60" i="8" s="1"/>
  <c r="D61" i="8"/>
  <c r="F61" i="8" s="1"/>
  <c r="D44" i="23"/>
  <c r="F44" i="23" s="1"/>
  <c r="D46" i="23"/>
  <c r="F46" i="23" s="1"/>
  <c r="D47" i="23"/>
  <c r="F47" i="23" s="1"/>
  <c r="D48" i="23"/>
  <c r="F48" i="23" s="1"/>
  <c r="D49" i="23"/>
  <c r="F49" i="23" s="1"/>
  <c r="D116" i="23"/>
  <c r="F116" i="23" s="1"/>
  <c r="D139" i="23"/>
  <c r="F139" i="23" s="1"/>
  <c r="D141" i="23"/>
  <c r="F141" i="23" s="1"/>
  <c r="D149" i="23"/>
  <c r="F149" i="23" s="1"/>
  <c r="D150" i="23"/>
  <c r="F150" i="23" s="1"/>
  <c r="D154" i="23"/>
  <c r="F154" i="23" s="1"/>
  <c r="D155" i="23"/>
  <c r="F155" i="23" s="1"/>
  <c r="D156" i="23"/>
  <c r="F156" i="23" s="1"/>
  <c r="D26" i="23"/>
  <c r="F26" i="23" s="1"/>
  <c r="D27" i="23"/>
  <c r="F27" i="23" s="1"/>
  <c r="D28" i="23"/>
  <c r="F28" i="23" s="1"/>
  <c r="D143" i="23"/>
  <c r="F143" i="23" s="1"/>
  <c r="D145" i="23"/>
  <c r="F145" i="23" s="1"/>
  <c r="D146" i="23"/>
  <c r="F146" i="23" s="1"/>
  <c r="D147" i="23"/>
  <c r="F147" i="23" s="1"/>
  <c r="D80" i="23"/>
  <c r="F80" i="23" s="1"/>
  <c r="D81" i="23"/>
  <c r="F81" i="23" s="1"/>
  <c r="D82" i="23"/>
  <c r="F82" i="23" s="1"/>
  <c r="D133" i="23"/>
  <c r="F133" i="23" s="1"/>
  <c r="D134" i="23"/>
  <c r="F134" i="23" s="1"/>
  <c r="D136" i="23"/>
  <c r="F136" i="23" s="1"/>
  <c r="D137" i="23"/>
  <c r="F137" i="23" s="1"/>
  <c r="D198" i="23"/>
  <c r="D194" i="23"/>
  <c r="F194" i="23" s="1"/>
  <c r="D195" i="23"/>
  <c r="F195" i="23" s="1"/>
  <c r="D196" i="23"/>
  <c r="F196" i="23" s="1"/>
  <c r="D197" i="23"/>
  <c r="F197" i="23" s="1"/>
  <c r="D51" i="23"/>
  <c r="F51" i="23" s="1"/>
  <c r="D52" i="23"/>
  <c r="F52" i="23" s="1"/>
  <c r="D54" i="23"/>
  <c r="F54" i="23" s="1"/>
  <c r="D57" i="23"/>
  <c r="F57" i="23" s="1"/>
  <c r="D58" i="23"/>
  <c r="F58" i="23" s="1"/>
  <c r="D59" i="23"/>
  <c r="F59" i="23" s="1"/>
  <c r="D60" i="23"/>
  <c r="F60" i="23" s="1"/>
  <c r="D189" i="23"/>
  <c r="F189" i="23" s="1"/>
  <c r="D143" i="21"/>
  <c r="F143" i="21" s="1"/>
  <c r="D144" i="21"/>
  <c r="F144" i="21" s="1"/>
  <c r="D145" i="21"/>
  <c r="F145" i="21" s="1"/>
  <c r="D146" i="21"/>
  <c r="F146" i="21" s="1"/>
  <c r="D173" i="23"/>
  <c r="F173" i="23" s="1"/>
  <c r="D174" i="23"/>
  <c r="F174" i="23" s="1"/>
  <c r="D175" i="23"/>
  <c r="F175" i="23" s="1"/>
  <c r="D176" i="23"/>
  <c r="F176" i="23" s="1"/>
  <c r="D200" i="23"/>
  <c r="F200" i="23" s="1"/>
  <c r="D201" i="23"/>
  <c r="F201" i="23" s="1"/>
  <c r="D202" i="23"/>
  <c r="F202" i="23" s="1"/>
  <c r="D203" i="23"/>
  <c r="F203" i="23" s="1"/>
  <c r="D204" i="23"/>
  <c r="F204" i="23" s="1"/>
  <c r="D208" i="23"/>
  <c r="F208" i="23" s="1"/>
  <c r="D209" i="23"/>
  <c r="F209" i="23" s="1"/>
  <c r="D210" i="23"/>
  <c r="F210" i="23" s="1"/>
  <c r="D211" i="23"/>
  <c r="D179" i="23"/>
  <c r="F179" i="23" s="1"/>
  <c r="D180" i="23"/>
  <c r="F180" i="23" s="1"/>
  <c r="D181" i="23"/>
  <c r="F181" i="23" s="1"/>
  <c r="D125" i="21"/>
  <c r="F125" i="21" s="1"/>
  <c r="D126" i="21"/>
  <c r="F126" i="21" s="1"/>
  <c r="D41" i="21"/>
  <c r="F41" i="21" s="1"/>
  <c r="D42" i="21"/>
  <c r="F42" i="21" s="1"/>
  <c r="D43" i="21"/>
  <c r="F43" i="21" s="1"/>
  <c r="D44" i="21"/>
  <c r="F44" i="21" s="1"/>
  <c r="D46" i="21"/>
  <c r="F46" i="21" s="1"/>
  <c r="D88" i="21"/>
  <c r="F88" i="21" s="1"/>
  <c r="D89" i="21"/>
  <c r="F89" i="21" s="1"/>
  <c r="D90" i="21"/>
  <c r="F90" i="21" s="1"/>
  <c r="D92" i="21"/>
  <c r="F92" i="21" s="1"/>
  <c r="D106" i="21"/>
  <c r="F106" i="21" s="1"/>
  <c r="D107" i="21"/>
  <c r="F107" i="21" s="1"/>
  <c r="D109" i="21"/>
  <c r="F109" i="21" s="1"/>
  <c r="D110" i="21"/>
  <c r="F110" i="21" s="1"/>
  <c r="D112" i="21"/>
  <c r="F112" i="21" s="1"/>
  <c r="D141" i="21"/>
  <c r="G139" i="21" s="1"/>
  <c r="D122" i="21"/>
  <c r="F122" i="21" s="1"/>
  <c r="D123" i="21"/>
  <c r="F123" i="21" s="1"/>
  <c r="D104" i="21"/>
  <c r="F104" i="21" s="1"/>
  <c r="D153" i="21"/>
  <c r="F153" i="21" s="1"/>
  <c r="D154" i="21"/>
  <c r="F154" i="21" s="1"/>
  <c r="D155" i="21"/>
  <c r="F155" i="21" s="1"/>
  <c r="D156" i="21"/>
  <c r="F156" i="21" s="1"/>
  <c r="D157" i="21"/>
  <c r="F157" i="21" s="1"/>
  <c r="D161" i="21"/>
  <c r="F161" i="21" s="1"/>
  <c r="D162" i="21"/>
  <c r="F162" i="21" s="1"/>
  <c r="D163" i="21"/>
  <c r="F163" i="21" s="1"/>
  <c r="D164" i="21"/>
  <c r="D31" i="17"/>
  <c r="F31" i="17" s="1"/>
  <c r="D32" i="17"/>
  <c r="F32" i="17" s="1"/>
  <c r="D33" i="17"/>
  <c r="F33" i="17" s="1"/>
  <c r="D34" i="17"/>
  <c r="F34" i="17" s="1"/>
  <c r="D35" i="17"/>
  <c r="F35" i="17" s="1"/>
  <c r="D25" i="17"/>
  <c r="F25" i="17" s="1"/>
  <c r="D26" i="17"/>
  <c r="F26" i="17" s="1"/>
  <c r="D27" i="17"/>
  <c r="F27" i="17" s="1"/>
  <c r="D28" i="17"/>
  <c r="F28" i="17" s="1"/>
  <c r="D29" i="17"/>
  <c r="F29" i="17" s="1"/>
  <c r="D46" i="17"/>
  <c r="F46" i="17" s="1"/>
  <c r="D47" i="17"/>
  <c r="F47" i="17" s="1"/>
  <c r="D48" i="17"/>
  <c r="F48" i="17" s="1"/>
  <c r="D49" i="17"/>
  <c r="F49" i="17" s="1"/>
  <c r="D56" i="17"/>
  <c r="F56" i="17" s="1"/>
  <c r="D57" i="17"/>
  <c r="F57" i="17" s="1"/>
  <c r="D58" i="17"/>
  <c r="F58" i="17" s="1"/>
  <c r="D59" i="17"/>
  <c r="F59" i="17" s="1"/>
  <c r="D60" i="17"/>
  <c r="F60" i="17" s="1"/>
  <c r="D62" i="17"/>
  <c r="F62" i="17" s="1"/>
  <c r="D52" i="17"/>
  <c r="F52" i="17" s="1"/>
  <c r="D53" i="17"/>
  <c r="F53" i="17" s="1"/>
  <c r="D38" i="17"/>
  <c r="F38" i="17" s="1"/>
  <c r="D39" i="17"/>
  <c r="F39" i="17" s="1"/>
  <c r="D40" i="17"/>
  <c r="F40" i="17" s="1"/>
  <c r="D42" i="17"/>
  <c r="F42" i="17" s="1"/>
  <c r="D121" i="17"/>
  <c r="G121" i="17" s="1"/>
  <c r="D117" i="17"/>
  <c r="D113" i="17"/>
  <c r="D114" i="17"/>
  <c r="D115" i="17"/>
  <c r="D116" i="17"/>
  <c r="D102" i="17"/>
  <c r="F102" i="17" s="1"/>
  <c r="D103" i="17"/>
  <c r="F103" i="17" s="1"/>
  <c r="D104" i="17"/>
  <c r="F104" i="17" s="1"/>
  <c r="D105" i="17"/>
  <c r="F105" i="17" s="1"/>
  <c r="C33" i="27"/>
  <c r="A29" i="27"/>
  <c r="C32" i="27"/>
  <c r="C31" i="27"/>
  <c r="C30" i="27"/>
  <c r="C29" i="27"/>
  <c r="A215" i="23"/>
  <c r="A30" i="23"/>
  <c r="D35" i="23"/>
  <c r="D27" i="15"/>
  <c r="D26" i="15"/>
  <c r="D25" i="15"/>
  <c r="D24" i="15"/>
  <c r="D23" i="15"/>
  <c r="A22" i="15"/>
  <c r="C27" i="15"/>
  <c r="C26" i="15"/>
  <c r="C25" i="15"/>
  <c r="C24" i="15"/>
  <c r="C23" i="15"/>
  <c r="C22" i="15"/>
  <c r="C35" i="23"/>
  <c r="C34" i="23"/>
  <c r="C33" i="23"/>
  <c r="C32" i="23"/>
  <c r="C31" i="23"/>
  <c r="C30" i="23"/>
  <c r="A191" i="23"/>
  <c r="C191" i="23"/>
  <c r="A138" i="23"/>
  <c r="C141" i="23"/>
  <c r="C140" i="23"/>
  <c r="C139" i="23"/>
  <c r="C138" i="23"/>
  <c r="C116" i="23"/>
  <c r="C115" i="23"/>
  <c r="A114" i="23"/>
  <c r="C114" i="23"/>
  <c r="D39" i="21"/>
  <c r="A34" i="21"/>
  <c r="C39" i="21"/>
  <c r="C38" i="21"/>
  <c r="C37" i="21"/>
  <c r="C36" i="21"/>
  <c r="C35" i="21"/>
  <c r="C34" i="21"/>
  <c r="C84" i="18"/>
  <c r="C83" i="18"/>
  <c r="C82" i="18"/>
  <c r="C81" i="18"/>
  <c r="C80" i="18"/>
  <c r="A80" i="18"/>
  <c r="C45" i="31"/>
  <c r="C44" i="31"/>
  <c r="C43" i="31"/>
  <c r="C42" i="31"/>
  <c r="C41" i="31"/>
  <c r="C40" i="31"/>
  <c r="A40" i="31"/>
  <c r="C49" i="23"/>
  <c r="C48" i="23"/>
  <c r="C47" i="23"/>
  <c r="C46" i="23"/>
  <c r="C45" i="23"/>
  <c r="C44" i="23"/>
  <c r="C43" i="23"/>
  <c r="A43" i="23"/>
  <c r="D70" i="27"/>
  <c r="C70" i="27"/>
  <c r="C69" i="27"/>
  <c r="C68" i="27"/>
  <c r="C67" i="27"/>
  <c r="C66" i="27"/>
  <c r="A66" i="27"/>
  <c r="C24" i="27"/>
  <c r="A24" i="27"/>
  <c r="A134" i="21"/>
  <c r="C138" i="21"/>
  <c r="C137" i="21"/>
  <c r="C136" i="21"/>
  <c r="C135" i="21"/>
  <c r="C134" i="21"/>
  <c r="A150" i="20"/>
  <c r="D64" i="18"/>
  <c r="G64" i="18" s="1"/>
  <c r="C64" i="18"/>
  <c r="A64" i="18"/>
  <c r="C94" i="15"/>
  <c r="C93" i="15"/>
  <c r="C92" i="15"/>
  <c r="C91" i="15"/>
  <c r="C90" i="15"/>
  <c r="A90" i="15"/>
  <c r="C132" i="11"/>
  <c r="C131" i="11"/>
  <c r="C130" i="11"/>
  <c r="C129" i="11"/>
  <c r="C128" i="11"/>
  <c r="A128" i="11"/>
  <c r="C101" i="10"/>
  <c r="C100" i="10"/>
  <c r="C99" i="10"/>
  <c r="C98" i="10"/>
  <c r="C97" i="10"/>
  <c r="A97" i="10"/>
  <c r="C93" i="9"/>
  <c r="C92" i="9"/>
  <c r="C91" i="9"/>
  <c r="C90" i="9"/>
  <c r="C89" i="9"/>
  <c r="A89" i="9"/>
  <c r="C92" i="8"/>
  <c r="C96" i="8"/>
  <c r="C95" i="8"/>
  <c r="C94" i="8"/>
  <c r="C93" i="8"/>
  <c r="A92" i="8"/>
  <c r="A102" i="10"/>
  <c r="A94" i="9"/>
  <c r="D60" i="27"/>
  <c r="D59" i="27"/>
  <c r="D58" i="27"/>
  <c r="D57" i="27"/>
  <c r="D56" i="27"/>
  <c r="D55" i="27"/>
  <c r="D54" i="27"/>
  <c r="C61" i="27"/>
  <c r="C60" i="27"/>
  <c r="C59" i="27"/>
  <c r="C58" i="27"/>
  <c r="C57" i="27"/>
  <c r="C56" i="27"/>
  <c r="C55" i="27"/>
  <c r="C54" i="27"/>
  <c r="C53" i="27"/>
  <c r="A105" i="23"/>
  <c r="C113" i="23"/>
  <c r="C112" i="23"/>
  <c r="C111" i="23"/>
  <c r="C110" i="23"/>
  <c r="C109" i="23"/>
  <c r="C108" i="23"/>
  <c r="C107" i="23"/>
  <c r="C106" i="23"/>
  <c r="C105" i="23"/>
  <c r="D67" i="23"/>
  <c r="D66" i="23"/>
  <c r="D65" i="23"/>
  <c r="D64" i="23"/>
  <c r="D62" i="23"/>
  <c r="A29" i="21"/>
  <c r="A139" i="21"/>
  <c r="D140" i="21"/>
  <c r="C141" i="21"/>
  <c r="C140" i="21"/>
  <c r="C139" i="21"/>
  <c r="C133" i="21"/>
  <c r="C132" i="21"/>
  <c r="C131" i="21"/>
  <c r="C130" i="21"/>
  <c r="C129" i="21"/>
  <c r="C128" i="21"/>
  <c r="C60" i="21"/>
  <c r="C59" i="21"/>
  <c r="C58" i="21"/>
  <c r="C57" i="21"/>
  <c r="C56" i="21"/>
  <c r="C55" i="21"/>
  <c r="C54" i="21"/>
  <c r="D123" i="20"/>
  <c r="F123" i="20" s="1"/>
  <c r="D122" i="20"/>
  <c r="F122" i="20" s="1"/>
  <c r="D121" i="20"/>
  <c r="F121" i="20" s="1"/>
  <c r="C124" i="20"/>
  <c r="C123" i="20"/>
  <c r="C122" i="20"/>
  <c r="C121" i="20"/>
  <c r="C120" i="20"/>
  <c r="A120" i="20"/>
  <c r="D126" i="18"/>
  <c r="C130" i="18"/>
  <c r="C129" i="18"/>
  <c r="C128" i="18"/>
  <c r="C127" i="18"/>
  <c r="C126" i="18"/>
  <c r="C125" i="18"/>
  <c r="A125" i="18"/>
  <c r="A121" i="17"/>
  <c r="C117" i="17"/>
  <c r="C116" i="17"/>
  <c r="C115" i="17"/>
  <c r="C114" i="17"/>
  <c r="C113" i="17"/>
  <c r="C112" i="17"/>
  <c r="A112" i="17"/>
  <c r="C23" i="27"/>
  <c r="C22" i="27"/>
  <c r="C21" i="27"/>
  <c r="C20" i="27"/>
  <c r="C19" i="27"/>
  <c r="C18" i="27"/>
  <c r="C17" i="27"/>
  <c r="A17" i="27"/>
  <c r="C16" i="27"/>
  <c r="C15" i="27"/>
  <c r="A16" i="27"/>
  <c r="A15" i="27"/>
  <c r="A53" i="27"/>
  <c r="C93" i="23"/>
  <c r="C92" i="23"/>
  <c r="C91" i="23"/>
  <c r="C90" i="23"/>
  <c r="C89" i="23"/>
  <c r="C88" i="23"/>
  <c r="A88" i="23"/>
  <c r="A163" i="23"/>
  <c r="C167" i="23"/>
  <c r="C166" i="23"/>
  <c r="C165" i="23"/>
  <c r="C164" i="23"/>
  <c r="C163" i="23"/>
  <c r="C162" i="23"/>
  <c r="C161" i="23"/>
  <c r="C160" i="23"/>
  <c r="C159" i="23"/>
  <c r="C158" i="23"/>
  <c r="C157" i="23"/>
  <c r="A157" i="23"/>
  <c r="C67" i="23"/>
  <c r="C66" i="23"/>
  <c r="C65" i="23"/>
  <c r="C64" i="23"/>
  <c r="C63" i="23"/>
  <c r="C62" i="23"/>
  <c r="C61" i="23"/>
  <c r="A61" i="23"/>
  <c r="D33" i="21"/>
  <c r="D32" i="21"/>
  <c r="D30" i="21"/>
  <c r="C33" i="21"/>
  <c r="C32" i="21"/>
  <c r="C31" i="21"/>
  <c r="C30" i="21"/>
  <c r="C29" i="21"/>
  <c r="A54" i="21"/>
  <c r="A128" i="21"/>
  <c r="C164" i="21"/>
  <c r="A164" i="21"/>
  <c r="D154" i="20"/>
  <c r="D152" i="20"/>
  <c r="F152" i="20" s="1"/>
  <c r="D151" i="20"/>
  <c r="F151" i="20" s="1"/>
  <c r="C154" i="20"/>
  <c r="C153" i="20"/>
  <c r="C152" i="20"/>
  <c r="C151" i="20"/>
  <c r="C150" i="20"/>
  <c r="A133" i="18"/>
  <c r="D122" i="18"/>
  <c r="F122" i="18" s="1"/>
  <c r="C124" i="18"/>
  <c r="C123" i="18"/>
  <c r="C122" i="18"/>
  <c r="C121" i="18"/>
  <c r="C120" i="18"/>
  <c r="A120" i="18"/>
  <c r="D70" i="18"/>
  <c r="F70" i="18" s="1"/>
  <c r="C70" i="18"/>
  <c r="C69" i="18"/>
  <c r="C68" i="18"/>
  <c r="C67" i="18"/>
  <c r="C66" i="18"/>
  <c r="A66" i="18"/>
  <c r="D133" i="15"/>
  <c r="C137" i="15"/>
  <c r="C136" i="15"/>
  <c r="C135" i="15"/>
  <c r="C134" i="15"/>
  <c r="C133" i="15"/>
  <c r="C132" i="15"/>
  <c r="A132" i="15"/>
  <c r="C115" i="15"/>
  <c r="C114" i="15"/>
  <c r="C113" i="15"/>
  <c r="C112" i="15"/>
  <c r="C111" i="15"/>
  <c r="C110" i="15"/>
  <c r="A110" i="15"/>
  <c r="C78" i="15"/>
  <c r="A78" i="15"/>
  <c r="A139" i="15"/>
  <c r="C43" i="17"/>
  <c r="A43" i="17"/>
  <c r="D109" i="17"/>
  <c r="C111" i="17"/>
  <c r="C110" i="17"/>
  <c r="C109" i="17"/>
  <c r="C108" i="17"/>
  <c r="C107" i="17"/>
  <c r="A107" i="17"/>
  <c r="C100" i="14"/>
  <c r="C99" i="14"/>
  <c r="C98" i="14"/>
  <c r="C97" i="14"/>
  <c r="C96" i="14"/>
  <c r="C95" i="14"/>
  <c r="A95" i="14"/>
  <c r="C24" i="14"/>
  <c r="C23" i="14"/>
  <c r="C22" i="14"/>
  <c r="C21" i="14"/>
  <c r="C20" i="14"/>
  <c r="C19" i="14"/>
  <c r="A19" i="14"/>
  <c r="C96" i="10"/>
  <c r="C95" i="10"/>
  <c r="C94" i="10"/>
  <c r="C93" i="10"/>
  <c r="C92" i="10"/>
  <c r="A92" i="10"/>
  <c r="A16" i="12"/>
  <c r="C21" i="12"/>
  <c r="C20" i="12"/>
  <c r="C19" i="12"/>
  <c r="C18" i="12"/>
  <c r="C17" i="12"/>
  <c r="C16" i="12"/>
  <c r="C15" i="12"/>
  <c r="C14" i="12"/>
  <c r="C13" i="12"/>
  <c r="C12" i="12"/>
  <c r="C11" i="12"/>
  <c r="A11" i="12"/>
  <c r="C82" i="8"/>
  <c r="C81" i="8"/>
  <c r="C80" i="8"/>
  <c r="C79" i="8"/>
  <c r="C78" i="8"/>
  <c r="C77" i="8"/>
  <c r="A77" i="8"/>
  <c r="C44" i="8"/>
  <c r="C43" i="8"/>
  <c r="C42" i="8"/>
  <c r="C41" i="8"/>
  <c r="C40" i="8"/>
  <c r="C39" i="8"/>
  <c r="C38" i="8"/>
  <c r="A38" i="8"/>
  <c r="C51" i="8"/>
  <c r="C50" i="8"/>
  <c r="C49" i="8"/>
  <c r="C48" i="8"/>
  <c r="C47" i="8"/>
  <c r="C46" i="8"/>
  <c r="C45" i="8"/>
  <c r="A45" i="8"/>
  <c r="D130" i="15"/>
  <c r="F130" i="15" s="1"/>
  <c r="D29" i="9"/>
  <c r="F29" i="9" s="1"/>
  <c r="D30" i="9"/>
  <c r="F30" i="9" s="1"/>
  <c r="D31" i="9"/>
  <c r="F31" i="9" s="1"/>
  <c r="D32" i="9"/>
  <c r="F32" i="9" s="1"/>
  <c r="D33" i="9"/>
  <c r="F33" i="9" s="1"/>
  <c r="D34" i="9"/>
  <c r="F34" i="9" s="1"/>
  <c r="D141" i="15"/>
  <c r="D140" i="15"/>
  <c r="D138" i="15"/>
  <c r="A13" i="10"/>
  <c r="A20" i="10"/>
  <c r="A64" i="8"/>
  <c r="D79" i="15"/>
  <c r="G79" i="15" s="1"/>
  <c r="C79" i="15"/>
  <c r="A79" i="15"/>
  <c r="A25" i="27"/>
  <c r="C25" i="27"/>
  <c r="C26" i="27"/>
  <c r="C27" i="27"/>
  <c r="C28" i="27"/>
  <c r="A34" i="27"/>
  <c r="C34" i="27"/>
  <c r="C35" i="27"/>
  <c r="C36" i="27"/>
  <c r="C37" i="27"/>
  <c r="C38" i="27"/>
  <c r="A39" i="27"/>
  <c r="C39" i="27"/>
  <c r="C40" i="27"/>
  <c r="C41" i="27"/>
  <c r="C42" i="27"/>
  <c r="C43" i="27"/>
  <c r="C44" i="27"/>
  <c r="C45" i="27"/>
  <c r="A46" i="27"/>
  <c r="C46" i="27"/>
  <c r="C47" i="27"/>
  <c r="C48" i="27"/>
  <c r="C49" i="27"/>
  <c r="C50" i="27"/>
  <c r="A51" i="27"/>
  <c r="C51" i="27"/>
  <c r="A52" i="27"/>
  <c r="C52" i="27"/>
  <c r="A25" i="23"/>
  <c r="C25" i="23"/>
  <c r="A26" i="23"/>
  <c r="C26" i="23"/>
  <c r="A27" i="23"/>
  <c r="C27" i="23"/>
  <c r="A28" i="23"/>
  <c r="C28" i="23"/>
  <c r="A29" i="23"/>
  <c r="C29" i="23"/>
  <c r="A36" i="23"/>
  <c r="C36" i="23"/>
  <c r="C37" i="23"/>
  <c r="D37" i="23"/>
  <c r="F37" i="23" s="1"/>
  <c r="D38" i="23"/>
  <c r="F38" i="23" s="1"/>
  <c r="D39" i="23"/>
  <c r="F39" i="23" s="1"/>
  <c r="D41" i="23"/>
  <c r="F41" i="23" s="1"/>
  <c r="D42" i="23"/>
  <c r="F42" i="23" s="1"/>
  <c r="C38" i="23"/>
  <c r="C39" i="23"/>
  <c r="C40" i="23"/>
  <c r="C41" i="23"/>
  <c r="C42" i="23"/>
  <c r="A50" i="23"/>
  <c r="C50" i="23"/>
  <c r="C51" i="23"/>
  <c r="C52" i="23"/>
  <c r="C53" i="23"/>
  <c r="C54" i="23"/>
  <c r="A55" i="23"/>
  <c r="C55" i="23"/>
  <c r="C56" i="23"/>
  <c r="C57" i="23"/>
  <c r="C58" i="23"/>
  <c r="C59" i="23"/>
  <c r="C60" i="23"/>
  <c r="A68" i="23"/>
  <c r="C68" i="23"/>
  <c r="C69" i="23"/>
  <c r="D69" i="23"/>
  <c r="F69" i="23" s="1"/>
  <c r="C70" i="23"/>
  <c r="D70" i="23"/>
  <c r="F70" i="23" s="1"/>
  <c r="C71" i="23"/>
  <c r="D71" i="23"/>
  <c r="F71" i="23" s="1"/>
  <c r="C72" i="23"/>
  <c r="D72" i="23"/>
  <c r="F72" i="23" s="1"/>
  <c r="C73" i="23"/>
  <c r="A74" i="23"/>
  <c r="C74" i="23"/>
  <c r="C75" i="23"/>
  <c r="C76" i="23"/>
  <c r="C77" i="23"/>
  <c r="A78" i="23"/>
  <c r="C78" i="23"/>
  <c r="C79" i="23"/>
  <c r="C80" i="23"/>
  <c r="C81" i="23"/>
  <c r="C82" i="23"/>
  <c r="A83" i="23"/>
  <c r="C83" i="23"/>
  <c r="A84" i="23"/>
  <c r="C84" i="23"/>
  <c r="C85" i="23"/>
  <c r="D87" i="23"/>
  <c r="F87" i="23" s="1"/>
  <c r="D86" i="23"/>
  <c r="F86" i="23" s="1"/>
  <c r="C86" i="23"/>
  <c r="C87" i="23"/>
  <c r="A99" i="23"/>
  <c r="C99" i="23"/>
  <c r="C100" i="23"/>
  <c r="D100" i="23"/>
  <c r="F100" i="23" s="1"/>
  <c r="C101" i="23"/>
  <c r="D101" i="23"/>
  <c r="F101" i="23" s="1"/>
  <c r="C102" i="23"/>
  <c r="C103" i="23"/>
  <c r="D103" i="23"/>
  <c r="F103" i="23" s="1"/>
  <c r="C104" i="23"/>
  <c r="D104" i="23"/>
  <c r="F104" i="23" s="1"/>
  <c r="A117" i="23"/>
  <c r="C117" i="23"/>
  <c r="C118" i="23"/>
  <c r="D118" i="23"/>
  <c r="F118" i="23" s="1"/>
  <c r="C119" i="23"/>
  <c r="C120" i="23"/>
  <c r="D120" i="23"/>
  <c r="F120" i="23" s="1"/>
  <c r="C121" i="23"/>
  <c r="D121" i="23"/>
  <c r="F121" i="23" s="1"/>
  <c r="C122" i="23"/>
  <c r="D122" i="23"/>
  <c r="F122" i="23" s="1"/>
  <c r="A123" i="23"/>
  <c r="C123" i="23"/>
  <c r="C124" i="23"/>
  <c r="C125" i="23"/>
  <c r="A126" i="23"/>
  <c r="C126" i="23"/>
  <c r="C127" i="23"/>
  <c r="C128" i="23"/>
  <c r="C129" i="23"/>
  <c r="C130" i="23"/>
  <c r="C131" i="23"/>
  <c r="A132" i="23"/>
  <c r="C132" i="23"/>
  <c r="C133" i="23"/>
  <c r="C134" i="23"/>
  <c r="C135" i="23"/>
  <c r="C136" i="23"/>
  <c r="C137" i="23"/>
  <c r="A142" i="23"/>
  <c r="C142" i="23"/>
  <c r="C143" i="23"/>
  <c r="C144" i="23"/>
  <c r="C145" i="23"/>
  <c r="C146" i="23"/>
  <c r="C147" i="23"/>
  <c r="A148" i="23"/>
  <c r="C148" i="23"/>
  <c r="C149" i="23"/>
  <c r="C150" i="23"/>
  <c r="C151" i="23"/>
  <c r="A152" i="23"/>
  <c r="C152" i="23"/>
  <c r="C153" i="23"/>
  <c r="C154" i="23"/>
  <c r="C155" i="23"/>
  <c r="C156" i="23"/>
  <c r="A168" i="23"/>
  <c r="C168" i="23"/>
  <c r="C169" i="23"/>
  <c r="C170" i="23"/>
  <c r="A171" i="23"/>
  <c r="C171" i="23"/>
  <c r="C172" i="23"/>
  <c r="C173" i="23"/>
  <c r="C174" i="23"/>
  <c r="C175" i="23"/>
  <c r="C176" i="23"/>
  <c r="A177" i="23"/>
  <c r="C177" i="23"/>
  <c r="C178" i="23"/>
  <c r="C179" i="23"/>
  <c r="C180" i="23"/>
  <c r="C181" i="23"/>
  <c r="A182" i="23"/>
  <c r="C182" i="23"/>
  <c r="C183" i="23"/>
  <c r="D183" i="23"/>
  <c r="F183" i="23" s="1"/>
  <c r="C184" i="23"/>
  <c r="D184" i="23"/>
  <c r="F184" i="23" s="1"/>
  <c r="C185" i="23"/>
  <c r="D185" i="23"/>
  <c r="F185" i="23" s="1"/>
  <c r="C186" i="23"/>
  <c r="D186" i="23"/>
  <c r="F186" i="23" s="1"/>
  <c r="C187" i="23"/>
  <c r="A188" i="23"/>
  <c r="C188" i="23"/>
  <c r="C189" i="23"/>
  <c r="C190" i="23"/>
  <c r="A192" i="23"/>
  <c r="C192" i="23"/>
  <c r="C193" i="23"/>
  <c r="C194" i="23"/>
  <c r="C195" i="23"/>
  <c r="C196" i="23"/>
  <c r="C197" i="23"/>
  <c r="C198" i="23"/>
  <c r="A199" i="23"/>
  <c r="C199" i="23"/>
  <c r="C200" i="23"/>
  <c r="C201" i="23"/>
  <c r="C202" i="23"/>
  <c r="C203" i="23"/>
  <c r="C204" i="23"/>
  <c r="C205" i="23"/>
  <c r="A206" i="23"/>
  <c r="C206" i="23"/>
  <c r="C207" i="23"/>
  <c r="C208" i="23"/>
  <c r="C209" i="23"/>
  <c r="C210" i="23"/>
  <c r="A211" i="23"/>
  <c r="C211" i="23"/>
  <c r="A214" i="23"/>
  <c r="C214" i="23"/>
  <c r="A216" i="23"/>
  <c r="C216" i="23"/>
  <c r="A40" i="21"/>
  <c r="C40" i="21"/>
  <c r="C41" i="21"/>
  <c r="C42" i="21"/>
  <c r="C43" i="21"/>
  <c r="C44" i="21"/>
  <c r="C45" i="21"/>
  <c r="C46" i="21"/>
  <c r="A47" i="21"/>
  <c r="C47" i="21"/>
  <c r="C48" i="21"/>
  <c r="C49" i="21"/>
  <c r="D49" i="21"/>
  <c r="F49" i="21" s="1"/>
  <c r="C50" i="21"/>
  <c r="D50" i="21"/>
  <c r="F50" i="21" s="1"/>
  <c r="C51" i="21"/>
  <c r="D51" i="21"/>
  <c r="F51" i="21" s="1"/>
  <c r="C52" i="21"/>
  <c r="D52" i="21"/>
  <c r="F52" i="21" s="1"/>
  <c r="C53" i="21"/>
  <c r="D53" i="21"/>
  <c r="F53" i="21" s="1"/>
  <c r="A61" i="21"/>
  <c r="C61" i="21"/>
  <c r="C62" i="21"/>
  <c r="D62" i="21"/>
  <c r="F62" i="21" s="1"/>
  <c r="C63" i="21"/>
  <c r="D63" i="21"/>
  <c r="F63" i="21" s="1"/>
  <c r="C64" i="21"/>
  <c r="D64" i="21"/>
  <c r="F64" i="21" s="1"/>
  <c r="C65" i="21"/>
  <c r="D65" i="21"/>
  <c r="F65" i="21" s="1"/>
  <c r="C66" i="21"/>
  <c r="A67" i="21"/>
  <c r="C67" i="21"/>
  <c r="C68" i="21"/>
  <c r="C69" i="21"/>
  <c r="C70" i="21"/>
  <c r="A71" i="21"/>
  <c r="C71" i="21"/>
  <c r="C72" i="21"/>
  <c r="C73" i="21"/>
  <c r="C74" i="21"/>
  <c r="C75" i="21"/>
  <c r="A87" i="21"/>
  <c r="C87" i="21"/>
  <c r="C88" i="21"/>
  <c r="C89" i="21"/>
  <c r="C90" i="21"/>
  <c r="C91" i="21"/>
  <c r="C92" i="21"/>
  <c r="A93" i="21"/>
  <c r="C93" i="21"/>
  <c r="C94" i="21"/>
  <c r="C95" i="21"/>
  <c r="C96" i="21"/>
  <c r="C97" i="21"/>
  <c r="C98" i="21"/>
  <c r="C99" i="21"/>
  <c r="C100" i="21"/>
  <c r="C101" i="21"/>
  <c r="A120" i="21"/>
  <c r="C120" i="21"/>
  <c r="C121" i="21"/>
  <c r="C122" i="21"/>
  <c r="C123" i="21"/>
  <c r="A102" i="21"/>
  <c r="C102" i="21"/>
  <c r="C103" i="21"/>
  <c r="C104" i="21"/>
  <c r="A105" i="21"/>
  <c r="C105" i="21"/>
  <c r="C106" i="21"/>
  <c r="C107" i="21"/>
  <c r="C108" i="21"/>
  <c r="C109" i="21"/>
  <c r="C110" i="21"/>
  <c r="A111" i="21"/>
  <c r="C111" i="21"/>
  <c r="C112" i="21"/>
  <c r="C113" i="21"/>
  <c r="A82" i="21"/>
  <c r="C82" i="21"/>
  <c r="C83" i="21"/>
  <c r="C84" i="21"/>
  <c r="C85" i="21"/>
  <c r="C86" i="21"/>
  <c r="A114" i="21"/>
  <c r="C114" i="21"/>
  <c r="C115" i="21"/>
  <c r="C116" i="21"/>
  <c r="C117" i="21"/>
  <c r="C118" i="21"/>
  <c r="C119" i="21"/>
  <c r="A124" i="21"/>
  <c r="C124" i="21"/>
  <c r="C125" i="21"/>
  <c r="C126" i="21"/>
  <c r="C127" i="21"/>
  <c r="A142" i="21"/>
  <c r="C142" i="21"/>
  <c r="C143" i="21"/>
  <c r="C144" i="21"/>
  <c r="C145" i="21"/>
  <c r="C146" i="21"/>
  <c r="C147" i="21"/>
  <c r="A148" i="21"/>
  <c r="C148" i="21"/>
  <c r="C149" i="21"/>
  <c r="D149" i="21"/>
  <c r="F149" i="21" s="1"/>
  <c r="C150" i="21"/>
  <c r="A151" i="21"/>
  <c r="C151" i="21"/>
  <c r="A152" i="21"/>
  <c r="C152" i="21"/>
  <c r="C153" i="21"/>
  <c r="C154" i="21"/>
  <c r="C155" i="21"/>
  <c r="C156" i="21"/>
  <c r="C157" i="21"/>
  <c r="C158" i="21"/>
  <c r="A159" i="21"/>
  <c r="C159" i="21"/>
  <c r="C160" i="21"/>
  <c r="C161" i="21"/>
  <c r="C162" i="21"/>
  <c r="C163" i="21"/>
  <c r="A23" i="20"/>
  <c r="C23" i="20"/>
  <c r="A24" i="20"/>
  <c r="C24" i="20"/>
  <c r="D24" i="20"/>
  <c r="F24" i="20" s="1"/>
  <c r="A25" i="20"/>
  <c r="C25" i="20"/>
  <c r="D25" i="20"/>
  <c r="F25" i="20" s="1"/>
  <c r="A26" i="20"/>
  <c r="C26" i="20"/>
  <c r="D26" i="20"/>
  <c r="F26" i="20" s="1"/>
  <c r="A27" i="20"/>
  <c r="C27" i="20"/>
  <c r="A28" i="20"/>
  <c r="C28" i="20"/>
  <c r="C29" i="20"/>
  <c r="D29" i="20"/>
  <c r="F29" i="20" s="1"/>
  <c r="C30" i="20"/>
  <c r="C31" i="20"/>
  <c r="D31" i="20"/>
  <c r="F31" i="20" s="1"/>
  <c r="C32" i="20"/>
  <c r="D32" i="20"/>
  <c r="F32" i="20" s="1"/>
  <c r="C33" i="20"/>
  <c r="F33" i="20"/>
  <c r="C34" i="20"/>
  <c r="D34" i="20"/>
  <c r="F34" i="20" s="1"/>
  <c r="A35" i="20"/>
  <c r="C35" i="20"/>
  <c r="C36" i="20"/>
  <c r="D36" i="20"/>
  <c r="F36" i="20" s="1"/>
  <c r="C37" i="20"/>
  <c r="D37" i="20"/>
  <c r="F37" i="20" s="1"/>
  <c r="C38" i="20"/>
  <c r="D38" i="20"/>
  <c r="F38" i="20" s="1"/>
  <c r="C39" i="20"/>
  <c r="C40" i="20"/>
  <c r="D40" i="20"/>
  <c r="F40" i="20" s="1"/>
  <c r="A41" i="20"/>
  <c r="C41" i="20"/>
  <c r="D41" i="20"/>
  <c r="G41" i="20"/>
  <c r="A42" i="20"/>
  <c r="C42" i="20"/>
  <c r="C43" i="20"/>
  <c r="D43" i="20"/>
  <c r="F43" i="20" s="1"/>
  <c r="C44" i="20"/>
  <c r="C45" i="20"/>
  <c r="D45" i="20"/>
  <c r="F45" i="20" s="1"/>
  <c r="C46" i="20"/>
  <c r="D46" i="20"/>
  <c r="F46" i="20" s="1"/>
  <c r="C47" i="20"/>
  <c r="D47" i="20"/>
  <c r="F47" i="20" s="1"/>
  <c r="A48" i="20"/>
  <c r="C48" i="20"/>
  <c r="C49" i="20"/>
  <c r="D49" i="20"/>
  <c r="F49" i="20" s="1"/>
  <c r="C50" i="20"/>
  <c r="D50" i="20"/>
  <c r="F50" i="20" s="1"/>
  <c r="C51" i="20"/>
  <c r="C52" i="20"/>
  <c r="D52" i="20"/>
  <c r="F52" i="20" s="1"/>
  <c r="A53" i="20"/>
  <c r="C53" i="20"/>
  <c r="C54" i="20"/>
  <c r="D54" i="20"/>
  <c r="F54" i="20" s="1"/>
  <c r="C55" i="20"/>
  <c r="D55" i="20"/>
  <c r="F55" i="20" s="1"/>
  <c r="C56" i="20"/>
  <c r="A72" i="20"/>
  <c r="C72" i="20"/>
  <c r="C73" i="20"/>
  <c r="D73" i="20"/>
  <c r="F73" i="20" s="1"/>
  <c r="C74" i="20"/>
  <c r="D74" i="20"/>
  <c r="F74" i="20" s="1"/>
  <c r="C75" i="20"/>
  <c r="D75" i="20"/>
  <c r="F75" i="20" s="1"/>
  <c r="C76" i="20"/>
  <c r="D76" i="20"/>
  <c r="F76" i="20" s="1"/>
  <c r="C77" i="20"/>
  <c r="A78" i="20"/>
  <c r="C78" i="20"/>
  <c r="C79" i="20"/>
  <c r="D79" i="20"/>
  <c r="F79" i="20" s="1"/>
  <c r="C80" i="20"/>
  <c r="D80" i="20"/>
  <c r="F80" i="20" s="1"/>
  <c r="C81" i="20"/>
  <c r="D81" i="20"/>
  <c r="F81" i="20" s="1"/>
  <c r="C82" i="20"/>
  <c r="D82" i="20"/>
  <c r="F82" i="20" s="1"/>
  <c r="C83" i="20"/>
  <c r="A57" i="20"/>
  <c r="C57" i="20"/>
  <c r="C58" i="20"/>
  <c r="D58" i="20"/>
  <c r="F58" i="20" s="1"/>
  <c r="C59" i="20"/>
  <c r="D59" i="20"/>
  <c r="F59" i="20" s="1"/>
  <c r="C60" i="20"/>
  <c r="D60" i="20"/>
  <c r="F60" i="20" s="1"/>
  <c r="C61" i="20"/>
  <c r="D61" i="20"/>
  <c r="F61" i="20" s="1"/>
  <c r="C62" i="20"/>
  <c r="D62" i="20"/>
  <c r="F62" i="20" s="1"/>
  <c r="C63" i="20"/>
  <c r="D63" i="20"/>
  <c r="F63" i="20" s="1"/>
  <c r="C64" i="20"/>
  <c r="A65" i="20"/>
  <c r="C65" i="20"/>
  <c r="C66" i="20"/>
  <c r="C67" i="20"/>
  <c r="C68" i="20"/>
  <c r="C69" i="20"/>
  <c r="C70" i="20"/>
  <c r="C71" i="20"/>
  <c r="A84" i="20"/>
  <c r="C84" i="20"/>
  <c r="C85" i="20"/>
  <c r="C86" i="20"/>
  <c r="C87" i="20"/>
  <c r="A89" i="20"/>
  <c r="C89" i="20"/>
  <c r="D89" i="20"/>
  <c r="G89" i="20" s="1"/>
  <c r="A90" i="20"/>
  <c r="C90" i="20"/>
  <c r="A91" i="20"/>
  <c r="C91" i="20"/>
  <c r="C92" i="20"/>
  <c r="C93" i="20"/>
  <c r="D93" i="20"/>
  <c r="F93" i="20" s="1"/>
  <c r="C94" i="20"/>
  <c r="D94" i="20"/>
  <c r="F94" i="20" s="1"/>
  <c r="C95" i="20"/>
  <c r="D95" i="20"/>
  <c r="F95" i="20" s="1"/>
  <c r="A96" i="20"/>
  <c r="C96" i="20"/>
  <c r="C97" i="20"/>
  <c r="C98" i="20"/>
  <c r="D98" i="20"/>
  <c r="F98" i="20" s="1"/>
  <c r="C99" i="20"/>
  <c r="D99" i="20"/>
  <c r="F99" i="20" s="1"/>
  <c r="C100" i="20"/>
  <c r="D100" i="20"/>
  <c r="F100" i="20" s="1"/>
  <c r="A101" i="20"/>
  <c r="C101" i="20"/>
  <c r="C102" i="20"/>
  <c r="C103" i="20"/>
  <c r="D103" i="20"/>
  <c r="F103" i="20" s="1"/>
  <c r="C104" i="20"/>
  <c r="D104" i="20"/>
  <c r="F104" i="20" s="1"/>
  <c r="C105" i="20"/>
  <c r="D105" i="20"/>
  <c r="F105" i="20" s="1"/>
  <c r="C106" i="20"/>
  <c r="D106" i="20"/>
  <c r="F106" i="20" s="1"/>
  <c r="A107" i="20"/>
  <c r="C107" i="20"/>
  <c r="C108" i="20"/>
  <c r="D108" i="20"/>
  <c r="F108" i="20" s="1"/>
  <c r="C109" i="20"/>
  <c r="D109" i="20"/>
  <c r="F109" i="20" s="1"/>
  <c r="C110" i="20"/>
  <c r="D110" i="20"/>
  <c r="F110" i="20" s="1"/>
  <c r="D111" i="20"/>
  <c r="F111" i="20" s="1"/>
  <c r="D112" i="20"/>
  <c r="F112" i="20" s="1"/>
  <c r="D113" i="20"/>
  <c r="F113" i="20" s="1"/>
  <c r="D114" i="20"/>
  <c r="F114" i="20" s="1"/>
  <c r="C111" i="20"/>
  <c r="C112" i="20"/>
  <c r="C113" i="20"/>
  <c r="C114" i="20"/>
  <c r="C115" i="20"/>
  <c r="A116" i="20"/>
  <c r="C116" i="20"/>
  <c r="C117" i="20"/>
  <c r="C118" i="20"/>
  <c r="D118" i="20"/>
  <c r="F118" i="20" s="1"/>
  <c r="C119" i="20"/>
  <c r="D119" i="20"/>
  <c r="F119" i="20" s="1"/>
  <c r="A125" i="20"/>
  <c r="C125" i="20"/>
  <c r="C126" i="20"/>
  <c r="D126" i="20"/>
  <c r="F126" i="20" s="1"/>
  <c r="C127" i="20"/>
  <c r="D127" i="20"/>
  <c r="F127" i="20" s="1"/>
  <c r="C128" i="20"/>
  <c r="D128" i="20"/>
  <c r="F128" i="20" s="1"/>
  <c r="C129" i="20"/>
  <c r="D129" i="20"/>
  <c r="F129" i="20" s="1"/>
  <c r="C130" i="20"/>
  <c r="A131" i="20"/>
  <c r="C131" i="20"/>
  <c r="C132" i="20"/>
  <c r="C133" i="20"/>
  <c r="C134" i="20"/>
  <c r="C135" i="20"/>
  <c r="C136" i="20"/>
  <c r="A137" i="20"/>
  <c r="C137" i="20"/>
  <c r="C138" i="20"/>
  <c r="C139" i="20"/>
  <c r="C140" i="20"/>
  <c r="C141" i="20"/>
  <c r="C142" i="20"/>
  <c r="C143" i="20"/>
  <c r="A144" i="20"/>
  <c r="C144" i="20"/>
  <c r="C145" i="20"/>
  <c r="C146" i="20"/>
  <c r="C147" i="20"/>
  <c r="C148" i="20"/>
  <c r="A149" i="20"/>
  <c r="C149" i="20"/>
  <c r="A23" i="18"/>
  <c r="C23" i="18"/>
  <c r="C24" i="18"/>
  <c r="C25" i="18"/>
  <c r="C26" i="18"/>
  <c r="C27" i="18"/>
  <c r="C28" i="18"/>
  <c r="C29" i="18"/>
  <c r="A30" i="18"/>
  <c r="C30" i="18"/>
  <c r="C31" i="18"/>
  <c r="C32" i="18"/>
  <c r="C33" i="18"/>
  <c r="C34" i="18"/>
  <c r="A50" i="18"/>
  <c r="C50" i="18"/>
  <c r="C51" i="18"/>
  <c r="D51" i="18"/>
  <c r="F51" i="18" s="1"/>
  <c r="C52" i="18"/>
  <c r="D52" i="18"/>
  <c r="F52" i="18" s="1"/>
  <c r="C53" i="18"/>
  <c r="D53" i="18"/>
  <c r="F53" i="18" s="1"/>
  <c r="C54" i="18"/>
  <c r="D54" i="18"/>
  <c r="F54" i="18" s="1"/>
  <c r="C55" i="18"/>
  <c r="A56" i="18"/>
  <c r="C56" i="18"/>
  <c r="C57" i="18"/>
  <c r="D57" i="18"/>
  <c r="F57" i="18" s="1"/>
  <c r="C58" i="18"/>
  <c r="D58" i="18"/>
  <c r="F58" i="18" s="1"/>
  <c r="C59" i="18"/>
  <c r="A35" i="18"/>
  <c r="C35" i="18"/>
  <c r="C36" i="18"/>
  <c r="C37" i="18"/>
  <c r="C38" i="18"/>
  <c r="C39" i="18"/>
  <c r="C40" i="18"/>
  <c r="C41" i="18"/>
  <c r="C42" i="18"/>
  <c r="A43" i="18"/>
  <c r="C43" i="18"/>
  <c r="C44" i="18"/>
  <c r="C45" i="18"/>
  <c r="C46" i="18"/>
  <c r="C47" i="18"/>
  <c r="C48" i="18"/>
  <c r="C49" i="18"/>
  <c r="A60" i="18"/>
  <c r="C60" i="18"/>
  <c r="C61" i="18"/>
  <c r="C62" i="18"/>
  <c r="C63" i="18"/>
  <c r="A65" i="18"/>
  <c r="C65" i="18"/>
  <c r="A71" i="18"/>
  <c r="C71" i="18"/>
  <c r="C72" i="18"/>
  <c r="C73" i="18"/>
  <c r="C74" i="18"/>
  <c r="A75" i="18"/>
  <c r="C75" i="18"/>
  <c r="C76" i="18"/>
  <c r="C77" i="18"/>
  <c r="C78" i="18"/>
  <c r="C79" i="18"/>
  <c r="A85" i="18"/>
  <c r="C85" i="18"/>
  <c r="C86" i="18"/>
  <c r="C87" i="18"/>
  <c r="C88" i="18"/>
  <c r="C89" i="18"/>
  <c r="C90" i="18"/>
  <c r="C91" i="18"/>
  <c r="C92" i="18"/>
  <c r="C93" i="18"/>
  <c r="A94" i="18"/>
  <c r="C94" i="18"/>
  <c r="C95" i="18"/>
  <c r="C96" i="18"/>
  <c r="A97" i="18"/>
  <c r="C97" i="18"/>
  <c r="C98" i="18"/>
  <c r="C99" i="18"/>
  <c r="C100" i="18"/>
  <c r="A101" i="18"/>
  <c r="C101" i="18"/>
  <c r="C102" i="18"/>
  <c r="D102" i="18"/>
  <c r="F102" i="18" s="1"/>
  <c r="C103" i="18"/>
  <c r="D103" i="18"/>
  <c r="F103" i="18" s="1"/>
  <c r="C104" i="18"/>
  <c r="D104" i="18"/>
  <c r="F104" i="18" s="1"/>
  <c r="C105" i="18"/>
  <c r="F105" i="18"/>
  <c r="C106" i="18"/>
  <c r="A107" i="18"/>
  <c r="C107" i="18"/>
  <c r="C108" i="18"/>
  <c r="C109" i="18"/>
  <c r="C110" i="18"/>
  <c r="C111" i="18"/>
  <c r="C112" i="18"/>
  <c r="C113" i="18"/>
  <c r="A114" i="18"/>
  <c r="C114" i="18"/>
  <c r="C115" i="18"/>
  <c r="C116" i="18"/>
  <c r="D116" i="18"/>
  <c r="F116" i="18" s="1"/>
  <c r="C117" i="18"/>
  <c r="D117" i="18"/>
  <c r="F117" i="18" s="1"/>
  <c r="C118" i="18"/>
  <c r="D118" i="18"/>
  <c r="F118" i="18" s="1"/>
  <c r="A119" i="18"/>
  <c r="C119" i="18"/>
  <c r="A17" i="15"/>
  <c r="C17" i="15"/>
  <c r="A18" i="15"/>
  <c r="C18" i="15"/>
  <c r="D18" i="15"/>
  <c r="F18" i="15" s="1"/>
  <c r="D19" i="15"/>
  <c r="F19" i="15" s="1"/>
  <c r="D20" i="15"/>
  <c r="F20" i="15" s="1"/>
  <c r="A19" i="15"/>
  <c r="C19" i="15"/>
  <c r="A20" i="15"/>
  <c r="C20" i="15"/>
  <c r="A21" i="15"/>
  <c r="C21" i="15"/>
  <c r="A28" i="15"/>
  <c r="C28" i="15"/>
  <c r="C29" i="15"/>
  <c r="C30" i="15"/>
  <c r="C31" i="15"/>
  <c r="C32" i="15"/>
  <c r="C33" i="15"/>
  <c r="C34" i="15"/>
  <c r="A35" i="15"/>
  <c r="C35" i="15"/>
  <c r="C36" i="15"/>
  <c r="C37" i="15"/>
  <c r="C38" i="15"/>
  <c r="C39" i="15"/>
  <c r="C40" i="15"/>
  <c r="C41" i="15"/>
  <c r="A42" i="15"/>
  <c r="C42" i="15"/>
  <c r="C43" i="15"/>
  <c r="C44" i="15"/>
  <c r="C45" i="15"/>
  <c r="C46" i="15"/>
  <c r="C47" i="15"/>
  <c r="A48" i="15"/>
  <c r="C48" i="15"/>
  <c r="C49" i="15"/>
  <c r="C50" i="15"/>
  <c r="C51" i="15"/>
  <c r="C52" i="15"/>
  <c r="A53" i="15"/>
  <c r="C53" i="15"/>
  <c r="C54" i="15"/>
  <c r="C55" i="15"/>
  <c r="C56" i="15"/>
  <c r="C57" i="15"/>
  <c r="C58" i="15"/>
  <c r="A59" i="15"/>
  <c r="C59" i="15"/>
  <c r="C60" i="15"/>
  <c r="C61" i="15"/>
  <c r="C62" i="15"/>
  <c r="A70" i="15"/>
  <c r="C70" i="15"/>
  <c r="C71" i="15"/>
  <c r="D71" i="15"/>
  <c r="F71" i="15" s="1"/>
  <c r="C72" i="15"/>
  <c r="D72" i="15"/>
  <c r="F72" i="15" s="1"/>
  <c r="C73" i="15"/>
  <c r="A63" i="15"/>
  <c r="C63" i="15"/>
  <c r="C64" i="15"/>
  <c r="C65" i="15"/>
  <c r="C66" i="15"/>
  <c r="C67" i="15"/>
  <c r="C68" i="15"/>
  <c r="C69" i="15"/>
  <c r="A74" i="15"/>
  <c r="C74" i="15"/>
  <c r="C75" i="15"/>
  <c r="C76" i="15"/>
  <c r="C77" i="15"/>
  <c r="A80" i="15"/>
  <c r="C80" i="15"/>
  <c r="D81" i="15"/>
  <c r="F81" i="15" s="1"/>
  <c r="D82" i="15"/>
  <c r="F82" i="15" s="1"/>
  <c r="D84" i="15"/>
  <c r="F84" i="15" s="1"/>
  <c r="D85" i="15"/>
  <c r="F85" i="15" s="1"/>
  <c r="A86" i="15"/>
  <c r="C86" i="15"/>
  <c r="C87" i="15"/>
  <c r="C88" i="15"/>
  <c r="C89" i="15"/>
  <c r="A95" i="15"/>
  <c r="C95" i="15"/>
  <c r="C96" i="15"/>
  <c r="C97" i="15"/>
  <c r="A98" i="15"/>
  <c r="C98" i="15"/>
  <c r="C99" i="15"/>
  <c r="C100" i="15"/>
  <c r="C101" i="15"/>
  <c r="C102" i="15"/>
  <c r="C103" i="15"/>
  <c r="A104" i="15"/>
  <c r="C104" i="15"/>
  <c r="C105" i="15"/>
  <c r="C106" i="15"/>
  <c r="C107" i="15"/>
  <c r="C108" i="15"/>
  <c r="C109" i="15"/>
  <c r="A116" i="15"/>
  <c r="C116" i="15"/>
  <c r="C117" i="15"/>
  <c r="C118" i="15"/>
  <c r="C119" i="15"/>
  <c r="A120" i="15"/>
  <c r="C120" i="15"/>
  <c r="C121" i="15"/>
  <c r="C122" i="15"/>
  <c r="A123" i="15"/>
  <c r="C123" i="15"/>
  <c r="C124" i="15"/>
  <c r="C125" i="15"/>
  <c r="C126" i="15"/>
  <c r="C127" i="15"/>
  <c r="C128" i="15"/>
  <c r="A129" i="15"/>
  <c r="C129" i="15"/>
  <c r="C130" i="15"/>
  <c r="C131" i="15"/>
  <c r="A138" i="15"/>
  <c r="C138" i="15"/>
  <c r="A140" i="15"/>
  <c r="C140" i="15"/>
  <c r="A141" i="15"/>
  <c r="C141" i="15"/>
  <c r="A18" i="17"/>
  <c r="C18" i="17"/>
  <c r="A19" i="17"/>
  <c r="C19" i="17"/>
  <c r="A20" i="17"/>
  <c r="C20" i="17"/>
  <c r="A21" i="17"/>
  <c r="C21" i="17"/>
  <c r="A22" i="17"/>
  <c r="C22" i="17"/>
  <c r="A23" i="17"/>
  <c r="C23" i="17"/>
  <c r="C24" i="17"/>
  <c r="C25" i="17"/>
  <c r="C26" i="17"/>
  <c r="C27" i="17"/>
  <c r="C28" i="17"/>
  <c r="C29" i="17"/>
  <c r="A30" i="17"/>
  <c r="C30" i="17"/>
  <c r="C31" i="17"/>
  <c r="C32" i="17"/>
  <c r="C33" i="17"/>
  <c r="C34" i="17"/>
  <c r="C35" i="17"/>
  <c r="C36" i="17"/>
  <c r="A37" i="17"/>
  <c r="C37" i="17"/>
  <c r="C38" i="17"/>
  <c r="C39" i="17"/>
  <c r="C40" i="17"/>
  <c r="C41" i="17"/>
  <c r="C42" i="17"/>
  <c r="A44" i="17"/>
  <c r="C44" i="17"/>
  <c r="A45" i="17"/>
  <c r="C45" i="17"/>
  <c r="C46" i="17"/>
  <c r="C47" i="17"/>
  <c r="C48" i="17"/>
  <c r="C49" i="17"/>
  <c r="C50" i="17"/>
  <c r="A51" i="17"/>
  <c r="C51" i="17"/>
  <c r="C52" i="17"/>
  <c r="C53" i="17"/>
  <c r="C54" i="17"/>
  <c r="A70" i="17"/>
  <c r="C70" i="17"/>
  <c r="C71" i="17"/>
  <c r="D71" i="17"/>
  <c r="F71" i="17" s="1"/>
  <c r="C72" i="17"/>
  <c r="D72" i="17"/>
  <c r="F72" i="17" s="1"/>
  <c r="C73" i="17"/>
  <c r="A55" i="17"/>
  <c r="C55" i="17"/>
  <c r="C56" i="17"/>
  <c r="C57" i="17"/>
  <c r="C58" i="17"/>
  <c r="C59" i="17"/>
  <c r="C60" i="17"/>
  <c r="C61" i="17"/>
  <c r="C62" i="17"/>
  <c r="A63" i="17"/>
  <c r="C63" i="17"/>
  <c r="C64" i="17"/>
  <c r="C65" i="17"/>
  <c r="C66" i="17"/>
  <c r="C67" i="17"/>
  <c r="C68" i="17"/>
  <c r="C69" i="17"/>
  <c r="D69" i="17"/>
  <c r="A74" i="17"/>
  <c r="C74" i="17"/>
  <c r="C75" i="17"/>
  <c r="C76" i="17"/>
  <c r="C77" i="17"/>
  <c r="A78" i="17"/>
  <c r="C78" i="17"/>
  <c r="A79" i="17"/>
  <c r="C79" i="17"/>
  <c r="A80" i="17"/>
  <c r="C80" i="17"/>
  <c r="C81" i="17"/>
  <c r="C82" i="17"/>
  <c r="C83" i="17"/>
  <c r="C84" i="17"/>
  <c r="A85" i="17"/>
  <c r="C85" i="17"/>
  <c r="D86" i="17"/>
  <c r="F86" i="17" s="1"/>
  <c r="D87" i="17"/>
  <c r="F87" i="17" s="1"/>
  <c r="D89" i="17"/>
  <c r="F89" i="17" s="1"/>
  <c r="D90" i="17"/>
  <c r="F90" i="17" s="1"/>
  <c r="A91" i="17"/>
  <c r="C91" i="17"/>
  <c r="C92" i="17"/>
  <c r="C93" i="17"/>
  <c r="C94" i="17"/>
  <c r="C95" i="17"/>
  <c r="C96" i="17"/>
  <c r="A97" i="17"/>
  <c r="C97" i="17"/>
  <c r="C98" i="17"/>
  <c r="C99" i="17"/>
  <c r="C100" i="17"/>
  <c r="A101" i="17"/>
  <c r="C101" i="17"/>
  <c r="C102" i="17"/>
  <c r="C103" i="17"/>
  <c r="C104" i="17"/>
  <c r="C105" i="17"/>
  <c r="C106" i="17"/>
  <c r="A120" i="17"/>
  <c r="C120" i="17"/>
  <c r="A14" i="14"/>
  <c r="C14" i="14"/>
  <c r="A15" i="14"/>
  <c r="C15" i="14"/>
  <c r="A16" i="14"/>
  <c r="C16" i="14"/>
  <c r="A17" i="14"/>
  <c r="C17" i="14"/>
  <c r="A18" i="14"/>
  <c r="C18" i="14"/>
  <c r="A25" i="14"/>
  <c r="C25" i="14"/>
  <c r="C26" i="14"/>
  <c r="C27" i="14"/>
  <c r="C28" i="14"/>
  <c r="C29" i="14"/>
  <c r="C30" i="14"/>
  <c r="A31" i="14"/>
  <c r="C31" i="14"/>
  <c r="C32" i="14"/>
  <c r="C33" i="14"/>
  <c r="C34" i="14"/>
  <c r="C35" i="14"/>
  <c r="A51" i="14"/>
  <c r="C51" i="14"/>
  <c r="C52" i="14"/>
  <c r="C53" i="14"/>
  <c r="D53" i="14"/>
  <c r="F53" i="14" s="1"/>
  <c r="C54" i="14"/>
  <c r="D54" i="14"/>
  <c r="F54" i="14" s="1"/>
  <c r="C55" i="14"/>
  <c r="D55" i="14"/>
  <c r="F55" i="14" s="1"/>
  <c r="C56" i="14"/>
  <c r="D56" i="14"/>
  <c r="F56" i="14" s="1"/>
  <c r="A36" i="14"/>
  <c r="C36" i="14"/>
  <c r="C37" i="14"/>
  <c r="C38" i="14"/>
  <c r="C39" i="14"/>
  <c r="C40" i="14"/>
  <c r="C41" i="14"/>
  <c r="C42" i="14"/>
  <c r="C43" i="14"/>
  <c r="A44" i="14"/>
  <c r="C44" i="14"/>
  <c r="C45" i="14"/>
  <c r="C46" i="14"/>
  <c r="C47" i="14"/>
  <c r="C48" i="14"/>
  <c r="C49" i="14"/>
  <c r="C50" i="14"/>
  <c r="A57" i="14"/>
  <c r="C57" i="14"/>
  <c r="C58" i="14"/>
  <c r="C59" i="14"/>
  <c r="C60" i="14"/>
  <c r="A61" i="14"/>
  <c r="C61" i="14"/>
  <c r="A62" i="14"/>
  <c r="C62" i="14"/>
  <c r="D63" i="14"/>
  <c r="F63" i="14" s="1"/>
  <c r="D64" i="14"/>
  <c r="F64" i="14" s="1"/>
  <c r="D66" i="14"/>
  <c r="F66" i="14" s="1"/>
  <c r="D67" i="14"/>
  <c r="F67" i="14" s="1"/>
  <c r="A68" i="14"/>
  <c r="C68" i="14"/>
  <c r="C69" i="14"/>
  <c r="C70" i="14"/>
  <c r="C71" i="14"/>
  <c r="C72" i="14"/>
  <c r="C73" i="14"/>
  <c r="A74" i="14"/>
  <c r="C74" i="14"/>
  <c r="C75" i="14"/>
  <c r="C76" i="14"/>
  <c r="C77" i="14"/>
  <c r="A78" i="14"/>
  <c r="C78" i="14"/>
  <c r="C79" i="14"/>
  <c r="C80" i="14"/>
  <c r="C81" i="14"/>
  <c r="C82" i="14"/>
  <c r="A83" i="14"/>
  <c r="C83" i="14"/>
  <c r="C84" i="14"/>
  <c r="C85" i="14"/>
  <c r="C86" i="14"/>
  <c r="C87" i="14"/>
  <c r="C88" i="14"/>
  <c r="A89" i="14"/>
  <c r="C89" i="14"/>
  <c r="C90" i="14"/>
  <c r="C91" i="14"/>
  <c r="C92" i="14"/>
  <c r="C93" i="14"/>
  <c r="C94" i="14"/>
  <c r="A101" i="14"/>
  <c r="C101" i="14"/>
  <c r="C102" i="14"/>
  <c r="C103" i="14"/>
  <c r="C104" i="14"/>
  <c r="C105" i="14"/>
  <c r="A106" i="14"/>
  <c r="C106" i="14"/>
  <c r="C107" i="14"/>
  <c r="C108" i="14"/>
  <c r="C109" i="14"/>
  <c r="C110" i="14"/>
  <c r="A111" i="14"/>
  <c r="C111" i="14"/>
  <c r="C112" i="14"/>
  <c r="C113" i="14"/>
  <c r="C114" i="14"/>
  <c r="C115" i="14"/>
  <c r="C116" i="14"/>
  <c r="C117" i="14"/>
  <c r="A17" i="11"/>
  <c r="C17" i="11"/>
  <c r="C18" i="11"/>
  <c r="C19" i="11"/>
  <c r="C20" i="11"/>
  <c r="C21" i="11"/>
  <c r="A22" i="11"/>
  <c r="C22" i="11"/>
  <c r="C23" i="11"/>
  <c r="C24" i="11"/>
  <c r="C25" i="11"/>
  <c r="C26" i="11"/>
  <c r="C27" i="11"/>
  <c r="C28" i="11"/>
  <c r="A29" i="11"/>
  <c r="C29" i="11"/>
  <c r="C30" i="11"/>
  <c r="C31" i="11"/>
  <c r="C32" i="11"/>
  <c r="C33" i="11"/>
  <c r="C34" i="11"/>
  <c r="C35" i="11"/>
  <c r="A36" i="11"/>
  <c r="C36" i="11"/>
  <c r="C37" i="11"/>
  <c r="C38" i="11"/>
  <c r="C39" i="11"/>
  <c r="C40" i="11"/>
  <c r="C41" i="11"/>
  <c r="A42" i="11"/>
  <c r="C42" i="11"/>
  <c r="C43" i="11"/>
  <c r="C44" i="11"/>
  <c r="C45" i="11"/>
  <c r="C46" i="11"/>
  <c r="A62" i="11"/>
  <c r="C62" i="11"/>
  <c r="C63" i="11"/>
  <c r="D63" i="11"/>
  <c r="F63" i="11" s="1"/>
  <c r="C64" i="11"/>
  <c r="D64" i="11"/>
  <c r="F64" i="11" s="1"/>
  <c r="C65" i="11"/>
  <c r="D65" i="11"/>
  <c r="F65" i="11" s="1"/>
  <c r="C66" i="11"/>
  <c r="D66" i="11"/>
  <c r="F66" i="11" s="1"/>
  <c r="C67" i="11"/>
  <c r="A47" i="11"/>
  <c r="C47" i="11"/>
  <c r="C48" i="11"/>
  <c r="C49" i="11"/>
  <c r="C50" i="11"/>
  <c r="C51" i="11"/>
  <c r="C52" i="11"/>
  <c r="C53" i="11"/>
  <c r="C54" i="11"/>
  <c r="A55" i="11"/>
  <c r="C55" i="11"/>
  <c r="C56" i="11"/>
  <c r="C57" i="11"/>
  <c r="C58" i="11"/>
  <c r="C59" i="11"/>
  <c r="C60" i="11"/>
  <c r="C61" i="11"/>
  <c r="A68" i="11"/>
  <c r="C68" i="11"/>
  <c r="C69" i="11"/>
  <c r="C70" i="11"/>
  <c r="C71" i="11"/>
  <c r="A72" i="11"/>
  <c r="C72" i="11"/>
  <c r="D73" i="11"/>
  <c r="F73" i="11" s="1"/>
  <c r="D74" i="11"/>
  <c r="F74" i="11" s="1"/>
  <c r="D75" i="11"/>
  <c r="F75" i="11" s="1"/>
  <c r="D76" i="11"/>
  <c r="F76" i="11" s="1"/>
  <c r="A78" i="11"/>
  <c r="C78" i="11"/>
  <c r="C79" i="11"/>
  <c r="C80" i="11"/>
  <c r="C81" i="11"/>
  <c r="C82" i="11"/>
  <c r="C83" i="11"/>
  <c r="A84" i="11"/>
  <c r="C84" i="11"/>
  <c r="C85" i="11"/>
  <c r="C86" i="11"/>
  <c r="C87" i="11"/>
  <c r="A88" i="11"/>
  <c r="C88" i="11"/>
  <c r="C89" i="11"/>
  <c r="C90" i="11"/>
  <c r="C91" i="11"/>
  <c r="A92" i="11"/>
  <c r="C92" i="11"/>
  <c r="C93" i="11"/>
  <c r="C94" i="11"/>
  <c r="C95" i="11"/>
  <c r="C96" i="11"/>
  <c r="A97" i="11"/>
  <c r="C97" i="11"/>
  <c r="C98" i="11"/>
  <c r="C99" i="11"/>
  <c r="C100" i="11"/>
  <c r="C101" i="11"/>
  <c r="C102" i="11"/>
  <c r="A103" i="11"/>
  <c r="C103" i="11"/>
  <c r="C104" i="11"/>
  <c r="C105" i="11"/>
  <c r="C106" i="11"/>
  <c r="C107" i="11"/>
  <c r="A108" i="11"/>
  <c r="C108" i="11"/>
  <c r="C109" i="11"/>
  <c r="C110" i="11"/>
  <c r="C111" i="11"/>
  <c r="A112" i="11"/>
  <c r="C112" i="11"/>
  <c r="C113" i="11"/>
  <c r="C114" i="11"/>
  <c r="C115" i="11"/>
  <c r="A116" i="11"/>
  <c r="C116" i="11"/>
  <c r="C117" i="11"/>
  <c r="C118" i="11"/>
  <c r="C119" i="11"/>
  <c r="C120" i="11"/>
  <c r="A121" i="11"/>
  <c r="C121" i="11"/>
  <c r="C122" i="11"/>
  <c r="C123" i="11"/>
  <c r="C124" i="11"/>
  <c r="C125" i="11"/>
  <c r="C126" i="11"/>
  <c r="C127" i="11"/>
  <c r="A133" i="11"/>
  <c r="C133" i="11"/>
  <c r="C13" i="10"/>
  <c r="C14" i="10"/>
  <c r="C15" i="10"/>
  <c r="C16" i="10"/>
  <c r="C17" i="10"/>
  <c r="C18" i="10"/>
  <c r="C19" i="10"/>
  <c r="C20" i="10"/>
  <c r="C21" i="10"/>
  <c r="C22" i="10"/>
  <c r="C23" i="10"/>
  <c r="C24" i="10"/>
  <c r="C25" i="10"/>
  <c r="C26" i="10"/>
  <c r="A27" i="10"/>
  <c r="C27" i="10"/>
  <c r="A28" i="10"/>
  <c r="C28" i="10"/>
  <c r="C29" i="10"/>
  <c r="C30" i="10"/>
  <c r="C31" i="10"/>
  <c r="C32" i="10"/>
  <c r="A33" i="10"/>
  <c r="C33" i="10"/>
  <c r="C34" i="10"/>
  <c r="C35" i="10"/>
  <c r="C36" i="10"/>
  <c r="C37" i="10"/>
  <c r="C38" i="10"/>
  <c r="A46" i="10"/>
  <c r="C46" i="10"/>
  <c r="C47" i="10"/>
  <c r="D47" i="10"/>
  <c r="F47" i="10" s="1"/>
  <c r="C48" i="10"/>
  <c r="D48" i="10"/>
  <c r="F48" i="10" s="1"/>
  <c r="C49" i="10"/>
  <c r="D49" i="10"/>
  <c r="F49" i="10" s="1"/>
  <c r="C50" i="10"/>
  <c r="D50" i="10"/>
  <c r="F50" i="10" s="1"/>
  <c r="C51" i="10"/>
  <c r="A39" i="10"/>
  <c r="C39" i="10"/>
  <c r="C40" i="10"/>
  <c r="C41" i="10"/>
  <c r="C42" i="10"/>
  <c r="C43" i="10"/>
  <c r="C44" i="10"/>
  <c r="C45" i="10"/>
  <c r="A52" i="10"/>
  <c r="C52" i="10"/>
  <c r="C53" i="10"/>
  <c r="C54" i="10"/>
  <c r="C55" i="10"/>
  <c r="A56" i="10"/>
  <c r="C56" i="10"/>
  <c r="A57" i="10"/>
  <c r="C57" i="10"/>
  <c r="D58" i="10"/>
  <c r="F58" i="10" s="1"/>
  <c r="D59" i="10"/>
  <c r="F59" i="10" s="1"/>
  <c r="D60" i="10"/>
  <c r="F60" i="10" s="1"/>
  <c r="D61" i="10"/>
  <c r="F61" i="10" s="1"/>
  <c r="A63" i="10"/>
  <c r="C63" i="10"/>
  <c r="C64" i="10"/>
  <c r="C65" i="10"/>
  <c r="C66" i="10"/>
  <c r="C67" i="10"/>
  <c r="C68" i="10"/>
  <c r="A69" i="10"/>
  <c r="C69" i="10"/>
  <c r="C70" i="10"/>
  <c r="C71" i="10"/>
  <c r="C72" i="10"/>
  <c r="A73" i="10"/>
  <c r="C73" i="10"/>
  <c r="C74" i="10"/>
  <c r="C75" i="10"/>
  <c r="C76" i="10"/>
  <c r="C77" i="10"/>
  <c r="A78" i="10"/>
  <c r="C78" i="10"/>
  <c r="C79" i="10"/>
  <c r="C80" i="10"/>
  <c r="C81" i="10"/>
  <c r="C82" i="10"/>
  <c r="A83" i="10"/>
  <c r="C83" i="10"/>
  <c r="C84" i="10"/>
  <c r="C85" i="10"/>
  <c r="C86" i="10"/>
  <c r="A87" i="10"/>
  <c r="C87" i="10"/>
  <c r="C88" i="10"/>
  <c r="C89" i="10"/>
  <c r="C90" i="10"/>
  <c r="C91" i="10"/>
  <c r="A11" i="9"/>
  <c r="C11" i="9"/>
  <c r="C12" i="9"/>
  <c r="C13" i="9"/>
  <c r="C14" i="9"/>
  <c r="C15" i="9"/>
  <c r="C16" i="9"/>
  <c r="A17" i="9"/>
  <c r="C17" i="9"/>
  <c r="C18" i="9"/>
  <c r="C19" i="9"/>
  <c r="C20" i="9"/>
  <c r="C21" i="9"/>
  <c r="A22" i="9"/>
  <c r="C22" i="9"/>
  <c r="C23" i="9"/>
  <c r="C24" i="9"/>
  <c r="C25" i="9"/>
  <c r="C26" i="9"/>
  <c r="C27" i="9"/>
  <c r="A43" i="9"/>
  <c r="C43" i="9"/>
  <c r="C44" i="9"/>
  <c r="D44" i="9"/>
  <c r="F44" i="9" s="1"/>
  <c r="C45" i="9"/>
  <c r="D45" i="9"/>
  <c r="F45" i="9" s="1"/>
  <c r="C46" i="9"/>
  <c r="D46" i="9"/>
  <c r="F46" i="9" s="1"/>
  <c r="C47" i="9"/>
  <c r="D47" i="9"/>
  <c r="F47" i="9" s="1"/>
  <c r="C48" i="9"/>
  <c r="A49" i="9"/>
  <c r="C49" i="9"/>
  <c r="C50" i="9"/>
  <c r="D50" i="9"/>
  <c r="F50" i="9" s="1"/>
  <c r="C51" i="9"/>
  <c r="D51" i="9"/>
  <c r="F51" i="9" s="1"/>
  <c r="C52" i="9"/>
  <c r="D52" i="9"/>
  <c r="F52" i="9" s="1"/>
  <c r="C53" i="9"/>
  <c r="D53" i="9"/>
  <c r="F53" i="9" s="1"/>
  <c r="C54" i="9"/>
  <c r="A28" i="9"/>
  <c r="C28" i="9"/>
  <c r="C29" i="9"/>
  <c r="C30" i="9"/>
  <c r="C31" i="9"/>
  <c r="C32" i="9"/>
  <c r="C33" i="9"/>
  <c r="C34" i="9"/>
  <c r="C35" i="9"/>
  <c r="A36" i="9"/>
  <c r="C36" i="9"/>
  <c r="C37" i="9"/>
  <c r="C38" i="9"/>
  <c r="C39" i="9"/>
  <c r="C40" i="9"/>
  <c r="C41" i="9"/>
  <c r="C42" i="9"/>
  <c r="A55" i="9"/>
  <c r="C55" i="9"/>
  <c r="C56" i="9"/>
  <c r="C57" i="9"/>
  <c r="C58" i="9"/>
  <c r="A59" i="9"/>
  <c r="C59" i="9"/>
  <c r="D60" i="9"/>
  <c r="F60" i="9" s="1"/>
  <c r="D61" i="9"/>
  <c r="F61" i="9" s="1"/>
  <c r="D62" i="9"/>
  <c r="F62" i="9" s="1"/>
  <c r="D63" i="9"/>
  <c r="F63" i="9" s="1"/>
  <c r="A65" i="9"/>
  <c r="C65" i="9"/>
  <c r="C66" i="9"/>
  <c r="C67" i="9"/>
  <c r="C68" i="9"/>
  <c r="C69" i="9"/>
  <c r="C70" i="9"/>
  <c r="A71" i="9"/>
  <c r="C71" i="9"/>
  <c r="C72" i="9"/>
  <c r="C73" i="9"/>
  <c r="C74" i="9"/>
  <c r="A75" i="9"/>
  <c r="C75" i="9"/>
  <c r="C76" i="9"/>
  <c r="C77" i="9"/>
  <c r="C78" i="9"/>
  <c r="C79" i="9"/>
  <c r="A80" i="9"/>
  <c r="C80" i="9"/>
  <c r="C81" i="9"/>
  <c r="C82" i="9"/>
  <c r="C83" i="9"/>
  <c r="C84" i="9"/>
  <c r="A85" i="9"/>
  <c r="C85" i="9"/>
  <c r="C86" i="9"/>
  <c r="C87" i="9"/>
  <c r="C88" i="9"/>
  <c r="A22" i="12"/>
  <c r="C22" i="12"/>
  <c r="C23" i="12"/>
  <c r="C24" i="12"/>
  <c r="C25" i="12"/>
  <c r="C26" i="12"/>
  <c r="C27" i="12"/>
  <c r="C28" i="12"/>
  <c r="A29" i="12"/>
  <c r="C29" i="12"/>
  <c r="C30" i="12"/>
  <c r="C31" i="12"/>
  <c r="C32" i="12"/>
  <c r="C33" i="12"/>
  <c r="C34" i="12"/>
  <c r="A35" i="12"/>
  <c r="C35" i="12"/>
  <c r="C36" i="12"/>
  <c r="C37" i="12"/>
  <c r="C38" i="12"/>
  <c r="C39" i="12"/>
  <c r="C40" i="12"/>
  <c r="A41" i="12"/>
  <c r="C41" i="12"/>
  <c r="C42" i="12"/>
  <c r="C43" i="12"/>
  <c r="C44" i="12"/>
  <c r="C45" i="12"/>
  <c r="C46" i="12"/>
  <c r="C47" i="12"/>
  <c r="C48" i="12"/>
  <c r="A49" i="12"/>
  <c r="C49" i="12"/>
  <c r="C50" i="12"/>
  <c r="C51" i="12"/>
  <c r="C52" i="12"/>
  <c r="C53" i="12"/>
  <c r="C54" i="12"/>
  <c r="C55" i="12"/>
  <c r="A62" i="12"/>
  <c r="C62" i="12"/>
  <c r="C63" i="12"/>
  <c r="C64" i="12"/>
  <c r="C65" i="12"/>
  <c r="A56" i="12"/>
  <c r="C56" i="12"/>
  <c r="C57" i="12"/>
  <c r="C58" i="12"/>
  <c r="C59" i="12"/>
  <c r="C60" i="12"/>
  <c r="C61" i="12"/>
  <c r="A19" i="31"/>
  <c r="C19" i="31"/>
  <c r="A20" i="31"/>
  <c r="C20" i="31"/>
  <c r="A21" i="31"/>
  <c r="C21" i="31"/>
  <c r="A22" i="31"/>
  <c r="C22" i="31"/>
  <c r="A23" i="31"/>
  <c r="C23" i="31"/>
  <c r="A24" i="31"/>
  <c r="C24" i="31"/>
  <c r="C25" i="31"/>
  <c r="C26" i="31"/>
  <c r="C27" i="31"/>
  <c r="C28" i="31"/>
  <c r="C29" i="31"/>
  <c r="A30" i="31"/>
  <c r="C30" i="31"/>
  <c r="C31" i="31"/>
  <c r="C32" i="31"/>
  <c r="C33" i="31"/>
  <c r="C34" i="31"/>
  <c r="C35" i="31"/>
  <c r="A36" i="31"/>
  <c r="C36" i="31"/>
  <c r="C37" i="31"/>
  <c r="C38" i="31"/>
  <c r="C39" i="31"/>
  <c r="A46" i="31"/>
  <c r="C46" i="31"/>
  <c r="C47" i="31"/>
  <c r="C48" i="31"/>
  <c r="C49" i="31"/>
  <c r="C50" i="31"/>
  <c r="A19" i="8"/>
  <c r="C19" i="8"/>
  <c r="C20" i="8"/>
  <c r="C21" i="8"/>
  <c r="C22" i="8"/>
  <c r="C23" i="8"/>
  <c r="C24" i="8"/>
  <c r="A25" i="8"/>
  <c r="C25" i="8"/>
  <c r="C26" i="8"/>
  <c r="C27" i="8"/>
  <c r="C28" i="8"/>
  <c r="C29" i="8"/>
  <c r="A30" i="8"/>
  <c r="C30" i="8"/>
  <c r="C31" i="8"/>
  <c r="C32" i="8"/>
  <c r="C33" i="8"/>
  <c r="C34" i="8"/>
  <c r="C35" i="8"/>
  <c r="C36" i="8"/>
  <c r="C37" i="8"/>
  <c r="A52" i="8"/>
  <c r="C52" i="8"/>
  <c r="D53" i="8"/>
  <c r="F53" i="8" s="1"/>
  <c r="D54" i="8"/>
  <c r="F54" i="8" s="1"/>
  <c r="D55" i="8"/>
  <c r="F55" i="8" s="1"/>
  <c r="D56" i="8"/>
  <c r="F56" i="8" s="1"/>
  <c r="A58" i="8"/>
  <c r="C58" i="8"/>
  <c r="C59" i="8"/>
  <c r="C60" i="8"/>
  <c r="C61" i="8"/>
  <c r="C62" i="8"/>
  <c r="C63" i="8"/>
  <c r="C64" i="8"/>
  <c r="C65" i="8"/>
  <c r="C66" i="8"/>
  <c r="C67" i="8"/>
  <c r="A68" i="8"/>
  <c r="C68" i="8"/>
  <c r="C69" i="8"/>
  <c r="C70" i="8"/>
  <c r="C71" i="8"/>
  <c r="A72" i="8"/>
  <c r="C72" i="8"/>
  <c r="C73" i="8"/>
  <c r="C74" i="8"/>
  <c r="C75" i="8"/>
  <c r="C76" i="8"/>
  <c r="A83" i="8"/>
  <c r="C83" i="8"/>
  <c r="C84" i="8"/>
  <c r="C85" i="8"/>
  <c r="C86" i="8"/>
  <c r="A87" i="8"/>
  <c r="C87" i="8"/>
  <c r="C88" i="8"/>
  <c r="C89" i="8"/>
  <c r="C90" i="8"/>
  <c r="C91" i="8"/>
  <c r="G140" i="15"/>
  <c r="G66" i="18" l="1"/>
  <c r="F63" i="8"/>
  <c r="G58" i="8" s="1"/>
  <c r="G85" i="17"/>
  <c r="G168" i="23"/>
  <c r="G80" i="15"/>
  <c r="G62" i="14"/>
  <c r="G57" i="10"/>
  <c r="G59" i="9"/>
  <c r="G72" i="11"/>
  <c r="G52" i="8"/>
  <c r="G148" i="21"/>
  <c r="G61" i="21"/>
  <c r="G56" i="18"/>
  <c r="G46" i="10"/>
  <c r="G70" i="15"/>
  <c r="G43" i="9"/>
  <c r="G50" i="18"/>
  <c r="G70" i="17"/>
  <c r="G49" i="9"/>
  <c r="G78" i="20"/>
  <c r="G62" i="11"/>
  <c r="G68" i="23"/>
  <c r="G72" i="20"/>
  <c r="G51" i="14"/>
  <c r="D150" i="17"/>
  <c r="C17" i="5" s="1"/>
  <c r="G108" i="11"/>
  <c r="G164" i="21"/>
  <c r="D133" i="18"/>
  <c r="G133" i="18" s="1"/>
  <c r="D139" i="15"/>
  <c r="D215" i="23"/>
  <c r="G215" i="23" s="1"/>
  <c r="G138" i="15"/>
  <c r="D214" i="23"/>
  <c r="G214" i="23" s="1"/>
  <c r="D120" i="17"/>
  <c r="G120" i="17" s="1"/>
  <c r="D133" i="11"/>
  <c r="G133" i="11" s="1"/>
  <c r="D94" i="9"/>
  <c r="G94" i="9" s="1"/>
  <c r="D102" i="10"/>
  <c r="G102" i="10" s="1"/>
  <c r="D216" i="23"/>
  <c r="G216" i="23" s="1"/>
  <c r="G141" i="15"/>
  <c r="F151" i="21"/>
  <c r="G120" i="15"/>
  <c r="G129" i="15"/>
  <c r="G111" i="21"/>
  <c r="G112" i="11"/>
  <c r="G188" i="23"/>
  <c r="G51" i="17"/>
  <c r="G128" i="21"/>
  <c r="G134" i="21"/>
  <c r="G45" i="17"/>
  <c r="G157" i="23"/>
  <c r="G163" i="23"/>
  <c r="G65" i="9"/>
  <c r="G101" i="9" s="1"/>
  <c r="G16" i="27"/>
  <c r="D124" i="10"/>
  <c r="C14" i="5" s="1"/>
  <c r="G37" i="17"/>
  <c r="G138" i="23"/>
  <c r="G123" i="23"/>
  <c r="G114" i="23"/>
  <c r="G66" i="27"/>
  <c r="G68" i="11"/>
  <c r="D91" i="27"/>
  <c r="C23" i="5" s="1"/>
  <c r="G101" i="20"/>
  <c r="G119" i="18"/>
  <c r="G97" i="18"/>
  <c r="G30" i="18"/>
  <c r="G77" i="8"/>
  <c r="D130" i="8" s="1"/>
  <c r="D122" i="8"/>
  <c r="C10" i="5" s="1"/>
  <c r="D62" i="31"/>
  <c r="C11" i="5" s="1"/>
  <c r="G22" i="12"/>
  <c r="G30" i="17"/>
  <c r="G63" i="17"/>
  <c r="G55" i="17"/>
  <c r="G74" i="17"/>
  <c r="G107" i="17"/>
  <c r="G97" i="10"/>
  <c r="G40" i="31"/>
  <c r="G15" i="27"/>
  <c r="G111" i="14"/>
  <c r="G101" i="14"/>
  <c r="G23" i="18"/>
  <c r="G36" i="9"/>
  <c r="G20" i="10"/>
  <c r="G84" i="20"/>
  <c r="G71" i="9"/>
  <c r="G65" i="20"/>
  <c r="G92" i="8"/>
  <c r="G114" i="18"/>
  <c r="G91" i="20"/>
  <c r="G42" i="20"/>
  <c r="G35" i="20"/>
  <c r="G150" i="20"/>
  <c r="G69" i="10"/>
  <c r="G121" i="11"/>
  <c r="G16" i="12"/>
  <c r="G41" i="12"/>
  <c r="G80" i="9"/>
  <c r="G84" i="11"/>
  <c r="G44" i="14"/>
  <c r="G80" i="18"/>
  <c r="D163" i="18" s="1"/>
  <c r="G149" i="20"/>
  <c r="G34" i="27"/>
  <c r="G17" i="27"/>
  <c r="G78" i="11"/>
  <c r="G55" i="9"/>
  <c r="G60" i="18"/>
  <c r="G22" i="15"/>
  <c r="G72" i="8"/>
  <c r="G36" i="31"/>
  <c r="G56" i="12"/>
  <c r="G62" i="12"/>
  <c r="G35" i="12"/>
  <c r="G75" i="9"/>
  <c r="G63" i="10"/>
  <c r="G113" i="10" s="1"/>
  <c r="G83" i="10"/>
  <c r="G28" i="10"/>
  <c r="G92" i="10"/>
  <c r="G128" i="11"/>
  <c r="G42" i="11"/>
  <c r="G88" i="11"/>
  <c r="G19" i="14"/>
  <c r="G75" i="18"/>
  <c r="G94" i="18"/>
  <c r="G35" i="18"/>
  <c r="G46" i="27"/>
  <c r="G52" i="10"/>
  <c r="G53" i="20"/>
  <c r="G28" i="9"/>
  <c r="G34" i="21"/>
  <c r="G68" i="8"/>
  <c r="G100" i="8" s="1"/>
  <c r="G64" i="8"/>
  <c r="G85" i="9"/>
  <c r="G74" i="14"/>
  <c r="G125" i="18"/>
  <c r="G120" i="18"/>
  <c r="G29" i="12"/>
  <c r="G87" i="10"/>
  <c r="G39" i="10"/>
  <c r="G43" i="18"/>
  <c r="G74" i="23"/>
  <c r="G87" i="8"/>
  <c r="D128" i="8" s="1"/>
  <c r="G96" i="20"/>
  <c r="G30" i="23"/>
  <c r="G199" i="23"/>
  <c r="G25" i="23"/>
  <c r="G88" i="23"/>
  <c r="G84" i="23"/>
  <c r="G142" i="23"/>
  <c r="G25" i="27"/>
  <c r="G29" i="27"/>
  <c r="G51" i="27"/>
  <c r="G107" i="20"/>
  <c r="G120" i="20"/>
  <c r="G144" i="20"/>
  <c r="G25" i="8"/>
  <c r="G83" i="8"/>
  <c r="G78" i="10"/>
  <c r="G73" i="10"/>
  <c r="G92" i="11"/>
  <c r="G36" i="11"/>
  <c r="G29" i="11"/>
  <c r="G17" i="11"/>
  <c r="G103" i="11"/>
  <c r="G137" i="11" s="1"/>
  <c r="G97" i="11"/>
  <c r="G39" i="27"/>
  <c r="G49" i="12"/>
  <c r="G47" i="11"/>
  <c r="G19" i="8"/>
  <c r="G101" i="18"/>
  <c r="G28" i="20"/>
  <c r="G23" i="20"/>
  <c r="G131" i="20"/>
  <c r="G45" i="8"/>
  <c r="G24" i="31"/>
  <c r="G46" i="31"/>
  <c r="G19" i="31"/>
  <c r="G11" i="9"/>
  <c r="G89" i="9"/>
  <c r="G33" i="10"/>
  <c r="G22" i="11"/>
  <c r="G107" i="18"/>
  <c r="G38" i="8"/>
  <c r="D129" i="8" s="1"/>
  <c r="G125" i="20"/>
  <c r="G116" i="20"/>
  <c r="G57" i="20"/>
  <c r="G48" i="20"/>
  <c r="G137" i="20"/>
  <c r="G30" i="8"/>
  <c r="G30" i="31"/>
  <c r="G11" i="12"/>
  <c r="G22" i="9"/>
  <c r="G17" i="9"/>
  <c r="G13" i="10"/>
  <c r="G55" i="11"/>
  <c r="G25" i="14"/>
  <c r="G116" i="11"/>
  <c r="G23" i="17"/>
  <c r="G55" i="23"/>
  <c r="G97" i="17"/>
  <c r="G83" i="14"/>
  <c r="G35" i="15"/>
  <c r="G74" i="15"/>
  <c r="G132" i="15"/>
  <c r="G211" i="23"/>
  <c r="G112" i="17"/>
  <c r="G120" i="21"/>
  <c r="G71" i="18"/>
  <c r="G36" i="23"/>
  <c r="G192" i="23"/>
  <c r="G43" i="23"/>
  <c r="G68" i="14"/>
  <c r="G36" i="14"/>
  <c r="G59" i="15"/>
  <c r="G116" i="15"/>
  <c r="G85" i="18"/>
  <c r="G63" i="15"/>
  <c r="G104" i="15"/>
  <c r="G48" i="15"/>
  <c r="G95" i="15"/>
  <c r="G86" i="15"/>
  <c r="G52" i="27"/>
  <c r="G106" i="14"/>
  <c r="D144" i="14" s="1"/>
  <c r="G102" i="21"/>
  <c r="G117" i="23"/>
  <c r="G99" i="23"/>
  <c r="G171" i="23"/>
  <c r="G177" i="23"/>
  <c r="G152" i="23"/>
  <c r="G78" i="23"/>
  <c r="G182" i="23"/>
  <c r="G50" i="23"/>
  <c r="G132" i="23"/>
  <c r="G148" i="23"/>
  <c r="G126" i="23"/>
  <c r="F207" i="23"/>
  <c r="G206" i="23" s="1"/>
  <c r="G105" i="23"/>
  <c r="G124" i="21"/>
  <c r="G87" i="21"/>
  <c r="G93" i="21"/>
  <c r="G82" i="21"/>
  <c r="G71" i="21"/>
  <c r="G40" i="21"/>
  <c r="G152" i="21"/>
  <c r="G159" i="21"/>
  <c r="G54" i="21"/>
  <c r="G67" i="21"/>
  <c r="G105" i="21"/>
  <c r="G114" i="21"/>
  <c r="G142" i="21"/>
  <c r="G177" i="21" s="1"/>
  <c r="G47" i="21"/>
  <c r="G78" i="14"/>
  <c r="G14" i="14"/>
  <c r="G31" i="14"/>
  <c r="G57" i="14"/>
  <c r="G89" i="14"/>
  <c r="G95" i="14"/>
  <c r="G91" i="17"/>
  <c r="G101" i="17"/>
  <c r="G80" i="17"/>
  <c r="G18" i="17"/>
  <c r="G17" i="15"/>
  <c r="G53" i="15"/>
  <c r="G98" i="15"/>
  <c r="G110" i="15"/>
  <c r="G90" i="15"/>
  <c r="D171" i="15" s="1"/>
  <c r="G28" i="15"/>
  <c r="G123" i="15"/>
  <c r="G42" i="15"/>
  <c r="C12" i="5"/>
  <c r="C18" i="5"/>
  <c r="C19" i="5"/>
  <c r="D193" i="21"/>
  <c r="C21" i="5" s="1"/>
  <c r="C20" i="5"/>
  <c r="G55" i="31" l="1"/>
  <c r="G54" i="31" s="1"/>
  <c r="G107" i="8"/>
  <c r="D68" i="31"/>
  <c r="D70" i="31" s="1"/>
  <c r="D11" i="5" s="1"/>
  <c r="G140" i="18"/>
  <c r="G143" i="18"/>
  <c r="G223" i="23"/>
  <c r="G163" i="20"/>
  <c r="G230" i="23"/>
  <c r="G160" i="20"/>
  <c r="G159" i="20" s="1"/>
  <c r="G99" i="8"/>
  <c r="G80" i="27"/>
  <c r="G79" i="27" s="1"/>
  <c r="D198" i="21"/>
  <c r="D202" i="21" s="1"/>
  <c r="D21" i="5" s="1"/>
  <c r="G174" i="21"/>
  <c r="G173" i="21" s="1"/>
  <c r="D154" i="17"/>
  <c r="G169" i="20"/>
  <c r="D170" i="15"/>
  <c r="D174" i="15" s="1"/>
  <c r="D18" i="5" s="1"/>
  <c r="G124" i="17"/>
  <c r="G72" i="12"/>
  <c r="G71" i="12" s="1"/>
  <c r="G98" i="9"/>
  <c r="G97" i="9" s="1"/>
  <c r="G105" i="9" s="1"/>
  <c r="B13" i="5" s="1"/>
  <c r="G121" i="14"/>
  <c r="G120" i="14" s="1"/>
  <c r="G136" i="11"/>
  <c r="D130" i="10"/>
  <c r="D129" i="10"/>
  <c r="D98" i="27"/>
  <c r="D23" i="5" s="1"/>
  <c r="G76" i="27"/>
  <c r="G78" i="12"/>
  <c r="G75" i="12"/>
  <c r="G151" i="15"/>
  <c r="G149" i="11"/>
  <c r="G148" i="11" s="1"/>
  <c r="D251" i="23"/>
  <c r="D254" i="23" s="1"/>
  <c r="D22" i="5" s="1"/>
  <c r="D176" i="11"/>
  <c r="D15" i="5" s="1"/>
  <c r="G154" i="15"/>
  <c r="G180" i="21"/>
  <c r="G137" i="18"/>
  <c r="G136" i="18" s="1"/>
  <c r="G145" i="11"/>
  <c r="G144" i="11" s="1"/>
  <c r="G144" i="15"/>
  <c r="G233" i="23"/>
  <c r="G128" i="14"/>
  <c r="G135" i="17"/>
  <c r="G134" i="17" s="1"/>
  <c r="G170" i="21"/>
  <c r="G169" i="21" s="1"/>
  <c r="G148" i="15"/>
  <c r="G147" i="15" s="1"/>
  <c r="G125" i="14"/>
  <c r="G124" i="14" s="1"/>
  <c r="D146" i="14"/>
  <c r="D16" i="5" s="1"/>
  <c r="G138" i="17"/>
  <c r="G146" i="18"/>
  <c r="G127" i="17"/>
  <c r="D162" i="18"/>
  <c r="D166" i="18" s="1"/>
  <c r="D19" i="5" s="1"/>
  <c r="G131" i="17"/>
  <c r="G130" i="17" s="1"/>
  <c r="G141" i="11"/>
  <c r="G140" i="11" s="1"/>
  <c r="G227" i="23"/>
  <c r="G226" i="23" s="1"/>
  <c r="G220" i="23"/>
  <c r="G219" i="23" s="1"/>
  <c r="D188" i="20"/>
  <c r="D191" i="20" s="1"/>
  <c r="D20" i="5" s="1"/>
  <c r="D156" i="17"/>
  <c r="D115" i="9"/>
  <c r="D13" i="5" s="1"/>
  <c r="G68" i="12"/>
  <c r="G104" i="8"/>
  <c r="G103" i="8" s="1"/>
  <c r="G106" i="10"/>
  <c r="G105" i="10" s="1"/>
  <c r="G110" i="10"/>
  <c r="G109" i="10" s="1"/>
  <c r="G152" i="11"/>
  <c r="D133" i="8"/>
  <c r="D10" i="5" s="1"/>
  <c r="G132" i="14" l="1"/>
  <c r="B16" i="5" s="1"/>
  <c r="G111" i="8"/>
  <c r="B10" i="5" s="1"/>
  <c r="B11" i="5"/>
  <c r="G142" i="17"/>
  <c r="B17" i="5" s="1"/>
  <c r="G173" i="20"/>
  <c r="B20" i="5" s="1"/>
  <c r="G158" i="15"/>
  <c r="B18" i="5" s="1"/>
  <c r="G117" i="10"/>
  <c r="B14" i="5" s="1"/>
  <c r="G156" i="11"/>
  <c r="B15" i="5" s="1"/>
  <c r="D158" i="17"/>
  <c r="D17" i="5" s="1"/>
  <c r="G150" i="18"/>
  <c r="B19" i="5" s="1"/>
  <c r="G184" i="21"/>
  <c r="B21" i="5" s="1"/>
  <c r="G237" i="23"/>
  <c r="B22" i="5" s="1"/>
  <c r="G84" i="27"/>
  <c r="B23" i="5" s="1"/>
  <c r="G82" i="12"/>
  <c r="B12" i="5" s="1"/>
  <c r="D131" i="10"/>
  <c r="D14" i="5" s="1"/>
  <c r="D12" i="5"/>
</calcChain>
</file>

<file path=xl/sharedStrings.xml><?xml version="1.0" encoding="utf-8"?>
<sst xmlns="http://schemas.openxmlformats.org/spreadsheetml/2006/main" count="10471" uniqueCount="2420">
  <si>
    <t>S5</t>
  </si>
  <si>
    <t>Shorebird Feeding Habitats</t>
  </si>
  <si>
    <t>&lt;1% or none</t>
  </si>
  <si>
    <t>Nearest Town:</t>
  </si>
  <si>
    <t>25-50%</t>
  </si>
  <si>
    <t>50-75%</t>
  </si>
  <si>
    <t>&gt;75%</t>
  </si>
  <si>
    <t>Comments about the site or this assessment (attach extra page if desired):</t>
  </si>
  <si>
    <t>Internal Gradient</t>
  </si>
  <si>
    <t>Sediment &amp; Toxicant Retention &amp; Stabilization (SR)</t>
  </si>
  <si>
    <t>extensive evidence, high intensity*</t>
  </si>
  <si>
    <t>potentially (based on high-intensity* land use) or scattered evidence</t>
  </si>
  <si>
    <t>potentially (based on low-intensity* land use) with little or no direct evidence</t>
  </si>
  <si>
    <t>S9</t>
  </si>
  <si>
    <t>Severe (3 pts)</t>
  </si>
  <si>
    <t>Severe (3 points)</t>
  </si>
  <si>
    <t>Medium (2 points)</t>
  </si>
  <si>
    <t>Mild (1 point)</t>
  </si>
  <si>
    <t>Aquatic Invertebrate Habitat (INV)</t>
  </si>
  <si>
    <t>Domestic Wells</t>
  </si>
  <si>
    <t>Non-consumptive Uses - Actual or Potential</t>
  </si>
  <si>
    <t>How many wetlands have you assessed previously using this protocol (approx.)?</t>
  </si>
  <si>
    <t>Altered Timing of Water Inputs</t>
  </si>
  <si>
    <t>Dense vegetation offers frictional resistance to water flow, promoting sedimentation of suspended particles, as well as reducing the resuspension of bottom sediments by waves and currents.</t>
  </si>
  <si>
    <t>These features cumulatively decelerate runoff, thus allowing for more sedimentation to occur, although usually only to a minor degree.</t>
  </si>
  <si>
    <t>F66</t>
  </si>
  <si>
    <t>N Fixers</t>
  </si>
  <si>
    <t>Few or none</t>
  </si>
  <si>
    <t>Site Name:</t>
  </si>
  <si>
    <t>Several (extensive micro-topography)</t>
  </si>
  <si>
    <t>Unless impounded, steeply sloping wetlands retain less surface runoff and precipitation.</t>
  </si>
  <si>
    <r>
      <t xml:space="preserve">those species together do </t>
    </r>
    <r>
      <rPr>
        <b/>
        <sz val="10"/>
        <rFont val="Arial Narrow"/>
        <family val="2"/>
      </rPr>
      <t xml:space="preserve">not </t>
    </r>
    <r>
      <rPr>
        <sz val="10"/>
        <rFont val="Arial Narrow"/>
        <family val="2"/>
      </rPr>
      <t>comprise &gt; 50% of the areal cover of native herbaceous plants at any time during the year.</t>
    </r>
  </si>
  <si>
    <t>5-50%</t>
  </si>
  <si>
    <t>F42</t>
  </si>
  <si>
    <t>F43</t>
  </si>
  <si>
    <t>F45</t>
  </si>
  <si>
    <t>F49</t>
  </si>
  <si>
    <t>F50</t>
  </si>
  <si>
    <t>F51</t>
  </si>
  <si>
    <t>F54</t>
  </si>
  <si>
    <t>Approximate size of the Assessment Area (AA, in acres)</t>
  </si>
  <si>
    <t>none of the upland edge (invasives apparently absent)</t>
  </si>
  <si>
    <t xml:space="preserve">Most amphibians in this region appear to prefer ponded or slowly-flowing waters, as are typically associated with gentle gradient.  </t>
  </si>
  <si>
    <t>Increased visitation by humans and pets can potentially increase the spread of aquatic fungi that are lethal to many amphibians.</t>
  </si>
  <si>
    <t>Wetlands with upland inclusions allow animals to move more conveniently between uplands and wetlands, using resources in each.</t>
  </si>
  <si>
    <t>Data</t>
  </si>
  <si>
    <t>F56</t>
  </si>
  <si>
    <t>Consumptive Uses (Provisioning Services)</t>
  </si>
  <si>
    <t>1-25%</t>
  </si>
  <si>
    <t>F65</t>
  </si>
  <si>
    <t>F46</t>
  </si>
  <si>
    <t>Investigator Name:</t>
  </si>
  <si>
    <t>Date of Field Assessment:</t>
  </si>
  <si>
    <t>AA as percent of entire wetland (approx.)</t>
  </si>
  <si>
    <t>S8</t>
  </si>
  <si>
    <t>became very flashy or controlled</t>
  </si>
  <si>
    <t>became mildly flashy or controlled</t>
  </si>
  <si>
    <t>Usual toxicity of most toxic contaminants</t>
  </si>
  <si>
    <t>Frequency &amp; duration of input</t>
  </si>
  <si>
    <t>AA proximity to main sources (actual or potential)</t>
  </si>
  <si>
    <t>Erosion in CA</t>
  </si>
  <si>
    <t>Recentness of significant soil disturbance in the CA</t>
  </si>
  <si>
    <t>current &amp; ongoing</t>
  </si>
  <si>
    <t>1-12 months ago</t>
  </si>
  <si>
    <t>&gt;1 yr ago</t>
  </si>
  <si>
    <t>AA proximity to actual or potential sources</t>
  </si>
  <si>
    <t>Inflow</t>
  </si>
  <si>
    <t>Greater microtopography implies greater heterogeneity of water, vegetation, and disturbance regimes, which together should indicate higher capacity to support a wide variety of invertebrates.</t>
  </si>
  <si>
    <t>Steeper gradients imply a greater likelihood that whatever organic matter is produced will be transported offsite.</t>
  </si>
  <si>
    <t>Upland Inclusions</t>
  </si>
  <si>
    <t>Nitrate Removal &amp; Retention (NR)</t>
  </si>
  <si>
    <t>These features cumulatively decelerate runoff, thus allowing for more deposition of phosphorus-containing suspended sediments to occur, although usually only to a minor degree.</t>
  </si>
  <si>
    <r>
      <t xml:space="preserve">those species together comprise </t>
    </r>
    <r>
      <rPr>
        <b/>
        <sz val="10"/>
        <rFont val="Arial Narrow"/>
        <family val="2"/>
      </rPr>
      <t>&gt; 50%</t>
    </r>
    <r>
      <rPr>
        <sz val="10"/>
        <rFont val="Arial Narrow"/>
        <family val="2"/>
      </rPr>
      <t xml:space="preserve"> of the areal cover of </t>
    </r>
    <r>
      <rPr>
        <b/>
        <sz val="10"/>
        <rFont val="Arial Narrow"/>
        <family val="2"/>
      </rPr>
      <t xml:space="preserve">native </t>
    </r>
    <r>
      <rPr>
        <sz val="10"/>
        <rFont val="Arial Narrow"/>
        <family val="2"/>
      </rPr>
      <t>herbaceous plants at any time during the year.</t>
    </r>
  </si>
  <si>
    <t>S6</t>
  </si>
  <si>
    <t>S7</t>
  </si>
  <si>
    <t>Humans visiting wetlands commonly bring dogs, which potentially harass waterbirds.  Even the simple presence of people on foot will cause many waterbirds to take flight (Burger 1981; Klein et al. 1995; Burger &amp; Gochfeld 1998).  Although some species may habituate to frequent disturbance more readily than others, repeated intrusions drain the energy of many waterbirds.  This is especially damaging during cold weather, or when birds (especially shorebirds) are stopping briefly to feed during long migrations.</t>
  </si>
  <si>
    <t>&gt;10%</t>
  </si>
  <si>
    <t>6-10%</t>
  </si>
  <si>
    <t xml:space="preserve">&lt;5% </t>
  </si>
  <si>
    <t>most (&gt;50%) of the upland edge</t>
  </si>
  <si>
    <t>Many wetland invertebrates inhabit the soil, and potentially are harmed by soil disturbance such as from tillage or compaction.</t>
  </si>
  <si>
    <r>
      <t xml:space="preserve">those species together comprise </t>
    </r>
    <r>
      <rPr>
        <b/>
        <sz val="10"/>
        <rFont val="Arial Narrow"/>
        <family val="2"/>
      </rPr>
      <t>&gt; 50%</t>
    </r>
    <r>
      <rPr>
        <sz val="10"/>
        <rFont val="Arial Narrow"/>
        <family val="2"/>
      </rPr>
      <t xml:space="preserve"> of the areal cover of</t>
    </r>
    <r>
      <rPr>
        <b/>
        <sz val="10"/>
        <rFont val="Arial Narrow"/>
        <family val="2"/>
      </rPr>
      <t xml:space="preserve"> </t>
    </r>
    <r>
      <rPr>
        <sz val="10"/>
        <rFont val="Arial Narrow"/>
        <family val="2"/>
      </rPr>
      <t>native shrub species.</t>
    </r>
  </si>
  <si>
    <r>
      <t xml:space="preserve">those species together do </t>
    </r>
    <r>
      <rPr>
        <b/>
        <sz val="10"/>
        <rFont val="Arial Narrow"/>
        <family val="2"/>
      </rPr>
      <t xml:space="preserve">not </t>
    </r>
    <r>
      <rPr>
        <sz val="10"/>
        <rFont val="Arial Narrow"/>
        <family val="2"/>
      </rPr>
      <t>comprise &gt; 50% of the areal cover of native shrub species.</t>
    </r>
  </si>
  <si>
    <t>&lt;3 yrs ago</t>
  </si>
  <si>
    <t xml:space="preserve">3-9 yrs ago </t>
  </si>
  <si>
    <t>10-100 yrs ago</t>
  </si>
  <si>
    <t xml:space="preserve">Few or none </t>
  </si>
  <si>
    <t>Wetlands that lack surface water throughout the year may still provide dispersal sites for adult frogs, toads, and salamanders, but do not provide reproductive habitat for most amphibian species.</t>
  </si>
  <si>
    <t>Most waterbirds favor ponded areas (that typically are flat) rather than flowing water that typifies slope wetlands.</t>
  </si>
  <si>
    <t>F59</t>
  </si>
  <si>
    <t>Amphibian Habitat (AM)</t>
  </si>
  <si>
    <t>F44</t>
  </si>
  <si>
    <t>New Wetland</t>
  </si>
  <si>
    <t>No</t>
  </si>
  <si>
    <t>yes, but time of origin unknown</t>
  </si>
  <si>
    <t>unknown if new within 20 years or not</t>
  </si>
  <si>
    <t>frequent but mostly seasonal</t>
  </si>
  <si>
    <t>frequent and year-round</t>
  </si>
  <si>
    <t>infrequent &amp; during high runoff events mainly</t>
  </si>
  <si>
    <t>Outflow Confinement</t>
  </si>
  <si>
    <t>When most of the timing shift began</t>
  </si>
  <si>
    <t>shift of weeks</t>
  </si>
  <si>
    <t>shift of days</t>
  </si>
  <si>
    <t>shift of hours or minutes</t>
  </si>
  <si>
    <t>intermediate</t>
  </si>
  <si>
    <t>Duration</t>
  </si>
  <si>
    <t>Timing of soil alteration</t>
  </si>
  <si>
    <t>See above.</t>
  </si>
  <si>
    <t>50-95%</t>
  </si>
  <si>
    <t>Indicator</t>
  </si>
  <si>
    <t>#</t>
  </si>
  <si>
    <t>VwidthAbs6</t>
  </si>
  <si>
    <t>OutDura6</t>
  </si>
  <si>
    <t>Constric6</t>
  </si>
  <si>
    <t>ThruFlo6</t>
  </si>
  <si>
    <t>Nfixer6</t>
  </si>
  <si>
    <t>Gcover6</t>
  </si>
  <si>
    <t>SoilTex6</t>
  </si>
  <si>
    <t>Gradient6</t>
  </si>
  <si>
    <t>NewWet6</t>
  </si>
  <si>
    <t>Wettype8</t>
  </si>
  <si>
    <t>SeasPct8</t>
  </si>
  <si>
    <t>AqCov8</t>
  </si>
  <si>
    <t>PermWpct8</t>
  </si>
  <si>
    <t>Depth8</t>
  </si>
  <si>
    <t>Interspers8</t>
  </si>
  <si>
    <t>Hardwood8</t>
  </si>
  <si>
    <t>ThruFlo8</t>
  </si>
  <si>
    <t>Nfixers8</t>
  </si>
  <si>
    <t>WoodDown8</t>
  </si>
  <si>
    <t>Girreg8</t>
  </si>
  <si>
    <t>AltTime8</t>
  </si>
  <si>
    <t>SedCA8</t>
  </si>
  <si>
    <t>SoilDisturb8</t>
  </si>
  <si>
    <t>Fish8</t>
  </si>
  <si>
    <t>Groundw8</t>
  </si>
  <si>
    <t>PermWpct10</t>
  </si>
  <si>
    <t>WoodAbove10</t>
  </si>
  <si>
    <t>IsoDry10</t>
  </si>
  <si>
    <t>Depth10</t>
  </si>
  <si>
    <t>DepthEven10</t>
  </si>
  <si>
    <t>Interspers10</t>
  </si>
  <si>
    <t>OutDura10</t>
  </si>
  <si>
    <t>ThruFlo10</t>
  </si>
  <si>
    <t>NatVegCUpct10</t>
  </si>
  <si>
    <t>AltTime10</t>
  </si>
  <si>
    <t>Wettype10</t>
  </si>
  <si>
    <t>Groundw10</t>
  </si>
  <si>
    <t>Lake10</t>
  </si>
  <si>
    <t>Fluctu11</t>
  </si>
  <si>
    <t>WoodAbove11</t>
  </si>
  <si>
    <t>IsoWet11</t>
  </si>
  <si>
    <t>Interspers11</t>
  </si>
  <si>
    <t>Vwidth11</t>
  </si>
  <si>
    <t>TreeVar11</t>
  </si>
  <si>
    <t>WoodDown11</t>
  </si>
  <si>
    <t>Girreg11</t>
  </si>
  <si>
    <t>Gradient11</t>
  </si>
  <si>
    <t>GroundW11</t>
  </si>
  <si>
    <t>Core1_11</t>
  </si>
  <si>
    <t>Core2_11</t>
  </si>
  <si>
    <t>AcidicPool10</t>
  </si>
  <si>
    <t>Wettype13</t>
  </si>
  <si>
    <t>Fluctu13</t>
  </si>
  <si>
    <t>PermWpct13</t>
  </si>
  <si>
    <t>ISOdry13</t>
  </si>
  <si>
    <t>DepthEven13</t>
  </si>
  <si>
    <t>Interspers13</t>
  </si>
  <si>
    <t>VwidthAbs13</t>
  </si>
  <si>
    <t>EmPct13</t>
  </si>
  <si>
    <t>SnagB13</t>
  </si>
  <si>
    <t>TreeForm13</t>
  </si>
  <si>
    <t>Gradient13</t>
  </si>
  <si>
    <t>Core1_13</t>
  </si>
  <si>
    <t>Core2_13</t>
  </si>
  <si>
    <t>BuffNatPct13</t>
  </si>
  <si>
    <t>ShoreSlope13</t>
  </si>
  <si>
    <t>Acidic13</t>
  </si>
  <si>
    <t>Beaver13</t>
  </si>
  <si>
    <t>PermWpct14</t>
  </si>
  <si>
    <t>WoodyPct14</t>
  </si>
  <si>
    <t>WoodDown14</t>
  </si>
  <si>
    <t>Inclus14</t>
  </si>
  <si>
    <t>Cliffs14</t>
  </si>
  <si>
    <t>Core14a</t>
  </si>
  <si>
    <t>Core14b</t>
  </si>
  <si>
    <t>CUbuffNatPct14</t>
  </si>
  <si>
    <t>CUtypeLU14</t>
  </si>
  <si>
    <t>Interspers14</t>
  </si>
  <si>
    <t>Vwidth14</t>
  </si>
  <si>
    <t>Hardwd14</t>
  </si>
  <si>
    <t>ShrubCanop14</t>
  </si>
  <si>
    <t>ShrubDiv14</t>
  </si>
  <si>
    <t>Unless (or even when) new wetlands are sown with plants, the number of species often remains low for years as colonization gradually occurs and diverse plant communities become established.</t>
  </si>
  <si>
    <t>Songbird, Raptor, &amp; Mammal Habitat (SBM)</t>
  </si>
  <si>
    <t>5 to 30%</t>
  </si>
  <si>
    <t>30 to 60%</t>
  </si>
  <si>
    <t>60 to 90%</t>
  </si>
  <si>
    <t>Intermediate</t>
  </si>
  <si>
    <t>Downed Wood</t>
  </si>
  <si>
    <t>Ground Irregularity</t>
  </si>
  <si>
    <t>Input timing now vs. previously</t>
  </si>
  <si>
    <t>Flashiness or muting</t>
  </si>
  <si>
    <t>F55</t>
  </si>
  <si>
    <t>Predominant Depth Class</t>
  </si>
  <si>
    <t>Spatial extent of altered soil</t>
  </si>
  <si>
    <r>
      <t xml:space="preserve">Soil or Sediment Alteration </t>
    </r>
    <r>
      <rPr>
        <b/>
        <i/>
        <sz val="12"/>
        <rFont val="Arial"/>
        <family val="2"/>
      </rPr>
      <t>Within the Assessment Area</t>
    </r>
  </si>
  <si>
    <t>Depth15</t>
  </si>
  <si>
    <t>WidthPD</t>
  </si>
  <si>
    <t>wood2pd</t>
  </si>
  <si>
    <t>GirregPD</t>
  </si>
  <si>
    <t>SoilTexPD</t>
  </si>
  <si>
    <t>herbdom15</t>
  </si>
  <si>
    <t>WeedSourcePD</t>
  </si>
  <si>
    <t>NatVegCApd</t>
  </si>
  <si>
    <t>BuffLUpd</t>
  </si>
  <si>
    <t>Core1pd</t>
  </si>
  <si>
    <t>Core2pd</t>
  </si>
  <si>
    <t>NewWetPD</t>
  </si>
  <si>
    <t>AltTime20</t>
  </si>
  <si>
    <t>SedDisturb20</t>
  </si>
  <si>
    <t>WettypePD</t>
  </si>
  <si>
    <t>MossPD</t>
  </si>
  <si>
    <t>TreeCovPD</t>
  </si>
  <si>
    <t>NfixPD</t>
  </si>
  <si>
    <t>ShrubSun</t>
  </si>
  <si>
    <t>HardwdPD</t>
  </si>
  <si>
    <t>GWpd</t>
  </si>
  <si>
    <t>InterspersPD</t>
  </si>
  <si>
    <t>BeaverPD</t>
  </si>
  <si>
    <t>InfloPD</t>
  </si>
  <si>
    <t>FlucPD</t>
  </si>
  <si>
    <t>Depth2_</t>
  </si>
  <si>
    <t>Soil2_</t>
  </si>
  <si>
    <t>Groundw2_</t>
  </si>
  <si>
    <t>OutDur2_</t>
  </si>
  <si>
    <t>OutDur7</t>
  </si>
  <si>
    <t>Gwater7</t>
  </si>
  <si>
    <t>Shade7</t>
  </si>
  <si>
    <t>ISOdry7</t>
  </si>
  <si>
    <t>Depth7</t>
  </si>
  <si>
    <t>Fluc2</t>
  </si>
  <si>
    <t>SeasPct2</t>
  </si>
  <si>
    <t>DepthC2</t>
  </si>
  <si>
    <t>WatEdgeSlope2</t>
  </si>
  <si>
    <t>WidthAbs2</t>
  </si>
  <si>
    <t>OutDur2</t>
  </si>
  <si>
    <t>Constric2</t>
  </si>
  <si>
    <t>ThruFlo2</t>
  </si>
  <si>
    <t>Gcover2</t>
  </si>
  <si>
    <t>Girreg2</t>
  </si>
  <si>
    <t>Gradient2</t>
  </si>
  <si>
    <t>Lake3</t>
  </si>
  <si>
    <t>Persis3</t>
  </si>
  <si>
    <t>Fluctu3</t>
  </si>
  <si>
    <t>DomDepth3</t>
  </si>
  <si>
    <t>VegWabs3</t>
  </si>
  <si>
    <t>OutDura3</t>
  </si>
  <si>
    <t>Constric3</t>
  </si>
  <si>
    <t>ThruFlo3</t>
  </si>
  <si>
    <t>Gcover3</t>
  </si>
  <si>
    <t>Girreg3</t>
  </si>
  <si>
    <t>SoilTex3</t>
  </si>
  <si>
    <t>Gradient3</t>
  </si>
  <si>
    <t>CApctB3</t>
  </si>
  <si>
    <t>Wettype4</t>
  </si>
  <si>
    <t>SeasWpct4</t>
  </si>
  <si>
    <t>PermWpct4</t>
  </si>
  <si>
    <t>Fluctu4</t>
  </si>
  <si>
    <t>Interspers4</t>
  </si>
  <si>
    <t>Groundw4</t>
  </si>
  <si>
    <t>OutDura4</t>
  </si>
  <si>
    <t>Constric4</t>
  </si>
  <si>
    <t>Gcover4</t>
  </si>
  <si>
    <t>Girreg4</t>
  </si>
  <si>
    <t>Inclus4</t>
  </si>
  <si>
    <t>SoilTex4</t>
  </si>
  <si>
    <t>Gradient4</t>
  </si>
  <si>
    <t>NewWet</t>
  </si>
  <si>
    <t>Wettype2</t>
  </si>
  <si>
    <t>Organic Nutrient Export (OE)</t>
  </si>
  <si>
    <t>&lt;1%</t>
  </si>
  <si>
    <t>F47</t>
  </si>
  <si>
    <t>F52</t>
  </si>
  <si>
    <t>F53</t>
  </si>
  <si>
    <t>F57</t>
  </si>
  <si>
    <t>F58</t>
  </si>
  <si>
    <t>F60</t>
  </si>
  <si>
    <t>F61</t>
  </si>
  <si>
    <t>F63</t>
  </si>
  <si>
    <t>F64</t>
  </si>
  <si>
    <t>Ownership</t>
  </si>
  <si>
    <r>
      <t xml:space="preserve">Excessive Sediment Loading </t>
    </r>
    <r>
      <rPr>
        <b/>
        <i/>
        <sz val="12"/>
        <rFont val="Arial"/>
        <family val="2"/>
      </rPr>
      <t>from Contributing Area</t>
    </r>
  </si>
  <si>
    <t>2-5%</t>
  </si>
  <si>
    <t>F48</t>
  </si>
  <si>
    <t>Woody Diameter Classes</t>
  </si>
  <si>
    <t>Visibility</t>
  </si>
  <si>
    <t>Snags</t>
  </si>
  <si>
    <t>Have you attended a training session for this protocol?  If so, indicate approximate month &amp; year.</t>
  </si>
  <si>
    <t>Tree cavities are needed by many nesting songbirds and mammals, and by roosting bats. Tall snags are especially useful to raptors as hunting perches.</t>
  </si>
  <si>
    <t>long-lasting, minimal veg recovery</t>
  </si>
  <si>
    <t>long-lasting but mostly revegetated</t>
  </si>
  <si>
    <t xml:space="preserve">short-term, revegetated, not intense </t>
  </si>
  <si>
    <t>Some of these features are important to bank-living beavers, swallows, and swifts.</t>
  </si>
  <si>
    <t>Rationale</t>
  </si>
  <si>
    <r>
      <t xml:space="preserve">What percent (approx.) of the </t>
    </r>
    <r>
      <rPr>
        <b/>
        <sz val="11"/>
        <rFont val="Arial"/>
        <family val="2"/>
      </rPr>
      <t>wetland</t>
    </r>
    <r>
      <rPr>
        <sz val="11"/>
        <rFont val="Arial"/>
        <family val="2"/>
      </rPr>
      <t xml:space="preserve"> were you </t>
    </r>
    <r>
      <rPr>
        <sz val="11"/>
        <rFont val="Arial"/>
        <family val="2"/>
      </rPr>
      <t>able to visit?</t>
    </r>
  </si>
  <si>
    <r>
      <t xml:space="preserve">What percent (approx.) of the </t>
    </r>
    <r>
      <rPr>
        <b/>
        <sz val="11"/>
        <rFont val="Arial"/>
        <family val="2"/>
      </rPr>
      <t xml:space="preserve">AA </t>
    </r>
    <r>
      <rPr>
        <sz val="11"/>
        <rFont val="Arial"/>
        <family val="2"/>
      </rPr>
      <t>were you able to visit?</t>
    </r>
  </si>
  <si>
    <t>Latitude (decimal degrees):</t>
  </si>
  <si>
    <t>Longitude (decimal degrees):</t>
  </si>
  <si>
    <t>Public enjoyment of wetlands is assumed to be greater when most of the wetland can be seen without obstruction by dense shrubs or other features.</t>
  </si>
  <si>
    <t>If accessible, wetlands closer to roads are likely to be visited by more people on foot.</t>
  </si>
  <si>
    <t>F62</t>
  </si>
  <si>
    <t>Wetlands that have no outflow are likely to have only minimal effect on temperature of other water bodies.</t>
  </si>
  <si>
    <t>SeasWpct6</t>
  </si>
  <si>
    <t xml:space="preserve">Dense vegetation offers frictional resistance to runoff, promoting sedimentation of suspended particles and reducing erosion. This promotes phosphorus retention because phosphorus is typically adsorbed to soil particles. </t>
  </si>
  <si>
    <t>Phosphorus Retention (PR)</t>
  </si>
  <si>
    <t>Core1PU</t>
  </si>
  <si>
    <t>Core2PU</t>
  </si>
  <si>
    <t>Wetlands fed by groundwater tend to remain saturated for longer in the summer, thus increasing their chances of supporting streamflow downslope.</t>
  </si>
  <si>
    <t>Streamwater Cooling (WC)</t>
  </si>
  <si>
    <t>Stream Flow Support (SFS)</t>
  </si>
  <si>
    <t>Surface Water Storage (WS)</t>
  </si>
  <si>
    <t>Soil compaction seals up pores in the soil that serve as habitat space for denitrifying bacteria, as well as causing a larger proportion of the precipitation to leave as runoff rather than infiltrate into subsurface areas where denitrification is greatest. Soil erosion often results in loss of carbon-rich upper soil layers that are important to denitrification.</t>
  </si>
  <si>
    <t>Nitrogen added to a wetland by N-fixing plants can increase the wetland's overall plant productivity, potentially making more organic matter available for export. Presence of alder in conifer woodlands also can speed the decomposition of organic material from the conifers (Fyles &amp; Fyles 1993) perhaps making it more useful for supporting aquatic life.</t>
  </si>
  <si>
    <t>These features cumulatively decelerate runoff, thus allowing for more biological processing and deposition of nitrate-containing suspended sediments, although usually only to a minor degree. The presence of soil cracks implies a potential downward extension of the aerobic zone, interspersing it with anaerobic areas, which should lead to greater denitrification. Studies of wastewater treatment wetlands have shown greater nitrate removal where pockets of deeper water are interspersed with shallower areas (i.e., diverse microtopography).</t>
  </si>
  <si>
    <t>Upland soils are normally aerobic, whereas wetland soils are often anaerobic. Maximum denitrification occurs at the interface of aerobic and anaerobic conditions. Thus, if inclusions of aerobic non-wetland soils are numerous and interspersed throughout a wetland, the extent of denitrification overall should be greater.</t>
  </si>
  <si>
    <t xml:space="preserve">Flatter wetlands are more likely than steep ones to slow runoff, facilitating more deposition of suspended matter and the nitrate that is associated with it, and also supporting anaerobic conditions that lead to more nitrate removal via denitrification. Steeper gradients in a wetland imply greater potential for outflow and transport downslope, and more aerobic conditions. </t>
  </si>
  <si>
    <t>Type of Cover in Buffer</t>
  </si>
  <si>
    <t>Inflowing streams bring plant propagules that can sprout and diversify wetland plant communities.</t>
  </si>
  <si>
    <t>Flatter wetlands are more likely than steep ones to slow runoff, facilitating more deposition of suspended matter and the phosphorus that is associated with it. Ground cover becomes more important to sediment stabilization in wetlands on slopes.</t>
  </si>
  <si>
    <t>Sediment deposition, and thus (by correlation) phosphorus retention, can be predicted partly by the ratio of the volume of a storage basin to the volume of runoff entering the basin (Heinemann 1981). This indicator is a rough correlate of that ratio.</t>
  </si>
  <si>
    <t>Coarse soils tend to be less productive and in some cases this results in reduced species richness of wetland plants. Wetland soils with higher organic content often support greater plant species richness (e.g., Alsfeld et al. 2009) but only if not too acidic (e.g., fens are not). However, when organic soils are acidic (e.g., bogs) they often support species uncommon in wetlands elsewhere.</t>
  </si>
  <si>
    <t>Invasion by non-native species typically results in a reduction in native plant species richness. In some regions, a change of only 4 inches in mean water level or a change of only 1 inch in the degree of fluctuation may cause a shift from native to non-native species (Magee &amp; Kentula 2005).</t>
  </si>
  <si>
    <t>Although not all invasive upland plants are capable of establishing sustained populations in wetlands, many can. When they do they reduce plant diversity.</t>
  </si>
  <si>
    <t xml:space="preserve">Streams adjoined by natural vegetation provide shade that helps maintain water temperature, as well as supporting richer and healthier communities of fish as well as invertebrates. Often, only very tolerant fish species are present in streams in heavily urbanized areas (Yoder et al. 1999) and invasive species may enjoy a competitive advantage over native species under urban conditions (Boet et al. 1999). </t>
  </si>
  <si>
    <t>Wetlands with a large perimeter-to-area ratio (i.e., convoluted edges) or upland inclusions allow animals to move more conveniently between uplands and wetlands, using resources in each. In particular, small mammals avoid wetter (usually more central) parts of wetlands in favor of drier edges (Mazerolle et al. 2001).  In British Columbia, activity levels of bats were more than 40 times greater in riparian than in upland areas, due to greater abundance of emerging aquatic insects, and were significantly greater where stand complexity and extent of forest edges was greater; bat activity levels were not correlated with forest stand age (Grindal et al. Brigham 1999, Grindal et al. 1999).</t>
  </si>
  <si>
    <t>Many invertebrate groups (e.g., snails, isopods, lumbricid worms) cannot tolerate acidic conditions of bogs, and invertebrate richness generally tends to be greater in persistently inundated fens than in less persistently inundated marshes with more mineral soils (Holmquist et al. 2011).  However, marshes along lakes and rivers tend to have water longer into the growing season than other marshes and can support high abundance and diversity of invertebrates. One study reported that bogs and fens did not differ significantly with regard to invertebrate faunas. Dragonflies seemed to respond to the habitat's form and structure more than to its acidity or nutrient levels (Cannings &amp; Cannings 1994)</t>
  </si>
  <si>
    <t>Upland cover with perennial vegetation is very important to many songbirds and mammals that occur in wetlands or along a wetland's upland edge. Some landbirds in Southeast Alaska may need buffers of over 1000 ft. (Kissling &amp; Garton 2008). Wetlands that contain or are close to natural land cover, and not separated from that by roads that interfere with movements across the landscape, are more likely to support forest-dwelling species. The probability that a forest-dwelling bird will fly in the open between two patches of forest decreases rapidly as the distance separating those patches increases (Desrochers &amp; Hannon 1997, St. Clair et al. 1998). Forest bird species usually prefer to detour under forest cover even if the forested route is longer, but if the detour is too long, they will prefer a shortcut across openland. However, when possible most forest bird species avoid venturing farther than about 100 ft from a forest edge (St. Clair et al. 1998).</t>
  </si>
  <si>
    <t>Human presence can attract crows and ravens, which prey on nests. Dogs and house cats which prey on wetland songbirds and mammals also tend to be more prevalent in areas frequently visited by humans.</t>
  </si>
  <si>
    <t>Snags provide nest cavities for a few waterbird species, e.g., hooded merganser. Such trees may be used even when located a considerable distance from the wetland.</t>
  </si>
  <si>
    <t xml:space="preserve">Most waterbirds favor emergent herbaceous vegetation rather than woody vegetation, partly because it provides food as well as cover. </t>
  </si>
  <si>
    <t xml:space="preserve">To meet all their life history requirements, most amphibians require uplands in close proximity to, or interspersed within, suitable wetlands.  Uplands that are dominated by natural vegetation usually provide the most suitable microclimates and habitat structure.  When radiotracked frogs on Vancouver Island were released inside clusters of trees amidst otherwise unsuitable habitat (clearcuts), the proportion of frogs abandoning the tree cluster was greater the smaller the cluster.  Frogs were less likely to leave tree patches intersected by a running stream or where neighborhood stream density was high.  Scattered tree patches of 2.0 to 3.7 acres, preferably in stream locations, were the minimum needed to allow successful overland passage of one frog species (Chan-McLeod &amp; Moy 2007).  However, as noted by Cushman (2006), “The suggestion that forest cover in the [buffer] landscape benefits amphibians may not apply to all species that are fully aquatic or that depend on nonforested upland habitat.”  Also, in Oregon Pearl et al. (2005) found only one of five amphibian species to be correlated with surrounding forest cover, and another one of the amphibians (Pacific treefrog) was negatively correlated with it. </t>
  </si>
  <si>
    <t>Most waterbirds situate their nests on or near persistent water. However, wetlands that flood only seasonally often provide more food and cover for young.</t>
  </si>
  <si>
    <t>5-50% of the upland edge</t>
  </si>
  <si>
    <t>Fringe Wetland</t>
  </si>
  <si>
    <t>Lacustrine Wetland</t>
  </si>
  <si>
    <t xml:space="preserve">Sites that remain continually moist (saturated) but not flooded may be more likely to retain phosphorus (Aldous et al. 2007). </t>
  </si>
  <si>
    <t>SatPct8</t>
  </si>
  <si>
    <t>SatPct11</t>
  </si>
  <si>
    <t>SatPct14</t>
  </si>
  <si>
    <t>SatPct13</t>
  </si>
  <si>
    <t>SatPct15</t>
  </si>
  <si>
    <t>SatPct7</t>
  </si>
  <si>
    <t>When water remains entirely belowground, water temperatures in summer remain cooler than if exposed aboveground.</t>
  </si>
  <si>
    <t>Denitrification processes occur when anaerobic conditions occur, which are more likely when surface water is present and blocks gas exchange. Shallow inundation tends to decrease emissions of nitrous oxide (Zaman et al. 2007, Song et al. 2008) .</t>
  </si>
  <si>
    <t>Used as a classifier. Wetlands that are never inundated cannot support resident fish.</t>
  </si>
  <si>
    <t>SatPct10</t>
  </si>
  <si>
    <t>Literature Cited</t>
  </si>
  <si>
    <t>Arnold, C. L. and C. J. Gibbons. 1996. Impervious surface coverage: The emergence of a key environmental indicator. Journal of the American Planning Association 62:243-258.</t>
  </si>
  <si>
    <t>Booth, D. B. and C. R. Jackson. 1997. Urbanization of aquatic systems: Degradation thresholds, stormwater detection, and the limits of mitigation. JAWRA Journal of the American Water Resources Association 33:1077-1090.</t>
  </si>
  <si>
    <t>Carter, V., M. S. Bedinger, R. P. Novitski, and W. Wilen. 1979. Water resources and wetlands. Pages 344–376 in P. E. Greeson, J. R. Clark, and J. E. Clark, editors. Wetland Functions and Values: The State of Our Understanding. American Water Resources Association, Minneapolis, MN.</t>
  </si>
  <si>
    <t>Detenbeck, N., C. Elonen, D. Taylor, A. Cotter, F. Puglisi, and W. Sanville. 2002. Effects of agricultural activities and best management practices on water quality of seasonal prairie pothole wetlands. Wetlands Ecology and Management 10:335-354.</t>
  </si>
  <si>
    <t>Laenen, A. 1980. Storm Runoff as Related to Urbanization in the Portland, Oregon-Vancouver, Washington Area: U.S. Geological Survey Water Resources Investigations 80-689. Geological Survey, Portland, OR.</t>
  </si>
  <si>
    <t>Leopold, L. B. 1968. Hydrology for Urban Land Planning—A Guidebook on the Hydrologic Effects of Urban Land Use. United States Department of the Interior, U.S. Geological Survey, Circular 554, Washington, DC.</t>
  </si>
  <si>
    <t>Quinton, W. L. and N. T. Roulet. 1998. Spring and summer runoff hydrology of a subarctic patterned wetland. Arctic and Alpine Research 30:285-294.</t>
  </si>
  <si>
    <t>Roulet, N. T. and M. K. Woo. 1988. Run-off generation in a low arctic drainage-basin. Journal of Hydrology 101:213-226.</t>
  </si>
  <si>
    <t>Spence, C., X. J. Guan, and R. Phillips. 2011. The hydrological functions of a boreal wetland. Wetlands 31:75-85.</t>
  </si>
  <si>
    <t>Waite, T. A. and L. G. Campbell. 2006. Controlling the false discovery rate and increasing statistical power in ecological studies. Ecoscience 13:439-442.</t>
  </si>
  <si>
    <t>Brosofske, K. D., J. Chen, R. J. Naiman, and J. F. Franklin. 1997. Harvesting effects on microclimatic gradients from small streams to uplands in western Washington. Ecological Applications 7:1188-1200.</t>
  </si>
  <si>
    <t>Gomi, T., R. D. Moore, and A. S. Dhakal. 2006. Headwater stream temperature response to clear-cut harvesting with different riparian treatments, coastal British Columbia, Canada. Water Resources Research 42:WO8437.</t>
  </si>
  <si>
    <t>Meleason, M. A. and J. M. Quinn. 2004. Influence of riparian buffer width on air temperature at Whangapoua Forest, Coromandel Peninsula, New Zealand. Forest Ecology and Management 191:365-371.</t>
  </si>
  <si>
    <t>Mellina, E., R. D. Moore, S. G. Hinch, J. S. Macdonald, and G. Pearson. 2002. Stream temperature responses to clearcut logging in British Columbia: the moderating influences of groundwater and headwater lakes. Canadian Journal of Fisheries and Aquatic Sciences 59:1886-1900.</t>
  </si>
  <si>
    <t>Nelitz, M. A., E. A. MacIsaac, and R. M. Peterman. 2007. A science-based approach for identifying temperature-sensitive streams for rainbow trout. North American Journal of Fisheries Management 27:405-424.</t>
  </si>
  <si>
    <t>Reinelt, L. E. and R. R. Horner. 1990. Characterization of the Hydrology and Water Quality of Palustrine Wetlands Affected by Urban Stormwater. King County Resource Planning Section, Seattle, WA.</t>
  </si>
  <si>
    <t>Rounds, S. A. 2007. Temperature Effects of Point Sources, Riparian Shading, and Dam Operations on the Willamette River, Oregon. Scientific Investigations Report 2007–5185. U.S. Department of the Interior, U.S. Geological Survey, Portland, OR.</t>
  </si>
  <si>
    <t>Sridhar, V., A. L. Sansone, J. LaMarche, T. Dubin, and D. P. Lettenmaier. 2004. Prediction of stream temperature in forested watersheds. Journal of the American Water Resources Association 40:197-213.</t>
  </si>
  <si>
    <t>Stephenson, J. M. and A. Morin. 2009. Covariation of stream community structure and biomass of algae, invertebrates and fish with forest cover at multiple spatial scales. Freshwater Biology 54:2139-2154.</t>
  </si>
  <si>
    <t>Amatya, D. M., R. W. Skaggs, J. W. Gilliam, and J. H. Hughes. 2003. Effects of orifice-weir outlet on hydrology and water quality of a drained forested watershed. Southern Journal of Applied Forestry 27:130-142.</t>
  </si>
  <si>
    <t>Dillaha, T. A., J. H. Sherrard, D. Lee, S. Mostaghimi, and V. O. Shanholtz. 1988. Evaluation of vegetative filter strips as a best management practice for feed lots. Journal Water Pollution Control Federation 60:1231-1238.</t>
  </si>
  <si>
    <t>Dillaha, T. A., R. B. Reneau, S. Mostaghimi, and D. Lee. 1989. Vegetative filter strips for agricultural nonpoint source pollution-control. Transactions of the  ASAE 32:513-519.</t>
  </si>
  <si>
    <t>Evans, R. D. and F. H. Rigler. 1983. A test of lead-210 dating for the measurement of whole lake soft sediment accumulation. Canadian Journal of Fisheries and Aquatic Sciences 40:506-515.</t>
  </si>
  <si>
    <t>Heinemann, H. G. 1981. A new sediment trap efficency curve for small reservoirs Water Resources Bulletin 17:825-830.</t>
  </si>
  <si>
    <t>Knutson, P., J. Ford, M. Inskeep, and J. Oyler. 1981. National survey of planted salt marshes (Vegetative stabilization and wave stress). Wetlands 1:129-157.</t>
  </si>
  <si>
    <t>McBride, M. and D. B. Booth. 2005. Urban impacts on physical stream condition: Effects of spatial scale, connectivity, and longitudinal trends. Journal of the American Water Resources Association 41:565-580.</t>
  </si>
  <si>
    <t>Morris, A. W., A. J. Bale, and R. J. M. Howland. 1981. Nutrient distributions in an estuary - evidence of chemical precipitation of dissolved silicate and phosphate. Estuarine Coastal and Shelf Science 12:205-216.</t>
  </si>
  <si>
    <t>Nieswand, G. H., R. M. Hordon, T. B. Shelton, B. B. Chavooshian, and S. Blarr. 1990. Buffer strips to protect water-supply reservoirs - A model and recommendations. Water Resources Bulletin 26:959-966.</t>
  </si>
  <si>
    <t>Nolan, K. M. and D. C. Marron. 1985. Contrast in stream-channel response to major storms in two mountainous areas of California. Geology 13:135-138.</t>
  </si>
  <si>
    <t>Phillips, J. D. 1989. An evaluation of the factors determining the effectiveness of water quality buffer zones. Journal of Hydrology 107:133-145.</t>
  </si>
  <si>
    <t>Polyakov, V., A. Fares, and M. H. Ryder. 2005. Precision riparian buffers for the control of nonpoint source pollutant loading into surface water: A review. Environmental Reviews 13:129-144.</t>
  </si>
  <si>
    <t>Trimble, G. R., Jr. and R. S. Sartz. 1957. How far from a stream should a logging road be located? Journal of Forestry 55:339-341.</t>
  </si>
  <si>
    <t>White, W. J., L. A. Morris, D. B. Warnell, A. P. Pinho, C. R. Jackson, and L. T. West. 2007. Sediment retention by forested filter strips in the Piedmont of Georgia. Journal of Soil and Water Conservation 62:453-463.</t>
  </si>
  <si>
    <t>Zhang, X., X. Liu, M. Zhang, R. A. Dahlgren, and M. Eitzel. 2010. A review of vegetated buffers and a meta-analysis of their mitigation efficacy in reducing nonpoint source pollution. Journal of Environmental Quality 39:76-84.</t>
  </si>
  <si>
    <t>Aldous, A., P. McCormick, C. Ferguson, S. Graham, and C. Craft. 2005. Hydrologic regime controls soil phosphorus fluxes in restoration and undisturbed wetlands. Restoration Ecology 13:341-347.</t>
  </si>
  <si>
    <t>Aldous, A. R., C. B. Craft, C. J. Stevens, M. J. Barry, and L. B. Bach. 2007. Soil phosphorus release from a restoration wetland, Upper Klamath Lake, Oregon. Wetlands 27:1025-1035.</t>
  </si>
  <si>
    <t>Burley, K. L., E. E. Prepas, and P. A. Chambers. 2001. Phosphorus release from sediments in hardwater eutrophic lakes: the effects of redox-sensitive and -insensitive chemical treatments. Freshwater Biology 46:1061-1074.</t>
  </si>
  <si>
    <t>Diebel, M. W., J. T. Maxted, D. M. Robertson, S. Han, Z. Vander, and M. Jake. 2009. Landscape planning for agricultural nonpoint source pollution reduction III: assessing phosphorus and sediment reduction potential. Environmental Management 43:69-83.</t>
  </si>
  <si>
    <t>Feller, M. 2005. Forest harvesting and streamwater inorganic chemistry in western North America: a review. Journal of the American Water Resources Association 41:785-811.</t>
  </si>
  <si>
    <t>Hoffmann, C. C., C. Kjaergaard, J. Uusi-Kamppa, H. C. B. Hansen, and B. Kronvang. 2009. Phosphorus retention in riparian buffers: Review of their efficiency. Journal of Environmental Quality 38:1942-1955.</t>
  </si>
  <si>
    <t>Knox, A. K., R. A. Dahgren, K. W. Tate, and E. R. Atwill. 2008. Efficacy of natural wetlands to retain nutrient, sediment and microbial pollutants. Journal of Environmental Quality 37:1837-1846.</t>
  </si>
  <si>
    <t>Prepas, E. E., B. Pinel-Alloul, D. Planas, G. Méthot, S. Paquet, and S. Reedyk. 2001. Forest harvest impacts on water quality and aquatic biota on the Boreal Plain: Introduction to the TROLS lake program. Canadian Journal of Fisheries and Aquatic Sciences 58:421-436.</t>
  </si>
  <si>
    <t>Prescott, C. E., L. Vesterdal, J. Pratt, K. H. Venner, L. M. de Montigny, and J. A. Trofymow. 2000. Nutrient concentrations and nitrogen mineralization in forest floors of single species conifer plantations in coastal British Columbia. Canadian Journal of Forest Research 30:1341-1352.</t>
  </si>
  <si>
    <t>Roberts, M. L. and R. E. Bilby. 2009. Urbanization alters litterfall rates and nutrient inputs to small Puget lowland streams. Journal of the North American Benthological Society 28:941-954.</t>
  </si>
  <si>
    <t>Roberts, A. and S. Prince. 2010. Effects of urban and non-urban land cover on nitrogen and phosphorus runoff to Chesapeake Bay. Ecological Indicators 10:459-474.</t>
  </si>
  <si>
    <t>Snyder, D. T. and J. L. Morace. 1997. Nitrogen and Phosphorus Loading from Drained Wetlands Adjacent to Upper Klamath and Agency Lakes, Oregon. US Geological Survey Water Resources Investigations Report 97-4059. US Geological Survey, Fort Collins, CO.</t>
  </si>
  <si>
    <t>Walbridge, M. R. and J. A. Navaratnam. 2006. Phosphorous in boreal peatlands. Pages 231-258 in R. K. Wieder and D. H. Vitt, editors. Boreal Peatland Ecosystems, Ecological Studies, Volume 188. Springer, Berlin Heidelberg, Germany.</t>
  </si>
  <si>
    <t>Bayley, S. E. and R. L. Mewhort. 2004. Plant community structure and junctional differences between marshes and fens in the southern boreal region of Alberta, Canada. Wetlands 24:277-294.</t>
  </si>
  <si>
    <t>Lertzman, K. P., G. D. Sutherland, A. Inselberg, and S. C. Saunders. 1996. Canopy gaps and the landscape mosaic in a coastal temperate rain forest. Ecology 77:1254-1270.</t>
  </si>
  <si>
    <t>Van Hoewyk, D., P. M. Groffman, E. Kiviat, G. Mihocko, and G. Stevens. 2000. Soil nitrogen dynamics in organic and mineral soil calcareous wetlands in eastern New York. Soil Science Society of America Journal 64: 2168–2173.</t>
  </si>
  <si>
    <t>D'Amore, D. V., J. B. Fellman, R. T. Edwards, and E. Hood. 2010. Controls on dissolved organic matter concentrations in soils and streams from a forested wetland and sloping bog in southeast Alaska. Ecohydrology 3:249-261.</t>
  </si>
  <si>
    <t>Glenn, A. J., L. B. Flanagan, K. H. Syed, and P. J. Carlson. 2006. Comparison of net ecosystem CO2 exchange in two peatlands in western Canada with contrasting dominant vegetation, Sphagnum and Carex. Agricultural and Forest Meteorology 140:115-135.</t>
  </si>
  <si>
    <t>Gunnarsson, U. 2005. Global patterns of Sphagnum productivity. Journal of Bryology 27:269-279.</t>
  </si>
  <si>
    <t>MacKenzie, W. and J. Shaw. 2000. Wetland classification and habitats at risk in British Columbia.  Volume Two. Pages 537-547 in L. M. Darling, editor. Proceedings of a Conference on the Biology and Management of Species and Habitats at Risk, Kamloops, B.C.,15 - 19 Feb.,1999. B.C. Ministry of Environment, Lands and Parks, Victoria, B.C. and University College of the Cariboo, Kamloops, B.C. .</t>
  </si>
  <si>
    <t>Wardrop, D. H. and R. P. Brooks. 1998. The occurrence and impact of sedimentation in central Pennsylvania wetlands. Environmental Monitoring and Assessment 51:119-130.</t>
  </si>
  <si>
    <t>Alsfeld, A. J., J. L. Bowman, and A. Deller-Jacobs. 2009. Effects of woody debris, microtopography, and organic matter amendments on the biotic community of constructed depressional wetlands. Biological Conservation 142:247-255.</t>
  </si>
  <si>
    <t>Devito, K. J., P. J. Dillon, and B. D. Lazerte. 1989. Phosphorus and nitrogen retention in five Precambrian shield wetlands. Biogeochemistry 8:185–204.</t>
  </si>
  <si>
    <t>Fellman, J. B., E. Hood, D. V. D'Amore, R. T. Edwards, and D. White. 2009. Seasonal changes in the chemical quality and biodegradability of dissolved organic matter exported from soils to streams in coastal temperate rainforest watersheds. Biogeochemistry 95:277-293.</t>
  </si>
  <si>
    <t>Fitzgerald, D. F., J. S. Price, and J. J. Gibson. 2003. Hillslope-swamp interactions and flow pathways in a hyper-maritime rainforest, British Columbia. Hydrological Processes 17:3005-3022.</t>
  </si>
  <si>
    <t>Booth, D. B., D. Hartley, and R. Jackson. 2002. Forest cover, impervious-surface area, and the mitigation of storm water impacts. Journal of American Water Resources Association 38:835-845.</t>
  </si>
  <si>
    <t>Hernandez, O., R. W. Merritt, and M. S. Wipfli. 2005. Benthic invertebrate community structure is influenced by forest succession after clearcut logging in southeastern Alaska. Hydrobiologia 533:45-59.</t>
  </si>
  <si>
    <t>Roy, A. H., C. L. Faust, M. C. Freeman, and J. L. Meyer. 2005. Reach-scale effects of riparian forest cover on urban stream ecosystems. Canadian Journal of Fisheries and Aquatic Sciences 62:2312-2329.</t>
  </si>
  <si>
    <t>Wipfli, M. S. and J. Musslewhite. 2004. Density of red alder (Alnus rubra) in headwaters influences invertebrate and detritus subsidies to downstream fish habitats in Alaska. Hydrobiologia 520:153-163.</t>
  </si>
  <si>
    <t>Deniseger, J., L. J. Erickson, A. Austin, M. Roch, and M. J. R. Clark. 1990. The effects of decreasing heavy metal concentrations on the biota of Buttle Lake, Vancouver Island, British Columbia. Water Resources Bulletin 24:403-416.</t>
  </si>
  <si>
    <t>Eilers, J. M., D. H. Landers, A. D. Newell, M. E. Mitch, M. Morrison, and J. Ford. 1993. Major Ion Chemistry of Lakes on the Kenai Peninsula, Alaska. Canadian Journal of Fisheries and Aquatic Sciences 50:816-826.</t>
  </si>
  <si>
    <t xml:space="preserve">Wipfli, M. S., J. S. Richardson, and R. J. Naiman. 2007. Ecological linkages between headwaters and downstream ecosystems: Transport of organic matter, invertebrates, and wood down headwater channels. Journal of the American Water Resources Association 43:72-85. </t>
  </si>
  <si>
    <t>Baxter, C. V., K. D. Fausch, and W. Carl Saunders. 2005. Tangled webs: reciprocal flows of invertebrate prey link streams and riparian zones. Freshwater Biology 50:201-220.</t>
  </si>
  <si>
    <t>Campbell, E. Y., M. E. Benbow, S. D. Tiegs, J. P. Hudson, G. A. Lamberti, and R. W. Merritt. 2011. Timber harvest intensifies spawning-salmon disturbance of macroinvertebrates in southeastern Alaskan streams. Journal of the North American Benthological Society 30:49-59.</t>
  </si>
  <si>
    <t>Cannings, S. G. and R. A. Cannings. 1994. The Odonata of the northern Cordilleran peatlands of North America. Memoirs of the Entomological Society of Canada 169:89-110.</t>
  </si>
  <si>
    <t>Corcoran, R. M., J. R. Lovvorn, and P. J. Heglund. 2009. Long-term change in limnology and invertebrates in Alaskan boreal wetlands. Hydrobiologia 620:77–89.</t>
  </si>
  <si>
    <t>Fischer, J. R., M. C. Quist, S. L. Wigen, A. J. Schaefer, T. W. Stewart, and T. M. Isenhart. 2010. Assemblage and population-level responses of stream fish to riparian buffers at multiple spatial scales. Transactions of the American Fisheries Society 139:185-200.</t>
  </si>
  <si>
    <t>Frimpong, E. A., T. M. Sutton, K. J. Lim, P. J. Hrodey, B. A. Engel, T. P. Simon, J. G. Lee, and D. C. LeMaster. 2005. Determination of optimal riparian forest buffer dimensions for stream biota-landscape association models using multi metric and multi variate responses. Canadian Journal of Fisheries and Aquatic Sciences 62:1-6.</t>
  </si>
  <si>
    <t>Gregory, S. V., F. J. Swanson, W. A. McKee, and K. W. Cummins. 1991. An ecosystem perspective of riparian zones: Focus on links between land and water. Bioscience 41:540-550.</t>
  </si>
  <si>
    <t>Holmquist, J., J. Jones, J. Schmidt-Gengenbach, L. Pierotti, and J. Love. 2011. Terrestrial and Aquatic Macroinvertebrate Assemblages as a Function of Wetland Type across a Mountain Landscape. Institute of Arctic and Alpine Research, University of Colorado, Boulder, CO.</t>
  </si>
  <si>
    <t>Hoover, S. E. R., L. G. W. Shannon, and J. D. Ackerman. 2007. The effect of riparian condition on invertebrate drift in mountain streams. Aquatic Sciences 69:544-553.</t>
  </si>
  <si>
    <t>Kiffney, P. M. and J. P. Bull. 2000. Factors controlling periphyton accrual during summer in headwater streams of southwestern British Columbia, Canada. Journal of Freshwater Ecology 15:339-351.</t>
  </si>
  <si>
    <t>Kiffney, P. M., J. S. Richardson, and J. P. Bull. 2003. Responses of periphyton and insects to experimental manipulation of riparian buffer width along forest streams. Journal of Applied Ecology 40:1060-1076.</t>
  </si>
  <si>
    <t>May, C. 2003. Stream-Riparian Ecosystems In the Puget Sound Lowland Eco-Region. A Review of Best Available Science. Watershed Ecology, LLC.</t>
  </si>
  <si>
    <t>McDade, M. H., F. J. Swanson, W. A. McKee, J. F. Franklin, and J. Van Sickle. 1990. Source  distances for coarse woody debris entering small streams in western Oregon and Washington USA. Canadian Journal of Forest Research 20:326-330.</t>
  </si>
  <si>
    <t>Meleason, M. A., S. V. Gregory, and J. P. Bolte. 2003. Implications of riparian management strategies on wood in streams of the Pacific Northwest. Ecological Applications 13:1212-1221.</t>
  </si>
  <si>
    <t>Moldenke, A. R. and C. V. Linden. 2007. Effects of clearcutting and riparian buffers on the yield of adult aquatic macroinvertebrates from headwater streams. Forest Science 53:308-319.</t>
  </si>
  <si>
    <t>Moore, J. W. and D. E. Schindler. 2008. Biotic disturbance and benthic community dynamics in salmon-bearing streams. Journal of Animal Ecology 77:275-284.</t>
  </si>
  <si>
    <t>Murphy, M. 1995. Forestry Impacts on Freshwater Habitat of Anadromous Salmonids in the Pacific Northwest and Alaska – Requirements for Protection and Restoration. NOAA Coastal Ocean Program Decision Analysis Series No. 7. U.S. Department of Commerce, National Oceanic and Atmospheric Administration Coastal Ocean Office, NOAA Coastal Ocean Office, Silver Springs, MD.</t>
  </si>
  <si>
    <t>Naiman, R. J., R. E. Bilby, and P. A. Bisson. 2000. Riparian ecology and management in the Pacific Coastal Rain Forest. Bioscience 50:996-1011.</t>
  </si>
  <si>
    <t>Ober, H. K. and J. P. Hayes. 2008. Influence of forest riparian vegetation on abundance and biomass of nocturnal flying insects. Forest Ecology and Management 256:1124-1132.</t>
  </si>
  <si>
    <t>Richards, C., L. B. Johnson, and G. E. Host. 1996. Landscape-scale influences on stream habitats and biota. Canadian Journal of Fisheries and Aquatic Sciences 53:295-311.</t>
  </si>
  <si>
    <t>Richardson, J. S., R. E. Bilby, and C. A. Bondar. 2005. Organic matter dynamics in small streams of the Pacific Northwest. Journal of the American Water Resources Association 41:921-934.</t>
  </si>
  <si>
    <t>Robison, E. G. and R. L. Beschta. 1990. Identifying trees in riparian areas that can provide coarse woody debris to streams. Forest Science 36:790-801.</t>
  </si>
  <si>
    <t>Roth, B. M., I. C. Kaplan, G. G. Sass, P. T. Johnson, A. E. Marburg, A. C. Yannarell, T. D. Havlicek, T. V. Willis, M. G. Turner, and S. R. Carpenter. 2007. Linking terrestrial and aquatic ecosystems: The role of woody habitat in lake food webs. Ecological Modelling 203:439-452.</t>
  </si>
  <si>
    <t>Utz, R. M., R. H. Hilderbrand, and D. M. Boward. 2009. Identifying regional differences in threshold responses of aquatic invertebrates to land cover gradients. Ecological Indicators 9:556-567.</t>
  </si>
  <si>
    <t>Sickle, J. V. and S. V. Gregory. 1990. Modeling inputs of large woody debris to streams from falling trees. Canadian Journal of Forest Research 20:1593-1601.</t>
  </si>
  <si>
    <t>Waite, I. R., S. Sobieszczyk, K. D. Carpenter, A. J. Arnsberg, H. M. Johnson, C. A. Hughes, M. J. Sarantou, and F. A. Rinella. 2008. Effects of Urbanization on Stream Eco-Systems in the Willamette River Basin and Surrounding Area,Oregon and Washington: U.S. Geological Survey Scientific Investigations Report 2006–5101–D., U.S. Geological Survey, Portland, OR.</t>
  </si>
  <si>
    <t>Wenger, S. and L. Fowler. 2000. Protecting stream and river corridors : creating effective local riparian buffer ordinances. Carl Vinson Institute of Government, the University of Georgia, Athens, GA.</t>
  </si>
  <si>
    <t>Wipfli, M. S., J. S. Richardson, and R. J. Naiman. 2007. Ecological linkages between headwaters and downstream ecosystems: transport of organic matter, invertebrates, and wood down headwater channels. Journal of the American Water Resources Association 43:72-85.</t>
  </si>
  <si>
    <t>Burger, J. 1981. The effect of human activity on birds at a coastal bay. Biological Conservation 21:231-241.</t>
  </si>
  <si>
    <t>Epners, C. A., S. E. Bayley, J. E. Thompson, and W. M. Tonn. 2010. Influence of fish assemblage and shallow lake productivity on waterfowl communities in the Boreal Transition Zone of western Canada. Freshwater Biology 55:2265-2280.</t>
  </si>
  <si>
    <t>Klein, M. L., S. R. Humphrey, and H. F. Percival. 1995. Effects of ecotourism on distribution of waterbirds in a wildlife refuge. Conservation Biology 9:1454-1465.</t>
  </si>
  <si>
    <t>Thormann, M. N. and S. E. Bayley. 1997. Aboveground plant production and nutrient content of the vegetation in six peatlands in Alberta, Canada. Plant Ecology 131:1-16.</t>
  </si>
  <si>
    <t>Andren, H. 1994. Effects of habitat fragmentation on birds and mammals in landscapes with different proportions of suitable habitat – a review. Oikos 71:355-366.</t>
  </si>
  <si>
    <t>Awade, M. and J. P. Metzger. 2008. Using gap-crossing capacity to evaluate functional connectivity of two Atlantic rainforest birds and their response to fragmentation. Austral Ecology 33:863 - 871.</t>
  </si>
  <si>
    <t>Aznar, J. C. and A. Desrochers. 2008. Building for the future: Abandoned beaver ponds promote bird diversity. Ecoscience 15:250-257.</t>
  </si>
  <si>
    <t>Barber, J. R., K. R. Crooks, and K. M. Fristrup. 2010. The costs of chronic noise exposure for terrestrial organisms. Trends in Ecology &amp; Evolution 25:180-189.</t>
  </si>
  <si>
    <t>Belisle, M. and A. Desrochers. 2002. Gap-crossing decisions by forest birds: an empirical basis for parameterizing spatially-explicit, individual-based models. Landscape Ecology 17:219-231.</t>
  </si>
  <si>
    <t>Benitez-Lopez, A., R. Alkemade, and P. A. Verweij. 2010. The impacts of roads and other infrastructure on mammal and bird populations: A meta-analysis. Biological Conservation 143:1307-1316.</t>
  </si>
  <si>
    <t>Chace, J. F. and J. J. Walsh. 2006. Urban effects on native avifauna: a review. Landscape and Urban Planning 74:46-69.</t>
  </si>
  <si>
    <t>Clevenger, A. P., B. Chruszczc, and K. E. Gunson. 2003. Spatial patterns and factors influencing small vertebrate fauna road-kill aggregations. Biological Conservation 109:15-26.</t>
  </si>
  <si>
    <t>Creegan, H. P. and P. E. Osborne. 2005. Gap-crossing decisions of woodland songbirds in Scotland: an experimental approach. Journal of Applied Ecology 42:678-687.</t>
  </si>
  <si>
    <t>De Santo, T. L. and M. F. Willson. 2001. Predator abundance and predation of artificial nests in natural and anthropogenic coniferous forest edges in southeast Alaska. Journal of Field Ornithology 72:136-149.</t>
  </si>
  <si>
    <t>Desrochers, A. and S. J. Hannon. 1997. Gap crossing decisions by forest songbirds during the post-fledging period. Conservation Biology 11:1204-1210.</t>
  </si>
  <si>
    <t>Desrochers, A. and G.-J. van Duinen. 2006. Peatland fauna. Pages 67-100 in R. K. Wieder and D. H. Vitt, editors. Boreal Peatland Ecosystems, Ecological Studies, Volume 188. Springer, Berlin Heidelberg, GE.</t>
  </si>
  <si>
    <t>Donnelly, R. and J. M. Marzluff. 2004. Importance of reserve size and landscape context to urban bird conservation. Conservation Biology 18:733-745.</t>
  </si>
  <si>
    <t>Donnelly, R. and J. Marzluff. 2006. Relative importance of habitat quantity, structure, and spatial pattern to birds in urbanizing environments. Urban Ecosystems 9:99-117.</t>
  </si>
  <si>
    <t>Drever, M. C. and K. Martin. 2010. Response of woodpeckers to changes in forest health and harvest: Implications for conservation of avian biodiversity. Forest Ecology and Management 259:958-966.</t>
  </si>
  <si>
    <t xml:space="preserve">Fahrig, L. and T. Rytwinski. 2009. Effects of roads on animal abundance: an empirical review and synthesis. Ecology and Society 14:21. http://www.ecologyandsociety.org/vol14/iss21/art21/ </t>
  </si>
  <si>
    <t>Forman, R. T. T., B. Reineking, and A. M. Hersperger. 2002. Road traffic and nearby grassland bird patterns in a suburbanizing landscape. Environmental Management 29:782-800.</t>
  </si>
  <si>
    <t>Grindal, S. D., J. L. Morissette, and R. M. Brigham. 1999. Concentration of bat activity in riparian habitats over an elevational gradient. Canadian Journal of Zoology 77:972-977.</t>
  </si>
  <si>
    <t>Grindal, S. D. and R. M. Brigham. 1999. Impacts of forest harvesting on habitat use by foraging insectivorous bats at different spatial scales. Ecoscience 6:25-34.</t>
  </si>
  <si>
    <t>Grover, A. M. and G. A. Baldassarre. 1995. Bird species richness within beaver ponds in south-central New York. Wetlands 15:108-118.</t>
  </si>
  <si>
    <t>Kissling, M. L. and E. O. Garton. 2008. Forested buffer strips and breeding bird communities in southeast Alaska. Journal of Wildlife Management 72:674-681.</t>
  </si>
  <si>
    <t>Laurance, S., P. Stouffer, and W. Laurance. 2004. Effects of road clearings on movement patterns of understory rainforest birds in Central Amazonia. Conservation Biology 18:1099-1109.</t>
  </si>
  <si>
    <t>Lees, A. C. and C. A. Peres. 2009. Gap-crossing movements predict species occupancy in Amazonian Forest Fragments. Oikos 118:280-290.</t>
  </si>
  <si>
    <t>Martin, J. L., S. A. Stockton, S. Allombert, and A. J. Gaston. 2010. Top-down and bottom-up consequences of unchecked ungulate browsing on plant and animal diversity in temperate forests: lessons from a deer introduction. Biological Invasions 12:353-371.</t>
  </si>
  <si>
    <t>Massey, B., R. Bowen, C. Griffin, and K. McGarigal. 2008. A classification-tree analysis of nesting habitat in an island population of Northern Harriers. Condor 110:177-183.</t>
  </si>
  <si>
    <t>Mazerolle, M. J., B. Drolet, and A. Desrochers. 2001. Small-mammal responses to peat mining of southeastern Canadian bogs. Canadian Journal of Zoology 79:296-302.</t>
  </si>
  <si>
    <t>Minor, E. and D. Urban. 2010. Forest bird communities across a gradient of urban development. Urban Ecosystems 13:51-71.</t>
  </si>
  <si>
    <t>Oneal, A. S. and J. T. Rotenberry. 2009. Scale-dependent habitat relations of birds in riparian corridors in an urbanizing landscape. Landscape and Urban Planning 92:264-275.</t>
  </si>
  <si>
    <t>Ortega, Y. K. and D. E. Capen. 2002. Roads as edges: effects on birds in forested landscapes. Forest Science 48:381-390.</t>
  </si>
  <si>
    <t>Ott, R. A. and G. P. Juday. 2002. Canopy gap characteristics and their implications for management in the temperate rainforests of southeast Alaska. Forest Ecology and Management 159:271-291.</t>
  </si>
  <si>
    <t>Pennington, D. N. 2008. Riparian Bird Communities Along an Urban Gradient: Effects of Local Vegetation, Landscape Biophysical Heterogeneity, and Spatial Scale. Ph. D. Dissertation. University of Minnesota, Twin Cities, MN.</t>
  </si>
  <si>
    <t>Rail, J. F., M. Darveau, A. Desrochers, and J. Huot. 1997. Territorial responses of boreal forest birds to habitat gaps. Condor 99:976-980.</t>
  </si>
  <si>
    <t>Rich, A. C., D. S. Dobkin, and L. J. Niles. 1994. Defining forest fragmentation by corridor width: the influence of narrow forest-dividing corridors on forest-nesting birds in southern New Jersey. Conserv. Biology 8:1109-1121.</t>
  </si>
  <si>
    <t>Robertson, O. J. and J. Q. Radford. 2009. Gap-crossing decisions of forest birds in a fragmented landscape. Austral Ecology 34:435-446.</t>
  </si>
  <si>
    <t>Rodewald, P. G. and S. N. Matthews. 2005. Landbird use of riparian and upland forest stopover habitats in an urban landscape. The Condor 107:259-268.</t>
  </si>
  <si>
    <t>Schaub, A., J. Ostwald, and B. M. Siemers. 2008. Foraging bats avoid noise. Journal of Experimental Biology 211:3174-3180.</t>
  </si>
  <si>
    <t>Slabbekoorn, H. and E. A. P. Ripmeester. 2008. Birdsong and anthropogenic noise: implications and applications for conservation. Molecular Ecology 17:72-83.</t>
  </si>
  <si>
    <t>Smith, C. M. and D. G. Wachob. 2006. Trends associated with residential development in riparian breeding bird habitat along the Snake River in Jackson Hole, WY, USA: Implications for conservation planning. Biological Conservation 128:431-446.</t>
  </si>
  <si>
    <t>Thiemann, J. A., C. R. Webster, M. A. Jenkins, P. M. Hurley, J. H. Rock, and P. S. White. 2009. Herbaceous-layer impoverishment in a post-agricultural southern Appalachian landscape. American Midland Naturalist 162:148-168.</t>
  </si>
  <si>
    <t>Tremblay, M. A. and C. C. St. Clair. 2009. Factors affecting the permeability of transportation and riparian corridors to the movements of songbirds in an urban landscape. Journal of Applied Ecology 46:1314-1322.</t>
  </si>
  <si>
    <t>Tremblay, M. A. and C. C. St Clair. 2011. Permeability of a heterogeneous urban landscape to the movements of forest songbirds. Journal of Applied Ecology 48:679-688.</t>
  </si>
  <si>
    <t>Trevino, H. S., A. M. Skibiel, T. J. Karels, and F. S. Dobson. 2007. Threats to avifauna on oceanic islands. Conservation Biology 21:125–132.</t>
  </si>
  <si>
    <t>Trombulak, S. C. and C. A. Frissell. 2000. Review of ecological effects of roads on terrestrial and aquatic communities. Conservation Biology 14:18-30.</t>
  </si>
  <si>
    <t>Vermaat, J. E., N. Vigneau, and N. Omtzigt. 2008. Viability of meta-populations of wetland birds in a fragmented landscape: testing the key-patch approach. Biodiversity and Conservation 17:2263-2273.</t>
  </si>
  <si>
    <t>Whitaker, D. M., A. L. Carroll, and W. A. Montevecchi. 2000. Elevated numbers of flying insects and insectivorous birds in riparian buffer strips. Canadian Journal of Zoology 78:740-747.</t>
  </si>
  <si>
    <t>Willson, M. F. and T. A. Comet. 1996a. Bird communities of northern forests: Patterns of diversity and abundance. Condor 98:337-349.</t>
  </si>
  <si>
    <t>Willson, M. F. and T. A. Comet. 1996b. Bird communities of northern forests: ecological correlates of diversity and abundance in the understory. Condor:350-362.</t>
  </si>
  <si>
    <t>Zmihorski, M. 2010. The effect of windthrow and its management on breeding bird communities in a managed forest. Biodiversity and Conservation 19:1871-1882.</t>
  </si>
  <si>
    <t>Most waterbirds require some unflooded shoreline for nesting, while also needing large areas of water and emergent vegetation for feeding.</t>
  </si>
  <si>
    <t>Comparing data from multiple regions, Utz et al. (2009) reported that once urbanization in a watershed reached 60%, all taxa remaining responded either neutrally or positively with respect to continued urbanization. Most were harmed at much lower levels. The importance of streamside vegetation, especially trees, for sustaining the health of aquatic systems has been documented in the Pacific Northwest (e.g., Gregory et al. 1991, Naiman et al. 2000, Richardson et al. 2005, Wipfli et al. 2007). The positive effect is partly because wood falling into streams increases channel complexity which benefits aquatic invertebrates and fish; that may not apply to wood falling into wetlands.  Trees also help maintain stream temperature and streams adjoined by natural vegetation support richer and healthier aquatic invertebrate communities (Richards et al. 1996). However, the effects of buffers and/or tree canopy closure on aquatic life in perennial streams vary, with some studies showing little effect on native fish (Roy et al. 2005, Fischer et al. 2010) and others a positive effect especially when buffer width was at least 100 ft (Frimpong et al. 2005, Horwitz et al. 2008). A 30-ft wide buffer along perennial streams in British Columbia was found to be insufficient to protect stream invertebrate communities from adverse effects of clear-cut logging, although the terrestrial insects the buffer provided were noted as a potentially important food source for fish using the streams (Hoover et al. 2007). Another study of BC perennial streams found uncut riparian buffers of at least 30 ft were needed to limit changes from clear-cut logging to aquatic life in headwater forested watersheds; those changes included increase abundance of aquatic invertebrates and algae (Kiffney et al. 2003). Increased sunlight from vegetation removal can increase stream and wetland productivity and thus the density of some invertebrate groups, where nutrients and elevation (stream temperature) are not severely limiting (Moldenke &amp; Linden 2007).</t>
  </si>
  <si>
    <t>some (but &lt;5%) of the upland edge</t>
  </si>
  <si>
    <t xml:space="preserve"> </t>
  </si>
  <si>
    <t>Allombert, S., S. Stockton, and J.-L. Martin. 2005. A natural experiment on the impact of overabundant deer on forest invertebrates. Conservation Biology 19:1917-1929.</t>
  </si>
  <si>
    <t>Anderson, P. D. and M. A. Meleason. 2009. Discerning responses of down wood and understory vegetation abundance to riparian buffer width and thinning treatments: an equivalence-inequivalence approach. Canadian Journal of Forest Research 39:2470-2485.</t>
  </si>
  <si>
    <t>Baldwin, L. K. and G. E. Bradfield. 2007. Bryophyte responses to fragmentation in temperate coastal rainforests: a functional group approach. Biological Conservation 136:408-422.</t>
  </si>
  <si>
    <t>Bayley, S. E. and J. K. Guimond. 2008. Effects of river connectivity on marsh vegetation community structure and species richness in montane floodplain wetlands in Jasper National Park, Alberta, Canada. Ecoscience 15:377-388.</t>
  </si>
  <si>
    <t>Bayley, S. E. and J. K. Guimond. 2009. Above ground biomass and nutrient limitations in relation to river connectivity in montane floodplain marshes. Wetlands 29:1243-1254.</t>
  </si>
  <si>
    <t>Bedford, B. L. and K. S. Godwin. 2003. Fens of the United States: distribution, characteristics, and scientific connection versus legal isolation. Wetlands 23:608-629.</t>
  </si>
  <si>
    <t>Bliss, S. A. and P. H. Zedler. 1997. The germination process in vernal pools: sensitivity to environmental conditions and effects on community structure. Oecologia 113:67-73.</t>
  </si>
  <si>
    <t>Boudreault, C., Y. Bergeron, P. Drapeau, and L. M. Loopez. 2008. Edge effects on epiphytic lichens in remnant stands of managed landscapes in the eastern boreal forest of Canada. Forest Ecology and Management 255:1461-1471.</t>
  </si>
  <si>
    <t>Cadenasso, M. L. and S. T. A. Pickett. 2001. Effect of edge structure on the flux of species into forest interiors. Conservation Biology 15:91-97.</t>
  </si>
  <si>
    <t>Deal, R. L. 1997. Understory plant diversity in riparian alder-conifer stands after logging in southeast Alaska. US Dept. of Agriculture, Forest Service, Pacific Northwest Research Station, Portland, OR.</t>
  </si>
  <si>
    <t>DeGasperi, C. L., H. B. Berge, K. R. Whiting, J. J. Burkey, J. L. Cassin, and R. R. Fuerstenberg. 2009. LIinking hydrologic alteration to biological impairment in urbanizing streams of the Puget Lowland, Washington, USA. Journal of the American Water Resources Association 45:512-533.</t>
  </si>
  <si>
    <t>Ehrenfeld, J. G., B. Ravit, and K. Elgersma. 2005. Feedback in the plant-soil system. Annual Review of Environment and Resources 30:75-115.</t>
  </si>
  <si>
    <t>Geertsema, M. and J. J. Pojar. 2007. Influence of landslides on biophysical diversity — a perspective from British Columbia. Geomorphology 89:55-69.</t>
  </si>
  <si>
    <t>Gignac, L. D. and M. R. T. Dale. 2007. Effects of size, shape, and edge on vegetation in remnants of the upland boreal mixed-wood forest in agro-environments of Alberta, Canada. Canadian Journal of Botany 85:273-284.</t>
  </si>
  <si>
    <t>Hanley, T. A. and W. W. Brady. 1997. Understory species composition and production in old-growth western hemlock-Sitka spruce forests of southeastern Alaska. Canadian Journal of Botany 75:574-580.</t>
  </si>
  <si>
    <t>Heithecker, T. D. and C. B. Halpern. 2007. Edge-related gradients in microclimate in forest aggregates following structural retention harvests in western Washington. Forest Ecology and Management 248:163-173.</t>
  </si>
  <si>
    <t>Houlahan, J. E., P. A. Keddy, K. Makkay, and C. S. Findlay. 2006. The effects of adjacent land use on wetland species richness and community composition. Wetlands 26:79-96.</t>
  </si>
  <si>
    <t>Hylander, K., B. G. Jonsson, and C. Nilsson. 2002. Evaluating buffer strips along boreal streams using bryophytes as indicators. Ecological Applications 12:797-806.</t>
  </si>
  <si>
    <t>Magee, T. K. and M. E. Kentula. 2005. Response of wetland plant species to hydrologic conditions. Wetlands Ecology and Management 13:163-181.</t>
  </si>
  <si>
    <t>Malmer, N., C. Albinsson, B. M. Svensson, and B. Wallén. 2003. Interferences between Sphagnum and vascular plants: effects on plant community structure and peat formation. Oikos 100:469-482.</t>
  </si>
  <si>
    <t>Moore, T. R. 1989. Growth and net production of Sphagnum at five fen sites, subarctic eastern Canada. Canadian Journal of Botany 67:1203–1207.</t>
  </si>
  <si>
    <t>Nekola, J. C. and P. S. White. 1999. Distance decay of similarity in biogeography and ecology. Journal of Biogeography 26:867–878.</t>
  </si>
  <si>
    <t>Pollock, M. M., R. J. Naiman, and T. A. Hanley. 1998. Plant species richness in riparian wetlands - a test of biodiversity theory. Ecology 79:94-105.</t>
  </si>
  <si>
    <t>Radies, D., D. Coxson, C. Johnson, and K. Konwicki. 2009. Predicting canopy macrolichen diversity and abundance within old-growth inland temperate rainforests. Forest Ecology and Management 259:86-97.</t>
  </si>
  <si>
    <t>Rogers, D. A., T. P. Rooney, T. J. Hawbaker, V. C. Radeloff, and D. M. Waller. 2009. Paying the extinction debt in southern Wisconsin forest understories. Conservation Biology 23:1497-1506.</t>
  </si>
  <si>
    <t>Rooney, R. C. and S. E. Bayley. 2011. Relative influence of local- and landscape-level habitat quality on aquatic plant diversity in shallow open-water wetlands in Alberta's boreal zone: direct and indirect effects. Landscape Ecology 26:1023-1034.</t>
  </si>
  <si>
    <t>Šamonil, P., K. Král, and L. Hort. 2010. The role of tree uprooting in soil formation: A critical literature review. Geoderma 157:65-79.</t>
  </si>
  <si>
    <t>Wright, J. P., C. G. Jones, and A. S. Flecker. 2002. An ecosystem engineer, the beaver, increases species richness at the landscape scale. Oecologia 132:96-101.</t>
  </si>
  <si>
    <t>Loamy: includes loam, sandy loam</t>
  </si>
  <si>
    <t>Forb Cover</t>
  </si>
  <si>
    <t>Soil Texture</t>
  </si>
  <si>
    <t xml:space="preserve">Soils with a thick organic layer have the most carbon available for export. However, moderately coarse soils (silts, loams) are better-aerated, less acidic, and thus can have greater plant productivity. Very coarse soils, unless flooded regularly by rivers, tend to be nutrient-poor thus limiting plant productivity. However, their presence may indicate periodic exposure to water currents capable of exporting carbon, and coarse soils sometimes support greater plant productivity because greater inflitration can reduce the frequency of anoxic conditions that stifle productivity of some rooted plants. </t>
  </si>
  <si>
    <t>Stained Surface Water</t>
  </si>
  <si>
    <t>Non-vegetated Aquatic Cover</t>
  </si>
  <si>
    <t>&gt;95% of wetland or &gt;95% of  its upland edge (if any)</t>
  </si>
  <si>
    <t>5-95% of wetland or 5-95% of its upland edge (if any)</t>
  </si>
  <si>
    <t>&lt;5% of wetland and &lt;5% of its upland edge (if any)</t>
  </si>
  <si>
    <t xml:space="preserve">Spatial extent within the wetland of timing shift </t>
  </si>
  <si>
    <t xml:space="preserve">&gt;95% of wetland </t>
  </si>
  <si>
    <t xml:space="preserve">5-95% of wetland </t>
  </si>
  <si>
    <t xml:space="preserve">&lt;5% of wetland </t>
  </si>
  <si>
    <t xml:space="preserve">  Score the following 2 rows only if the altered inputs began within past 10 years, and only for the part of the wetland that experiences those.</t>
  </si>
  <si>
    <t>Duration of sediment inputs to the wetland</t>
  </si>
  <si>
    <t>Recentness of significant soil alteration in wetland</t>
  </si>
  <si>
    <t>Sedge Cover</t>
  </si>
  <si>
    <t>Floating Algae &amp; Duckweed</t>
  </si>
  <si>
    <t>Isolated Island</t>
  </si>
  <si>
    <t>Fish</t>
  </si>
  <si>
    <t xml:space="preserve">1-25% </t>
  </si>
  <si>
    <t xml:space="preserve">25-50% </t>
  </si>
  <si>
    <t xml:space="preserve">50-95% </t>
  </si>
  <si>
    <t xml:space="preserve">&gt;95% </t>
  </si>
  <si>
    <t>Neither of above.  Multiple depth classes; none occupy more than 50% of the AA.</t>
  </si>
  <si>
    <t>Flat Shoreline Extent</t>
  </si>
  <si>
    <t>1-25% of the AA never contains surface water.</t>
  </si>
  <si>
    <t>25-50% of the AA never contains surface water.</t>
  </si>
  <si>
    <t>25-50% of the AA</t>
  </si>
  <si>
    <t>50-95% of the AA</t>
  </si>
  <si>
    <t>&gt;95% of the AA</t>
  </si>
  <si>
    <r>
      <t xml:space="preserve">The percentage of the AA that </t>
    </r>
    <r>
      <rPr>
        <u/>
        <sz val="10"/>
        <rFont val="Arial Narrow"/>
        <family val="2"/>
      </rPr>
      <t xml:space="preserve">never </t>
    </r>
    <r>
      <rPr>
        <sz val="10"/>
        <rFont val="Arial Narrow"/>
        <family val="2"/>
      </rPr>
      <t>contains</t>
    </r>
    <r>
      <rPr>
        <u/>
        <sz val="10"/>
        <rFont val="Arial Narrow"/>
        <family val="2"/>
      </rPr>
      <t xml:space="preserve"> surface</t>
    </r>
    <r>
      <rPr>
        <sz val="10"/>
        <rFont val="Arial Narrow"/>
        <family val="2"/>
      </rPr>
      <t xml:space="preserve"> water during an average year (that is, except perhaps for a few hours after snowmelt or rainstorms), but which is still a wetland, is:</t>
    </r>
  </si>
  <si>
    <t>Annual Water Fluctuation Range</t>
  </si>
  <si>
    <r>
      <t>The length of the AA's shoreline (along its ponded open water) that is bordered by areas that are</t>
    </r>
    <r>
      <rPr>
        <b/>
        <sz val="10"/>
        <rFont val="Arial Narrow"/>
        <family val="2"/>
      </rPr>
      <t xml:space="preserve"> nearly flat</t>
    </r>
    <r>
      <rPr>
        <sz val="10"/>
        <rFont val="Arial Narrow"/>
        <family val="2"/>
      </rPr>
      <t xml:space="preserve"> (a slope less than about 5%) is:</t>
    </r>
  </si>
  <si>
    <t>50-75% of the water is shaded</t>
  </si>
  <si>
    <t>&gt;75% of the water is shaded</t>
  </si>
  <si>
    <t>25-50% of the water is shaded</t>
  </si>
  <si>
    <t>5-25% of the water is shaded</t>
  </si>
  <si>
    <r>
      <t xml:space="preserve">The percentage of the AA that has </t>
    </r>
    <r>
      <rPr>
        <b/>
        <sz val="10"/>
        <rFont val="Arial Narrow"/>
        <family val="2"/>
      </rPr>
      <t>surface</t>
    </r>
    <r>
      <rPr>
        <sz val="10"/>
        <rFont val="Arial Narrow"/>
        <family val="2"/>
      </rPr>
      <t xml:space="preserve"> water (either ponded or flowing, either open or obscured by vegetation) during </t>
    </r>
    <r>
      <rPr>
        <b/>
        <sz val="10"/>
        <rFont val="Arial Narrow"/>
        <family val="2"/>
      </rPr>
      <t xml:space="preserve">all </t>
    </r>
    <r>
      <rPr>
        <sz val="10"/>
        <rFont val="Arial Narrow"/>
        <family val="2"/>
      </rPr>
      <t>of the growing season during most years is:</t>
    </r>
  </si>
  <si>
    <t>impervious surface, e.g., paved road, parking lot, building, exposed rock.</t>
  </si>
  <si>
    <t>Condition Choices</t>
  </si>
  <si>
    <t>5-50% of the herbaceous cover</t>
  </si>
  <si>
    <t>50-95% of the herbaceous cover</t>
  </si>
  <si>
    <t>&gt;95% of the herbaceous cover</t>
  </si>
  <si>
    <t>&lt;5% of the herbaceous &amp; moss cover</t>
  </si>
  <si>
    <t>5-25% of the herbaceous &amp; moss cover</t>
  </si>
  <si>
    <t>25-50% of the herbaceous &amp; moss cover</t>
  </si>
  <si>
    <t>50-95% of the herbaceous &amp; moss cover</t>
  </si>
  <si>
    <t>Moss Extent</t>
  </si>
  <si>
    <r>
      <rPr>
        <b/>
        <sz val="10"/>
        <rFont val="Arial Narrow"/>
        <family val="2"/>
      </rPr>
      <t>likely</t>
    </r>
    <r>
      <rPr>
        <sz val="10"/>
        <rFont val="Arial Narrow"/>
        <family val="2"/>
      </rPr>
      <t xml:space="preserve"> based on known occurrence in the region and proximity to suitable habitat, which may include: (a) a persistent freshwater wetland, pond, or lake, or a perennial low or mid-gradient (&lt;10%) channel, and (b) a corridor or multiple stands of hardwood trees and shrubs in vegetated areas near surface water.</t>
    </r>
  </si>
  <si>
    <t>Use of the AA by beaver during the past 5 years is (select most applicable ONE):</t>
  </si>
  <si>
    <r>
      <rPr>
        <b/>
        <sz val="10"/>
        <rFont val="Arial Narrow"/>
        <family val="2"/>
      </rPr>
      <t xml:space="preserve">evident </t>
    </r>
    <r>
      <rPr>
        <sz val="10"/>
        <rFont val="Arial Narrow"/>
        <family val="2"/>
      </rPr>
      <t>from direct observation or presence of gnawed limbs, dams, tracks, dens, lodges, or extensive stands of water-killed trees (snags).</t>
    </r>
  </si>
  <si>
    <t>When present, surface water in most of the AA usually consists of (select one):</t>
  </si>
  <si>
    <t>One depth class that comprises &gt;90% of the AA’s inundated area (use the classes in the question above).</t>
  </si>
  <si>
    <t>Accelerated Inputs of Contaminants and/or Salts</t>
  </si>
  <si>
    <t>Accelerated Inputs of Nutrients</t>
  </si>
  <si>
    <t>Type of loading</t>
  </si>
  <si>
    <t>moderate density septic, cropland, secondary wastewater treatment plant</t>
  </si>
  <si>
    <t>livestock, pets, low density residential</t>
  </si>
  <si>
    <r>
      <t xml:space="preserve">* </t>
    </r>
    <r>
      <rPr>
        <b/>
        <sz val="10"/>
        <rFont val="Arial Narrow"/>
        <family val="2"/>
      </rPr>
      <t>high</t>
    </r>
    <r>
      <rPr>
        <sz val="10"/>
        <rFont val="Arial Narrow"/>
        <family val="2"/>
      </rPr>
      <t xml:space="preserve">-intensity= extensive off-road vehicle use, plowing, grading, excavation, erosion with or without veg removal; </t>
    </r>
    <r>
      <rPr>
        <b/>
        <sz val="10"/>
        <rFont val="Arial Narrow"/>
        <family val="2"/>
      </rPr>
      <t xml:space="preserve"> low</t>
    </r>
    <r>
      <rPr>
        <sz val="10"/>
        <rFont val="Arial Narrow"/>
        <family val="2"/>
      </rPr>
      <t>-intensity= veg removal only with little or no apparent erosion or disturbance of soil or sediment</t>
    </r>
  </si>
  <si>
    <t>Plants are more productive at warmer soil or sediment temperatures, and this supports higher productivity of aquatic insects.</t>
  </si>
  <si>
    <t>Places with a warmer mean annual temperature may provide opportunity for a greater variety of plant species to colonize substrates that are ice-free for longer during the year.</t>
  </si>
  <si>
    <t>Doerr, S. H., C. T. Llewellyn, P. Douglas, C. P. Morley, K. A. Manwaring, and C. Haskins. 2005. Extraction of compounds associated with water repellency in sandy soils of different origin. Australian Journal of Soil Research 43:225.</t>
  </si>
  <si>
    <t>Natural Cover in Buffer</t>
  </si>
  <si>
    <t>SatPct3</t>
  </si>
  <si>
    <t>SatPct4</t>
  </si>
  <si>
    <t>Stressor Subscore=</t>
  </si>
  <si>
    <t>The larvae of many wetland invertebrates require surface water, so the absence or scarcity of that limits aquatic invertebrate richness.</t>
  </si>
  <si>
    <r>
      <t xml:space="preserve">Assuming access permission was granted, select </t>
    </r>
    <r>
      <rPr>
        <b/>
        <sz val="10"/>
        <rFont val="Arial Narrow"/>
        <family val="2"/>
      </rPr>
      <t xml:space="preserve">ALL </t>
    </r>
    <r>
      <rPr>
        <sz val="10"/>
        <rFont val="Arial Narrow"/>
        <family val="2"/>
      </rPr>
      <t>statements that are true of the AA as it currently exists:</t>
    </r>
  </si>
  <si>
    <t>The frequency of most recreational visits declines with increasing distance from roads.</t>
  </si>
  <si>
    <t>OpenPonded7</t>
  </si>
  <si>
    <t>Interspers2</t>
  </si>
  <si>
    <t>PondedPct6</t>
  </si>
  <si>
    <t>Lack of physical barriers, provision of trails, and interpretive signs encourage greater public use of areas. However, some apparent barriers (e.g., deep water, dense brush) may be barriers only to summer recreation; frozen wetlands may enjoy considerable wintertime use.</t>
  </si>
  <si>
    <t>More plant species occur in drier parts of wetlands than in parts that remain flooded for long duration.  However, long duration flooding adds some aquatic species not otherwise found in wetlands.</t>
  </si>
  <si>
    <t>Longer flow paths within a wetland allow more time and opportunity for suspended sediments to be deposited.</t>
  </si>
  <si>
    <t>Phosphorus retention often correlates with detention time, which in turn correlates with flow path length within a wetland.</t>
  </si>
  <si>
    <t>N removal often correlates with detention time, which in turn correlates with flow path length within a wetland.</t>
  </si>
  <si>
    <t>Longer flow paths allow for more interaction between runoff and wetland vegetation, which potentially leads to removal and export of more decomposed organic matter.</t>
  </si>
  <si>
    <t>Interspers3</t>
  </si>
  <si>
    <t>Algae3</t>
  </si>
  <si>
    <t>Wettype6</t>
  </si>
  <si>
    <t>1-25% of the tree or shrub cover (whichever has more)</t>
  </si>
  <si>
    <t>25-50% of the tree or shrub cover (whichever has more)</t>
  </si>
  <si>
    <t>50-75% of the tree or shrub cover (whichever has more)</t>
  </si>
  <si>
    <t>&gt;75% of the tree or shrub cover (whichever has more)</t>
  </si>
  <si>
    <t>Decid6</t>
  </si>
  <si>
    <t>Interspers6</t>
  </si>
  <si>
    <t>Stained6</t>
  </si>
  <si>
    <t>DepthDiv8</t>
  </si>
  <si>
    <t>HerbDiv8</t>
  </si>
  <si>
    <r>
      <t>Burger, J. and M. Gochfeld. 1991. Human activity influence and diurnal and nocturnal foraging of sanderlings (</t>
    </r>
    <r>
      <rPr>
        <i/>
        <sz val="10"/>
        <rFont val="Arial Narrow"/>
        <family val="2"/>
      </rPr>
      <t>Calidris alba</t>
    </r>
    <r>
      <rPr>
        <sz val="10"/>
        <rFont val="Arial Narrow"/>
        <family val="2"/>
      </rPr>
      <t>). Condor 93:259-265.</t>
    </r>
  </si>
  <si>
    <t>5-25% of the vegetated AA or (if a fringe wetland) 5-25% of the water edge  -- whichever is greater.</t>
  </si>
  <si>
    <t xml:space="preserve">25-50% of the vegetated AA or the water edge, whichever is greater. </t>
  </si>
  <si>
    <t>50-95% of the vegetated AA or the water edge, whichever is greater.</t>
  </si>
  <si>
    <t>&gt;95% of the vegetated part of the AA or the water edge, whichever is greater.</t>
  </si>
  <si>
    <r>
      <t>Hood, G. A. and S. E. Bayley. 2008. Beaver (</t>
    </r>
    <r>
      <rPr>
        <i/>
        <sz val="10"/>
        <rFont val="Arial Narrow"/>
        <family val="2"/>
      </rPr>
      <t>Castor canadensis</t>
    </r>
    <r>
      <rPr>
        <sz val="10"/>
        <rFont val="Arial Narrow"/>
        <family val="2"/>
      </rPr>
      <t>) mitigate the effects of climate on the area of open water in boreal wetlands in western Canada. Biological Conservation 141:556-567.</t>
    </r>
  </si>
  <si>
    <t xml:space="preserve">Within or near the AA, there is an interpretive center, trails with interpretive signs or brochures, and/or regular guided interpretive tours. </t>
  </si>
  <si>
    <t>Most of the AA is (select one):</t>
  </si>
  <si>
    <t>25-50% of the vegetated AA</t>
  </si>
  <si>
    <t>50-95% of the vegetated AA</t>
  </si>
  <si>
    <t>&gt;95% of the vegetated part of the AA</t>
  </si>
  <si>
    <t>The gradient along most of the flow path within the AA is:</t>
  </si>
  <si>
    <t>BMP - Soils</t>
  </si>
  <si>
    <t>BMP - Wildlife Protection</t>
  </si>
  <si>
    <t>BMPsoilsPU</t>
  </si>
  <si>
    <t>BMPwildPU</t>
  </si>
  <si>
    <t xml:space="preserve">Fences, observation blinds, platforms, paved trails, exclusion periods, and/or well-enforced prohibitions on motorized boats, off-leash pets, and off road vehicles appear to effectively exclude or divert visitors and their pets from the AA at critical times in order to minimize disturbance of wildlife (except during hunting seasons).  Enter "1" if true. </t>
  </si>
  <si>
    <t>BMPsoils20</t>
  </si>
  <si>
    <t>Calmé, S. and A. Desrochers. 2000. Biogeographic aspects of the distribution of bird species breeding in Québec’s peatlands. Journal of Biogeography 27: 725–732.</t>
  </si>
  <si>
    <t>Bakker, V. J. and D. H. Van Vuren. 2004. Gap‐crossing decisions by the red squirrel, a forest‐dependent small mammal. Conservation Biology 18:689-697.</t>
  </si>
  <si>
    <t>1-25% of the AA, and mostly in a single large pool, pond, and/or channel.</t>
  </si>
  <si>
    <t>Woody13</t>
  </si>
  <si>
    <r>
      <t xml:space="preserve">% with </t>
    </r>
    <r>
      <rPr>
        <b/>
        <sz val="10"/>
        <rFont val="Arial Narrow"/>
        <family val="2"/>
      </rPr>
      <t>Persistent</t>
    </r>
    <r>
      <rPr>
        <sz val="10"/>
        <rFont val="Arial Narrow"/>
        <family val="2"/>
      </rPr>
      <t xml:space="preserve"> Surface Water</t>
    </r>
  </si>
  <si>
    <r>
      <t xml:space="preserve">% Flooded </t>
    </r>
    <r>
      <rPr>
        <b/>
        <sz val="10"/>
        <rFont val="Arial Narrow"/>
        <family val="2"/>
      </rPr>
      <t xml:space="preserve">Only </t>
    </r>
    <r>
      <rPr>
        <sz val="10"/>
        <rFont val="Arial Narrow"/>
        <family val="2"/>
      </rPr>
      <t>Seasonally</t>
    </r>
  </si>
  <si>
    <t>50-99% of the AA never contains surface water.</t>
  </si>
  <si>
    <t>Island13</t>
  </si>
  <si>
    <t>Fish11</t>
  </si>
  <si>
    <t>Fish10</t>
  </si>
  <si>
    <t>Fish13</t>
  </si>
  <si>
    <t>PondPct4</t>
  </si>
  <si>
    <t>Water Storage &amp; Delay</t>
  </si>
  <si>
    <t>WS</t>
  </si>
  <si>
    <t>WC</t>
  </si>
  <si>
    <t>The effectiveness for intercepting and filtering suspended inorganic sediments, thus allowing their deposition, as well as reducing energy of waves and currents, resisting excessive erosion, and stabilizing underlying sediments or soil.</t>
  </si>
  <si>
    <t>SR</t>
  </si>
  <si>
    <t>Phosphorus Retention</t>
  </si>
  <si>
    <t>PR</t>
  </si>
  <si>
    <t>NR</t>
  </si>
  <si>
    <t>OE</t>
  </si>
  <si>
    <t>Invertebrate Habitat</t>
  </si>
  <si>
    <t>INV</t>
  </si>
  <si>
    <t>Amphibian Habitat</t>
  </si>
  <si>
    <t>AM</t>
  </si>
  <si>
    <t>WB</t>
  </si>
  <si>
    <t>SBM</t>
  </si>
  <si>
    <t>Prior designation of the wetland, by a natural resource or environmental protection agency, as some type of special protected area.  Also, the potential and actual use of a wetland for low-intensity outdoor recreation, education, or research.</t>
  </si>
  <si>
    <t>PH</t>
  </si>
  <si>
    <t>The effectiveness for contributing water to streams during the driest part of a growing season.</t>
  </si>
  <si>
    <t>SFS</t>
  </si>
  <si>
    <t xml:space="preserve">The effectiveness for producing and subsequently exporting organic matter, either particulate or dissolved, along with associated compounds and elements such as iron.
</t>
  </si>
  <si>
    <t>The capacity to support or contribute to an abundance or diversity of native frogs, toads, and salamanders.</t>
  </si>
  <si>
    <t xml:space="preserve">The capacity to support or contribute to an abundance or diversity of invertebrate animals which spend all or part of their life cycle underwater or in moist soil.  Includes dragonflies, midges, clams, snails, water beetles, shrimp, aquatic worms, and others.
</t>
  </si>
  <si>
    <t>The capacity to support or contribute to an abundance or diversity of native songbird, raptor, and mammal species and functional groups, especially those that are most dependent on wetlands or water.</t>
  </si>
  <si>
    <t>Stream Flow Support</t>
  </si>
  <si>
    <t>In the last column, place a check mark next to any item -- occurring in either the wetland or its CA -- that is likely to have accelerated the inputs of nutrients to the wetland.  [STR]</t>
  </si>
  <si>
    <t>Fissore, C., Giardina, C. P., Kolka, R. K., and Trettin, C. C. 2009. Soil organic carbon quality in forested mineral wetlands at different mean annual temperature. Soil Biology and Biochemistry 41(3):458-466.</t>
  </si>
  <si>
    <t>Fyles, J. W. and I. H. Fyles. 1993. Interaction of Douglas-fir with red alder and salal foliage litter during decomposition. Canadian Journal of Forest Research 23:358-361.</t>
  </si>
  <si>
    <t>Pacific, V. J., K. G. Jensco, and B. L. McGlynn. 2010. Variable flushing mechanisms and landscape structure control stream DOC export during snowmelt in a set of nested catchments. Biogeochemistry 99:193-211.</t>
  </si>
  <si>
    <t>Coarse: includes sand, loamy sand, gravel, cobble, stones, boulders, fluvents, fluvaquents, riverwash.</t>
  </si>
  <si>
    <t>Fines: includes silt, glacial flour, clay, clay loam, silty clay, silty clay loam, sandy clay, sandy clay loam.</t>
  </si>
  <si>
    <t>1-25% of the vegetated AA</t>
  </si>
  <si>
    <t xml:space="preserve">5-25%.  </t>
  </si>
  <si>
    <t>Consider the parts of the AA that lack surface water at some time of the year.  Excluding slash from logging, the number of small pits, raised mounds, hummocks, boulders, upturned trees, animal burrows, gullies, natural levees, wide soil cracks, and microdepressions is:</t>
  </si>
  <si>
    <t>In the last column, place a check mark next to any item present in the wetland that is likely to have compacted, eroded, or otherwise altered the wetland's soil.  If the AA is a created or restored wetland or pond, exclude those actions.  [CS, INV, NR, PH, STR]</t>
  </si>
  <si>
    <t>Large variation in elevations within a wetland suggest greater potential for trapping and retaining snow and other precipitation, sufficiently long to allow infiltration or evaporation.  Rough surfaces also allow for more runoff interception and infiltration.</t>
  </si>
  <si>
    <t>Where a wetland comprises a large proportion of its catchment, nutrient loading is more likely to occur at rates and levels that can be processed effectively.</t>
  </si>
  <si>
    <t>Bunn, S. and A. Arthington. 2002. Basic principles and ecological consequences of altered flow regimes for aquatic biodiversity. Environmental Management 30:492–507.</t>
  </si>
  <si>
    <t>Bolenbaugh, J. R., D. G. Krementz, and S. E. Lehnen. 2011. Secretive marsh bird species co-occurrences and habitat associations across the Midwest, USA. Journal of Fish and Wildlife Management 2:49-60.</t>
  </si>
  <si>
    <t>Shepherd, P. C. F. and D. B. Lank. 2004. Marine and agricultural habitat preferences of dunlin wintering in British Columbia. Journal of Wildlife Management 68:61-73.</t>
  </si>
  <si>
    <r>
      <t>Sprague, A. J., D. J. Hamilton, and A. W. Diamond. 2008. Site safety and food affect movements of Semipalmated Sandpipers (</t>
    </r>
    <r>
      <rPr>
        <i/>
        <sz val="10"/>
        <rFont val="Arial Narrow"/>
        <family val="2"/>
      </rPr>
      <t>Calidris pusilla</t>
    </r>
    <r>
      <rPr>
        <sz val="10"/>
        <rFont val="Arial Narrow"/>
        <family val="2"/>
      </rPr>
      <t>) migrating through the upper Bay of Fundy. Avian Conservation and Ecology 3:1-22.</t>
    </r>
  </si>
  <si>
    <t>Lokemoen, J. T. and R. O. Woodward. 1992. Nesting waterfowl and water birds on natural islands in the Dakotas and Montana. Wildlife Society Bulletin 20:163-171.</t>
  </si>
  <si>
    <t>Bella, E. M. 2011. Invasion prediction on Alaska trails: Distribution, habitat, and trail use. Invasive Plant Science and Management 4(3): 296-305.</t>
  </si>
  <si>
    <r>
      <t>Wipfli, M. S. and J. Musslewhite. 2004. Density of red alder (</t>
    </r>
    <r>
      <rPr>
        <i/>
        <sz val="10"/>
        <rFont val="Arial Narrow"/>
        <family val="2"/>
      </rPr>
      <t>Alnus rubra</t>
    </r>
    <r>
      <rPr>
        <sz val="10"/>
        <rFont val="Arial Narrow"/>
        <family val="2"/>
      </rPr>
      <t>) in headwaters influences invertebrate and detritus subsidies to downstream fish habitats in Alaska. Hydrobiologia 520:153-163.</t>
    </r>
  </si>
  <si>
    <t>1-25% of the AA, and mostly in narrow channels and/or small scattered pools.</t>
  </si>
  <si>
    <t>Intermediate (1 - 10% of vegetated part of the AA).</t>
  </si>
  <si>
    <t>Many (e.g., wetland-upland "mosaic", &gt;10% of the vegetated AA).</t>
  </si>
  <si>
    <t xml:space="preserve">Few or none (minimal microtopography; &lt;1% of that area) </t>
  </si>
  <si>
    <r>
      <rPr>
        <b/>
        <sz val="10"/>
        <rFont val="Arial Narrow"/>
        <family val="2"/>
      </rPr>
      <t xml:space="preserve">Exposed </t>
    </r>
    <r>
      <rPr>
        <sz val="10"/>
        <rFont val="Arial Narrow"/>
        <family val="2"/>
      </rPr>
      <t>Shrub Canopy</t>
    </r>
  </si>
  <si>
    <t>Most songbirds prefer to nest in drier parts of wetlands because ground cover and vegetation height, which provide essential structure, tend to be greater there.</t>
  </si>
  <si>
    <t>At some time of the year, mats of algae and/or duckweed cover most of the AA's otherwise-unshaded water surface or blanket the underwater substrate.  If true, enter "1" in next column.  If untrue or uncertain, enter "0".</t>
  </si>
  <si>
    <t xml:space="preserve">   snow storage areas that drain directly to the wetland</t>
  </si>
  <si>
    <t xml:space="preserve">   increased pavement and other impervious surface in the CA</t>
  </si>
  <si>
    <t xml:space="preserve">   straightening, ditching, dredging, and/or lining of tributary channels in the CA</t>
  </si>
  <si>
    <t xml:space="preserve">   stormwater or wastewater effluent (including failing septic systems), landfills, industrial facilities</t>
  </si>
  <si>
    <t xml:space="preserve">   oil or chemical spills (not just chronic inputs) from nearby roads</t>
  </si>
  <si>
    <t xml:space="preserve">   stormwater or wastewater effluent (including failing septic systems), landfills</t>
  </si>
  <si>
    <t xml:space="preserve">   fertilizers applied to lawns, ag lands, or other areas in the CA</t>
  </si>
  <si>
    <t xml:space="preserve">   livestock, dogs  </t>
  </si>
  <si>
    <t xml:space="preserve">   artificial drainage of upslope lands</t>
  </si>
  <si>
    <t xml:space="preserve">   erosion from plowed fields, fill, timber harvest, dirt roads, vegetation clearing, fires</t>
  </si>
  <si>
    <t xml:space="preserve">   erosion from construction, in-channel machinery in the CA </t>
  </si>
  <si>
    <t xml:space="preserve">   erosion from off-road vehicles in the CA</t>
  </si>
  <si>
    <t xml:space="preserve">   erosion from livestock or foot traffic in the CA</t>
  </si>
  <si>
    <t xml:space="preserve">   stormwater or wastewater effluent</t>
  </si>
  <si>
    <t xml:space="preserve">   sediment from road sanding, gravel mining, other mining, oil/ gas extraction</t>
  </si>
  <si>
    <t xml:space="preserve">   accelerated channel downcutting or headcutting of tributaries due to altered land use</t>
  </si>
  <si>
    <t xml:space="preserve">   other human-related disturbances within the CA</t>
  </si>
  <si>
    <t xml:space="preserve">   compaction from machinery, off-road vehicles, or mountain bikes, especially during wetter periods</t>
  </si>
  <si>
    <t xml:space="preserve">   leveling or other grading not to the natural contour</t>
  </si>
  <si>
    <t xml:space="preserve">   tillage, plowing (but excluding disking for enhancement of native plants)</t>
  </si>
  <si>
    <t xml:space="preserve">   fill or riprap, excluding small amounts of upland soils containing organic amendments (compost, etc.) or small amounts of topsoil imported from another wetland</t>
  </si>
  <si>
    <t xml:space="preserve">   excavation</t>
  </si>
  <si>
    <t xml:space="preserve">   ditch cleaning or dredging in or adjacent to the wetland</t>
  </si>
  <si>
    <t xml:space="preserve">   boat traffic in or adjacent to the wetland and sufficient to cause shore erosion or stir bottom sediments</t>
  </si>
  <si>
    <t xml:space="preserve">   artificial water level or flow manipulations sufficient to cause erosion or stir bottom sediments</t>
  </si>
  <si>
    <t xml:space="preserve">Hirsch, R. M., J. F. Walker, J. C. Day, and R. Kollio. 1990. The influence of man on hydrologic systems. Pages 329–359 in M. G. Wolaman and H. C. Riggs, editors. Surface Water Hydrology. Geological Society of America, Boulder, CO. </t>
  </si>
  <si>
    <r>
      <t xml:space="preserve">% Saturated </t>
    </r>
    <r>
      <rPr>
        <b/>
        <sz val="10"/>
        <rFont val="Arial Narrow"/>
        <family val="2"/>
      </rPr>
      <t>Only</t>
    </r>
  </si>
  <si>
    <r>
      <t xml:space="preserve">The </t>
    </r>
    <r>
      <rPr>
        <b/>
        <sz val="10"/>
        <rFont val="Arial Narrow"/>
        <family val="2"/>
      </rPr>
      <t>most persistent</t>
    </r>
    <r>
      <rPr>
        <sz val="10"/>
        <rFont val="Arial Narrow"/>
        <family val="2"/>
      </rPr>
      <t xml:space="preserve"> </t>
    </r>
    <r>
      <rPr>
        <u/>
        <sz val="10"/>
        <rFont val="Arial Narrow"/>
        <family val="2"/>
      </rPr>
      <t>surface</t>
    </r>
    <r>
      <rPr>
        <sz val="10"/>
        <rFont val="Arial Narrow"/>
        <family val="2"/>
      </rPr>
      <t xml:space="preserve"> water connection (outlet channel or pipe, ditch, or overbank water exchange) between the </t>
    </r>
    <r>
      <rPr>
        <b/>
        <sz val="10"/>
        <rFont val="Arial Narrow"/>
        <family val="2"/>
      </rPr>
      <t xml:space="preserve">AA </t>
    </r>
    <r>
      <rPr>
        <sz val="10"/>
        <rFont val="Arial Narrow"/>
        <family val="2"/>
      </rPr>
      <t>and the closest off-site downslope water body is:</t>
    </r>
  </si>
  <si>
    <t>1-25% of the shrub plus ground cover, in the AA or along its water edge (whichever has more).</t>
  </si>
  <si>
    <t>25-50% of the shrub plus ground cover, in the AA or along its water edge (whichever has more).</t>
  </si>
  <si>
    <t>50-75% of the shrub plus ground cover, in the AA or along its water edge (whichever has more).</t>
  </si>
  <si>
    <t>&gt;75% of the shrub plus ground cover, in the AA or along its water edge (whichever has more).</t>
  </si>
  <si>
    <t>5-30% of the ponded water.</t>
  </si>
  <si>
    <t>30-70% of the ponded water.</t>
  </si>
  <si>
    <t>70-99% of the ponded water.</t>
  </si>
  <si>
    <t>Low-impact commercial timber harvest (e.g., selective thinning)</t>
  </si>
  <si>
    <t>Furbearer trapping</t>
  </si>
  <si>
    <t>Wright, J. P., A. S. Flecker, and C. G. Jones. 2003. Local versus landscape controls on plant species richness in beaver meadows. Ecology 84:3162–3173.</t>
  </si>
  <si>
    <t>Groundwater: Strength of Evidence</t>
  </si>
  <si>
    <r>
      <t xml:space="preserve">The AA contains or adjoins a </t>
    </r>
    <r>
      <rPr>
        <b/>
        <sz val="10"/>
        <rFont val="Arial Narrow"/>
        <family val="2"/>
      </rPr>
      <t xml:space="preserve">public </t>
    </r>
    <r>
      <rPr>
        <sz val="10"/>
        <rFont val="Arial Narrow"/>
        <family val="2"/>
      </rPr>
      <t>boat dock or ramp, or is within 1 km of a campground, picnic area, or winter sports park.</t>
    </r>
  </si>
  <si>
    <t>Boardwalks, paved trails, fences or other infrastructure and/or well-enforced regulations appear to effectively prevent visitors from walking on soils within nearly all of the AA when they are unfrozen.  Enter "1" if true.</t>
  </si>
  <si>
    <t>Fen</t>
  </si>
  <si>
    <t>Bog</t>
  </si>
  <si>
    <t>Wooded Swamp</t>
  </si>
  <si>
    <t>Wetland Type - Predominant</t>
  </si>
  <si>
    <t>no types other than the predominant one in F1 meet the area threshold.</t>
  </si>
  <si>
    <r>
      <t xml:space="preserve">The percentage of the AA's tree or shrub cover that is </t>
    </r>
    <r>
      <rPr>
        <b/>
        <sz val="10"/>
        <rFont val="Arial Narrow"/>
        <family val="2"/>
      </rPr>
      <t>broad-leaved deciduous</t>
    </r>
    <r>
      <rPr>
        <sz val="10"/>
        <rFont val="Arial Narrow"/>
        <family val="2"/>
      </rPr>
      <t xml:space="preserve"> and is taller than 1 meter is:</t>
    </r>
  </si>
  <si>
    <r>
      <t xml:space="preserve">The following best represents the distribution pattern of woody vegetation VS. </t>
    </r>
    <r>
      <rPr>
        <b/>
        <sz val="10"/>
        <rFont val="Arial Narrow"/>
        <family val="2"/>
      </rPr>
      <t xml:space="preserve">unshaded </t>
    </r>
    <r>
      <rPr>
        <sz val="10"/>
        <rFont val="Arial Narrow"/>
        <family val="2"/>
      </rPr>
      <t xml:space="preserve">herbaceous/ moss vegetation </t>
    </r>
    <r>
      <rPr>
        <b/>
        <u/>
        <sz val="10"/>
        <rFont val="Arial Narrow"/>
        <family val="2"/>
      </rPr>
      <t>within</t>
    </r>
    <r>
      <rPr>
        <sz val="10"/>
        <rFont val="Arial Narrow"/>
        <family val="2"/>
      </rPr>
      <t xml:space="preserve"> the AA:</t>
    </r>
  </si>
  <si>
    <r>
      <t xml:space="preserve">Mark all the classes of woody plants within the AA, but only IF they comprise more than 5% </t>
    </r>
    <r>
      <rPr>
        <b/>
        <sz val="10"/>
        <rFont val="Arial Narrow"/>
        <family val="2"/>
      </rPr>
      <t>of the woody canopy</t>
    </r>
    <r>
      <rPr>
        <sz val="10"/>
        <rFont val="Arial Narrow"/>
        <family val="2"/>
      </rPr>
      <t xml:space="preserve"> </t>
    </r>
    <r>
      <rPr>
        <u/>
        <sz val="10"/>
        <rFont val="Arial Narrow"/>
        <family val="2"/>
      </rPr>
      <t>within</t>
    </r>
    <r>
      <rPr>
        <sz val="10"/>
        <rFont val="Arial Narrow"/>
        <family val="2"/>
      </rPr>
      <t xml:space="preserve"> the AA.  Do not count trees that adjoin but are not within the AA.</t>
    </r>
  </si>
  <si>
    <t>Fens are typically groundwater discharge areas, and such discharge is more seasonally stable and thus more likely to contribute water late in the season when streamflow otherwise can be low. Some bogs with outlets discharge capillary water and thus potentially influence low flows (Siegal 1988). Water tables in riparian wetlands typically fluctuate with river levels, and so are not likely to contribute much water during low flow conditions. Wooded swamps lose water via transpiration, but retain it by shading the ground and reducing evaporation.</t>
  </si>
  <si>
    <t>50 - 100 m</t>
  </si>
  <si>
    <t>nutrients (phosphorus, nitrate, ammonia), or a water body within 5 km that contributes to the AA has been labeled "hyper-eutrophic" based on excessive levels of either total phosphorus or chlorophyll-a.</t>
  </si>
  <si>
    <t>suspended sediment or turbidity</t>
  </si>
  <si>
    <t>metals (mercury, lead, zinc, copper, cadmium, others)</t>
  </si>
  <si>
    <t>petrochemicals (pesticides, herbicides, PCBs, others)</t>
  </si>
  <si>
    <t>Owned by non-profit conservation organization or lease holder who allows public access.</t>
  </si>
  <si>
    <t>Other private ownership, including First Nations.</t>
  </si>
  <si>
    <t>Considerable amounts of water can be stored below the land surface in peat and coarse-textured substrates. However, very little new runoff can be stored if the substrates are already saturated. Peat tends to be saturated much of the time, and groundwater discharge dominates many wetlands with coarse-textured substrate, keeping those saturated much of the time and thus limiting the capacity to store additional water. At any rate, the uppermost soil layer is not necessarily a strong indicator of underlying soil structure which exerts greater influence on water storage, but is impossible to assess rapidly.</t>
  </si>
  <si>
    <t xml:space="preserve">Plants are more productive at warmer soil or sediment temperatures, and this supports higher productivity of aquatic insects and ultimately resident fish. </t>
  </si>
  <si>
    <t>Risk of winterkill by long-duration ice cover also may be less in warmer parts of the region.</t>
  </si>
  <si>
    <t>persistent (&gt;9 months/year, including times when frozen)</t>
  </si>
  <si>
    <t>seasonal (14 days to 9 months/year, not necessarily consecutive, including times when frozen)</t>
  </si>
  <si>
    <t>temporary (&lt;14 days, not necessarily consecutive -- must be unfrozen)</t>
  </si>
  <si>
    <t xml:space="preserve">Of the wetland types listed, marsh and fen wetlands are typically most important because they have the most water and are the most accessible to resident fish. Wooded swamps can be important as well if they are in floodplains and at least intermittently accessible to fish. </t>
  </si>
  <si>
    <t>Shade10</t>
  </si>
  <si>
    <t>Amphibians do not physiologically regulate their body temperature.  Thus in boreal regions their populations are likely to be more productive (and have greater survival) in warmer parts of the region.</t>
  </si>
  <si>
    <t>BuffNatPct11</t>
  </si>
  <si>
    <t>BuffNatPct8</t>
  </si>
  <si>
    <t>TreeTypes14</t>
  </si>
  <si>
    <t xml:space="preserve">Larger wetlands are used disproportionately by some species of nesting wetland-dependent songbirds. Smaller identical wetlands of equal cumulative area probably support lower numbers and cumulative richness of songbirds and mammals, unless they are close together and connected with corridors of undeveloped land.  However, for predicting bird diversity, some evidence from peatlands (Calmer and Desrochers 2000) suggests that wetland size may be less important than microhabitat heterogeneity (which is represented by other  indicators). </t>
  </si>
  <si>
    <t xml:space="preserve">Roads and/or traffic are a significant barrier to dispersing amphibians (Mader 1984, Fahrig et al. 1995, and see review by Fahrig &amp; Rytwinski 2009).  In Ontario (Eigenbrod 2008a) and Virginia (Marsh 2007), “accessible habitat” -- defined as the habitat available to pond-dwelling amphibians without individuals needing to cross a major road -- was a better predictor of amphibian species richness than simply the amount of habitat within some distance of breeding ponds (Eigenbrod 2008b).  Narrow roads gated to exclude traffic were crossed more often than roads with traffic by terrestrial salamanders in Virginia (Marsh 2007).  Remarkably, even some narrow logging roads that had long been abandoned continued to impair movements and densities of salamanders in North Carolina; the road effect appeared to extend about 115 ft into the adjoining woods on both sides of the road (Semlitsch et al. 2007). </t>
  </si>
  <si>
    <t>Frequently Visited Area</t>
  </si>
  <si>
    <t xml:space="preserve">Unvisited Core Area </t>
  </si>
  <si>
    <r>
      <t xml:space="preserve">Sampling indicates problems with the quality of surface waters or sediment within the AA, or within 5 km </t>
    </r>
    <r>
      <rPr>
        <b/>
        <u/>
        <sz val="10"/>
        <rFont val="Arial Narrow"/>
        <family val="2"/>
      </rPr>
      <t>upstream or upslope</t>
    </r>
    <r>
      <rPr>
        <sz val="10"/>
        <rFont val="Arial Narrow"/>
        <family val="2"/>
      </rPr>
      <t>, as caused by (enter 1 for ALL that apply):</t>
    </r>
  </si>
  <si>
    <t xml:space="preserve">Soil or sediment texture, and especially clay content of soil, is one of the most important predictors of phosphorus retention. Excessive organic matter buildup in soils can inhibit plant germination and growth by acidifying the soil, which restricts nutrient availability and thus plant capacity to take up and retain phosphorus (Prescott et al. 2000). However, phosphorus can also form complexes with soil organic matter and thus be retained.  </t>
  </si>
  <si>
    <t>Plants are most productive at warmer soil or sediment temperatures, and their foliage that contributes organic matter to downslope food chains decomposes most rapidly under warmer conditions (Fissore et al. 2009). Those conditions are described by increasing mean annual temperature. As soil temperatures increase, so does the concentration of DOC in forested wetland soils and streams, and in that form carbon is readily exported (D’Amore et al. 2010). The production of Sphagnum moss, a dominant species in many bogs and slope wetlands, is greater in warmer areas (Gunnarsson 2005).</t>
  </si>
  <si>
    <t>Most breeding waterbirds are naturally drawn to more productive wetlands, which tend to be marshes along rivers and lakes. However, a few waterbird species that nest in this region prefer open bogs and fens.</t>
  </si>
  <si>
    <t>Fens tend to have richer plant communities than bogs (Thormann &amp; Bayley 1997, Bedford &amp; Godwin 2003, McClellan et al. 2003). Floodplains are exceptionally species-rich (Pollack et al. 1998). Bogs are relatively species-poor, although the species they support tend to be specialized and in some areas may contribute disproportionately to local plant diversity (Moore 1989). Peatlands on slopes tend to be more species-rich than those on flats because contact with enriched groundwater and mineral soils is usually greater.</t>
  </si>
  <si>
    <t>Constructed (and some restored) wetlands typically have lower soil organic matter (Shaffer &amp; Ernst 1999), and that deficit limits denitrification that otherwise removes nitrate. Thus, new wetlands would be expected to release the most nitrate to downstream waters. However, the proportion of incoming nitrate that is exported in some cases is greater in soils that are more fertile, i.e., nearing nitrate saturation, with a C:N ratio lower than 25 (e.g., Gundersen et al. 2006).</t>
  </si>
  <si>
    <t xml:space="preserve">Soil organic matter is slow to accumulate in constructed wetlands (Alsfeld et al. 2009), so less is likely to be available for export. </t>
  </si>
  <si>
    <t xml:space="preserve">yes, and created 20 - 100 years ago </t>
  </si>
  <si>
    <t>yes, and created 3-20 years ago</t>
  </si>
  <si>
    <t>yes, and created within last 3 years</t>
  </si>
  <si>
    <t xml:space="preserve">100% of the ponded water. </t>
  </si>
  <si>
    <t>less than 1%, or &lt;0.01 hectare (about 10 m on a side) never has surface water.  In other words, all or nearly all of the AA is inundated permanently or at least seasonally.</t>
  </si>
  <si>
    <t xml:space="preserve">&lt;10 cm change (stable) </t>
  </si>
  <si>
    <t>10 cm - 50 cm change</t>
  </si>
  <si>
    <t>0.5 - 1 m change</t>
  </si>
  <si>
    <t>1-2 m change</t>
  </si>
  <si>
    <t>&gt;2 m change</t>
  </si>
  <si>
    <t>&lt;10 cm deep (but &gt;0)</t>
  </si>
  <si>
    <t>10 - 50 cm deep</t>
  </si>
  <si>
    <t>0.5 - 1 m deep</t>
  </si>
  <si>
    <t>1 - 2 m deep</t>
  </si>
  <si>
    <t>&gt;2 m deep.  True for many fringe wetlands.</t>
  </si>
  <si>
    <t>&lt;1 m</t>
  </si>
  <si>
    <t>1 - 9 m</t>
  </si>
  <si>
    <t>10 - 29 m</t>
  </si>
  <si>
    <t>30 - 49 m</t>
  </si>
  <si>
    <t>&gt; 100 m</t>
  </si>
  <si>
    <t>Near waters that are deeper than 0.5 m, the cover for fish, aquatic invertebrates, and/or amphibians that is provided by horizontally incised banks and/or partly-submerged accumulations of wood thicker than 10 cm (NOT by living vegetation) is:</t>
  </si>
  <si>
    <t>Little or none, or all water is shallower than 0.5 m most of the year.</t>
  </si>
  <si>
    <r>
      <rPr>
        <b/>
        <u/>
        <sz val="10"/>
        <rFont val="Arial Narrow"/>
        <family val="2"/>
      </rPr>
      <t>Within</t>
    </r>
    <r>
      <rPr>
        <u/>
        <sz val="10"/>
        <rFont val="Arial Narrow"/>
        <family val="2"/>
      </rPr>
      <t xml:space="preserve"> </t>
    </r>
    <r>
      <rPr>
        <sz val="10"/>
        <rFont val="Arial Narrow"/>
        <family val="2"/>
      </rPr>
      <t>the entire vegetated part of the AA, the percentage occupied by</t>
    </r>
    <r>
      <rPr>
        <b/>
        <sz val="10"/>
        <rFont val="Arial Narrow"/>
        <family val="2"/>
      </rPr>
      <t xml:space="preserve"> trees or shrubs</t>
    </r>
    <r>
      <rPr>
        <sz val="10"/>
        <rFont val="Arial Narrow"/>
        <family val="2"/>
      </rPr>
      <t xml:space="preserve"> taller than 1 m is:</t>
    </r>
  </si>
  <si>
    <t>broad-leaved deciduous 1-9 cm diameter and &gt;1 m tall</t>
  </si>
  <si>
    <t>broad-leaved deciduous 10-19 cm diameter</t>
  </si>
  <si>
    <t>broad-leaved deciduous 20-40 cm diameter</t>
  </si>
  <si>
    <t>broad-leaved deciduous &gt;40 cm diameter</t>
  </si>
  <si>
    <t>Several ( &gt;2/hectare) but above not true.</t>
  </si>
  <si>
    <r>
      <t>The number of large snags (</t>
    </r>
    <r>
      <rPr>
        <b/>
        <sz val="10"/>
        <rFont val="Arial Narrow"/>
        <family val="2"/>
      </rPr>
      <t>diameter &gt;20 cm</t>
    </r>
    <r>
      <rPr>
        <sz val="10"/>
        <rFont val="Arial Narrow"/>
        <family val="2"/>
      </rPr>
      <t>) in the AA plus the upland area within 10 m of the wetland edge is:</t>
    </r>
  </si>
  <si>
    <r>
      <t xml:space="preserve">The number of downed wood pieces </t>
    </r>
    <r>
      <rPr>
        <b/>
        <sz val="10"/>
        <rFont val="Arial Narrow"/>
        <family val="2"/>
      </rPr>
      <t xml:space="preserve">longer than 2 m </t>
    </r>
    <r>
      <rPr>
        <sz val="10"/>
        <rFont val="Arial Narrow"/>
        <family val="2"/>
      </rPr>
      <t xml:space="preserve">and with diameter </t>
    </r>
    <r>
      <rPr>
        <b/>
        <sz val="10"/>
        <rFont val="Arial Narrow"/>
        <family val="2"/>
      </rPr>
      <t>&gt;10 cm,</t>
    </r>
    <r>
      <rPr>
        <sz val="10"/>
        <rFont val="Arial Narrow"/>
        <family val="2"/>
      </rPr>
      <t xml:space="preserve"> and </t>
    </r>
    <r>
      <rPr>
        <b/>
        <sz val="10"/>
        <rFont val="Arial Narrow"/>
        <family val="2"/>
      </rPr>
      <t>not persistently submerged</t>
    </r>
    <r>
      <rPr>
        <sz val="10"/>
        <rFont val="Arial Narrow"/>
        <family val="2"/>
      </rPr>
      <t>, is:</t>
    </r>
  </si>
  <si>
    <t>Several ( &gt;5 if AA is &gt;5 hectares, less for smaller AAs)</t>
  </si>
  <si>
    <t>&lt;1%, or largest patch occupies less than 0.01 hectare</t>
  </si>
  <si>
    <t>Within the AA, inclusions of upland that individually are &gt;100 sq.m. are:</t>
  </si>
  <si>
    <t>none, or &lt;100 sq. m within the AA.</t>
  </si>
  <si>
    <t>1000 – 10,000 sq. m within the AA.</t>
  </si>
  <si>
    <t>100-1000 sq. m within the AA.</t>
  </si>
  <si>
    <t>&gt;10,000 sq. m within the AA.</t>
  </si>
  <si>
    <r>
      <t xml:space="preserve">Along the wetland-upland edge and extending 30 m upslope, the percentage of the upland that contains </t>
    </r>
    <r>
      <rPr>
        <b/>
        <sz val="10"/>
        <rFont val="Arial Narrow"/>
        <family val="2"/>
      </rPr>
      <t xml:space="preserve">natural </t>
    </r>
    <r>
      <rPr>
        <sz val="10"/>
        <rFont val="Arial Narrow"/>
        <family val="2"/>
      </rPr>
      <t>(not necessarily native -- see column E) land cover taller than 10 cm is:</t>
    </r>
  </si>
  <si>
    <t>Within 30 m upslope of the wetland-upland edge closest to the AA, the upland land cover that is NOT unmanaged vegetation or water is mostly (mark ONE):</t>
  </si>
  <si>
    <t>Maintained roads, parking areas, or foot-trails are within 10 m of the AA, or the AA can be accessed part of the year by boats arriving via contiguous waters.</t>
  </si>
  <si>
    <t>&lt;5% and no inhabited building is within 100 m of the AA</t>
  </si>
  <si>
    <t>&lt;5% and inhabited building is within 100 m of the AA</t>
  </si>
  <si>
    <t>5-50% and no inhabited building is within 100 m of the AA</t>
  </si>
  <si>
    <t>5-50% and inhabited building is within 100 m of the AA</t>
  </si>
  <si>
    <t>&lt;5% of the herbaceous cover, or &lt;0.01 hectare</t>
  </si>
  <si>
    <t>The AA borders a body of ponded open water whose size -- not counting the vegetated AA -- exceeds 8 hectares (about 300 x 300 m) during most of the growing season.  Enter "1" if true, "0" if false.</t>
  </si>
  <si>
    <t>0 - 15 m</t>
  </si>
  <si>
    <t>15-100 m or in groundwater</t>
  </si>
  <si>
    <t>industrial effluent, metals mine, or AA is cropped (&amp; sprayed) annually</t>
  </si>
  <si>
    <t>crops in catchment but not in AA, fossil fuel extraction or pipeline, power station</t>
  </si>
  <si>
    <t>mildly impacting (e.g., residential/ commercial)</t>
  </si>
  <si>
    <t>in more distant part of contributing area</t>
  </si>
  <si>
    <t xml:space="preserve">  pesticides, as applied to lawns, croplands, roadsides, or other areas in the CA</t>
  </si>
  <si>
    <t xml:space="preserve">  artificial drainage or erosion of contaminated or saline soils</t>
  </si>
  <si>
    <t xml:space="preserve">   road salt</t>
  </si>
  <si>
    <t>0 - 15 m, or farther but on steep erodible slopes</t>
  </si>
  <si>
    <t>SeasPct1</t>
  </si>
  <si>
    <t>Fluctua1</t>
  </si>
  <si>
    <t>IsoDry1</t>
  </si>
  <si>
    <t>ThruFlo1</t>
  </si>
  <si>
    <t>OutDura1</t>
  </si>
  <si>
    <t>Constric1</t>
  </si>
  <si>
    <t>Groundw1</t>
  </si>
  <si>
    <t>Gradient1</t>
  </si>
  <si>
    <t>Girreg1</t>
  </si>
  <si>
    <t>SoilTex1</t>
  </si>
  <si>
    <r>
      <t>Murphy, M. L., J. Heifetz, J. F. Thedinga, S. W. Johnson, and K. V. Koski. 1989. Habitat utilization by juvenile pacific salmon (</t>
    </r>
    <r>
      <rPr>
        <i/>
        <sz val="10"/>
        <rFont val="Arial Narrow"/>
        <family val="2"/>
      </rPr>
      <t>Onchorynchus</t>
    </r>
    <r>
      <rPr>
        <sz val="10"/>
        <rFont val="Arial Narrow"/>
        <family val="2"/>
      </rPr>
      <t>) in the glacial Taku River, Southeast Alaska. Canadian Journal of Fisheries and Aquatic Sciences 46:1677-1685.</t>
    </r>
  </si>
  <si>
    <r>
      <t>Collen, P. and R. J. Gibson. 2001. The general ecology of beavers (</t>
    </r>
    <r>
      <rPr>
        <i/>
        <sz val="10"/>
        <rFont val="Arial Narrow"/>
        <family val="2"/>
      </rPr>
      <t xml:space="preserve">Castor </t>
    </r>
    <r>
      <rPr>
        <sz val="10"/>
        <rFont val="Arial Narrow"/>
        <family val="2"/>
      </rPr>
      <t>spp.), as related to their influence on stream ecosystems and riparian habitats, and the subsequent effects on fish – a review. Reviews in Fish Biology and Fisheries 10:439–461.</t>
    </r>
  </si>
  <si>
    <t xml:space="preserve">Wetlands that are closer to natural land cover and not separated by roads that interfere with movements across the landscape, are more likely to support a large diversity of songbird and mammal species. Forest gaps deter red squirrel movement (Bakker &amp; Van Vuren 2004) and hinder movements of many birds. Nests in wetland forest edges, where both jays and squirrels occur frequently, were found to be depredated more often than those in wetland openings or forest interior, where predators were less common (Desanto &amp; Wilson 2001).  The type as well as the amount of upland cover near the wetland is important to mammals and nesting songbirds. For most species, impervious surfaces are unusable. Habitat gaps caused by placement of roads, driveways, or homes – as well as by natural features such as rockslides and wide channels -- can impact movements of mammals and birds (Trombulak &amp; Frissell 2000, Ortega &amp; Capen 2002). This is especially true when the gaps are wider than about 100 feet (Rich et al. 1994, Rail et al. 1997, St. Clair et al. 1998, Belisle &amp; Desrochers 2002, Laurance et al. 2004, Tremblay &amp; St. Clair 2010), and definitely when wider than 200 ft (Creegan &amp; Osborne 2005, Bosschieter &amp; Goedhart 2005, Awade &amp; Metzger 2008, Lees &amp; Peres 2009). Species that prefer low vegetation may be particularly reluctant to cross forest clearings. The presence of small clusters of trees scattered within very wide forest gaps may be sufficient to enhance willingness of some forest bird species to cross those gaps (Robertson &amp; Radford 2009). </t>
  </si>
  <si>
    <r>
      <t xml:space="preserve">Woody vegetation </t>
    </r>
    <r>
      <rPr>
        <b/>
        <sz val="10"/>
        <rFont val="Arial Narrow"/>
        <family val="2"/>
      </rPr>
      <t>1 to 3 m</t>
    </r>
    <r>
      <rPr>
        <sz val="10"/>
        <rFont val="Arial Narrow"/>
        <family val="2"/>
      </rPr>
      <t xml:space="preserve"> tall that is not under the drip line of taller woody vegetation comprises:</t>
    </r>
  </si>
  <si>
    <t>One depth class that comprises 60-90% of the AA's inundated area.</t>
  </si>
  <si>
    <r>
      <t>During major runoff events, in the places where</t>
    </r>
    <r>
      <rPr>
        <b/>
        <sz val="10"/>
        <rFont val="Arial Narrow"/>
        <family val="2"/>
      </rPr>
      <t xml:space="preserve"> surface</t>
    </r>
    <r>
      <rPr>
        <sz val="10"/>
        <rFont val="Arial Narrow"/>
        <family val="2"/>
      </rPr>
      <t xml:space="preserve"> water exits the AA or connected waters nearby, it:</t>
    </r>
  </si>
  <si>
    <t>Neither of above is true, although some groundwater may discharge to or flow through the AA.  Or groundwater influx is unknown.</t>
  </si>
  <si>
    <r>
      <t xml:space="preserve">&lt;2%, </t>
    </r>
    <r>
      <rPr>
        <b/>
        <sz val="10"/>
        <rFont val="Arial Narrow"/>
        <family val="2"/>
      </rPr>
      <t>or,</t>
    </r>
    <r>
      <rPr>
        <sz val="10"/>
        <rFont val="Arial Narrow"/>
        <family val="2"/>
      </rPr>
      <t xml:space="preserve"> no slope is ever apparent (i.e., flat). Or, the wetland is in a depression or pond with no inlet and no outlet.</t>
    </r>
  </si>
  <si>
    <t>coniferous, 1-9 cm diameter and &gt;1 m tall</t>
  </si>
  <si>
    <t>coniferous, 10-19 cm diameter</t>
  </si>
  <si>
    <t>coniferous, 20-40 cm diameter</t>
  </si>
  <si>
    <t>coniferous, &gt;40 cm diameter</t>
  </si>
  <si>
    <t>Determine which two native shrub species (1 to 3 m tall) comprise the greatest portion of the native shrub cover.  Then choose one of the following:</t>
  </si>
  <si>
    <t>Determine which two native herbaceous (forb and graminoid) species comprise the greatest portion of the herbaceous cover that is unshaded by a woody canopy.  Then choose one of the following:</t>
  </si>
  <si>
    <r>
      <t xml:space="preserve">invasive or other non-native species appear to be </t>
    </r>
    <r>
      <rPr>
        <b/>
        <sz val="10"/>
        <rFont val="Arial Narrow"/>
        <family val="2"/>
      </rPr>
      <t xml:space="preserve">absent </t>
    </r>
    <r>
      <rPr>
        <u/>
        <sz val="10"/>
        <rFont val="Arial Narrow"/>
        <family val="2"/>
      </rPr>
      <t>in</t>
    </r>
    <r>
      <rPr>
        <b/>
        <sz val="10"/>
        <rFont val="Arial Narrow"/>
        <family val="2"/>
      </rPr>
      <t xml:space="preserve"> </t>
    </r>
    <r>
      <rPr>
        <sz val="10"/>
        <rFont val="Arial Narrow"/>
        <family val="2"/>
      </rPr>
      <t>the AA, or are present only in trace amount (a few individuals)</t>
    </r>
  </si>
  <si>
    <r>
      <t>The percentage of the AA visited by humans almost daily for several weeks during an average growing season probably comprises: [</t>
    </r>
    <r>
      <rPr>
        <i/>
        <sz val="10"/>
        <rFont val="Arial Narrow"/>
        <family val="2"/>
      </rPr>
      <t>Note: Do not include visitors on trails outside of the AA unless more than half the wetland is visible from the trails and they are within 30 m of the wetland edge.   In that case, imagine the percentage of the AA that would be covered by the trail if it were placed within the AA.]</t>
    </r>
  </si>
  <si>
    <r>
      <t>The percentage of the AA almost never visited by humans during an average growing season probably comprises: [</t>
    </r>
    <r>
      <rPr>
        <i/>
        <sz val="10"/>
        <rFont val="Arial Narrow"/>
        <family val="2"/>
      </rPr>
      <t>Note: Do not include visitors on trails outside of the AA unless more than half the wetland is visible from the trails and they are within 30 m of the wetland edge.  In that case, imagine the percentage of the AA that would be covered by the trail if it were placed within the AA.</t>
    </r>
    <r>
      <rPr>
        <sz val="10"/>
        <rFont val="Arial Narrow"/>
        <family val="2"/>
      </rPr>
      <t>]</t>
    </r>
  </si>
  <si>
    <r>
      <t xml:space="preserve">Recent </t>
    </r>
    <r>
      <rPr>
        <b/>
        <sz val="10"/>
        <rFont val="Arial Narrow"/>
        <family val="2"/>
      </rPr>
      <t>evidence</t>
    </r>
    <r>
      <rPr>
        <sz val="10"/>
        <rFont val="Arial Narrow"/>
        <family val="2"/>
      </rPr>
      <t xml:space="preserve"> was found within the AA of the following potentially-sustainable consumptive uses.  Select all that apply.</t>
    </r>
  </si>
  <si>
    <t>Grazing by livestock</t>
  </si>
  <si>
    <t xml:space="preserve">Most surface water is tea-colored (from tannins, not iron bacteria or silt), and/or its pH is usually &lt;5.5. Nearby vegetation is mostly moss and/or conifers. </t>
  </si>
  <si>
    <t>Broad-leaved Deciduous Trees and Shrubs</t>
  </si>
  <si>
    <r>
      <t>Sedges (</t>
    </r>
    <r>
      <rPr>
        <i/>
        <sz val="10"/>
        <rFont val="Arial Narrow"/>
        <family val="2"/>
      </rPr>
      <t>Carex</t>
    </r>
    <r>
      <rPr>
        <sz val="10"/>
        <rFont val="Arial Narrow"/>
        <family val="2"/>
      </rPr>
      <t xml:space="preserve"> spp.) and/or cottongrass (</t>
    </r>
    <r>
      <rPr>
        <i/>
        <sz val="10"/>
        <rFont val="Arial Narrow"/>
        <family val="2"/>
      </rPr>
      <t>Eriophorum</t>
    </r>
    <r>
      <rPr>
        <sz val="10"/>
        <rFont val="Arial Narrow"/>
        <family val="2"/>
      </rPr>
      <t xml:space="preserve"> spp.</t>
    </r>
    <r>
      <rPr>
        <i/>
        <sz val="10"/>
        <rFont val="Arial Narrow"/>
        <family val="2"/>
      </rPr>
      <t>)</t>
    </r>
    <r>
      <rPr>
        <sz val="10"/>
        <rFont val="Arial Narrow"/>
        <family val="2"/>
      </rPr>
      <t xml:space="preserve"> occupy:</t>
    </r>
  </si>
  <si>
    <t>Weed Source Along Edge</t>
  </si>
  <si>
    <t>Hunting (observed or known, not assumed)</t>
  </si>
  <si>
    <t>Fishing (observed or known, not assumed)</t>
  </si>
  <si>
    <t>infrequent &amp; mainly during scattered or one-time events</t>
  </si>
  <si>
    <t>Invasive species are present in more than trace amounts, but comprise &lt;5% of herbaceous cover (or woody cover, if the invasives are woody).</t>
  </si>
  <si>
    <t>Invasive species comprise 5-20% of the herb cover.</t>
  </si>
  <si>
    <t>Invasive species comprise 20-50% of the herb cover.</t>
  </si>
  <si>
    <t>Invasive species comprise &gt;50% of the herb cover.</t>
  </si>
  <si>
    <r>
      <t xml:space="preserve">In central Alberta, common invasive graminoids include smooth brome, most bluegrasses, quackgrass, timothy, alfalfa, reed canarygrass, red fescue, spreading bentgrass.  Common invasive forbs include most thistles and sow-thistles, most clovers, sweetclover, black medick, dandelion, great plantain, hemp-nettle, lamb's-quarters, shepherd's-purse, curly dock, pennycress, wallflower, hawksbeard, tansy, chickweed, sticky-willy bedstraw, stickseed, tall buttercup. </t>
    </r>
    <r>
      <rPr>
        <b/>
        <sz val="10"/>
        <rFont val="Arial Narrow"/>
        <family val="2"/>
      </rPr>
      <t>Select first applicable choice:</t>
    </r>
  </si>
  <si>
    <t>Along the wetland-upland boundary, the percent of the upland edge (within 3 m of wetland) that is occupied by plant species that are considered invasive (see above) is:</t>
  </si>
  <si>
    <r>
      <t>In the last column, place a check mark next to any item that is likely to have caused the</t>
    </r>
    <r>
      <rPr>
        <b/>
        <i/>
        <sz val="10"/>
        <rFont val="Arial Narrow"/>
        <family val="2"/>
      </rPr>
      <t xml:space="preserve"> timing</t>
    </r>
    <r>
      <rPr>
        <i/>
        <sz val="10"/>
        <rFont val="Arial Narrow"/>
        <family val="2"/>
      </rPr>
      <t xml:space="preserve"> of water inputs (but not necessarily their volume) to shift by hours, days, or weeks, becoming either </t>
    </r>
    <r>
      <rPr>
        <b/>
        <i/>
        <sz val="10"/>
        <rFont val="Arial Narrow"/>
        <family val="2"/>
      </rPr>
      <t>more muted</t>
    </r>
    <r>
      <rPr>
        <i/>
        <sz val="10"/>
        <rFont val="Arial Narrow"/>
        <family val="2"/>
      </rPr>
      <t xml:space="preserve"> (smaller or less frequent peaks spread over longer times, more temporal homogeneity of flow or water levels) </t>
    </r>
    <r>
      <rPr>
        <b/>
        <i/>
        <sz val="10"/>
        <rFont val="Arial Narrow"/>
        <family val="2"/>
      </rPr>
      <t>or more flashy</t>
    </r>
    <r>
      <rPr>
        <i/>
        <sz val="10"/>
        <rFont val="Arial Narrow"/>
        <family val="2"/>
      </rPr>
      <t xml:space="preserve"> (larger or more frequent spikes but over shorter times).  [FR, INV, PH, STR]</t>
    </r>
  </si>
  <si>
    <t>In the last column, place a check mark next to any item -- occurring in either the wetland or its CA -- that is likely to have accelerated the inputs of contaminants or salts to the AA.  [NRv, PRv, STR]</t>
  </si>
  <si>
    <t>In the last column, place a check mark next to any item present in the CA that is likely to have elevated the load of waterborne or windborne sediment reaching the wetland from its CA.  [INV, SRv, STR]</t>
  </si>
  <si>
    <t xml:space="preserve">   flow regulation in tributaries or water level regulation in adjoining water body, or other control structure at water entry points that regulates inflow to the wetland</t>
  </si>
  <si>
    <t xml:space="preserve">   metals &amp; chemical wastes from mining, shooting ranges, snow storage areas, oil/ gas extraction, other sources</t>
  </si>
  <si>
    <t>high density of unmaintained septic, confined feedlot operation</t>
  </si>
  <si>
    <t>15-100 m</t>
  </si>
  <si>
    <t>The closest wells or water bodies that currently provide drinking water are:</t>
  </si>
  <si>
    <r>
      <rPr>
        <b/>
        <sz val="10"/>
        <rFont val="Arial Narrow"/>
        <family val="2"/>
      </rPr>
      <t>none</t>
    </r>
    <r>
      <rPr>
        <sz val="10"/>
        <rFont val="Arial Narrow"/>
        <family val="2"/>
      </rPr>
      <t>.  Beaver are absent from this part of the region.</t>
    </r>
  </si>
  <si>
    <r>
      <t>unlikely</t>
    </r>
    <r>
      <rPr>
        <sz val="10"/>
        <rFont val="Arial Narrow"/>
        <family val="2"/>
      </rPr>
      <t xml:space="preserve"> because site characteristics above are deficient, and/or this is a settled area or other area where beaver are routinely removed.  But beaver occur in this part of the region (i.e., within 25 km).</t>
    </r>
  </si>
  <si>
    <t>The percent of the AA's shrub plus ground cover that is nitrogen-fixing plants (e.g., alder, baltic (wire) rush, sweetgale, lupine, clover, other legumes) is:</t>
  </si>
  <si>
    <t>Within 100 m of the AA</t>
  </si>
  <si>
    <t>100-500 m away</t>
  </si>
  <si>
    <t>&gt;500 m away, or no information</t>
  </si>
  <si>
    <t>(a) Woody cover OR herbaceous/ moss comprise &gt;70% of the vegetated AA, AND (b) The other is absent or is mostly in a single area or distinct zone with almost no intermixing of woody and unshaded herbaceous/ moss vegetation.</t>
  </si>
  <si>
    <t>Other conditions</t>
  </si>
  <si>
    <r>
      <t xml:space="preserve">The areal cover of </t>
    </r>
    <r>
      <rPr>
        <b/>
        <sz val="10"/>
        <rFont val="Arial Narrow"/>
        <family val="2"/>
      </rPr>
      <t xml:space="preserve">forbs </t>
    </r>
    <r>
      <rPr>
        <sz val="10"/>
        <rFont val="Arial Narrow"/>
        <family val="2"/>
      </rPr>
      <t>reaches an annual maximum of:</t>
    </r>
  </si>
  <si>
    <t xml:space="preserve">Select first applicable choice. </t>
  </si>
  <si>
    <t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t>
  </si>
  <si>
    <r>
      <rPr>
        <u/>
        <sz val="10"/>
        <rFont val="Arial Narrow"/>
        <family val="2"/>
      </rPr>
      <t>Within</t>
    </r>
    <r>
      <rPr>
        <sz val="10"/>
        <rFont val="Arial Narrow"/>
        <family val="2"/>
      </rPr>
      <t xml:space="preserve"> the vegetated part of the AA, just the woody plants </t>
    </r>
    <r>
      <rPr>
        <b/>
        <sz val="10"/>
        <rFont val="Arial Narrow"/>
        <family val="2"/>
      </rPr>
      <t>taller than 3 m</t>
    </r>
    <r>
      <rPr>
        <sz val="10"/>
        <rFont val="Arial Narrow"/>
        <family val="2"/>
      </rPr>
      <t xml:space="preserve"> occupy:</t>
    </r>
  </si>
  <si>
    <t>Harvesting of native plants, native hay, or mushrooms (observed or known, not assumed)</t>
  </si>
  <si>
    <t>Extraction of surface water without noticeably affecting surface water area, depth, or persistence.</t>
  </si>
  <si>
    <t>Organic</t>
  </si>
  <si>
    <t>somewhat visible</t>
  </si>
  <si>
    <t>easily visible</t>
  </si>
  <si>
    <t>barely or not visible</t>
  </si>
  <si>
    <r>
      <t>Mark all</t>
    </r>
    <r>
      <rPr>
        <b/>
        <sz val="10"/>
        <rFont val="Arial Narrow"/>
        <family val="2"/>
      </rPr>
      <t xml:space="preserve"> </t>
    </r>
    <r>
      <rPr>
        <b/>
        <i/>
        <sz val="10"/>
        <rFont val="Arial Narrow"/>
        <family val="2"/>
      </rPr>
      <t>other</t>
    </r>
    <r>
      <rPr>
        <b/>
        <sz val="10"/>
        <rFont val="Arial Narrow"/>
        <family val="2"/>
      </rPr>
      <t xml:space="preserve"> </t>
    </r>
    <r>
      <rPr>
        <sz val="10"/>
        <rFont val="Arial Narrow"/>
        <family val="2"/>
      </rPr>
      <t xml:space="preserve">vegetated wetland types in the AA that occupy more than 1 hectare </t>
    </r>
    <r>
      <rPr>
        <b/>
        <sz val="10"/>
        <rFont val="Arial Narrow"/>
        <family val="2"/>
      </rPr>
      <t>or</t>
    </r>
    <r>
      <rPr>
        <sz val="10"/>
        <rFont val="Arial Narrow"/>
        <family val="2"/>
      </rPr>
      <t xml:space="preserve"> more than 1% of the vegetated AA.  Do not mark the predominant type again.  If AA is larger than 1 ha, see preliminary imagery-based answer provided by AESRD, but field-verify.</t>
    </r>
  </si>
  <si>
    <t>One or more of the rare fish species was detected within the AA.</t>
  </si>
  <si>
    <t>One or more of the rare amphibian species was detected within the AA.</t>
  </si>
  <si>
    <t>One or more of the rare waterbird species was detected within the AA.</t>
  </si>
  <si>
    <t>One or more of the rare songbird or mammal species was detected within the AA.</t>
  </si>
  <si>
    <t>None of the above, or no data.</t>
  </si>
  <si>
    <r>
      <t>Little or no (&lt;5%) </t>
    </r>
    <r>
      <rPr>
        <i/>
        <sz val="10"/>
        <color indexed="63"/>
        <rFont val="Arial Narrow"/>
        <family val="2"/>
      </rPr>
      <t>bare ground </t>
    </r>
    <r>
      <rPr>
        <sz val="10"/>
        <color indexed="63"/>
        <rFont val="Arial Narrow"/>
        <family val="2"/>
      </rPr>
      <t>is visible between erect stems or under canopy anywhere in the vegetated AA. Ground is extensively blanketed by dense thatch, moss, lichens, graminoids with great stem densities, or plants with ground-hugging foliage. </t>
    </r>
  </si>
  <si>
    <t>Slightly bare ground (5-20% bare between plants) is visible in places, but those areas comprise less than 5% of the unflooded parts of the AA.</t>
  </si>
  <si>
    <r>
      <t xml:space="preserve">Much bare ground (20-50% bare between plants) </t>
    </r>
    <r>
      <rPr>
        <sz val="10"/>
        <color indexed="63"/>
        <rFont val="Arial Narrow"/>
        <family val="2"/>
      </rPr>
      <t xml:space="preserve">is visible in places, and those areas comprise </t>
    </r>
    <r>
      <rPr>
        <b/>
        <sz val="10"/>
        <color indexed="63"/>
        <rFont val="Arial Narrow"/>
        <family val="2"/>
      </rPr>
      <t>more than</t>
    </r>
    <r>
      <rPr>
        <sz val="10"/>
        <color indexed="63"/>
        <rFont val="Arial Narrow"/>
        <family val="2"/>
      </rPr>
      <t xml:space="preserve"> 5% of the unflooded parts of the AA. </t>
    </r>
  </si>
  <si>
    <t>Not applicable.  Surface water (either open or obscured by emergent plants) covers all of the AA all the time.</t>
  </si>
  <si>
    <t>Waterbird Habitat</t>
  </si>
  <si>
    <t>The capacity to support or contribute to an abundance or diversity of waterbirds that nest or migrate through the region.</t>
  </si>
  <si>
    <t>Waterbird Habitat (WB)</t>
  </si>
  <si>
    <t>Fish Habitat</t>
  </si>
  <si>
    <t>Interspersion of woody cover with food-rich openings of herbaceous vegetation provides greater feeding opportunities for many songbirds and mammals, and is a natural phenomenon caused by windthrow and other factors in forested wetlands. Excessive gap frequencies and areas (i.e., forest fragmentation) and lack of corridors that connect forested wetlands with upland forests can be detrimental to some species if the remaining forested patches are very small.</t>
  </si>
  <si>
    <r>
      <t xml:space="preserve">bumps into tree trunks and/or shrub stems and follows a fairly </t>
    </r>
    <r>
      <rPr>
        <b/>
        <sz val="10"/>
        <rFont val="Arial Narrow"/>
        <family val="2"/>
      </rPr>
      <t>indirect</t>
    </r>
    <r>
      <rPr>
        <sz val="10"/>
        <rFont val="Arial Narrow"/>
        <family val="2"/>
      </rPr>
      <t xml:space="preserve"> path from entrance to exit (meandering, multi-branched, or braided)</t>
    </r>
  </si>
  <si>
    <t xml:space="preserve">High nest predation occurs on the edges of residential areas because jays and ravens are more abundant there (Saab 1999), as well as in clearcut openings, edges, and interior forest, where squirrels are a common nest predator [Desanto &amp; Wilson 2001]. Human settlements are accompanied by an increase in refuse, whether it be illegally dumped trash, recklessly contained household garbage, or well-intended compost piles. These serve as a food for ravens that prey extensively on native songbirds, frogs, and other wildlife (Chace &amp; Walsh 2006). Populations of predatory crows and ravens have been shown to increase up to at least 0.5 mile from new urban areas (Oneal &amp; Rotenberry 2009). </t>
  </si>
  <si>
    <t>Invasive plants that can reduce wetland plant diversity are most prevalent where wetlands or their tributaries are adjoined by agricultural lands and other nutrient sources rather than by forest or other perennial cover (Hychka 2007).</t>
  </si>
  <si>
    <t xml:space="preserve">Non-native plants that can reduce native plant richness tend to be more prevalent closer to population centers because many have been introduced intentionally or unintentionally by humans (Hayden Reichard et al. 2001). </t>
  </si>
  <si>
    <t>No evidence of any of the above</t>
  </si>
  <si>
    <t xml:space="preserve">Large habitat patches usually support more plant species. Depending on their shape, forest patches sized about 10 acres or larger may provide habitat capable of sustaining a diverse array of bryophyte functional groups (Baldwin &amp; Bradfield 2007). A leveling off of the plant species-area accumulation curve in Alberta forests appeared at a forest patch size of about 27 acres (Gignac &amp; Dale 2007). Blocks of forest smaller than about 9 acres may be less capable of supporting the expected array of mosses in British Columbia (Baldwin &amp; Bradfield 2007), although a study in Washington found that forest patches as small as 2.5 acres, if not narrow, may be large enough to have a microclimate supportive of most plants and animals (Heithecker &amp; Halperin 2007). </t>
  </si>
  <si>
    <t>Perimeter-Area Ratio</t>
  </si>
  <si>
    <t>During summer months, grizzly bears select habitat in southern Alberta that is near wetlands, lakes, and ponds (Chetkiewicz &amp; Boyce (2009). Many other wetland-dependent birds and mammals select wetlands that are close to other wetlands, to which their offspring can more readily disperse with less risk of being preyed upon.</t>
  </si>
  <si>
    <t>Cooke, S. E. and E. E. Prepas. 1998. Stream phosphorus and nitrogen export from agricultural and forested watersheds on the Boreal Plain. Canadian Journal of Fisheries and Aquatic Sciences 55:2292-2299.</t>
  </si>
  <si>
    <t>Houlahan, J. E. and C. S. Findlay. 2004. Estimating the ‘critical’ distance at which adjacent land-use degrades wetland water and sediment quality. Landscape Ecology 19:677-690.</t>
  </si>
  <si>
    <t>Jones, K. B., A. C. Neale, M. S. Nash, R. D. Van Remortel, J. D. Wickham, K. H. Riitters, and R. V. O'Neill. 2001. Predicting nutrient and sediment loadings to streams from landscape metrics: a multiple watershed study from the United States Mid-Atlantic Region. Landscape Ecology 16:301-312.</t>
  </si>
  <si>
    <t>Anderson, K. A. and J. A. Downing. 2006. Dry and wet atmospheric deposition of nitrogen, phosphorus and silicon in an agricultural region. Water Air and Soil Pollution 176:351-374.</t>
  </si>
  <si>
    <t>Poor, C. J. and J. J. McDonnell. 2007. The effects of land use on stream nitrate dynamics. Journal of Hydrology 332:54-68.</t>
  </si>
  <si>
    <t>Wetland Types - Subordinate</t>
  </si>
  <si>
    <r>
      <t xml:space="preserve">&gt;99% of the AA never contains surface water, and AA is not intersected by channels that have flow, not even for a few days per year. </t>
    </r>
    <r>
      <rPr>
        <b/>
        <sz val="10"/>
        <rFont val="Arial Narrow"/>
        <family val="2"/>
      </rPr>
      <t>SKIP to F26.</t>
    </r>
  </si>
  <si>
    <r>
      <t>At mid-day</t>
    </r>
    <r>
      <rPr>
        <sz val="10"/>
        <rFont val="Arial Narrow"/>
        <family val="2"/>
      </rPr>
      <t xml:space="preserve"> during the warmest time of year, the area of surface water </t>
    </r>
    <r>
      <rPr>
        <u/>
        <sz val="10"/>
        <rFont val="Arial Narrow"/>
        <family val="2"/>
      </rPr>
      <t>within</t>
    </r>
    <r>
      <rPr>
        <sz val="10"/>
        <rFont val="Arial Narrow"/>
        <family val="2"/>
      </rPr>
      <t xml:space="preserve"> the AA that is shaded (by emergent or woody vegetation, incised channels, streambanks, or other features also present</t>
    </r>
    <r>
      <rPr>
        <u/>
        <sz val="10"/>
        <rFont val="Arial Narrow"/>
        <family val="2"/>
      </rPr>
      <t xml:space="preserve"> within</t>
    </r>
    <r>
      <rPr>
        <sz val="10"/>
        <rFont val="Arial Narrow"/>
        <family val="2"/>
      </rPr>
      <t xml:space="preserve"> the AA) is:</t>
    </r>
  </si>
  <si>
    <t>&lt;5% of the water is shaded, or no surface water is present then.</t>
  </si>
  <si>
    <r>
      <t xml:space="preserve">If the AA meets the following conditions, it is a fringe wetland: (a) Open water that adjoins the vegetated wetland in a lake, stream, or river during annual low water condition is much wider than the vegetated wetland, </t>
    </r>
    <r>
      <rPr>
        <u/>
        <sz val="10"/>
        <rFont val="Arial Narrow"/>
        <family val="2"/>
      </rPr>
      <t>and</t>
    </r>
    <r>
      <rPr>
        <sz val="10"/>
        <rFont val="Arial Narrow"/>
        <family val="2"/>
      </rPr>
      <t xml:space="preserve"> if the AA adjoins a lake (b) the maximum dimension of the lake is greater than 1 km. If true, enter "1" and continue.</t>
    </r>
  </si>
  <si>
    <r>
      <t>The percentage of the AA that is covered by surface water</t>
    </r>
    <r>
      <rPr>
        <b/>
        <u/>
        <sz val="10"/>
        <rFont val="Arial Narrow"/>
        <family val="2"/>
      </rPr>
      <t xml:space="preserve"> only</t>
    </r>
    <r>
      <rPr>
        <sz val="10"/>
        <rFont val="Arial Narrow"/>
        <family val="2"/>
      </rPr>
      <t xml:space="preserve"> during the wettest time of year (and for &gt;2 consecutive days during that time) is:</t>
    </r>
  </si>
  <si>
    <r>
      <t xml:space="preserve">The annual fluctuation in surface water level within </t>
    </r>
    <r>
      <rPr>
        <b/>
        <sz val="10"/>
        <rFont val="Arial Narrow"/>
        <family val="2"/>
      </rPr>
      <t>most</t>
    </r>
    <r>
      <rPr>
        <sz val="10"/>
        <rFont val="Arial Narrow"/>
        <family val="2"/>
      </rPr>
      <t xml:space="preserve"> of the parts of the AA that contain surface water is:</t>
    </r>
  </si>
  <si>
    <r>
      <t xml:space="preserve">During most of the time when water is present, its depth in </t>
    </r>
    <r>
      <rPr>
        <b/>
        <sz val="10"/>
        <rFont val="Arial Narrow"/>
        <family val="2"/>
      </rPr>
      <t>most</t>
    </r>
    <r>
      <rPr>
        <sz val="10"/>
        <rFont val="Arial Narrow"/>
        <family val="2"/>
      </rPr>
      <t xml:space="preserve"> of the area is: [</t>
    </r>
    <r>
      <rPr>
        <i/>
        <sz val="10"/>
        <rFont val="Arial Narrow"/>
        <family val="2"/>
      </rPr>
      <t>Note: This is not asking for the maximum depth.</t>
    </r>
    <r>
      <rPr>
        <sz val="10"/>
        <rFont val="Arial Narrow"/>
        <family val="2"/>
      </rPr>
      <t>]</t>
    </r>
  </si>
  <si>
    <t>Depth Classes - Evenness of Proportions</t>
  </si>
  <si>
    <r>
      <t>At the driest time of year (or lowest water level), the average width of vegetated area</t>
    </r>
    <r>
      <rPr>
        <u/>
        <sz val="10"/>
        <rFont val="Arial Narrow"/>
        <family val="2"/>
      </rPr>
      <t xml:space="preserve"> </t>
    </r>
    <r>
      <rPr>
        <b/>
        <u/>
        <sz val="10"/>
        <rFont val="Arial Narrow"/>
        <family val="2"/>
      </rPr>
      <t xml:space="preserve">in </t>
    </r>
    <r>
      <rPr>
        <u/>
        <sz val="10"/>
        <rFont val="Arial Narrow"/>
        <family val="2"/>
      </rPr>
      <t>the AA</t>
    </r>
    <r>
      <rPr>
        <sz val="10"/>
        <rFont val="Arial Narrow"/>
        <family val="2"/>
      </rPr>
      <t xml:space="preserve"> that separates adjoining uplands from open water within the AA is:</t>
    </r>
  </si>
  <si>
    <t>Extensive</t>
  </si>
  <si>
    <r>
      <t xml:space="preserve">The percentage of the AA's surface water that is </t>
    </r>
    <r>
      <rPr>
        <b/>
        <sz val="10"/>
        <rFont val="Arial Narrow"/>
        <family val="2"/>
      </rPr>
      <t>ponded</t>
    </r>
    <r>
      <rPr>
        <sz val="10"/>
        <rFont val="Arial Narrow"/>
        <family val="2"/>
      </rPr>
      <t xml:space="preserve"> (stagnant, or flows so slowly that fine sediment is not held in suspension) during most of the time it is present, and which is </t>
    </r>
    <r>
      <rPr>
        <b/>
        <sz val="10"/>
        <rFont val="Arial Narrow"/>
        <family val="2"/>
      </rPr>
      <t>either open or shaded by emergent vegetation</t>
    </r>
    <r>
      <rPr>
        <sz val="10"/>
        <rFont val="Arial Narrow"/>
        <family val="2"/>
      </rPr>
      <t xml:space="preserve"> is:</t>
    </r>
  </si>
  <si>
    <t>1-5% of the water, and mainly in small pools.  The rest is flowing.</t>
  </si>
  <si>
    <t>1-5% of the water, and mainly in a single large pool or pond.  The rest is flowing.</t>
  </si>
  <si>
    <t>5-30% of the water</t>
  </si>
  <si>
    <t>30-70% of the water</t>
  </si>
  <si>
    <t>70-95% of the water</t>
  </si>
  <si>
    <r>
      <t xml:space="preserve">&gt;95% of the water.  Little or no visibly flowing water </t>
    </r>
    <r>
      <rPr>
        <b/>
        <sz val="10"/>
        <rFont val="Arial Narrow"/>
        <family val="2"/>
      </rPr>
      <t>within</t>
    </r>
    <r>
      <rPr>
        <sz val="10"/>
        <rFont val="Arial Narrow"/>
        <family val="2"/>
      </rPr>
      <t xml:space="preserve"> the AA.</t>
    </r>
  </si>
  <si>
    <t>The AA contains (or is part of) an island or beaver lodge within a lake, pond, or river, and is isolated from the shore by water depths &gt;2 m on all sides during an average June.  The island may be solid, or it may be a floating vegetation mat suitable for nesting waterbirds.</t>
  </si>
  <si>
    <t>Channel Connection &amp; Outflow Duration</t>
  </si>
  <si>
    <t>mostly passes through a pipe, culvert, narrowly breached dike, berm, beaver dam, or other partial obstruction (other than natural topography) that does not appear to drain the wetland artificially during most of the growing season.</t>
  </si>
  <si>
    <t>leaves through natural exits (channels or diffuse outflow), not mainly through artificial or temporary features</t>
  </si>
  <si>
    <t>exported more quickly than usual due to ditches or pipes within the AA (or connected to its outlet or within 10 m of the AA's edge) which drain the wetland artificially, or water is pumped out of the AA.</t>
  </si>
  <si>
    <t>Interspersion of Herbaceous and Woody Cover</t>
  </si>
  <si>
    <r>
      <t xml:space="preserve">Consider the parts of the AA that lack surface water at the driest time of the growing season.  </t>
    </r>
    <r>
      <rPr>
        <b/>
        <sz val="10"/>
        <rFont val="Arial Narrow"/>
        <family val="2"/>
      </rPr>
      <t>Viewed from directly above the ground layer</t>
    </r>
    <r>
      <rPr>
        <sz val="10"/>
        <rFont val="Arial Narrow"/>
        <family val="2"/>
      </rPr>
      <t>, the predominant condition in those areas at that time is:</t>
    </r>
  </si>
  <si>
    <t>During any 2 consecutive weeks of the growing season, the extent of mudflats, bare unshaded saturated areas not covered by thatch, and unshaded non-acidic waters shallower than 6 cm (see definition in column E) is:</t>
  </si>
  <si>
    <t>Herbaceous - Percent of Vegetated Wetland</t>
  </si>
  <si>
    <t>5-25% of the vegetated AA.</t>
  </si>
  <si>
    <t>25-50% of the vegetated AA.</t>
  </si>
  <si>
    <t>50-95% of the vegetated AA.</t>
  </si>
  <si>
    <t>&gt;95% of the vegetated AA.</t>
  </si>
  <si>
    <t>Invasive Plant Cover</t>
  </si>
  <si>
    <t>bare or nearly bare pervious surface or managed vegetation, e.g., lawn, annual crops, mostly-unvegetated clearcut, landslide, unpaved road, dike.</t>
  </si>
  <si>
    <t xml:space="preserve">Cliffs, Steep Banks, or Salt Lick </t>
  </si>
  <si>
    <t>In the AA or within 100 m, there is a known salt lick, or elevated terrestrial features such as cliffs, talus slopes, stream banks, or excavated pits (but not riprap) that extend at least 2 m nearly vertically, are unvegetated, and potentially contain crevices or other substrate suitable for nesting or den areas.  Enter 1 (yes) or 0 (no).</t>
  </si>
  <si>
    <r>
      <t xml:space="preserve">From the best vantage point on public roads, public parking lots, public buildings, or well-defined public trails that intersect, adjoin, or are within 100 m of the wetland, </t>
    </r>
    <r>
      <rPr>
        <b/>
        <sz val="10"/>
        <rFont val="Arial Narrow"/>
        <family val="2"/>
      </rPr>
      <t xml:space="preserve">some part </t>
    </r>
    <r>
      <rPr>
        <sz val="10"/>
        <rFont val="Arial Narrow"/>
        <family val="2"/>
      </rPr>
      <t>of the wetland is (select best case):</t>
    </r>
  </si>
  <si>
    <r>
      <t>publicly owned</t>
    </r>
    <r>
      <rPr>
        <b/>
        <sz val="10"/>
        <rFont val="Arial Narrow"/>
        <family val="2"/>
      </rPr>
      <t xml:space="preserve"> conservation</t>
    </r>
    <r>
      <rPr>
        <sz val="10"/>
        <rFont val="Arial Narrow"/>
        <family val="2"/>
      </rPr>
      <t xml:space="preserve"> lands that exclude new timber harvest, roads, mineral extraction, and intensive summer recreation (e.g., off-road vehicles).  Includes most Protected Lands.</t>
    </r>
  </si>
  <si>
    <r>
      <t xml:space="preserve">publicly owned </t>
    </r>
    <r>
      <rPr>
        <b/>
        <sz val="10"/>
        <rFont val="Arial Narrow"/>
        <family val="2"/>
      </rPr>
      <t>resource use</t>
    </r>
    <r>
      <rPr>
        <sz val="10"/>
        <rFont val="Arial Narrow"/>
        <family val="2"/>
      </rPr>
      <t xml:space="preserve"> lands (allowed activities such as timber harvest, mining, or intensive recreation), or unknown.  Includes most Crown Reservations/Notations.</t>
    </r>
  </si>
  <si>
    <t>Based on measurement from a surface water area larger than .01 hectare, the AA's surface water is mostly:</t>
  </si>
  <si>
    <t>Brackish or saline (conductance of &gt;25 mS/cm, or &gt;5000 ppm TDS). Or plants that indicate saline conditions comprise &gt;20% of ground cover.  Trees and shrubs mostly absent.  Salt crust obvious around the perimeter and on flats.</t>
  </si>
  <si>
    <t>Slightly brackish (conductance of 2.5- 25 mS/cm, or 500 - 5000 ppm TDS).  Or plants that indicate saline conditions comprise 1-20% of ground cover.  Salt crust may or may not be present along perimeter.</t>
  </si>
  <si>
    <t>Fresh (conductance of &lt; 2.5 mS/cm, or &lt;500 ppm TDS). Plants that indicate saline conditions are sparse or absent. No salt crust along perimeter.</t>
  </si>
  <si>
    <t xml:space="preserve">Unknown condition (was not measured because surface water absent or insufficient, or measurement conflicted with plant indicators). </t>
  </si>
  <si>
    <t>Plants or Animals of Conservation Concern</t>
  </si>
  <si>
    <t>Water Quality Problem Area Located Upslope</t>
  </si>
  <si>
    <r>
      <t xml:space="preserve">In ducks-eye aerial view, the percentage of the ponded water that is </t>
    </r>
    <r>
      <rPr>
        <b/>
        <sz val="10"/>
        <rFont val="Arial Narrow"/>
        <family val="2"/>
      </rPr>
      <t>open</t>
    </r>
    <r>
      <rPr>
        <sz val="10"/>
        <rFont val="Arial Narrow"/>
        <family val="2"/>
      </rPr>
      <t xml:space="preserve"> (lacking emergent vegetation during most of the growing season, and unhidden by a forest or shrub canopy) is:</t>
    </r>
  </si>
  <si>
    <t>OpenPct1</t>
  </si>
  <si>
    <t>AllWoody1</t>
  </si>
  <si>
    <t>WclassSub7</t>
  </si>
  <si>
    <t>WclassDom7</t>
  </si>
  <si>
    <t>Salin3</t>
  </si>
  <si>
    <t>Shade6</t>
  </si>
  <si>
    <t>Within the part of the AA that lacks persistent surface water, the cover of moss is:</t>
  </si>
  <si>
    <t>&lt;5% of the ground cover</t>
  </si>
  <si>
    <t>5-25% of the ground cover</t>
  </si>
  <si>
    <t>25-50% of the ground cover</t>
  </si>
  <si>
    <t>50-95% of the ground cover</t>
  </si>
  <si>
    <t>&gt;95% of the ground cover</t>
  </si>
  <si>
    <t>Moss6</t>
  </si>
  <si>
    <t>Fringe10</t>
  </si>
  <si>
    <t>Toxic8</t>
  </si>
  <si>
    <t>Stain8</t>
  </si>
  <si>
    <t>WQprob8</t>
  </si>
  <si>
    <t>Beaver Probability</t>
  </si>
  <si>
    <t>Beaver11</t>
  </si>
  <si>
    <t xml:space="preserve">Dominance of Most Abundant Herbaceous Species </t>
  </si>
  <si>
    <t xml:space="preserve">Dominance of Most Abundant Shrub Species </t>
  </si>
  <si>
    <t>Human Use &amp; Recognition (HU)</t>
  </si>
  <si>
    <r>
      <rPr>
        <b/>
        <sz val="10"/>
        <rFont val="Arial Narrow"/>
        <family val="2"/>
      </rPr>
      <t xml:space="preserve">Tall </t>
    </r>
    <r>
      <rPr>
        <sz val="10"/>
        <rFont val="Arial Narrow"/>
        <family val="2"/>
      </rPr>
      <t>Woody Canopy- % of the Vegetated AA</t>
    </r>
  </si>
  <si>
    <t>Total Woody Cover -% of the Vegetated AA</t>
  </si>
  <si>
    <t>WetArea</t>
  </si>
  <si>
    <t>Wetland Vegetated Area</t>
  </si>
  <si>
    <t>WetVegArea</t>
  </si>
  <si>
    <t>WetPerim2Area</t>
  </si>
  <si>
    <t>Wetland Density Within 1km</t>
  </si>
  <si>
    <t>Wetland Density Within 1km (excluding those with no open water)</t>
  </si>
  <si>
    <t>Wetland Density Within 1km (excluding bogs)</t>
  </si>
  <si>
    <t>WetDens1k</t>
  </si>
  <si>
    <t>WetDens1k_NoBog</t>
  </si>
  <si>
    <t>Growing Degree Days</t>
  </si>
  <si>
    <t>PPET</t>
  </si>
  <si>
    <t>Subzero Days</t>
  </si>
  <si>
    <t>WindWin</t>
  </si>
  <si>
    <t>WindSumm</t>
  </si>
  <si>
    <t>L/G Index (Residence Time)</t>
  </si>
  <si>
    <t>LGIndex</t>
  </si>
  <si>
    <t>Water Permanence Probability</t>
  </si>
  <si>
    <t>WatProb</t>
  </si>
  <si>
    <t>Spring</t>
  </si>
  <si>
    <t>Groundwater Discharge Area or Spring</t>
  </si>
  <si>
    <t>GWDspring</t>
  </si>
  <si>
    <t>VegCon1k</t>
  </si>
  <si>
    <t>Riparian or Floodway Location</t>
  </si>
  <si>
    <t>MixWaterVeg</t>
  </si>
  <si>
    <t>AquifVul</t>
  </si>
  <si>
    <t>SoilOrgPct</t>
  </si>
  <si>
    <t>ElevPctileHUC8</t>
  </si>
  <si>
    <t>Surface Water Quality Risk Index</t>
  </si>
  <si>
    <t>WQrisk</t>
  </si>
  <si>
    <t xml:space="preserve">Aquifer Vulnerability Index </t>
  </si>
  <si>
    <t>Fringe</t>
  </si>
  <si>
    <t>Distance to Nearest Well-settled Area</t>
  </si>
  <si>
    <t>DistPop</t>
  </si>
  <si>
    <t>Distance to Nearest Road (from Wetland Edge)</t>
  </si>
  <si>
    <t>Road Density in 1km Buffer</t>
  </si>
  <si>
    <t>FishPres</t>
  </si>
  <si>
    <t>Key Wildlife Biodiversity Zone</t>
  </si>
  <si>
    <t>Important Bird Area</t>
  </si>
  <si>
    <t xml:space="preserve">Ecological Reserve or Natural Area </t>
  </si>
  <si>
    <t>The effectiveness for storing runoff or delaying the downgradient movement of surface water for long or short periods.</t>
  </si>
  <si>
    <t>Sensitive Raptor Nesting Area</t>
  </si>
  <si>
    <t>Trumpeter Swan Area</t>
  </si>
  <si>
    <t>Waterfowl Breeding Density</t>
  </si>
  <si>
    <t>DuckDens</t>
  </si>
  <si>
    <t>Waterfowl Staging Wetland</t>
  </si>
  <si>
    <t xml:space="preserve">Shorebird Staging Wetland </t>
  </si>
  <si>
    <t>Within Range of a Sensitive Amphibian</t>
  </si>
  <si>
    <t>Access to Trail Network</t>
  </si>
  <si>
    <t>Carbon from marshes and fens is often more biodegradable (and thus more exportable and valuable to food chains over a wider area) than bog and forested wetland carbon (D’Amore et al. 2010). The same may be true of riparian shrub/forest wetlands, and their connectivity to other water bodies is usually greater, potentially leading to greater export.  Bogs usually have the largest amounts of carbon in storage (as peat), and also tend to fix carbon more readily than more fertile wetlands (fens) (Glenn et al. 2006), but connectivity to other water bodies is generally less than other wetland types.</t>
  </si>
  <si>
    <t>FH</t>
  </si>
  <si>
    <t>Wetland Class Richness Within 1km</t>
  </si>
  <si>
    <t>ClassRichIn</t>
  </si>
  <si>
    <t>MixHerbWood</t>
  </si>
  <si>
    <t>UndevOpenL1k</t>
  </si>
  <si>
    <t>NatCov1k</t>
  </si>
  <si>
    <t>PerimNatCov</t>
  </si>
  <si>
    <t>RdDens1k</t>
  </si>
  <si>
    <t>Sub0Days</t>
  </si>
  <si>
    <t>BioDivZone</t>
  </si>
  <si>
    <t>Reserve</t>
  </si>
  <si>
    <t>RaptorNest</t>
  </si>
  <si>
    <t>RareBirdUse</t>
  </si>
  <si>
    <t>TrumSwan</t>
  </si>
  <si>
    <t>WBstaging</t>
  </si>
  <si>
    <t>SBstaging</t>
  </si>
  <si>
    <t>SensAm</t>
  </si>
  <si>
    <t>Trail</t>
  </si>
  <si>
    <t>Lake</t>
  </si>
  <si>
    <t>RipFloodpl</t>
  </si>
  <si>
    <t>GrowDD</t>
  </si>
  <si>
    <t>IBirdArea</t>
  </si>
  <si>
    <t>Climate Moisture Surplus (P-PET)</t>
  </si>
  <si>
    <t>None of the above, or no information for any.</t>
  </si>
  <si>
    <t>F67</t>
  </si>
  <si>
    <t>Mark ALL of the following that apply to this AA:</t>
  </si>
  <si>
    <t>Prior Investment in the AA</t>
  </si>
  <si>
    <t>&lt;1% of their catchment</t>
  </si>
  <si>
    <t>1 to 10% of their catchment</t>
  </si>
  <si>
    <t>10 to 100%  of their catchment</t>
  </si>
  <si>
    <t>F68</t>
  </si>
  <si>
    <t>F69</t>
  </si>
  <si>
    <t>Regulatory Investment: The AA is all or part of a mitigation site used explicitly to offset impacts elsewhere</t>
  </si>
  <si>
    <t>Non-regulatory Investment: The AA is part of or contiguous to a wetland on which public or private organizational funds were spent to preserve, create, restore, enhance, the wetland (excluding mitigation wetlands)</t>
  </si>
  <si>
    <t>Sustained Scientific Use: Plants, animals, or water in the AA have been monitored for &gt;2 years, unrelated to any regulatory requirements, and data are available to the public.  Or the AA is part of an area that has been designated by an agency or institution as a benchmark, reference, or status-trends monitoring area.</t>
  </si>
  <si>
    <t>Sediment deposition can be predicted largely by the ratio of the volume of a storage basin to the volume of runoff entering the basin (Heinemann 1981).</t>
  </si>
  <si>
    <t>LGindex</t>
  </si>
  <si>
    <r>
      <t xml:space="preserve">View the approximate boundaries of the wetland's catchment (CA) as shown in the map AESRD provides in response to your data request.  Then adjust those boundaries if necessary based on your field observations of the surrounding terrain, and/or by using procedures described in the ABWRET Manual. </t>
    </r>
    <r>
      <rPr>
        <b/>
        <sz val="10"/>
        <rFont val="Arial Narrow"/>
        <family val="2"/>
      </rPr>
      <t>Relative to the extent of this catchment (but excluding the area of the AA), this AA and any bordering waters together comprise</t>
    </r>
    <r>
      <rPr>
        <sz val="10"/>
        <rFont val="Arial Narrow"/>
        <family val="2"/>
      </rPr>
      <t xml:space="preserve"> (select ONE):</t>
    </r>
  </si>
  <si>
    <t>Function Indicators from Estimator</t>
  </si>
  <si>
    <t>Vegetation Connectivity to Other Wetlands within 1 km</t>
  </si>
  <si>
    <t>Excessive suspended sediment can interfere with the respiration and reproduction of larval amphibians (Knutson et al. 2004). High levels of some substances from livestock use or wastewater effluent can harm amphibian populations and reduce amphibian diversity, e.g., Schmutzer et al. 2008).</t>
  </si>
  <si>
    <t>Corridors can be important to ducks that must walk overland with their young to find other wetlands in which to feed or molt.</t>
  </si>
  <si>
    <t>In boreal Alberta, both breeding and molting waterfowl densities increase with lake productivity, even in eutrophic and hypereutrophic lakes (Epners et al. 2010).</t>
  </si>
  <si>
    <t>WetDens1k_OW</t>
  </si>
  <si>
    <t xml:space="preserve">Larger wetlands are used disproportionately by some species of nesting waterbirds. Smaller identical wetlands of equal cumulative area probably support lower numbers and cumulative richness of waterbirds, unless they are close together and connected with corridors of undeveloped land. </t>
  </si>
  <si>
    <r>
      <t>Bosschieter, L. and P. W. Goedhart. 2005. Gap crossing decisions by reed warblers (</t>
    </r>
    <r>
      <rPr>
        <i/>
        <sz val="10"/>
        <rFont val="Arial Narrow"/>
        <family val="2"/>
        <scheme val="minor"/>
      </rPr>
      <t>Acrocephalus scirpaceus</t>
    </r>
    <r>
      <rPr>
        <sz val="10"/>
        <rFont val="Arial Narrow"/>
        <family val="2"/>
        <scheme val="minor"/>
      </rPr>
      <t>) in agricultural landscapes. Landscape Ecology 20:455–468.</t>
    </r>
  </si>
  <si>
    <t xml:space="preserve">Wetlands that are more geographically isolated from each other are likely to have lower plant species richness than those close together (Nekola 1999). Although urbanization typically reduces the diversity of plants in the forest understory, plant community composition in a Wisconsin study was better explained by the amount of surrounding forest than by environmental factors within the studied forests (Rogers et al. 2009). In Ontario, forested wetlands with the most plant species were those with the largest areas and the largest proportion of upland forest within ~ 800 ft of the wetlands (Houlahan et al. 2006). </t>
  </si>
  <si>
    <t>Fish Habitat (FH)</t>
  </si>
  <si>
    <t>Water Cooling</t>
  </si>
  <si>
    <t>The effectiveness for maintaining or reducing temperature of downgradient waters.</t>
  </si>
  <si>
    <t>Indicator Abbreviation or Formula</t>
  </si>
  <si>
    <t>Categorical Choices</t>
  </si>
  <si>
    <t>Function Indicators from Onsite Visit</t>
  </si>
  <si>
    <t>Normalised Score</t>
  </si>
  <si>
    <t>Soil Texture (macroscale)</t>
  </si>
  <si>
    <t>Organic Soil Content (macroscale)</t>
  </si>
  <si>
    <t>WetPctCA</t>
  </si>
  <si>
    <t>Wetlands &lt;10 hectares:</t>
  </si>
  <si>
    <t>Wetlands &gt;10 hectares:</t>
  </si>
  <si>
    <t>Infiltration Capacity of Wetland [INFILT]</t>
  </si>
  <si>
    <t>Surface Storage Capacity [STORE]</t>
  </si>
  <si>
    <t>Flow Resistance &amp; Delay [RESIST]</t>
  </si>
  <si>
    <t>Shading [SHADE]</t>
  </si>
  <si>
    <t>Water Heating [SOLAR]</t>
  </si>
  <si>
    <t>Groundwater Input [GWin]</t>
  </si>
  <si>
    <t>Export [OUT]</t>
  </si>
  <si>
    <t>WetPctCA2</t>
  </si>
  <si>
    <t>SoilAlt2</t>
  </si>
  <si>
    <t>Entrainment and Storage [TRAP]</t>
  </si>
  <si>
    <t>SoilAlt3</t>
  </si>
  <si>
    <t>Adsorption [ADSORB]</t>
  </si>
  <si>
    <t>Sedimentation [SEDTRAP]</t>
  </si>
  <si>
    <t>OpenWpct3</t>
  </si>
  <si>
    <t>Denitrification: Temperature Control [Temp]</t>
  </si>
  <si>
    <t>Nitrification- Denitrification:  Redox [Redox]</t>
  </si>
  <si>
    <t>Processing Time [Delay]</t>
  </si>
  <si>
    <t>Heinemann, H. G. 1981. A new sediment trap efficency curve for small reservoirs. Water Resources Bulletin 17:825-830.</t>
  </si>
  <si>
    <t>Alberti, M., D. Booth, K. Hill, B. Coburn, C. Avolio, S. Coe, and D. Spirandelli. 2007. The impact of urban patterns on aquatic ecosystems: An empirical analysis in Puget Lowland sub-basins. Landscape and Urban Planning 80:345-361.</t>
  </si>
  <si>
    <t>Organic Matter Stock [Cstock]</t>
  </si>
  <si>
    <t>Decomposition and Mobility [LabileC]</t>
  </si>
  <si>
    <t>Nitrogen Removal</t>
  </si>
  <si>
    <t>Sediment Retention</t>
  </si>
  <si>
    <t>Organic Nutrient Export</t>
  </si>
  <si>
    <t>Fluctu6</t>
  </si>
  <si>
    <t>Export [OutC]</t>
  </si>
  <si>
    <t>Toxic10</t>
  </si>
  <si>
    <t>Salin10</t>
  </si>
  <si>
    <t>WQprob10</t>
  </si>
  <si>
    <t>Productivity [CfixF]</t>
  </si>
  <si>
    <t>Water Permanence [Water]</t>
  </si>
  <si>
    <t>Habitat Structure [HabStrucF]</t>
  </si>
  <si>
    <t>Moss8</t>
  </si>
  <si>
    <t>VegIntersp8</t>
  </si>
  <si>
    <t>Aquatic Invertebrate Habitat</t>
  </si>
  <si>
    <t>Fluctu8</t>
  </si>
  <si>
    <t>Hydrologic Environment [WaterI]</t>
  </si>
  <si>
    <t>Aquatic Habitat Structure [HabStrucI]</t>
  </si>
  <si>
    <t>Primary Productivity [CfixI]</t>
  </si>
  <si>
    <t>Salin11</t>
  </si>
  <si>
    <t>WQprob11</t>
  </si>
  <si>
    <t>Stained11</t>
  </si>
  <si>
    <t>Aquatic Habitat Structure [HabStrucA]</t>
  </si>
  <si>
    <t>Aquatic Productivity [CfixA]</t>
  </si>
  <si>
    <t>Stressors (or lack of)  [Stress I]</t>
  </si>
  <si>
    <t>Salin13</t>
  </si>
  <si>
    <t>SBhab13</t>
  </si>
  <si>
    <t>In aerial ("ducks eye") view, the maximum annual cover of dense herbaceous vegetation (graminoids + forbs, but not mosses and submerged and floating aquatics) is:</t>
  </si>
  <si>
    <t xml:space="preserve">A wetland-dependent Alberta bird -- common yellowthroat -- occurs most frequently when &gt;20% of the land cover within 1 km contains suitable wetlands, and a bird species that uses wooded wetlands regularly -- American redstart -- occurs most frequently when &gt;30% of the land cover within 2 km contains suitable habitat (Betts et al. 2007).  </t>
  </si>
  <si>
    <t>Wettype14</t>
  </si>
  <si>
    <t>PondedOWpct14</t>
  </si>
  <si>
    <t>ForbCov14</t>
  </si>
  <si>
    <t>HerbDom14</t>
  </si>
  <si>
    <t>Habitat Structure [HabStrucW]</t>
  </si>
  <si>
    <t>Habitat Productivity [CfixW]</t>
  </si>
  <si>
    <t>Offsite Habitat Influence [LscapeW]</t>
  </si>
  <si>
    <t>Habitat Structure [HabStrucS]</t>
  </si>
  <si>
    <t>Habitat Productivity [CfixS]</t>
  </si>
  <si>
    <t>Offsite Habitat Influence [LscapeS]</t>
  </si>
  <si>
    <t>Sedge14</t>
  </si>
  <si>
    <t>SnagD14</t>
  </si>
  <si>
    <t>WoodyCovPD</t>
  </si>
  <si>
    <t>dbhPD</t>
  </si>
  <si>
    <t>forbsPD</t>
  </si>
  <si>
    <t>sedgePD</t>
  </si>
  <si>
    <t>Songbird, Raptor, and Mammal Habitat</t>
  </si>
  <si>
    <t>Vegetation Form &amp; Distribution [Vstruc]</t>
  </si>
  <si>
    <t>Wetland Productivity [CfixV]</t>
  </si>
  <si>
    <t>Offsite Habitat Influence [Vscape]</t>
  </si>
  <si>
    <t>Habitable Substrate [Vspace]</t>
  </si>
  <si>
    <t>Provis21</t>
  </si>
  <si>
    <t>Fringe21</t>
  </si>
  <si>
    <t>Lake21</t>
  </si>
  <si>
    <t>Algae21</t>
  </si>
  <si>
    <t>Invest21</t>
  </si>
  <si>
    <t>Human Use</t>
  </si>
  <si>
    <t>Wetland Morphology [Wet]</t>
  </si>
  <si>
    <t>RecreaPoten</t>
  </si>
  <si>
    <t>PersisPD</t>
  </si>
  <si>
    <t>Ball, B.A., J.S. Kominoski, H.E. Adams, S.E. Jones, E.S. Kane, T.D. Loecke, W.M. Mahaney, J.P. Martina, C.M. Prather, T.M.P. Robinson, and C.T. Solomon. 2010. Direct and terrestrial vegetation-mediated effects of environmental change on aquatic ecosystem processes. Bioscience 60:590-601.</t>
  </si>
  <si>
    <t>Chan-McLeod, A. C. A. and A. Moy. 2007. Evaluating residual tree patches as stepping stones and short-term refugia for red-legged frogs. Journal of Wildlife Management 71:1836-1844.</t>
  </si>
  <si>
    <t>Cushman, S. A. 2006. Effects of habitat loss and fragmentation on amphibians: a review and prospectus. Biological Conservation 128:231-240.</t>
  </si>
  <si>
    <t>Eigenbrod, F., S. J. Hecnar, and L. Fahrig. 2008a. Accessible habitat: an improved measure of the effects of habitat loss and roads on wildlife populations. Landscape Ecology:159-168.</t>
  </si>
  <si>
    <t>Eigenbrod, F., S. J. Hecnar, and L. Fahrig. 2008b. The relative effects of road traffic and forest cover on anuran populations. Biological Conservation 141:35-46.</t>
  </si>
  <si>
    <t>Knutson, M. G., W. B. Richardson, D. M. Reineke, B. R. Gray, J. R. Parmelee, and S. E. Weick. 2004. Agricultural ponds support amphibian populations. Ecological Applications 14:669-684.</t>
  </si>
  <si>
    <t>Marsh, D. M. 2007. Edge effects of gated and ungated roads on terrestrial salamanders. Journal of Wildlife Management 71:389-394.</t>
  </si>
  <si>
    <t>Schmutzer, A. C., M. J. Gray, E. C. Burton, and D. L. Miller. 2008. . Impacts of cattle on amphibian larvae and the aquatic environment. Freshwater Biology 53:2613-2625.</t>
  </si>
  <si>
    <t>Semlitsch, R. D., T. J. Ryan, K. Ramed, M. Chatfield, B. Drehman, N. Pekarek, M. Spath, and A. Watland. 2007. Salamander abundance along road edges and within abandoned logging roads in Appalachian forests. Conservation Biology 21:159-167.</t>
  </si>
  <si>
    <t>OWpct</t>
  </si>
  <si>
    <t>NoOutlet1</t>
  </si>
  <si>
    <t>NoOutlet1a</t>
  </si>
  <si>
    <t>_Iso2</t>
  </si>
  <si>
    <t xml:space="preserve">Retention of phosphorus in boreal Alberta is correlated with the extent of rich fens, which are wetlands with greater soil organic matter than marshes and swamps (Prepas et al. 2011). </t>
  </si>
  <si>
    <t>If water containing toxic substances enters the wetland, the wetland has much less capacity to support aquatic invertebrates, and assemblages of those will be less diverse.</t>
  </si>
  <si>
    <t>WetWooded</t>
  </si>
  <si>
    <t>IF(ChannConn + RipFloodPl = 0), then =10</t>
  </si>
  <si>
    <t>ELSE calculate these averages:</t>
  </si>
  <si>
    <t>e. AVERAGE(WetPctHUC8, ElevPctileHUC8)</t>
  </si>
  <si>
    <t>f. L/G Index</t>
  </si>
  <si>
    <t>ELSE:</t>
  </si>
  <si>
    <t>a.</t>
  </si>
  <si>
    <t>b.</t>
  </si>
  <si>
    <t>10*AVERAGE(WatProb, Sub0Days, a, b) </t>
  </si>
  <si>
    <t>c.</t>
  </si>
  <si>
    <t>AVERAGE(a, b)</t>
  </si>
  <si>
    <t>d.</t>
  </si>
  <si>
    <t>AVERAGE(SoilTex, SoilOrgPct)</t>
  </si>
  <si>
    <t>e.</t>
  </si>
  <si>
    <t>LG Index</t>
  </si>
  <si>
    <t>IF(ChannConn + RipFloodPl = 0), then = 0</t>
  </si>
  <si>
    <t>a</t>
  </si>
  <si>
    <t>b</t>
  </si>
  <si>
    <t>c</t>
  </si>
  <si>
    <t>AVERAGE(WetPctHUC8, ElevPctileHUC8)</t>
  </si>
  <si>
    <t>AVERAGE(GrowDD, WetVegArea)</t>
  </si>
  <si>
    <t>WetPctCA4</t>
  </si>
  <si>
    <t>Calculate these averages:</t>
  </si>
  <si>
    <t>d</t>
  </si>
  <si>
    <t>AVERAGE(MixWaterVeg, OWpct) </t>
  </si>
  <si>
    <t>AVERAGE (MixHerbWood, ClassRichIn) </t>
  </si>
  <si>
    <t xml:space="preserve">AVERAGE(ClassRich1k, WetDens1k_NoBog), </t>
  </si>
  <si>
    <t>AVERAGE(DistDevCrop, NatCov1k, PerimNatCov)</t>
  </si>
  <si>
    <t>AVERAGE(MixWaterVeg, OWpct)</t>
  </si>
  <si>
    <t>e</t>
  </si>
  <si>
    <t>Calculate these:</t>
  </si>
  <si>
    <t>MAX(Reserve, HistList)</t>
  </si>
  <si>
    <t>10*AVERAGE(Public, a, b, c)</t>
  </si>
  <si>
    <t>OpenPonded2</t>
  </si>
  <si>
    <t>WetPctHUC8</t>
  </si>
  <si>
    <t>SlopeBuffer</t>
  </si>
  <si>
    <t>WoodyPct2</t>
  </si>
  <si>
    <t>WoodyPct4</t>
  </si>
  <si>
    <t>OWpct4</t>
  </si>
  <si>
    <t>FenBogMarsh</t>
  </si>
  <si>
    <t>OWpct6</t>
  </si>
  <si>
    <t>OWpct10</t>
  </si>
  <si>
    <t>UniqClass</t>
  </si>
  <si>
    <t>UniqFenMarsh</t>
  </si>
  <si>
    <t>UniqFenMarshSwamp</t>
  </si>
  <si>
    <t>OWpct8</t>
  </si>
  <si>
    <t>Dist2DevCrop</t>
  </si>
  <si>
    <t>OWpct11</t>
  </si>
  <si>
    <t>HerbWoodMix14</t>
  </si>
  <si>
    <t>HerbWoodMix11</t>
  </si>
  <si>
    <t>ClassRich1k</t>
  </si>
  <si>
    <t>OWpct13</t>
  </si>
  <si>
    <t>Lake13</t>
  </si>
  <si>
    <t>SeasWpct13</t>
  </si>
  <si>
    <t>MarshPct</t>
  </si>
  <si>
    <t>MarshUniq</t>
  </si>
  <si>
    <t>MarshPct/ MarshPct1k</t>
  </si>
  <si>
    <t>FenMarshPct/ FenMarshPct1k</t>
  </si>
  <si>
    <t>BMP_14</t>
  </si>
  <si>
    <t>Dist2Road</t>
  </si>
  <si>
    <t>ClassRichIn14</t>
  </si>
  <si>
    <t>Invasives</t>
  </si>
  <si>
    <t>DownWood15</t>
  </si>
  <si>
    <t>Snags15</t>
  </si>
  <si>
    <t>Rock15</t>
  </si>
  <si>
    <t>ClassRichIn15</t>
  </si>
  <si>
    <t>ClassRichIn8</t>
  </si>
  <si>
    <t>10*AVERAGE(RarePlantRange, UniqClass, a, b, c, d)</t>
  </si>
  <si>
    <t>Rare Plant Range</t>
  </si>
  <si>
    <t>RarePlantRange</t>
  </si>
  <si>
    <t>Pollinator &amp; Native Plant Habitat (PH)</t>
  </si>
  <si>
    <t>Toxic20</t>
  </si>
  <si>
    <t>The capacity to support or contribute to a diversity of native, hydrophytic, vascular plant species, communities, and/or functional groups.  As well, the capacity to support pollinating insects, such as bees, wasps, flies, butterflies, moths, and beetles.</t>
  </si>
  <si>
    <t>HistList</t>
  </si>
  <si>
    <t>Nesting Bird Colony, Piping Plover Water Body, or Trumpeter Swan Use Area</t>
  </si>
  <si>
    <t>Potential Access [Access]</t>
  </si>
  <si>
    <t>FenPct</t>
  </si>
  <si>
    <t>SwampMarshPct</t>
  </si>
  <si>
    <t>Distance to Nearest Annual Cropland or Developed Land</t>
  </si>
  <si>
    <t>AVERAGE(GWDspring, FenPct)</t>
  </si>
  <si>
    <t>FenSwampMarshPct/ FenSwampMarshPct1k</t>
  </si>
  <si>
    <t>10*AVERAGE (MarshPct, UniqClass, a, b, c, d)</t>
  </si>
  <si>
    <t>AVERAGE(SensAm, RareAmphib,MarshPct,  UniqClass, AVERAGE(HabStrucA, CfixA, PredA,StressA), WetDens1k, PerimNatCov)</t>
  </si>
  <si>
    <t>10*AVERAGE (MarshPct, UniqFenMarshSwamp, a, b, c, d)</t>
  </si>
  <si>
    <t>10*AVERAGE(MarshPct, UniqFenMarsh, a, b, c, d)</t>
  </si>
  <si>
    <t>Wetland Class Richness Within Wetland</t>
  </si>
  <si>
    <t>AqVul</t>
  </si>
  <si>
    <t>Aspect</t>
  </si>
  <si>
    <t>FenMarshSwamp</t>
  </si>
  <si>
    <t>ThruFlo4</t>
  </si>
  <si>
    <t>Beaver10</t>
  </si>
  <si>
    <t>Vwidth1</t>
  </si>
  <si>
    <t>CUbuffLUtype8</t>
  </si>
  <si>
    <t>If a wetland's substrate remains relatively impermeable to the downward infiltration of runoff much of the time, as happens in groundwater discharge wetlands where water is regularly moving upward from subsurface strata, it has less capacity to store additional runoff.</t>
  </si>
  <si>
    <t>Fens are typically groundwater discharge areas. Where groundwater discharges continually, the substrate remains relatively impermeable to the downward infiltration of runoff and thus there may be less capacity to store additional runoff.</t>
  </si>
  <si>
    <t>Other factors being equal, larger wetlands may be more likely to experience greater water loss per unit area via evaporation and infiltration, due to higher potential for wind and solar exposure.</t>
  </si>
  <si>
    <t>Although vegetation can reduce evaporative water loss by reducing wind and solar exposure, it perhaps more often increases water loss via transpiration.  This indicator describes the area of vegetation, not the proportion of a wetland that is vegetated.</t>
  </si>
  <si>
    <t>Wetlands with a greater proportion of open water are more exposed to wind and sun, which increase evaporative water loss.</t>
  </si>
  <si>
    <t>Wind increases the evaporative loss of water from wetlands, creating more space for storage of additional runoff.</t>
  </si>
  <si>
    <t>Woody vegetation in particular is capable of facilitating higher loss of water via transpiration, because roots penetrate deeper into the water table.  However, woody vegetation also can reduce water loss via shading and wind buffering.</t>
  </si>
  <si>
    <t>Flatter gradients along water flow paths imply greater friction and capacity to slow runoff and surface flow, thus delaying the downgradient movement of water in a watershed.</t>
  </si>
  <si>
    <t xml:space="preserve">ABWRET-a </t>
  </si>
  <si>
    <t>ABWRET-e Original</t>
  </si>
  <si>
    <t xml:space="preserve">ABWRET-e with Substitutions </t>
  </si>
  <si>
    <t>Avoidance of Anoxia [AnoxF]</t>
  </si>
  <si>
    <t>Avoidance of Other Stressors [StressF]</t>
  </si>
  <si>
    <t>Reduced Predation Risk [PredA]</t>
  </si>
  <si>
    <t>Stressors (lack of) [StressA]</t>
  </si>
  <si>
    <t>Stressors (Lack of)  [StressW]</t>
  </si>
  <si>
    <t>Stressors (Lack of)  [StressS]</t>
  </si>
  <si>
    <t>Stressors (Lack of) [StressV]</t>
  </si>
  <si>
    <t>BMP_11</t>
  </si>
  <si>
    <t>Toxic11</t>
  </si>
  <si>
    <t>BMP_13</t>
  </si>
  <si>
    <t>Beaver14a</t>
  </si>
  <si>
    <t>ChanConn</t>
  </si>
  <si>
    <t>Channel Connection</t>
  </si>
  <si>
    <t>ABWRET-E:</t>
  </si>
  <si>
    <t>ABWRET-E with substitutions:</t>
  </si>
  <si>
    <t>ChannConn</t>
  </si>
  <si>
    <t>Wetlands that lack an outlet (never have any outflow) store or dissipate (via evaporation or seepage) nearly all the water they receive (Spence et al. 2011).  This is water that would otherwise contribute to flood damages downgradient of the wetland.</t>
  </si>
  <si>
    <t>Wetlands shown by existing spatial data layers to be located in riparian or floodplain locations are more likely to have at least occasional connections to other surface waters, and thus have greater potential to contribute to downgradient flooding.</t>
  </si>
  <si>
    <t xml:space="preserve">Wetlands with greater depth-to-confining layer (represented coarsely by increasing values for Aquifer Vulnerability Index)  potentially allow for faster infiltration. </t>
  </si>
  <si>
    <t>ABWRET-E model</t>
  </si>
  <si>
    <t xml:space="preserve">ABWRET-E model </t>
  </si>
  <si>
    <t>ABWRET-E model:</t>
  </si>
  <si>
    <t>10*MAX [#1, AVERAGE(WatProb, a, b, c)]</t>
  </si>
  <si>
    <t>AVERAGE(SoilTex, SoilOrgPct, FenBogMarsh)</t>
  </si>
  <si>
    <t>ABWRET-A FUNCTION MODEL</t>
  </si>
  <si>
    <t>ABWRET-A MODEL</t>
  </si>
  <si>
    <t>AVERAGE(ClassRich1k, WetDens1k_NoBog)</t>
  </si>
  <si>
    <t>AVERAGE(Dist2DevCrop, NatCov1k, PerimNatCov)</t>
  </si>
  <si>
    <t>IF MAX(IBirdArea, RareBirdUse, TrumSwan, SBstaging, Wbstaging)&gt;0, then =10</t>
  </si>
  <si>
    <t>IF MAX(IBArea, RareBirdUse, SwanArea, SBstaging, WBstaging) &gt;0, then =10</t>
  </si>
  <si>
    <t>MarshFenSwamp</t>
  </si>
  <si>
    <t>MarshPct + FenPct + SwampPct</t>
  </si>
  <si>
    <t>AVERAGE (ClassRich1k, WetDens1k)</t>
  </si>
  <si>
    <t>Public</t>
  </si>
  <si>
    <t>Ownership category = Public</t>
  </si>
  <si>
    <t>AVERAGE(WetArea, WatProb, OWpct, Fringe, Lake)</t>
  </si>
  <si>
    <t>Wetlands that lack an outlet (never have any outflow) retain or remove via denitrification all N that enters them.</t>
  </si>
  <si>
    <t>Wetlands that lack an outlet (never have any outflow) store all phosphorus that enters them.</t>
  </si>
  <si>
    <t>Wetlands that lack an outlet (never have any outflow) retain all sediment that enters them unless it is eroded by wind.</t>
  </si>
  <si>
    <t>OWarea</t>
  </si>
  <si>
    <t xml:space="preserve">OWpct </t>
  </si>
  <si>
    <t>MAX [ #1, 10*AVERAGE(WatProb, a, b, c, d, e, f)]</t>
  </si>
  <si>
    <t>% of Summertime Water That Is Shaded</t>
  </si>
  <si>
    <r>
      <t xml:space="preserve">&gt;99% of the AA never contains surface water, except for water flowing in channels and/or in pools that occupy &lt;1% of the AA. </t>
    </r>
    <r>
      <rPr>
        <b/>
        <sz val="10"/>
        <rFont val="Arial Narrow"/>
        <family val="2"/>
      </rPr>
      <t>SKIP to F26</t>
    </r>
    <r>
      <rPr>
        <sz val="10"/>
        <rFont val="Arial Narrow"/>
        <family val="2"/>
      </rPr>
      <t xml:space="preserve"> (Channel Connection &amp; Outflow Duration)</t>
    </r>
  </si>
  <si>
    <r>
      <t xml:space="preserve">less than 1%, or &lt;0.01 hectare (whichever is less).  </t>
    </r>
    <r>
      <rPr>
        <b/>
        <sz val="10"/>
        <rFont val="Arial Narrow"/>
        <family val="2"/>
      </rPr>
      <t>SKIP to F8</t>
    </r>
    <r>
      <rPr>
        <sz val="10"/>
        <rFont val="Arial Narrow"/>
        <family val="2"/>
      </rPr>
      <t xml:space="preserve"> (% Flooded Only Seasonally).</t>
    </r>
  </si>
  <si>
    <t xml:space="preserve">&lt;1%. </t>
  </si>
  <si>
    <t xml:space="preserve">% of Water Ponded vs. Flowing </t>
  </si>
  <si>
    <r>
      <t xml:space="preserve">&lt;1% or none, or occupies &lt;0.01 hectare cumulatively.  Nearly all water is flowing.  Enter "1" and </t>
    </r>
    <r>
      <rPr>
        <b/>
        <sz val="10"/>
        <rFont val="Arial Narrow"/>
        <family val="2"/>
      </rPr>
      <t xml:space="preserve">SKIP to F21 </t>
    </r>
    <r>
      <rPr>
        <sz val="10"/>
        <rFont val="Arial Narrow"/>
        <family val="2"/>
      </rPr>
      <t>(Stained Surface Water).</t>
    </r>
  </si>
  <si>
    <r>
      <t xml:space="preserve">During most of the growing season, the largest patch of </t>
    </r>
    <r>
      <rPr>
        <b/>
        <sz val="10"/>
        <rFont val="Arial Narrow"/>
        <family val="2"/>
      </rPr>
      <t xml:space="preserve">open </t>
    </r>
    <r>
      <rPr>
        <sz val="10"/>
        <rFont val="Arial Narrow"/>
        <family val="2"/>
      </rPr>
      <t xml:space="preserve">water that is </t>
    </r>
    <r>
      <rPr>
        <b/>
        <sz val="10"/>
        <rFont val="Arial Narrow"/>
        <family val="2"/>
      </rPr>
      <t>ponded</t>
    </r>
    <r>
      <rPr>
        <sz val="10"/>
        <rFont val="Arial Narrow"/>
        <family val="2"/>
      </rPr>
      <t xml:space="preserve"> and is in or bordering the AA is </t>
    </r>
    <r>
      <rPr>
        <b/>
        <sz val="10"/>
        <rFont val="Arial Narrow"/>
        <family val="2"/>
      </rPr>
      <t xml:space="preserve">&gt;0.01 hectare </t>
    </r>
    <r>
      <rPr>
        <sz val="10"/>
        <rFont val="Arial Narrow"/>
        <family val="2"/>
      </rPr>
      <t>(about 10 m by 10 m)</t>
    </r>
    <r>
      <rPr>
        <b/>
        <sz val="10"/>
        <rFont val="Arial Narrow"/>
        <family val="2"/>
      </rPr>
      <t xml:space="preserve"> and mostly deeper than 0.5 m.</t>
    </r>
    <r>
      <rPr>
        <sz val="10"/>
        <rFont val="Arial Narrow"/>
        <family val="2"/>
      </rPr>
      <t xml:space="preserve">  If true enter "1" and continue,  If false, enter "0" and </t>
    </r>
    <r>
      <rPr>
        <b/>
        <sz val="10"/>
        <rFont val="Arial Narrow"/>
        <family val="2"/>
      </rPr>
      <t xml:space="preserve">SKIP to F20 </t>
    </r>
    <r>
      <rPr>
        <sz val="10"/>
        <rFont val="Arial Narrow"/>
        <family val="2"/>
      </rPr>
      <t>(Floating Algae &amp; Duckweed).</t>
    </r>
  </si>
  <si>
    <t>Ponded Open Water - Minimum Size</t>
  </si>
  <si>
    <t xml:space="preserve">% of Ponded Water That Is Open </t>
  </si>
  <si>
    <r>
      <t xml:space="preserve">&lt;1% or none, or largest pool occupies &lt;0.01 hectares.  Enter "1" and </t>
    </r>
    <r>
      <rPr>
        <b/>
        <sz val="10"/>
        <rFont val="Arial Narrow"/>
        <family val="2"/>
      </rPr>
      <t xml:space="preserve">SKIP to F20 </t>
    </r>
    <r>
      <rPr>
        <sz val="10"/>
        <rFont val="Arial Narrow"/>
        <family val="2"/>
      </rPr>
      <t>(Floating Algae &amp; Duckweed).</t>
    </r>
  </si>
  <si>
    <r>
      <t xml:space="preserve">1-5% of the ponded water.  Enter "1" and </t>
    </r>
    <r>
      <rPr>
        <b/>
        <sz val="10"/>
        <rFont val="Arial Narrow"/>
        <family val="2"/>
      </rPr>
      <t>SKIP to F20.</t>
    </r>
  </si>
  <si>
    <r>
      <t xml:space="preserve">At least once annually, surface water from a tributary &gt;100m long, or from a larger permanent water body, moves into the AA. It may enter directly in a channel, or as unconfined overflow from a contiguous river or lake, or via a pipe or hardened conduit.   If true, enter 1 and continue.  If false, enter 0 and </t>
    </r>
    <r>
      <rPr>
        <b/>
        <sz val="10"/>
        <rFont val="Arial Narrow"/>
        <family val="2"/>
      </rPr>
      <t xml:space="preserve">SKIP to F26 </t>
    </r>
    <r>
      <rPr>
        <sz val="10"/>
        <rFont val="Arial Narrow"/>
        <family val="2"/>
      </rPr>
      <t>(Channel Connection &amp; Outflow Duration).</t>
    </r>
  </si>
  <si>
    <r>
      <t xml:space="preserve">none -- but maps show a stream or other water body that is downslope from the AA and within a distance that is less than the AA's length.  If so, mark "1" here and </t>
    </r>
    <r>
      <rPr>
        <b/>
        <sz val="10"/>
        <rFont val="Arial Narrow"/>
        <family val="2"/>
      </rPr>
      <t xml:space="preserve">SKIP TO F28 </t>
    </r>
    <r>
      <rPr>
        <sz val="10"/>
        <rFont val="Arial Narrow"/>
        <family val="2"/>
      </rPr>
      <t xml:space="preserve">(Groundwater). </t>
    </r>
  </si>
  <si>
    <r>
      <t xml:space="preserve">no surface water flows out of the wetland except possibly during extreme events (&lt;once per 10 years). Or, water flows only into a wetland, ditch, or lake that lacks an outlet.  If so, mark "1" here and </t>
    </r>
    <r>
      <rPr>
        <b/>
        <sz val="10"/>
        <rFont val="Arial Narrow"/>
        <family val="2"/>
      </rPr>
      <t xml:space="preserve">SKIP TO F28 </t>
    </r>
    <r>
      <rPr>
        <sz val="10"/>
        <rFont val="Arial Narrow"/>
        <family val="2"/>
      </rPr>
      <t xml:space="preserve">(Groundwater). </t>
    </r>
  </si>
  <si>
    <r>
      <t xml:space="preserve">&lt;5% of the vegetated AA, or there is no woody vegetation in the AA.  </t>
    </r>
    <r>
      <rPr>
        <b/>
        <sz val="10"/>
        <rFont val="Arial Narrow"/>
        <family val="2"/>
      </rPr>
      <t>SKIP to F38</t>
    </r>
    <r>
      <rPr>
        <sz val="10"/>
        <rFont val="Arial Narrow"/>
        <family val="2"/>
      </rPr>
      <t xml:space="preserve"> (N Fixers)</t>
    </r>
  </si>
  <si>
    <r>
      <t xml:space="preserve">&lt;1% of the vegetated AA, or the AA lacks trees.  Enter "1" and </t>
    </r>
    <r>
      <rPr>
        <b/>
        <sz val="10"/>
        <rFont val="Arial Narrow"/>
        <family val="2"/>
      </rPr>
      <t xml:space="preserve">SKIP to F35 </t>
    </r>
    <r>
      <rPr>
        <sz val="10"/>
        <rFont val="Arial Narrow"/>
        <family val="2"/>
      </rPr>
      <t>(Exposed Shrub).</t>
    </r>
  </si>
  <si>
    <r>
      <t xml:space="preserve">&lt;5% of the vegetated AA and (if a fringe wetland) &lt;5% of its water edge.  Or &lt;0.01 hectare.  </t>
    </r>
    <r>
      <rPr>
        <b/>
        <sz val="10"/>
        <rFont val="Arial Narrow"/>
        <family val="2"/>
      </rPr>
      <t xml:space="preserve">SKIP to F38 </t>
    </r>
    <r>
      <rPr>
        <sz val="10"/>
        <rFont val="Arial Narrow"/>
        <family val="2"/>
      </rPr>
      <t>(N Fixers).</t>
    </r>
  </si>
  <si>
    <t>% Bare Ground &amp; Thatch</t>
  </si>
  <si>
    <r>
      <t xml:space="preserve">&lt;5% of the vegetated part of the AA (excluding parts that are moss-covered or beneath shrubs or trees), or &lt;0.01 hectare (whichever is less).  Mark "1" here and </t>
    </r>
    <r>
      <rPr>
        <b/>
        <sz val="10"/>
        <rFont val="Arial Narrow"/>
        <family val="2"/>
      </rPr>
      <t xml:space="preserve">SKIP to F50 </t>
    </r>
    <r>
      <rPr>
        <sz val="10"/>
        <rFont val="Arial Narrow"/>
        <family val="2"/>
      </rPr>
      <t>(Invasive Plant Cover).</t>
    </r>
  </si>
  <si>
    <r>
      <t xml:space="preserve">&gt;95% of the herbaceous &amp; moss cover. </t>
    </r>
    <r>
      <rPr>
        <b/>
        <sz val="10"/>
        <rFont val="Arial Narrow"/>
        <family val="2"/>
      </rPr>
      <t xml:space="preserve">SKIP to F50 </t>
    </r>
    <r>
      <rPr>
        <sz val="10"/>
        <rFont val="Arial Narrow"/>
        <family val="2"/>
      </rPr>
      <t>(Invasive Plant Cover).</t>
    </r>
  </si>
  <si>
    <r>
      <t xml:space="preserve">&gt;90%.  </t>
    </r>
    <r>
      <rPr>
        <b/>
        <sz val="10"/>
        <rFont val="Arial Narrow"/>
        <family val="2"/>
      </rPr>
      <t xml:space="preserve">SKIP to F54 </t>
    </r>
    <r>
      <rPr>
        <sz val="10"/>
        <rFont val="Arial Narrow"/>
        <family val="2"/>
      </rPr>
      <t>(Cliffs).</t>
    </r>
  </si>
  <si>
    <r>
      <t xml:space="preserve">The AA is (or is within, or contains) a "new" wetland resulting from </t>
    </r>
    <r>
      <rPr>
        <b/>
        <sz val="10"/>
        <rFont val="Arial Narrow"/>
        <family val="2"/>
      </rPr>
      <t>human</t>
    </r>
    <r>
      <rPr>
        <sz val="10"/>
        <rFont val="Arial Narrow"/>
        <family val="2"/>
      </rPr>
      <t xml:space="preserve"> actions (e.g., excavation, impoundment) or debris flows,  or other factors affecting what once was </t>
    </r>
    <r>
      <rPr>
        <b/>
        <sz val="10"/>
        <rFont val="Arial Narrow"/>
        <family val="2"/>
      </rPr>
      <t>upland (non-hydric) soil.</t>
    </r>
  </si>
  <si>
    <r>
      <t xml:space="preserve">&lt;5%.  If F59 was answered "&gt;95%", </t>
    </r>
    <r>
      <rPr>
        <b/>
        <sz val="10"/>
        <rFont val="Arial Narrow"/>
        <family val="2"/>
      </rPr>
      <t xml:space="preserve">SKIP to F63 </t>
    </r>
    <r>
      <rPr>
        <sz val="10"/>
        <rFont val="Arial Narrow"/>
        <family val="2"/>
      </rPr>
      <t>(Consumptive Uses).</t>
    </r>
  </si>
  <si>
    <r>
      <t>Salinity, Alkalinity, Conductance</t>
    </r>
    <r>
      <rPr>
        <sz val="11"/>
        <rFont val="Arial Narrow"/>
        <family val="2"/>
      </rPr>
      <t xml:space="preserve"> </t>
    </r>
  </si>
  <si>
    <r>
      <t xml:space="preserve">None of above, or no data. </t>
    </r>
    <r>
      <rPr>
        <b/>
        <sz val="10"/>
        <rFont val="Arial Narrow"/>
        <family val="2"/>
      </rPr>
      <t/>
    </r>
  </si>
  <si>
    <t>Wetland as a % of Its Contributing Area (Catchment)</t>
  </si>
  <si>
    <t xml:space="preserve">Larger than the area of their catchment (wetland has essentially no catchment, e.g., isolated by dikes with no input channels, or is a raised bog). </t>
  </si>
  <si>
    <t>Scores will appear below after all data are entered in worksheets OF, F, and S.  See Manual for definitions and descriptions of how scores were computed.</t>
  </si>
  <si>
    <t xml:space="preserve">This is the primary indicator of a wetland's potential for supporting summer flow in connected downslope streams. </t>
  </si>
  <si>
    <t>In calculations, is excluded automatically (cell goes blank) if AA contains no other wetland types except the dominant one noted above -- in which case only that one drives the score.</t>
  </si>
  <si>
    <t xml:space="preserve">Groundwater provides a relatively steady input of nutrients that supports algal production and the invertebrate foods important to resident fish. It also provides relatively warm temperatures that can maintain ice-free conditions for longer, and helps sustain water levels and low flows, thus increasing annual production. However, the "flocs" created by the presence of iron oxidizing bacteria in some instances causes groundwater to be deficient in oxygen that is critical to resident fish, especially when this occurs under winter ice cover.  </t>
  </si>
  <si>
    <t xml:space="preserve">Fish access to wetlands is better if an outlet is present and outflows from the wetland are persistent. Although isolated wetlands with persistent surface water can support some resident fish, a permanent connection to other surface waters increases the ability of fish to move among wetlands and other surface waters in search of food and other needs.  </t>
  </si>
  <si>
    <t xml:space="preserve">Diffuse flow paths and large spatial complexity of channels within a wetland support a wider variety of microhabitats for fish and their invertebrate foods. </t>
  </si>
  <si>
    <t xml:space="preserve">Over the long term, beaver dam-building activities are highly beneficial to fish rearing habitat, creating pools used by fish as refuge, adding wood that provides fish cover, and increasing the overall productivity of river systems (Murphy et al. 1989, Collen &amp; Gibson 2001). </t>
  </si>
  <si>
    <t xml:space="preserve">Stained waters usually have less aquatic productivity and lower biomass of aquatic invertebrates. </t>
  </si>
  <si>
    <t>In calculations, is excluded automatically (cell goes blank) if natural cover in the buffer (see above) is &gt;90%.</t>
  </si>
  <si>
    <t xml:space="preserve">Open Water Area </t>
  </si>
  <si>
    <t xml:space="preserve">Inverse </t>
  </si>
  <si>
    <t>Scoring Notes</t>
  </si>
  <si>
    <t>Inverse</t>
  </si>
  <si>
    <t>SoilTex_WS</t>
  </si>
  <si>
    <t>SoilTex_PR</t>
  </si>
  <si>
    <t>SoilTex_NROE</t>
  </si>
  <si>
    <t>OWpct_INV</t>
  </si>
  <si>
    <t>OWpct_AM</t>
  </si>
  <si>
    <t>OWpct_WB</t>
  </si>
  <si>
    <t>% of the Wetland that is Fen Bog or Marsh</t>
  </si>
  <si>
    <t>% of the Wetland that is Fen Marsh or Swamp</t>
  </si>
  <si>
    <t>% of the Wetland that is Fen</t>
  </si>
  <si>
    <t>% Undeveloped Openlands Within 1km</t>
  </si>
  <si>
    <t>Wetland as a % of Its HUC8</t>
  </si>
  <si>
    <t>% of AA that is Open Water (macro scale)</t>
  </si>
  <si>
    <t>AA Size</t>
  </si>
  <si>
    <t>% of the AA that is Marsh</t>
  </si>
  <si>
    <t>The effectiveness for retaining phosphorus for long periods (&gt;1 growing season) as a result of chemical adsorption, or from translocation by plants to belowground zones with less potential for physically or chemically remobilizing phosphorus into the water column.</t>
  </si>
  <si>
    <t xml:space="preserve">a. AVERAGE(1-GWDspring, 1-FenPct) </t>
  </si>
  <si>
    <t xml:space="preserve">c. AVERAGE(1-PPET, WindSumm, WetPerim2Area, OWpct, WetArea) </t>
  </si>
  <si>
    <t>10*AVERAGE(WatProb, 1-Sub0Days, a, b) </t>
  </si>
  <si>
    <t>AVERAGE((WetArea-WetVegArea), 1-Sub0Days)</t>
  </si>
  <si>
    <t xml:space="preserve">The raw value is scored as follows: &lt;1%=0.2;  1%-5%=0.6; 6-30%=0.8, 31-70%=1; 71-99%=0.4; &gt;99%=0. </t>
  </si>
  <si>
    <t>The raw value is scored as follows: &lt;1%=0;  1%-5%=0.4; 6-30%=0.8, 31-70%=1; 71-99%=0.6; &gt;99%=0.2</t>
  </si>
  <si>
    <t>[ Invasives + AVERAGE(1-WQrisk, Dist2DevCrop, 1-RdDens1k, Dist2Road, DistPop, Core1pd, Core2pd, BMPsoils20, WeedSourcePD, AltTime20, Toxic20, SedDisturb20) ] / 2</t>
  </si>
  <si>
    <t>AVERAGE(Dist2Road,1-RdDens1k,PerimNatCov,1-WQrisk, Toxic10, WQprob10, AltTime10, NatVegCUpct10)</t>
  </si>
  <si>
    <t>AVERAGE(MixHerbWood, MixWaterVeg, MarshFenSwamp, 1-OWpct)</t>
  </si>
  <si>
    <t>[ AVERAGE(1-Dist2Road, RdDens1k, 1-DistPop) +   MAX(Reserve, HistList, Trail) ] /2</t>
  </si>
  <si>
    <t>AVERAGE(1-DistRd, RdDens1k, 1-DistPop, Trail)</t>
  </si>
  <si>
    <t>% of AA that is Open Water (macro scale, Invertebrate Habitat)</t>
  </si>
  <si>
    <t>% of AA that is Open Water (macro scale, Amphibian Habitat)</t>
  </si>
  <si>
    <t>% of AA that is Open Water (macro scale, Waterbird Habitat)</t>
  </si>
  <si>
    <t>Interspersion Index for Internal Herbaceous &amp; Woody Vegetation (macroscale)</t>
  </si>
  <si>
    <t>Interspersion Index for Internal Water &amp; Vegetation (macroscale)</t>
  </si>
  <si>
    <t xml:space="preserve">This function is likely to be most beneficial to aquatic life and human use of stream water where there are stream segments that periodically dry up due to local climate (low P-PET), headwater location, artificial diversions, or other factors.  However, the model does not address such ecological or economic needs for supporting stream flow at a particular location.  </t>
  </si>
  <si>
    <t>The model does not address the ecological need for cooling or maintaining temperatures of streams at a particular location, as would be implied partly by the presence of coldwater fish and the closeness of ambient summer temperatures to physiological thresholds of those fish. The model also does not address the benefits of cooled water that relate to its ability to hold more dissolved oxygen, which in turn supports better processing of many pollutants.</t>
  </si>
  <si>
    <t xml:space="preserve">The model does not address the ecological need for organic nutrients in the receiving stream or lake at a particular location.  At some locations nutrients may limit aquatic productivity while at others additional nutrients could cause problems associated with overenrichment.  Also, the model is unable to differentiate among the various forms of organic nutrients, e.g., carbon that is easily consumed and cycled vs. carbon that provides less nutrition and cycles slowly in food webs. The model does not address the potential export of organic nutrients via insect emergence and wetland animal movements. </t>
  </si>
  <si>
    <t xml:space="preserve">The model does not address the ecological need for keeping phosphorus out of the surface or ground water at a particular location, as would be implied partly by the occurrence of nuisance blooms of algae or decline of plants that are sensitive to phosphorus overenrichment, at that location or downgradient.  </t>
  </si>
  <si>
    <t>The model does not address the likelihood that, based on wetland proximity, valuable infrastructure located downgradient and within flood risk areas may be damaged if water above it is not stored in wetlands or other facilities. The model also does not address the possibility that infrastructure is located within the wetland itself, in which case water storage could threaten that.</t>
  </si>
  <si>
    <t>The model does not address the ecological need for keeping suspended sediment out of streams at a particular location, as would be implied partly by the presence of sensitive aquatic life in those streams.  The model also does not address the potential harm to wetland organisms that occurs when excessive amounts of sediment  smother plants and animals within a wetland.  Nor does the model address the loss in water storage space that occurs when sediment is deposited and retained.  The model does not address the potential positive benefits of trapping and depositing sediment along the deepwater margin of lakeshore wetlands, which can gradually increase the area of wetlands.</t>
  </si>
  <si>
    <t xml:space="preserve">The model does not address the ecological need for keeping nitrate out of the surface or ground water at a particular location, as would be implied partly by the presence of domestic wells, nuisance blooms of algae, or plants that are sensitive to nitrate overenrichment.  </t>
  </si>
  <si>
    <t>All distances &gt;5 km are considered to be in the 100th percentile.</t>
  </si>
  <si>
    <t>Fish Presence</t>
  </si>
  <si>
    <t>1 (yes) or 0 (no) based only on available hydrography layer.</t>
  </si>
  <si>
    <t>1 (yes) or 0 (no)</t>
  </si>
  <si>
    <t>Notes</t>
  </si>
  <si>
    <t>Code</t>
  </si>
  <si>
    <t>If wetland is not within range of a rare plant species, then cell is made blank (NULL) and ignored in calculations.</t>
  </si>
  <si>
    <t>If not within sensitive amphibian range then cell turns blank (NULL) and is ignored in calculations.</t>
  </si>
  <si>
    <t>If not within shorebird staging area then cell turns blank (NULL) and is ignored in calculations.</t>
  </si>
  <si>
    <t>If not within waterfowl staging area then cell turns blank (NULL) and is ignored in calculations.</t>
  </si>
  <si>
    <t>If not within trumpeter swan area then cell turns blank (NULL) and is ignored in calculations.</t>
  </si>
  <si>
    <t>If not within riparian or floodplain area then cell turns blank (NULL) and is ignored in calculations.</t>
  </si>
  <si>
    <t>If not within a designated IBA then cell turns blank (NULL) and is ignored in calculations.</t>
  </si>
  <si>
    <t>If not within area where any of these species nests, then cell turns blank (NULL) and is ignored in calculations.</t>
  </si>
  <si>
    <t xml:space="preserve"> If wetland not within Sensitive Raptor Nesting Area then ignored (NULL) in calculations.</t>
  </si>
  <si>
    <t>If wetland not within riparian or floodplain area then ignored (NULL) in calculations.</t>
  </si>
  <si>
    <t>If wetland lacks a spring then ignored (NULL) in calculations.</t>
  </si>
  <si>
    <t>1 (yes) or 0 (no) mapped trail present within 100m of wetland centroid</t>
  </si>
  <si>
    <t>Aspect of the AA's 100m Upslope Buffer</t>
  </si>
  <si>
    <t>1 (yes) or 0 (no) an ACIMS-designated rare plant is in the same township as the wetland</t>
  </si>
  <si>
    <t xml:space="preserve">Elevation Percentile Within HUC8 </t>
  </si>
  <si>
    <t>AAFC layer</t>
  </si>
  <si>
    <t>Calculated as (wetland's elevation - minimum elevation of wetland's HUC8) divided by elevation range (max-min) of the wetland's HUC8.</t>
  </si>
  <si>
    <t>1 (yes) or 0 (no) based on size &gt;8 ha.</t>
  </si>
  <si>
    <t>1 (yes) or 0 (no) based on WHSRN Shorebird Staging Area layer</t>
  </si>
  <si>
    <t>Springs within 300m</t>
  </si>
  <si>
    <t xml:space="preserve">Wind Energy - Winter </t>
  </si>
  <si>
    <t>Wind Energy - Summer</t>
  </si>
  <si>
    <t>Local Uniqueness of Wetland's Class</t>
  </si>
  <si>
    <t>Swamp + Marsh as % of the Wetland</t>
  </si>
  <si>
    <t>Based on Canadian Forest Service average number of days above 5C during growing season 1971-2000, minimum resolution of 1 km2.</t>
  </si>
  <si>
    <t>1 (yes) or 0 (no). Discharge predicted by ESRD Clean Energy Policy Branch from 2000 SRDM 60m DEM &amp; Water Well Information Database.</t>
  </si>
  <si>
    <t>Raw values range from 1 (low) to 6 based on surficial geology and depth to aquifer.  From Ag Land Resource Atlas of Alberta.</t>
  </si>
  <si>
    <t>1 (yes) or 0 (no) from AGS Energy Resources Conservation Board.</t>
  </si>
  <si>
    <t>see Table 2. AGRASID used for RWAUs 14, 15, 16 and 17, GSC used for remaining RWAUs.  Minimum resolvable unit is 1 ha.</t>
  </si>
  <si>
    <t>see Table 3. AGRASID used for RWAUs 14, 15, 16 and 17, GSC used for remaining RWAUs.  Minimum resolvable unit is 1 ha.</t>
  </si>
  <si>
    <t>see Table 1. AGRASID 4.0 used for RWAUs 14, 15, 16 and 17, GSC used for remaining RWAUs. Minimum resolvable unit is 1 ha.</t>
  </si>
  <si>
    <t>1 (yes) or 0 (no).  Wetland centroid intersects a listed site (2014 list).</t>
  </si>
  <si>
    <t>1 (yes) or 0 (no) based on flood hazard (floodways and flood fringes) from ESRD River Forecast Section and merged with lotic riparian area layer (ESRD 2011, 0.02 ha minimum revolvable unit).</t>
  </si>
  <si>
    <t>1 (yes) or 0 (no).  Layer from ESRD 2010, minimum resolvable unit is 0.02 ha.</t>
  </si>
  <si>
    <t>1 (yes) or 0 (no) from FWMIS database.</t>
  </si>
  <si>
    <t>1 (yes) or 0 (no) wetland centroid intersects the merged Colonial Nesting Bird, Piping Plover Water Body and Trumpeter Swan layers from FWMIS database.</t>
  </si>
  <si>
    <t>Mean Waterfowl Count per ha, by survey segment from the WBPBHS_Strata layer of US Fish &amp; Wildlife Service. Minimum resolvable unit = 20,166 ha.</t>
  </si>
  <si>
    <t>1 (yes) or 0 (no). Based only on Class A or B designation (Alberta Water Act Codes of Practice streams) layer from GOA 2013.</t>
  </si>
  <si>
    <t xml:space="preserve">% Slope </t>
  </si>
  <si>
    <t>Measured within 100m radius of Wetland Centroid</t>
  </si>
  <si>
    <t>1 (yes) or 0 (no) based on AESA criteria #2</t>
  </si>
  <si>
    <t>% of Wetland Perimeter Adjoined by Natural Cover</t>
  </si>
  <si>
    <t xml:space="preserve"> "Natural Cover" includes all AAFC classes except Water, Annual Crops, Exposed Land, &amp; Developed.</t>
  </si>
  <si>
    <t>% Natural Cover within 1km</t>
  </si>
  <si>
    <t>See Table 1.</t>
  </si>
  <si>
    <t>A gentle shore slope provides waterbirds with easier access to upland nesting cover near the water.  In calculations, is excluded automatically (cell goes blank) if wetland never has surface water during an average year. Also is excluded automatically if wetland lacks open water or is &lt;0.01 ha.</t>
  </si>
  <si>
    <t>see above.  The score is the number of classes marked here divided by 4.</t>
  </si>
  <si>
    <t>Wells21</t>
  </si>
  <si>
    <t>Resource Use and Best Management Practices [Use]</t>
  </si>
  <si>
    <t>Fringe wetlands adjoin expanses of open water that are visually appealing as well as providing opportunity for fishing and water sports.</t>
  </si>
  <si>
    <t>Alberta Culture Listing of Historic Resources</t>
  </si>
  <si>
    <t>see above</t>
  </si>
  <si>
    <t>Roads provide access that enhances most human uses of wetlands.</t>
  </si>
  <si>
    <t>These areas provide opportunities for some recreational uses not possible elsewhere.</t>
  </si>
  <si>
    <t>Trails provide access that enhances most human uses of wetlands.</t>
  </si>
  <si>
    <t>Wetlands whose surface water remains for longer during the year are more visually appealing to many people and provide more opportunities for fishing and water sports.</t>
  </si>
  <si>
    <t xml:space="preserve">People are naturally drawn to larger areas of protected lands and larger water bodies. </t>
  </si>
  <si>
    <t>The expanses of open water that characterise lakes are visually appealing as well as providing opportunity for fishing and water sports.</t>
  </si>
  <si>
    <t>Public lands, especially those where recreation or conservation is a primary designated use, are accessible to more people.</t>
  </si>
  <si>
    <t>The extent of a wetland that is potentially accessible to visitors influences the frequency of visitation.  Presence of an inhabited building nearby suggests the wetland may be visited more often.</t>
  </si>
  <si>
    <t>Because each wetland class has a distinct flora, a greater variety of wetland classes implies greater plant diversity and more diverse sources of pollen for pollinators.</t>
  </si>
  <si>
    <t>See above</t>
  </si>
  <si>
    <t>Rationale &amp; Scoring Notes</t>
  </si>
  <si>
    <t xml:space="preserve">Road corridors are a significant vector for non-native plants that can reduce native plant richness if they invade nearby wetlands. Roads directly promote exotic plant establishment via vehicle dispersal (Schmidt 1989) or disturbance during road construction and maintenance (Safford and Harrison 2001). Roads also promote exotic plant establishment via intentional seeding of soil-stabilizing exotic plants along road verges or in disturbed areas near roads.  Moss and lichen species richness in Alberta woodlands is reduced up to 15m from roads and other woodland edges due to changes in temperature, humidity, and light intensity (Gignac and Dale 2005).  
</t>
  </si>
  <si>
    <t xml:space="preserve">These wetland classes tend to have greater native plant richness than bogs or open water. </t>
  </si>
  <si>
    <t>Gaps in woody canopy, or scattered trees and shrubs within a marsh or bog, support a wider variety of plants and indicate a diversity of underlying hydroperiods that have the same effect.</t>
  </si>
  <si>
    <t>Greater plant diversity in wetlands is often associated with a well-mixed pattern of water and plants, e.g., the "hemi-marsh". This may optimise moisture, nutrients, and sunlight available to wetland plants.</t>
  </si>
  <si>
    <t>Because open water supports fewer plant species than land, a large proportion of open water in a wetland implies lower overall plant richness in most cases, so the scoring uses the inverse.</t>
  </si>
  <si>
    <t xml:space="preserve">Lichens and mosses have been affected by edge-induced microclimate changes extending at least 50 ft into forested areas (Hylander et al. 2002, Boudreault et al. 2008) and as far as ~150 ft from the forest edge (Baldwin &amp; Bradfield 2005). In Oregon, selective thinning of forests that adjoined riparian buffers did not affect the herbaceous or shrub cover in the buffers when they were wider than ~50 ft (Anderson &amp; Meleason 2009). Thinning can increase the distance seeds disperse into the forest and the number that disperse successfully (Cadenasso et al. 2001). One study found that where more than 50% of the basal area was cut, a significantly different plant community structure resulted (Deal 2001). </t>
  </si>
  <si>
    <t>Agricultural and developed land surrounding a wetland contributes invasive plants and pollutants that can reduce native plant richness within a wetland.  Natural cover helps maintain original runoff patterns, microclimate, and water quality.</t>
  </si>
  <si>
    <t>Rare plants contribute disproportionately to regional floristic diversity.</t>
  </si>
  <si>
    <t>Inflowing streams or rivers bring plant propagules that can sprout and diversify wetland plant communities.  Also, the soil-disturbing and vegetation-thinning effects of natural floods typically diversity plant communities in the long term</t>
  </si>
  <si>
    <t>Several plant species occur almost exclusively in or near springs due to the unique chemistry and thermal regimes of some springs (e.g., Radies et al. 2009).</t>
  </si>
  <si>
    <t>If a particular class is significantly present in a wetland but scarce in the surrounding area, the contribution of its plants to local floristic diversity is likely to be greater.</t>
  </si>
  <si>
    <t>A greater number of wetlands per unit area implies that any single wetland is likely to be closer to others that can more easily provide propagules for recolonisation if plant communities in the target wetland are altered.</t>
  </si>
  <si>
    <t>At least a small amount of woody cover enhances plant diversity within a wetland, but more often, too much implies that shading of the understory by a woody plant canopy will limit the diversity of herbaceous plants.</t>
  </si>
  <si>
    <t>HerbWood15</t>
  </si>
  <si>
    <t>OF1</t>
  </si>
  <si>
    <t>OF2</t>
  </si>
  <si>
    <t>OF3</t>
  </si>
  <si>
    <t>OF4</t>
  </si>
  <si>
    <t>OF5</t>
  </si>
  <si>
    <t>OF6</t>
  </si>
  <si>
    <t>OF7</t>
  </si>
  <si>
    <t>OF8</t>
  </si>
  <si>
    <t>OF9</t>
  </si>
  <si>
    <t>OF10</t>
  </si>
  <si>
    <t>OF11</t>
  </si>
  <si>
    <t>OF12</t>
  </si>
  <si>
    <t>OF13</t>
  </si>
  <si>
    <t>OF14</t>
  </si>
  <si>
    <t>OF15</t>
  </si>
  <si>
    <t>OF16</t>
  </si>
  <si>
    <t>OF17</t>
  </si>
  <si>
    <t>OF18</t>
  </si>
  <si>
    <t>OF19</t>
  </si>
  <si>
    <t>OF20</t>
  </si>
  <si>
    <t>OF21</t>
  </si>
  <si>
    <t>OF22</t>
  </si>
  <si>
    <t>OF23</t>
  </si>
  <si>
    <t>OF24</t>
  </si>
  <si>
    <t>OF25</t>
  </si>
  <si>
    <t>OF26</t>
  </si>
  <si>
    <t>OF27</t>
  </si>
  <si>
    <t>OF28</t>
  </si>
  <si>
    <t>OF29</t>
  </si>
  <si>
    <t>OF30</t>
  </si>
  <si>
    <t>OF31</t>
  </si>
  <si>
    <t>OF32</t>
  </si>
  <si>
    <t>OF33</t>
  </si>
  <si>
    <t>OF34</t>
  </si>
  <si>
    <t>OF35</t>
  </si>
  <si>
    <t>OF36</t>
  </si>
  <si>
    <t>OF37</t>
  </si>
  <si>
    <t>OF38</t>
  </si>
  <si>
    <t>OF39</t>
  </si>
  <si>
    <t>OF40</t>
  </si>
  <si>
    <t>OF41</t>
  </si>
  <si>
    <t>OF42</t>
  </si>
  <si>
    <t>OF43</t>
  </si>
  <si>
    <t>OF44</t>
  </si>
  <si>
    <t>OF45</t>
  </si>
  <si>
    <t>OF46</t>
  </si>
  <si>
    <t>OF47</t>
  </si>
  <si>
    <t>OF48</t>
  </si>
  <si>
    <t>OF49</t>
  </si>
  <si>
    <t>OF50</t>
  </si>
  <si>
    <t>OF51</t>
  </si>
  <si>
    <t>OF52</t>
  </si>
  <si>
    <t>OF53</t>
  </si>
  <si>
    <t>OF54</t>
  </si>
  <si>
    <t>OF55</t>
  </si>
  <si>
    <t>OF56</t>
  </si>
  <si>
    <t>OF57</t>
  </si>
  <si>
    <t>OF58</t>
  </si>
  <si>
    <t>OF59</t>
  </si>
  <si>
    <t>OF60</t>
  </si>
  <si>
    <t>OF61</t>
  </si>
  <si>
    <t>OF62</t>
  </si>
  <si>
    <t>OF63</t>
  </si>
  <si>
    <t>OF64</t>
  </si>
  <si>
    <t>OF65</t>
  </si>
  <si>
    <t>OF66</t>
  </si>
  <si>
    <t>OF67</t>
  </si>
  <si>
    <t>OF68</t>
  </si>
  <si>
    <t>OF69</t>
  </si>
  <si>
    <t>OF70</t>
  </si>
  <si>
    <t>OF71</t>
  </si>
  <si>
    <t>OF72</t>
  </si>
  <si>
    <t>Snags provide nest or dormancy sites for many insect pollinators. The removal of dead wood, which often accompanies lakeshore development, has been associated with reduced pollination (Trant et al. 2010).</t>
  </si>
  <si>
    <t>Cliffs and rocky slopes provide nest or dormancy sites for many insect pollinators.  Also, several pollinating butterflies and moths are routinely attracted by salt licks and saline springs.</t>
  </si>
  <si>
    <t>Seeds of non-native plants commonly are carried by humans and their pets. Non-native plants can decrease plant species richness of the wetland.  In the Kenai Peninsula of Alaska, significantly fewer nonnative species were found beyond a 500-m distance from a trailhead.  High-use trails, especially those in open-canopied areas, exhibited the greatest numbers of nonnative species at the farthest distances from the trailhead and contained a greater number of less common nonnative species (Bella 2011).</t>
  </si>
  <si>
    <t>Fertilizers, herbicides, and other pollutants can alter the composition and sometimes the diversity of the plant community within a wetland.  Pollinators are extremely sensitive to commonly used pesticides.</t>
  </si>
  <si>
    <t>Especially in organic and clay soils, trampling and soil compaction results in direct loss of vegetation, changes the soil chemistry and hydrology, reduces seed germination, and facilitates the invasion by exotic species.  Collectively these usually reduce richness of native plants within a wetland.</t>
  </si>
  <si>
    <t>This spatial data layer mainly indicates areas of relatively intact habitat along major river corridors and valley slope breaks. The data correlate with ungulate winter densities but likely indicate high suitability for many valued songbirds and raptors as well.</t>
  </si>
  <si>
    <t>To some degree, different bird and mammal species associate with different wetland classes.  Thus, greater class richness supports greater richness of these groups.</t>
  </si>
  <si>
    <t>Chemicals and house cats that can harm wetland birds and mammals are most prevalent where wetlands or their tributaries are adjoined by agricultural or developed lands.</t>
  </si>
  <si>
    <t xml:space="preserve">Compared to other type of variables, climate factors are, in aggregate, the most important determinants of bird species richness across all of Boreal Canada (Hawkins et al. 2003). </t>
  </si>
  <si>
    <t>Gaps in woody canopy, or scattered trees and shrubs within a marsh or bog, together provide both food and cover and thus support a wider variety of birds and mammals.  These conditions also sometimes indicate a diversity of underlying hydroperiods that have the same effect.</t>
  </si>
  <si>
    <t>Greater bird diversity in wetlands is strongly associated with a well-mixed pattern of water and vegetation, e.g., the "hemi-marsh". This provides  food and cover in close proximity.</t>
  </si>
  <si>
    <t xml:space="preserve">A large proportion of open water in a wetland implies less emergent vegetation is present to provide cover, food, and perches for songbirds, raptors, and mammals, so the scoring is inverse.  </t>
  </si>
  <si>
    <t>Wetlands are important to several Alberta raptor species. Although survey data are not comprehensive and current, known occurrences of nesting raptors should elevate a wetland's score for this function.</t>
  </si>
  <si>
    <t>Riparian areas are often favoured as travel corridors by songbirds and wetland mammals.</t>
  </si>
  <si>
    <t>Springs are important to several wetland songbird and mammal species. Although springs have not been surveyed comprehensively, known locations should elevate a wetland's score for this function.</t>
  </si>
  <si>
    <t>If a particular class is significantly present in a wetland but scarce in the surrounding area, the contribution of wildlife species (that associate with that class) to local biodiversity is likely to be greater.</t>
  </si>
  <si>
    <t xml:space="preserve">A high probability of there being permanent surface water in a wetland implies vegetation cover is likely to be less extensive (due to soil anoxia), and that vegetation would otherwise provides cover, food, and perches for songbirds, raptors, and mammals.  Thus the scoring is inverse.  </t>
  </si>
  <si>
    <t xml:space="preserve">Trees add structure  </t>
  </si>
  <si>
    <t>Wind is a major physiologic stress for wintering songbirds.</t>
  </si>
  <si>
    <t>Some chemicals that accumulate in food chains can harm wetland raptors and other species.  Chemicals are most prevalent where wetlands or their tributaries are adjoined by agricultural or developed lands.</t>
  </si>
  <si>
    <t>If not within Key Wildlife Biodiversity Zone then this indicator is ignored (NULL) in calculations.</t>
  </si>
  <si>
    <t>Wetlands located near agricultural and developed areas are often exposed to greater amounts of pesticides and human disturbance, which can reduce productivity and use by waterbirds.</t>
  </si>
  <si>
    <t>These are typically areas that have been officially designated by biologists as being especially important to waterbirds.</t>
  </si>
  <si>
    <t>For most waterbirds, wetlands classified as marsh tend to be the most productive.</t>
  </si>
  <si>
    <t xml:space="preserve">This is one of the strongest predictors of waterbird use of wetlands.  Wetlands with a nearly even mix of vegetative cover and open water tend to support the most diverse assemblages of waterbirds.  Interspersion of patches of open water amid patches of vegetation provides waterbirds with the best access to aquatic foods, and waterbird use of such wetlands has been shown to be significantly greater (Kaminski and Prince 1981, Murkin et al. 1982, Rehm &amp; Baldassarre 2007, Schummer et al. 2012, Bolenbaugh et al. 2011). </t>
  </si>
  <si>
    <t>Dense perennial cover that adjoins wetlands, whether it is comprised of native vegetation or not (Arnold et al. 2007), is essential to many nesting ducks.</t>
  </si>
  <si>
    <t>These rare or sensitive wetland birds contribute disproportionately to regional biodiversity.</t>
  </si>
  <si>
    <t>Waterbirds often follow major rivers during migration, and floodplain wetlands tend to be more productive than more isolated wetlands at higher elevations.</t>
  </si>
  <si>
    <t>Migratory shorebirds contribute to biodiversity at a continental scale and are especially sensitive to chronic disturbance.  Concentration areas have not been surveyed comprehensively but when identified by biologists, that information is used here.</t>
  </si>
  <si>
    <t>Most waterbirds are attracted more strongly to unforested than forested landscapes, at least when those are relatively undeveloped.</t>
  </si>
  <si>
    <t>If a wetland contains fen or marsh but those classes (which are most important to waterbirds) are scarce in the surrounding area, the contribution of waterbird species (that associate with those classes) to local biodiversity is likely to be greater.</t>
  </si>
  <si>
    <t>Although many waterbirds use or even prefer seasonal wetlands, wetlands whose surface water persists for all or most of a growing season provide more physical habitat for waterbirds.</t>
  </si>
  <si>
    <t>Staging areas for waterfowl, where they congregate prior to migrating, contribute to biodiversity at a continental scale and are especially sensitive to chronic disturbance. Staging areas have not been surveyed comprehensively but when identified by biologists, that information is used here.</t>
  </si>
  <si>
    <t xml:space="preserve">Waterbirds prefer landscapes where multiple wetlands are present in close proximity (Naugle et al. 2000).  This is partly so that if birds are disturbed in one area, they can fly to alternate sites that serve as refuge and which may provide different but complementary water regimes and foods.  In Nebraska, migratory shorebird abundance was greater where wetland density within 10 km was greater (Webb et al. 2010). Nest density is greater where a larger proportion of the surrounding landscape is wetlands (Arnold 2007, Austin &amp; Buhl 2009, Devries et al. 2011).  Waterbird species richness is also greater in wetlands existing in unfragmented prairie wetland landscapes (i.e., areas with wetland complexes embedded within large expanses of upland grassland, Ball et al. 1995, Stephens et al. 2005) than in isolated wetlands of the same type embedded in landscapes dominated by croplands (Naugle et al. 2001).  However, in the southern Great Plains, wetlands in landscapes with the most other wetlands within 1 and 10 km radius had lower bird densities than those with fewer surrounding wetlands, likely because of a "dilution" effect from the local abundance of habitat (Tsai 2012).  In another prairie landscape, waterbird nest survival was actually lower in wetlands located in areas of high wetland density (Stephens et al. 2005). </t>
  </si>
  <si>
    <t>Shorebirds are a large component of waterbird diversity.  Most shorebird species feed only on mudflats or in areas of short, sparse vegetation.</t>
  </si>
  <si>
    <t>To some degree, different wetland classes satisfy different requirements of amphibians during their life cycle.  Thus, greater class richness may support greater amphibian productivity and/or diversity.  A 1-km buffer as well as on-site condition is assessed because many amphibians conduct essential dispersal movements over distances that long or longer.</t>
  </si>
  <si>
    <t>Wetlands located near agricultural and developed areas are often exposed to greater amounts of pesticides and other contaminants.  Those can reduce amphibian productivity by contributing to deformities as well as increased vulnerability to fungal infections and parasites.</t>
  </si>
  <si>
    <t>Populations of some amphibians (e.g., four-toed salamander) seem to thrive best in fishless wetlands. Predatory fish (especially, exotic species) can cause extirpations of native species or at least reduce productivity (Pearl et al. 2005).</t>
  </si>
  <si>
    <t>For many amphibians (e.g., northern leopard frog), wetlands classified as marsh provide the best habitat.</t>
  </si>
  <si>
    <t>Wetlands with a nearly even mix of well-interspersed vegetative cover and open water tend to be more supportive of amphibians because such conditions provide both egg attachment sites and productive open-water foraging areas for tadpoles.</t>
  </si>
  <si>
    <t xml:space="preserve">Unshaded open water areas provide warmer conditions favored by many amphibians and generally support higher primary productivity.  However, at least a little wetland vegetation must be present to provide cover from predatory fish and for egg attachment sites.  </t>
  </si>
  <si>
    <t>Because of their relative rarity, these amphibian species contribute more to regional biodiversity than amphibian species with broader habitat tolerances.</t>
  </si>
  <si>
    <t>Especially in dry regions, springs provide relatively stable and predictable habitat for some amphibian species.</t>
  </si>
  <si>
    <t>If a wetland contains fen, marsh, or swamp but those classes (which are most important to amphibians) are scarce in the surrounding area, the contribution of amphibian species (that associate with those classes) to local biodiversity is likely to be greater.</t>
  </si>
  <si>
    <t>See above.  Bogs are excluded because of their generally lower use by most amphibian species.</t>
  </si>
  <si>
    <t>The shelter and moist microclimate provided by wetland vegetation is especially critical to amphibians in areas with strong summer winds that tend to dry out the moist skin surfaces that are characteristic of amphibians.</t>
  </si>
  <si>
    <t>If wetland lacks a spring then this indicator is ignored (NULL) in calculations.</t>
  </si>
  <si>
    <t>A well-interspersed mixture of herbaceous and woody vegetation is hypothesized to be most beneficial to amphibians because it provides both a moist microclimate and warmer open areas in close proximity.</t>
  </si>
  <si>
    <r>
      <t xml:space="preserve">Excessive human traffic and free-roaming pets can harm native amphibians directly (collecting and predation) and indirectly (habitat alteration), so measures to reduce such impacts are given credit.  \  </t>
    </r>
    <r>
      <rPr>
        <i/>
        <sz val="10"/>
        <rFont val="Arial Narrow"/>
        <family val="2"/>
        <scheme val="minor"/>
      </rPr>
      <t>In calculations, is excluded automatically (cell goes blank) if last choice in F59 was chosen AND first choice in F60 was chosen.</t>
    </r>
  </si>
  <si>
    <t>Because different wetland classes are likely to have distinctive invertebrate assemblages, a greater variety of wetland classes implies greater invertebrate diversity.</t>
  </si>
  <si>
    <t>Wetlands classified as marsh (and perhaps fen) tend to have the most diverse assemblages of aquatic invertebrates.</t>
  </si>
  <si>
    <t>If a wetland contains marsh but marsh (which may be the most important class for invertebrates) is scarce in the surrounding area, the contribution of marsh-associated invertebrate species to local biodiversity is likely to be greater.</t>
  </si>
  <si>
    <t>Because woody and herbaceous vegetation are likely to have different invertebrate assemblages, the well-distributed interspersion of both in a wetland implies greater invertebrate diversity.</t>
  </si>
  <si>
    <t>Interspersion of relatively equal-sized patches of open water and vegetation provides habitat for both open-water invertebrate species and those that mostly live among plants.</t>
  </si>
  <si>
    <r>
      <t xml:space="preserve">Aquatic macroinvertebrate communities are negatively associated with agricultural land in a catchment but positively associated with forested land or other perennial cover in areas closest to a stream or wetland (Steedman 1988, Wang et al. 1997).
</t>
    </r>
    <r>
      <rPr>
        <sz val="10"/>
        <rFont val="Arial Narrow"/>
        <family val="2"/>
        <scheme val="minor"/>
      </rPr>
      <t xml:space="preserve">
</t>
    </r>
  </si>
  <si>
    <t>Densities of freshwater shrimp in prairie wetlands are greater in wetlands surrounded with upland perennial vegetation (Anteau et al. 2011).  However,  another study in prairie wetlands found that invertebrate densities and richness were not strongly related to the surrounding land use (Tangen et al. 2003).</t>
  </si>
  <si>
    <t>Springs are widely known to host invertebrate species found in few or no other habitats (Brown 2007).</t>
  </si>
  <si>
    <t xml:space="preserve">The probability of surface water occurring is presumed correlated with the seasonal persistence of surface water.  Wetlands in which surface water persists longer are capable of supporting a wider variety of invertebrates, e.g., those that require many months or years to complete their life cycle, as well as those that mature more rapidly. </t>
  </si>
  <si>
    <t xml:space="preserve">Some invertebrates, such as amphipods, are highly sensitive to pesticides used on crops (Morrill &amp; Neal 1990, Goldsborough &amp; Crumpton 1998, Donald et al. 1999), and invertebrates are harmed by many other pollutants.  </t>
  </si>
  <si>
    <t>If wetland lacks a spring then ignored (NULL) in calculations rather than reducing the score.</t>
  </si>
  <si>
    <t>High interspersion of wetland woody and herbaceous vegetation provides emergence sites for aquatic insects and may be presumed to support more groups of wetland invertebrates.</t>
  </si>
  <si>
    <t>Extensive moss cover creates acidic conditions that can restrict the number of aquatic invertebrate species in a wetland.  Moss also provides less vertical structure than most vascular plants.</t>
  </si>
  <si>
    <t xml:space="preserve">Aquatic invertebrate communities (both benthic and planktonic) are harmed by excessive sedimentation and turbidity from sediment runoff. Sediment from timber-harvest activity (clearings and roads) can intensify the turbidity effects of spawning-salmon disturbance on macroinvertebrates (Campbell et al. 2011). Following timber harvests, the deposition of fine sediment can limit populations of grazing invertebrates even when algal foods become more available (Kiffney &amp; Bull 2000). </t>
  </si>
  <si>
    <t>Although fish are common in isolated wetlands (at least, those that have permanent water), wetlands with a surface water connection to other water bodies usually support greater fish production and diversity and are less prone to winterkill problems.</t>
  </si>
  <si>
    <t>Road access potentially brings more fishing pressure and pollutants, so increasing distance from roads is assumed to be better for fish populations.</t>
  </si>
  <si>
    <t>This is direct evidence of fish use, though not necessarily fish diversity.</t>
  </si>
  <si>
    <t>More interspersion of vegetation with open water is likely to support more fish biomass and diversity because it implies more access of fish to vegetated areas that contain rich food sources (invertebrates inhabiting plants and the sediment surface).</t>
  </si>
  <si>
    <t>Increased natural cover along the perimeter helps filter pollutants and provides insect foods and sometimes shade.  Degraded water quality (particularly lowered dissolved oxygen resulting from die-offs of algal blooms) can limit fish populations, especially in wetlands, ponds, and lakes. However, some studies of prairie wetlands (Hanson 2012 ) have found that fish populations are influenced more by in-pond factors than by surrounding land use.</t>
  </si>
  <si>
    <t>Springs provide a relatively stable thermal environment and a steady input of nutrients that supports algal production and the invertebrate foods important to resident fish.</t>
  </si>
  <si>
    <t>Wetlands that lack permanent surface water do not support fish unless a channel or floodplain is present (that presumably connects to more permanent waters).</t>
  </si>
  <si>
    <t xml:space="preserve">The extent of surface water in a lake or fish-accessible wetland is one of the strongest predictors of overwinter fish survival in Alberta (Paszkowski &amp; Tonn 2001). </t>
  </si>
  <si>
    <t>If no connection, then blank (NULL) and ignored in calculations rather than reducing the indicator score.</t>
  </si>
  <si>
    <t>If wetland not intersected by a Class A or B stream (Alberta Water Act Codes of Practice stream), then cell turns blank (NULL) and is ignored in calculations rather than reducing the indicator score.  The data source is not comprehensive and does not include lakes and ponds.</t>
  </si>
  <si>
    <r>
      <t xml:space="preserve">Because their connectivity with adjoining water bodies is more certain, fringe wetlands often provide better conditions for fish, allowing escape from occasional drought and low oxygen conditions.  </t>
    </r>
    <r>
      <rPr>
        <i/>
        <sz val="10"/>
        <rFont val="Arial Narrow"/>
        <family val="2"/>
      </rPr>
      <t>In calculations, is excluded automatically (cell goes blank) if wetland never has surface water during an average year or if water is present only seasonally.  If condition not met, then ignored in calculations rather than being counted as a negative.</t>
    </r>
  </si>
  <si>
    <r>
      <t xml:space="preserve">Different resident fish species have different habitat needs, and a variety of depths within a wetland implies greater capacity of the wetland to meet the needs of multiple species.  /  </t>
    </r>
    <r>
      <rPr>
        <i/>
        <sz val="10"/>
        <rFont val="Arial Narrow"/>
        <family val="2"/>
      </rPr>
      <t xml:space="preserve"> In calculations, is excluded automatically (cell goes blank) if wetland never has surface water during an average year. Also is excluded automatically if wetland is &lt;0.01 ha.</t>
    </r>
  </si>
  <si>
    <r>
      <t xml:space="preserve">Aquatic plants provide cover for fish and in some cases the associated shading helps maintain cool water temperature. However, as they decay beneath winter ice, they can deprive fish of necessary oxygen (Meding &amp; Jackson 2003).  </t>
    </r>
    <r>
      <rPr>
        <i/>
        <sz val="10"/>
        <rFont val="Arial Narrow"/>
        <family val="2"/>
      </rPr>
      <t>In calculations, is excluded automatically (cell goes blank) if wetland has no ponded water or is &lt;0.01 ha.</t>
    </r>
  </si>
  <si>
    <r>
      <rPr>
        <sz val="10"/>
        <rFont val="Arial Narrow"/>
        <family val="2"/>
      </rPr>
      <t>Most native fish species in this region have low tolerance for highly saline waters.</t>
    </r>
    <r>
      <rPr>
        <sz val="12"/>
        <rFont val="Arial Narrow"/>
        <family val="2"/>
      </rPr>
      <t xml:space="preserve"> </t>
    </r>
    <r>
      <rPr>
        <i/>
        <sz val="10"/>
        <rFont val="Arial Narrow"/>
        <family val="2"/>
      </rPr>
      <t xml:space="preserve"> If wetland is saline or brackish the score for this indicator is 0.  Otherwise it is ignored in the calculations and does not reduce the score.</t>
    </r>
  </si>
  <si>
    <t>Presence of contaminant sources suggests the potential for long-term harm to fish populations (e.g., Jeffries et al. 2008a,b, Brinkmann 2012, Brinkmann &amp; Rasmussen 2012).</t>
  </si>
  <si>
    <t>Annual export of accumulated organic matter to downslope water bodies is greater in wetlands with outlets, especially those with persistent outflow (Pacific et al. 2010).  Nonetheless, even wetlands that lack outlets may export variable amounts of dissolved carbon via subsurface infiltration and "pipes" created by decayed subsurface peat and tree roots which cannot be evaluated in a rapid assessment.</t>
  </si>
  <si>
    <t>These wetland classes usually have the largest stores of carbon and other nutrients available for downstream export.</t>
  </si>
  <si>
    <t>The probability that organic matter from wetland plants will be exported increases in relation to the percent of the inundated area containing such plants, provided some outflow paths exist.</t>
  </si>
  <si>
    <t xml:space="preserve">Wetlands along streams or rivers or in floodplains are more likely to be exposed to moving water that can export organic matter downstream. </t>
  </si>
  <si>
    <t>Soil organic matter and the nutrients it contains are important to aquatic food chains.</t>
  </si>
  <si>
    <t>Although moss-covered wetlands tend to have lower annual productivity, the accumulated moss is very rich in carbon and other nutrients and if subject to flows that can export it, can make these wetlands significant contributors of these nutrients at a watershed scale.</t>
  </si>
  <si>
    <t>More extensive ground cover may imply more organic matter is available for export.  Excessive litter buildup sometimes implies a lack of significant exporting forces, e.g., currents.</t>
  </si>
  <si>
    <t xml:space="preserve">Denitrification rates are often limited by the amount of available carbon. Organic soils have the most carbon, and coarse soils usually have the least. Denitrification enzyme activity, on a per gram basis, is typically greater in organic soils than mineral soils (Van Hoewyk et al. 2000). However, the acidic nature of many organic soils can limit denitrification, the major process for nitrate removal. Soils having less than 65% silt and clay have very limited capacity to remove nitrate via denitrification (Pinay et al. 2003). Emissions of nitrous oxide (a detrimental greenhouse gas) are most likely to occur in soils that are poor in organic matter but rich in nitrogen (e.g., the carbon-nitrogen ratio is less than 25, Hunt et al. 2007). </t>
  </si>
  <si>
    <t>Less clumping (more interspersion) of vegetation with open water is likely to support more phosphorus retention because it implies  more contact between plants that retain P and the P-bearing water.</t>
  </si>
  <si>
    <t>Open water areas are more prone to wind that can mix of bottom sediments, resuspending the P-bearing sediment and resulting in export if an outlet is present. When there is proportionally more vegetation than open water, that provides potential for trapping suspended sediment and retaining its associated P.</t>
  </si>
  <si>
    <t xml:space="preserve">Wetlands frozen later into the spring are less able to retain P-bearing sediment suspended in snowmelt runoff.  </t>
  </si>
  <si>
    <t>Sediments that remain covered with water year-round (and longer) tend to become anaerobic and release phosphorus, especially in deeper wetlands. Thus, wetlands with the lowest probability of having permanent water may be most retentive of whatever P they receive.</t>
  </si>
  <si>
    <t xml:space="preserve">Larger vegetated areas imply longer retention times that presumably promote greater P retention per unit area.  </t>
  </si>
  <si>
    <r>
      <t xml:space="preserve">In some cases, sediments that remain covered with water year-round (and longer) tend to become anaerobic and release phosphorus, especially in deeper wetlands. Thus, wetlands with the least extent of persistent water may be most retentive of whatever P they receive.  In contrast, seasonal drawdowns can mobilize phosphorus that has accumulated in sediments (Snyder &amp; Morace 1997, Aldous et al. 2005). To a perhaps lesser extent, reflooding of soils that have been dry for extended periods also can mobilize phosphorus, especially if flooding creates anoxic conditions (Burley et al. 2001), or if large quantities of leaf litter and other organic matter are present and rapidly decompose or leach phosphorus. </t>
    </r>
    <r>
      <rPr>
        <i/>
        <sz val="10"/>
        <rFont val="Arial Narrow"/>
        <family val="2"/>
      </rPr>
      <t>In calculations, is excluded automatically (cell goes blank) if wetland never has surface water during an average year.</t>
    </r>
  </si>
  <si>
    <r>
      <t xml:space="preserve">Lacustrine wetlands are more likely than bogs or fens to be phosphorus-limited (Walbridge &amp; Navaratnam 2006), and thus should be more able to take up and retain phosphorus. </t>
    </r>
    <r>
      <rPr>
        <i/>
        <sz val="10"/>
        <rFont val="Arial Narrow"/>
        <family val="2"/>
      </rPr>
      <t>In calculations, is excluded automatically (cell goes blank) if wetland never has surface water during an average year.</t>
    </r>
  </si>
  <si>
    <r>
      <t xml:space="preserve">Wetting and drying of sediments, as happens especially in wetlands with large water level fluctuations, increases the leaching and desorption of phosphorus from sediment organic matter, thus resulting in net export. However, stable water levels also can promote phosphorus export (not retention) because they are often associated with anoxic conditions that result in increased mobility of phosphorus. Sediment P release and subsequent export is particularly strong during periods of seasonal anoxia (Burley et al. 2001). </t>
    </r>
    <r>
      <rPr>
        <i/>
        <sz val="10"/>
        <rFont val="Arial Narrow"/>
        <family val="2"/>
      </rPr>
      <t>In calculations, is excluded automatically (cell goes blank) if wetland never has surface water during an average year, or if none of it floods only seasonally.</t>
    </r>
  </si>
  <si>
    <r>
      <t>Deeper wetlands are more likely to experience anoxic conditions that promote P mobility and export. However, deeper waters also imply slower water velocity, longer water detention time, more time for biological processing of phosphorus, and reduced likelihood of phosphorus associated with deposited sediments being resuspended by wind mixing or currents.</t>
    </r>
    <r>
      <rPr>
        <i/>
        <sz val="10"/>
        <rFont val="Arial Narrow"/>
        <family val="2"/>
      </rPr>
      <t xml:space="preserve"> In calculations, is excluded automatically (cell goes blank) if wetland never has surface water during an average year, or if wetland is &lt;0.01 ha..</t>
    </r>
  </si>
  <si>
    <t>In saline wetlands, phosphorus often complexes with calcium.  It then precipitates and that facilitates retention.  Also, wetlands with moss cover and moderate to high conductivity (such as rich fens) retain phosphorus effectively (Prepas et al. 2011).</t>
  </si>
  <si>
    <t xml:space="preserve">Greater interspersion of vegetation with open water is likely to support more sediment retention because it implies more contact between plants that trap sediment and the sediment-bearing water. </t>
  </si>
  <si>
    <t xml:space="preserve">Open water areas are more prone to wind that can mix of bottom sediments, resuspending the sediment and resulting in export if an outlet is present. When there is proportionally more vegetation than open water, that provides potential for trapping suspended sediment and stabilizing sediment already deposited. </t>
  </si>
  <si>
    <t xml:space="preserve">The presence of steep slopes near a wetland suggests that water residence time in the associated wetland may also be short, thus reducing its potential for retaining sediment.  However, if the wetland is large, slope angle is unlikely to have much effect on water residence time within that wetland. </t>
  </si>
  <si>
    <t xml:space="preserve">Wetlands frozen later into the spring (as indicated by Subzero Days) are less able to retain sediment suspended in snowmelt runoff. </t>
  </si>
  <si>
    <t xml:space="preserve">The absolute size of the vegetated area correlates with increased sediment trapping and stabilization potential, and is sometimes independent of the proportion of the wetland that is vegetated.  Larger vegetated areas imply longer retention times that support deposition and retention.  </t>
  </si>
  <si>
    <r>
      <t xml:space="preserve">As a wetland's surface water area expands seasonally, water velocity is often reduced due to increased friction, and material suspended in the expanding water body is more likely to be deposited. </t>
    </r>
    <r>
      <rPr>
        <i/>
        <sz val="10"/>
        <rFont val="Arial Narrow"/>
        <family val="2"/>
      </rPr>
      <t xml:space="preserve"> In calculations, is excluded automatically (cell goes blank) if wetland never has surface water during an average year. </t>
    </r>
  </si>
  <si>
    <r>
      <t xml:space="preserve">Deeper waters usually imply slower water velocity, longer water detention time, more space for storing deposited sediments over time, and reduced likelihood of deposited sediments being resuspended by wind mixing or currents (Evans &amp; Rigler 1983, Nolen et al. 1985). However, vegetation density is usually greater in shallow wetlands, providing other opportunities to filter and stabilize (with roots systems) suspended sediments. </t>
    </r>
    <r>
      <rPr>
        <i/>
        <sz val="10"/>
        <rFont val="Arial Narrow"/>
        <family val="2"/>
      </rPr>
      <t>In calculations, is excluded automatically (cell goes blank) if wetland never has surface water during an average year. Also is excluded automatically if wetland is &lt;0.01 ha.</t>
    </r>
  </si>
  <si>
    <r>
      <t xml:space="preserve">Wetlands whose shorelines have gentle slope are more likely than those with steep ones to retain sediment runoff from adjoining uplands, and are likely to have more vegetation that facilitates this. </t>
    </r>
    <r>
      <rPr>
        <i/>
        <sz val="10"/>
        <rFont val="Arial Narrow"/>
        <family val="2"/>
      </rPr>
      <t>In calculations, is excluded automatically (cell goes blank) if wetland never has surface water during an average year. Also is excluded automatically if wetland lacks open water or is &lt;0.01 ha.</t>
    </r>
  </si>
  <si>
    <r>
      <t xml:space="preserve">Wider vegetated areas provide more area for sediment particles borne in runoff to be filtered and deposited. Knutson et al. (1981) found that emergent wetlands wider than 30 feet reduced wave energy by 88% while those less than 6 feet wide were relatively ineffective in wave buffering. Many studies have shown that sediment retention is greatest in the first 5-20 ft of a buffer, that is, the most uphill portion, which is closest to potential inputs of runoff-borne sediment (Polyakov et al. 2005, White et al. 2007). However, this depends on steepness of the terrain, erodibility and infiltration capacity of the soil, ground cover, antecedent soil saturation, sediment particle size, and runoff intensity. Wider buffers are required when runoff carries finer-sized particles (e.g., clay).  </t>
    </r>
    <r>
      <rPr>
        <i/>
        <sz val="10"/>
        <rFont val="Arial Narrow"/>
        <family val="2"/>
      </rPr>
      <t>In calculations, is excluded automatically (cell goes blank) if wetland never has surface water during an average year. Also is excluded automatically if wetland lacks open water or is &lt;0.01 ha.</t>
    </r>
  </si>
  <si>
    <r>
      <t xml:space="preserve">Ponding allows more time for suspended sediment to settle out.  </t>
    </r>
    <r>
      <rPr>
        <i/>
        <sz val="10"/>
        <rFont val="Arial Narrow"/>
        <family val="2"/>
      </rPr>
      <t>In calculations, is excluded automatically (cell goes blank) if wetland never has surface water during an average year. Also is excluded automatically if wetland is &lt;0.01 ha.</t>
    </r>
  </si>
  <si>
    <r>
      <t xml:space="preserve">Wetlands that lack outlets retain all sediment that enters them, and very little is remobilized and exported downgradient over the long term.  Wetlands that connect to downslope water bodies for only part of the year may export less sediment annually than those with persistent outflow. </t>
    </r>
    <r>
      <rPr>
        <i/>
        <sz val="10"/>
        <rFont val="Arial Narrow"/>
        <family val="2"/>
      </rPr>
      <t>In calculations, is excluded automatically (cell goes blank) if wetland never has surface water during an average year.</t>
    </r>
  </si>
  <si>
    <t>If soils within a wetland are being disturbed or eroded, it is less likely the wetland will retain sediment on a net annual basis.</t>
  </si>
  <si>
    <t>Wetlands that have no outflow are likely to have only minimal effect on temperature of downslope water bodies.</t>
  </si>
  <si>
    <t>Fens are groundwater discharge areas.  The discharging groundwater in most cases is cooler than receiving surface waters.</t>
  </si>
  <si>
    <t>Longer retention time means more time for stagnant water to reach air temperature or heat further as a result of solar exposure.</t>
  </si>
  <si>
    <t>Wetlands that are not connected to downgradient waters at least seasonally have only minimal effect on temperature of those water bodies.</t>
  </si>
  <si>
    <t>Surface water that persists in a wetland for longer into the summer can continue for longer to subsidize downgradient water bodies with water that potentially is cooler.</t>
  </si>
  <si>
    <t xml:space="preserve">In calculations, is excluded automatically (cell goes blank) if AA is not a groundwater discharge area or spring. </t>
  </si>
  <si>
    <r>
      <t xml:space="preserve">Where most of the surface water is ponded, it is more likely to be heated by the sun than if distributed in the channels or residing underground.  </t>
    </r>
    <r>
      <rPr>
        <i/>
        <sz val="10"/>
        <rFont val="Arial Narrow"/>
        <family val="2"/>
      </rPr>
      <t>In calculations, is excluded automatically (cell goes blank) if wetland never has surface water during an average year.  Also is excluded automatically if wetland is &lt;0.01 ha.</t>
    </r>
  </si>
  <si>
    <t>Wetlands that have no outflow are likely to have only minimal effect on volume of flow reaching downstream water bodies.</t>
  </si>
  <si>
    <t>Headwater wetlands are more likely than lowland wetlands to be in a position to measurably influence water volume and persistence in downgradient channels.</t>
  </si>
  <si>
    <t>Fens are typically groundwater discharge areas, and such discharge is more seasonally stable and thus more likely to contribute water late in the season when flow in receiving streams otherwise can be low.</t>
  </si>
  <si>
    <t>Open water experiences more water loss from evaporation due to wind and solar heating, and that can mean less water available to subsidize downgradient streams.</t>
  </si>
  <si>
    <t>Wetlands in regions with intrinsically large precipitation deficits may be less capable of subsidizing flow in downgradient streams.</t>
  </si>
  <si>
    <t>Wetlands that are not in riparian or floodplain locations are likely to have only minimal effect on volume of flow reaching downstream water bodies.</t>
  </si>
  <si>
    <t>Wetlands that remain frozen for longer in the spring may have more potential to subsidize flow in receiving streams as wetland ice gradually melts.</t>
  </si>
  <si>
    <t>More permanent surface water in a wetland implies more potential for some of that water to subsidize flow in receiving streams.</t>
  </si>
  <si>
    <t>Wetlands that comprise a larger proportion of their watershed are more likely to have measurable effect on downgradient waters.</t>
  </si>
  <si>
    <t>Evapotranspiration from vegetation can represent a significant loss of water that otherwise might subsidize downstream flows.</t>
  </si>
  <si>
    <t xml:space="preserve">Late in the growing season, woody vegetation transpires significant amounts of water, thus making that water unavailable for subsidizing stream flow.  However, woody plants can also intercept drifting snow during the winter, and  significant amounts of precipitation early during the growing season, for later use in subsidizing stream flow (Kort et al. 2012). </t>
  </si>
  <si>
    <t>Wetlands in regions with persistent summer winds experience more evaporative loss of their water and thus may be less capable of subsidizing flow in downgradient streams.</t>
  </si>
  <si>
    <r>
      <t>Deeper water implies greater water volume to potentially feed downslope streams.</t>
    </r>
    <r>
      <rPr>
        <i/>
        <sz val="10"/>
        <rFont val="Arial Narrow"/>
        <family val="2"/>
      </rPr>
      <t xml:space="preserve"> In calculations, is excluded automatically (cell goes blank) if wetland never has surface water during an average year.  Also is excluded automatically if wetland is &lt;0.01 ha.</t>
    </r>
  </si>
  <si>
    <r>
      <t xml:space="preserve">This directly estimates the relative amount of horizontal space in which precipitation and runoff are being stored, at least temporarily. The ability of wetland water storage to reduce stream peak flows is greatest in summer and fall, where those are the driest times of year (Roulet &amp; Woo 1988, Quinton &amp; Roulet 1998). </t>
    </r>
    <r>
      <rPr>
        <i/>
        <sz val="10"/>
        <rFont val="Arial Narrow"/>
        <family val="2"/>
        <scheme val="minor"/>
      </rPr>
      <t xml:space="preserve"> In calculations, is excluded automatically (cell goes blank) if wetland never has surface water during an average year.</t>
    </r>
  </si>
  <si>
    <r>
      <t xml:space="preserve">Ponding indicates water is in storage rather than being transferred immediately downslope.  Water distributed in small pools is more subject to loss via evapotranspiration before it can exit a wetland.  </t>
    </r>
    <r>
      <rPr>
        <i/>
        <sz val="10"/>
        <rFont val="Arial Narrow"/>
        <family val="2"/>
        <scheme val="minor"/>
      </rPr>
      <t>In calculations, is excluded automatically (cell goes blank) if wetland never has surface water during an average year.  Also is excluded automatically if wetland is &lt;0.01 ha.</t>
    </r>
  </si>
  <si>
    <r>
      <t xml:space="preserve">Like a constricted outlet, vegetation and other obstacles create a "roughness" within a wetland that can slow the outflow and downstream movement of water. This is much truer if the vegetation intercepts a large proportion of the flow during high-flow periods (i.e., is not merely along an upland edge that never floods), and is tall and stiff enough to provide some resistance. However, the vegetation itself occupies space otherwise available for storing water (this effect is usually negligible). Water also takes longer to move through complex channel networks (e.g., braided or sinuous) which themselves provide additional friction. This indicator is an attempt to represent "Manning's n" which is a standard term in stream hydraulic models.  </t>
    </r>
    <r>
      <rPr>
        <i/>
        <sz val="10"/>
        <rFont val="Arial Narrow"/>
        <family val="2"/>
        <scheme val="minor"/>
      </rPr>
      <t>In calculations, is excluded automatically (cell goes blank) if wetland never has surface water during an average year.  Also is excluded automatically if no surface inflow.</t>
    </r>
  </si>
  <si>
    <r>
      <t xml:space="preserve">Wetlands that store water only temporarily or seasonally have longer periods during the year in which soils are unsaturated and thus able to briefly store or delay additional water from precipitation and runoff. Wetland connectivity is key to estimating wetland water storage: wetlands that lack an outlet (never have any outflow) store or dissipate (via evaporation or seepage) nearly all the water they receive (Spence et al. 2011).  </t>
    </r>
    <r>
      <rPr>
        <i/>
        <sz val="10"/>
        <rFont val="Arial Narrow"/>
        <family val="2"/>
        <scheme val="minor"/>
      </rPr>
      <t>In calculations, is excluded automatically (cell goes blank) if wetland never has surface water during an average year</t>
    </r>
  </si>
  <si>
    <r>
      <t xml:space="preserve">Shade from vegetation and other features is an important factor in cooling surface water and runoff before it reaches water bodies farther downstream (e.g., Rounds 2007).  A study of many Seattle-area wetlands found that summertime temperatures ranged higher in wetlands that were characterized by relatively large open pools that lacked shade (Reinelt &amp; Horner 1990). </t>
    </r>
    <r>
      <rPr>
        <i/>
        <sz val="10"/>
        <rFont val="Arial Narrow"/>
        <family val="2"/>
      </rPr>
      <t>In calculations, is excluded automatically (cell goes blank) if wetland never has surface water during an average year or if water is present only seasonally.</t>
    </r>
  </si>
  <si>
    <r>
      <t xml:space="preserve">Ponded water that is open and unvegetated it is more likely to be heated by the sun.  </t>
    </r>
    <r>
      <rPr>
        <i/>
        <sz val="10"/>
        <rFont val="Arial Narrow"/>
        <family val="2"/>
      </rPr>
      <t>In calculations, is excluded automatically (cell goes blank) if wetland never has surface water during an average year.  Also is excluded automatically if wetland has no ponded water.</t>
    </r>
  </si>
  <si>
    <t>Soil temperatures are warmer for longer on south-facing slopes, and this is essential for denitrification which removes soluble N (Kim et al. 2007). However, those soils should not be dried out to less than 70% saturation by those warmer conditions (Hefting et al. 2006).</t>
  </si>
  <si>
    <t xml:space="preserve">Microbes responsible for most of the nitrate removal in wetlands thrive best at warmer soil or sediment temperatures. </t>
  </si>
  <si>
    <t>Greater interspersion of open water and vegetation is hypothesized to support greater nitrate removal. That is because open water areas tend to be more aerobic, whereas densely vegetated areas often are anaerobic, except where plant roots oxidize a small part of the sediment. The combination of anaerobic and aerobic areas in close proximity facilitates nitrate loss through denitrification.</t>
  </si>
  <si>
    <t>Denitrification rates can be limited by the amount of available carbon. Denitrification enzyme activity, on a per gram basis, is typically greater in organic soils than mineral soils (Van Hoewyk et al. 2000).  If the organic matter (carbon) is labile, i.e., readily assimilated by certain microbes, more nitrate will be removed from the water.</t>
  </si>
  <si>
    <t>Microbes responsible for most of the nitrate removal in wetlands thrive best at warmer soil or sediment temperatures (e.g., Beutel et al. 2009).</t>
  </si>
  <si>
    <t>Water table levels tend to be more dynamic in marsh and swamp classes than in bog or fen wetland classes.  Dynamic water levels tend to result in greater denitrification rates.</t>
  </si>
  <si>
    <t>Water table depth and duration of saturation affect sediment oxygen (redox) and thus N cycling (D’Amore et al. 2009).  Denitrification rates are highest at the interface between aerobic and anaerobic conditions. Such conditions often develop where much of a wetland is inundated only seasonally, e.g., water area expands into vegetated areas only seasonally. In addition, levels of soil organic matter are often higher in seasonal wetlands than in permanently inundated ones (Shaffer &amp; Ernst 1999), and organic matter is key to supporting denitrification.</t>
  </si>
  <si>
    <t>Upland soils are normally aerobic, whereas wetland soils are often anaerobic. Maximum denitrification occurs at the interface of aerobic and anaerobic conditions. Thus, proportionally longer (i.e., convoluted) edges should provide the most opportunity for removal of nitrate via denitrification.</t>
  </si>
  <si>
    <t>If not on the list then cell turns blank (NULL) and is ignored in calculations rather than reducing the score.</t>
  </si>
  <si>
    <t>If not a lake then cell turns blank (NULL) and is ignored in calculations rather than reducing the score.</t>
  </si>
  <si>
    <t>If not in a Reserve or Natural Area then cell turns blank (NULL) and is ignored in calculations rather than reducing the score.</t>
  </si>
  <si>
    <t>If no trail is mapped within 100m of wetland then cell turns blank (NULL) and is ignored in calculations rather than its absence reducing the score.</t>
  </si>
  <si>
    <t xml:space="preserve">Low Net Annual P-PET (Precipitation minus Potential Evapotranspiration) reflects high evaporation in excess of precipitation, and that provides greater space for storing additional runoff.  However, this was modeled at only a broad scale without fully accounting for more localised factors such as wind, wetland shape, and vegetation. </t>
  </si>
  <si>
    <t>Loss of water from wetlands via infiltration is more likely to occur when sediments are coarse-textured.  However, this requires that sediments not be continually saturated as commonly occurs where groundwater is discharging.</t>
  </si>
  <si>
    <r>
      <t>Plants take up phosphorus from sediments (and some, from the water directly) and can facilitate long-term retention if P is transferred to roots that are not as subject as the foliage is to leaching the nutrients back into the water column. Plants also facilitate sediment deposition by slowing the water, and much phosphorus is adsorbed on that sediment so is also deposited and potentially retained.  However, their decaying foliage also frequently creates anoxic conditions that promote P release from sediments, if iron concentrations are low and aeration by currents and wind is poor (as tends to occur when emergent and submersed aquatic plants occupy most of a water body).</t>
    </r>
    <r>
      <rPr>
        <i/>
        <sz val="10"/>
        <rFont val="Arial Narrow"/>
        <family val="2"/>
      </rPr>
      <t xml:space="preserve"> In calculations, is excluded automatically (cell goes blank) if wetland never has surface water during an average year. Also is excluded automatically if wetland has no ponded water or is &lt;0.01 ha.</t>
    </r>
  </si>
  <si>
    <t xml:space="preserve">The effectiveness for retaining particulate nitrate and converting soluble nitrate and ammonium to nitrogen gas, primarily through the microbial process of denitrification, while generating little or no nitrous oxide (a potent greenhouse gas).  </t>
  </si>
  <si>
    <t>AVERAGE(1-Sub0Days, GrowDD)</t>
  </si>
  <si>
    <t>Denitrification: Labile Carbon Control [Carb]</t>
  </si>
  <si>
    <t>AVERAGE(Aspect,WetWooded)</t>
  </si>
  <si>
    <t>10*AVERAGE(WatProb, SwampMarshPct, WetPerim2Area, MixWaterVeg, c, d, e)</t>
  </si>
  <si>
    <t>IF(OutNone+OutNone1&gt;0), then =10</t>
  </si>
  <si>
    <t>AVERAGE(SoilTex4, SoilOrgPct)</t>
  </si>
  <si>
    <t>Alberti, M., D. Booth, K. Hill, B. Coburn, C. Avolio, S. Coe, and D. Spirandelli. 2007. The impact of urban patterns on aquatic ecosystems: An empirical analysis in Puget lowland sub-basins. Landscape and Urban Planning 80:345-361.</t>
  </si>
  <si>
    <t>Bedford, B. L., M. R. Walbridge, and A. Aldous. 1999. Patterns in nutrient availability and plant diversity of temperate North American wetlands. Ecology 80:2151-2169.</t>
  </si>
  <si>
    <t>Berendse, F., N. Van Breemen, H. Rydin, A. Buttler, M. Heijmans, M. Hoosbeek, J. A. H. Lee, E. Mitchell, T. Saarinen, H. Vasander, and B. Wallén. 2001. Raised atmospheric CO2 levels and increased N deposition cause shifts in plant species composition and production in Sphagnum bogs. Global Change Biology 7.</t>
  </si>
  <si>
    <t>Blevins, L., C. Prescott, and A. Van Niejenhuis. 2006. The roles of nitrogen and phosphorus in increasing productivity of western hemlock and western redcedar plantations on northern Vancouver Island. Forest Ecology and Management 234:116-122.</t>
  </si>
  <si>
    <t>Bragazza, L., T. Tahvanainen, L. Kutnar, H. Rydin, J. Limpens, M. Hájek, P. Grosvernier, T. Hájek, P. Hajkova, I. Hansen, P. Iacumin, and R. Gerdol. 2004. Nutritional constraints in ombrotrophic Sphagnum plants under increasing atmospheric nitrogen deposition in Europe. New Phytologist 163.</t>
  </si>
  <si>
    <t>Clilverd, H. M., J. B. Jones, and K. Kielland. 2008. Nitrogen retention in the hyporheic zone of a glacial river in interior Alaska. Biogeochemistry 88:31–46.</t>
  </si>
  <si>
    <t>Cortini, F. and P. G. Comeau. 2008. Effects of red alder and paper birch competition on juvenile growth of three conifer species in southwestern British Columbia. Forest Ecology and Management 256:1795-1803.</t>
  </si>
  <si>
    <t>D’Amore, D. V., P. E. Hennon, P. G. Schaberg, and G. J. Hawley. 2009. Adaptation to exploit nitrate in surface soils predisposes yellow-cedar to climate-induced decline while enhancing the survival of western redcedar: A new hypothesis. Forest Ecology and Management 258:2261-2268.</t>
  </si>
  <si>
    <t>D’Amore, A., V. Hemingway, and K. Wasson. 2010. Do a threatened native amphibian and its invasive congener differ in response to human alteration of the landscape? Biological Invasions 12:145-154.</t>
  </si>
  <si>
    <t>Dosskey, M. G. 2001. Toward quantifying water pollution abatement in response to installing buffers on crop land. Environmental Management 28:577-598.</t>
  </si>
  <si>
    <t>Fellman, J. B. and D. V. D'Amore. 2007. Nitrogen and phosphorus mineralization in three wetland types in Southeast Alaska, USA. Wetlands 27:44-53.</t>
  </si>
  <si>
    <t>Gunderson, L. H., S. R. Carpenter, C. Folke, P. Olsson, and G. D. Peterson. 2006. Water RATs (resilience, adaptability, and transformability) in lake and wetland social-ecological systems. Ecology and Society 11:16.</t>
  </si>
  <si>
    <t>Hazlett, P., K. Broad, A. Gordon, P. Sibley, J. Buttle, and D. Larmer. 2008. The importance of catchment slope to soil water N and C concentrations in riparian zones: implications for riparian buffer width. Canadian Journal of Forest Research-Revue Canadienne De Recherche Forestiere 38:16-30.</t>
  </si>
  <si>
    <t>Hefting, M., B. Beltman, D. Karssenberg, K. Rebel, M. van Riessen, and M. Spijker. 2006. Water quality dynamics and hydrology in nitrate loaded riparian zones in the Netherlands. Environmental Pollution 139:143-156.</t>
  </si>
  <si>
    <t>Heijmans, M. M. P. D., H. Klees, W. de Visser, and F. Berendse. 2002. Response of a Sphagnum bog plant community to elevated CO2 and N supply. Plant Ecology 162:123-134.</t>
  </si>
  <si>
    <t>Heilman, P. E. 1966. Change in distribution and availability of nitrogen with forest succession on north slopes in interior Alaska. Ecology:825-831.</t>
  </si>
  <si>
    <t>Hennon, P. E., D. V. D'Amore, D. T. Witter, and M. B. Lamb. 2010. Influence of forest canopy and snow on microclimate in a declining yellow-cedar forest of Southeast Alaska. Northwest Science 84:73-87.</t>
  </si>
  <si>
    <t>Hunt, P. G., T. A. Matheny, and K. S. Ro. 2007. Nitrous oxide accumulation in soils from riparian buffers of a coastal plain watershed-carbon/nitrogen ratio control. Journal of Environmental Quality 36:1368-1376.</t>
  </si>
  <si>
    <t>Jordan, T. E., D. L. Correll, and D. E. Weller. 1997. Relating nutrient discharges from watersheds to land use and streamflow variability. Water Resources Research 33:2579-2590.</t>
  </si>
  <si>
    <t>Kim, I. J., S. L. Hutchinson, J. M. S. Hutchinson, and C. B. Young. 2007. Riparian ecosystem management model: sensitivity to soil, vegetation, and weather input parameters. Journal of the American Water Resources Association 43:1171-1182.</t>
  </si>
  <si>
    <t>King, R. S., M. E. Baker, D. F. Whigham, D. E. Weller, T. E. Jordan, P. F. Kazyak, and M. K. Hurd. 2005. Spatial considerations for linking watershed land cover to ecological indicators in streams. Ecological Applications 15:137-153.</t>
  </si>
  <si>
    <t>Kroeger, K. D. and M. A. Charette. 2008. Nitrogen biogeochemistry of submarine groundwater discharge. Limnology and Oceanography 53:1025-1079.</t>
  </si>
  <si>
    <t>Li, Y. and D. H. Vitt. 1997. Patterns of retention and utilization of aerially deposited nitrogen in boreal peatlands. Ecoscience. Sainte-Foy 4:106-116.</t>
  </si>
  <si>
    <t>Madden, S. S., G. R. Robinson, and J. G. Arnason. 2007. Spatial variation in stream water quality in relation to riparian buffer dimensions in a rural watershed of eastern New York state. Northeastern Naturalist 14:605-618.</t>
  </si>
  <si>
    <t>Mayers, P. M., S. K. Reynolds, M. D. McCutchen, and T. J. Canfield. 2005. Riparian Buffer Width, Vegetative Cover, and Nitrogen Removal Effectiveness: A Review of Current Science and Regulations, EPA/600/R-05/118. USEPA, Office of Research and Development, Washington, DC.</t>
  </si>
  <si>
    <t>Mayer, P. M., S. K. Reynolds, Jr., M. D. McCutchen, and T. J. Canfield. 2007. Meta-analysis of nitrogen removal in riparian buffers. Journal of Environmental Quality 36:1172-1180.</t>
  </si>
  <si>
    <t>Pinay, G., T. O'Keefe, R. Edwards, and R. J. Naiman. 2003. Potential denitrification activity in the landscape of a western Alaska drainage basin. Ecosystems 6:336-343.</t>
  </si>
  <si>
    <t>Sanborn, P. T., C. M. Preston, and R. Brockley. 2002. N-2-fixation by Sitka alder in a young lodgepole pine stand in central interior British Columbia, Canada. Forest Ecology and Management 167:223-231.</t>
  </si>
  <si>
    <t>Shaffer, P. W. and T. L. Ernst. 1999. Distribution of soil organic matter in freshwater emergent/open water wetlands in the Portland, Oregon metropolitan area. Wetlands 19:505-516.</t>
  </si>
  <si>
    <t>Song, K., D. Liu, Z. Wang, B. Zhang, C. Jin, F. Li, and H. Liu. 2008. Land use change in Sanjiang Plain and its driving forces analysis since 1954. ACTA Georaphica Sinica-Chinese Edition 63:93.</t>
  </si>
  <si>
    <t>Wigington, P. J., S. M. Griffith, J. A. Field, J. E. Baham, W. R. Horwath, J. Owen, J. H. Davis, S. C. Rain, and J. J. Steiner. 2003. Nitrate removal effectiveness of a riparian buffer along a small agricultural stream in western Oregon. Journal of Environmental Quality 32:162-170.</t>
  </si>
  <si>
    <t>Zaman, M., M. L. Nguyen, F. Matheson, J. D. Blennerhassett, and B. F. Quin. 2007. Can soil amendments (zeolite or lime) shift the balance between nitrous oxide and dinitrogen emissions from pasture and wetland soils receiving urine or urea-N? Australian Journal of Soil Research 45:543-553.</t>
  </si>
  <si>
    <t xml:space="preserve">Floodplain wetlands are notably effective for removing N via denitrification (Clilverd et al. 2008) and that process is limited by available carbon more than it is in bogs (Pinay et al. 2003). Bogs are typically nitrogen-poor (Heilman 1966) and thus are able to rapidly take up much of the nitrate that reaches them (D’Amore et al. 2010). Their acidic conditions inhibit generation of nitrous oxide, but also may inhibit nitrification and the removal of nitrate via denitrification (Pinay et al. 2003). Denitrification is more prominent in fens and marshes than in acidic bogs. Bogs tend to cycle nitrogen internally and remove added N (Li &amp; Vitt 1997, Bayley &amp; Mewhort 2004), although due to acidic conditions and other factors, mosses in some wetlands have less capacity to take up apparently available N than do vascular plants (Heijmans et al. 2002, Berendse et al. 2001). Forested wetlands, especially those with an alder component or on slopes, may have less capacity to remove N via denitrification and may actually add nitrate via N fixation (Fellman &amp; D’Amore 2007). However, in forested wetlands in BC, the volume of hemlocks increased tenfold 10 years after fertilization with N, especially when combined with addition of P. And western red cedar stand volume more than doubled 15 years after N fertilization, although there was no additional effect of P fertilization (Blevins et al. 2006). Hemlock and cedar stands were similarly found to be N-limited by McDonald et al. (1994) and Lertzmann et al. (1996). Marshes tend to retain or remove nitrogen (Bedford et al. 1999). </t>
  </si>
  <si>
    <r>
      <t xml:space="preserve">Exposing sediments to the air can cause them to release accumulated nitrate, potentially resulting in less removal. In contrast, long-duration flooding usually makes sediments anaerobic, which is necessary for the denitrification process.  Denitrification processes occur when anaerobic conditions occur, which are more likely when surface water is present and blocks gas exchange. Shallow inundation tends to decrease emissions of nitrous oxide (Zaman et al. 2007, Song et al. 2008). </t>
    </r>
    <r>
      <rPr>
        <i/>
        <sz val="10"/>
        <rFont val="Arial Narrow"/>
        <family val="2"/>
        <scheme val="minor"/>
      </rPr>
      <t xml:space="preserve">In calculations, is excluded automatically (cell goes blank) if wetland never has surface water during an average year. </t>
    </r>
  </si>
  <si>
    <r>
      <t xml:space="preserve">Water table depth and duration of saturation affect redox and thus N cycling (D’Amore et al. 2009). Denitrification rates are highest at the interface between aerobic and anaerobic conditions. Such conditions often develop where a ponded area expands seasonally into vegetated areas. In addition, levels of soil organic matter are often higher in seasonal wetlands than in permanently inundated ones (Shaffer &amp; Ernst 1999), and organic matter is key to supporting denitrification. </t>
    </r>
    <r>
      <rPr>
        <i/>
        <sz val="10"/>
        <rFont val="Arial Narrow"/>
        <family val="2"/>
        <scheme val="minor"/>
      </rPr>
      <t>In calculations, is excluded automatically (cell goes blank) if wetland never has surface water during an average year.</t>
    </r>
  </si>
  <si>
    <r>
      <t xml:space="preserve">Wetting and drying of sediments, as happens especially in wetlands with large and frequent water level fluctuations (because a wider area is subject to wetting-drying and associated aerobic-anaerobic shift), increases the loss of nitrate via denitrification. In Oregon, decreased total nitrogen in streams was associated with increased stream flashiness that had resulted from urbanization (Waite et al. 2006).  </t>
    </r>
    <r>
      <rPr>
        <i/>
        <sz val="10"/>
        <rFont val="Arial Narrow"/>
        <family val="2"/>
        <scheme val="minor"/>
      </rPr>
      <t>In calculations, is excluded automatically (cell goes blank) if wetland never has surface water during an average year, or if none of it floods only seasonally.</t>
    </r>
  </si>
  <si>
    <r>
      <t xml:space="preserve">Wider vegetated areas provide more area for biological processing of nitrate, and for nitrate adsorbed to sediment particles in runoff to be filtered and deposited. The most comprehensive and sophisticated analysis that used statistical procedures (meta-analysis) to synthesize results from over 60 peer-reviewed studies of nitrate removal by buffers in temperate climates found that widths of approximately 10 ft, 92 ft, and 367 ft are needed to achieve 50%, 75%, and 90% removal efficiencies for nitrate (Mayer et al. 2005, Mayer et al. 2007). This assumed that most inputs are through subsurface flow. When surface flow dominates (as often occurs during storms, and where subsurface storm drains have been installed around homes), buffers of 109 ft, 387 ft, and 810 ft are needed to achieve the same removal efficiencies (Mayer et al. 2005).  </t>
    </r>
    <r>
      <rPr>
        <i/>
        <sz val="10"/>
        <rFont val="Arial Narrow"/>
        <family val="2"/>
        <scheme val="minor"/>
      </rPr>
      <t>In calculations, is excluded automatically (cell goes blank) if wetland never has surface water during an average year. Also is excluded automatically if wetland lacks open water or is &lt;0.01 ha.</t>
    </r>
  </si>
  <si>
    <r>
      <t>Ponded conditions provide longer time for nitrate processing, as well as causing sediments to lose oxygen, thus creating a microclimate favorable for denitrification.</t>
    </r>
    <r>
      <rPr>
        <i/>
        <sz val="10"/>
        <rFont val="Arial Narrow"/>
        <family val="2"/>
        <scheme val="minor"/>
      </rPr>
      <t xml:space="preserve"> In calculations, is excluded automatically (cell goes blank) if wetland never has surface water during an average year. Also is excluded automatically if wetland is &lt;0.01 ha.</t>
    </r>
  </si>
  <si>
    <r>
      <t xml:space="preserve">Plants take up nitrate from sediments and can facilitate retention if N is transferred to roots that are not as subject to erosion as foliage. Plants also facilitate sediment deposition by slowing the water, and some nitrate is associated with that sediment so is also deposited and potentially retained. Perhaps most importantly, roots of some plants oxidize the anoxic sediments that surround them and this facilitates denitrification, the major process for removing soluble nitrate from water.  </t>
    </r>
    <r>
      <rPr>
        <i/>
        <sz val="10"/>
        <rFont val="Arial Narrow"/>
        <family val="2"/>
        <scheme val="minor"/>
      </rPr>
      <t>In calculations, is excluded automatically (cell goes blank) if wetland never has surface water during an average year. Also is excluded automatically if wetland has no ponded water or is &lt;0.01 ha.</t>
    </r>
  </si>
  <si>
    <r>
      <t xml:space="preserve">Greater interspersion of open water and vegetation is hypothesized to support greater nitrate removal. That is because open water areas tend to be more aerobic, whereas densely vegetated areas often are anaerobic, except where plant roots oxidize a small part of the sediment. The combination of anaerobic and aerobic areas in close proximity facilitates nitrate loss through denitrification. </t>
    </r>
    <r>
      <rPr>
        <i/>
        <sz val="10"/>
        <rFont val="Arial Narrow"/>
        <family val="2"/>
        <scheme val="minor"/>
      </rPr>
      <t>In calculations, is excluded automatically (cell goes blank) if wetland never has surface water during an average year, if no ponded water, if ponded water but no vegetation, if ponded but no open water, or if &lt;0.01 ha.</t>
    </r>
  </si>
  <si>
    <r>
      <t xml:space="preserve">Like a constricted outlet, vegetation and other obstacles create a "roughness" within a wetland that can slow the water and allow more time for biological processing of nitrate. This is much truer if the vegetation intercepts a large proportion of the flow during high-flow periods (i.e., is not merely along an upland edge that never floods). Water takes longer to move through complex channel networks (e.g., braided or sinuous) which themselves provide additional friction, thus allowing more suspended sediment and the nitrate associated with it to be deposited. Increased channel complexity also implies greater interspersion of open water and vegetation (see above) and in some cases, more hyporheic flow -- both of which favor nitrate removal. Wetlands with a sheet flow pattern often retain more nitrate than channelized systems (Morris et al. 1981, Knox et al. 2008). </t>
    </r>
    <r>
      <rPr>
        <i/>
        <sz val="10"/>
        <rFont val="Arial Narrow"/>
        <family val="2"/>
        <scheme val="minor"/>
      </rPr>
      <t>In calculations, is excluded automatically (cell goes blank) if wetland never has surface water during an average year or if no surface inflows.</t>
    </r>
  </si>
  <si>
    <r>
      <t xml:space="preserve">Wetlands that lack outlets retain or remove all nitrate that enters them. Wetlands that connect to downslope water bodies for only part of the year may export less nitrate annually than those with persistent outflow.  </t>
    </r>
    <r>
      <rPr>
        <i/>
        <sz val="10"/>
        <rFont val="Arial Narrow"/>
        <family val="2"/>
        <scheme val="minor"/>
      </rPr>
      <t>In calculations, is excluded automatically (cell goes blank) if wetland never has surface water during an average year.</t>
    </r>
  </si>
  <si>
    <r>
      <t xml:space="preserve">Narrow outlets limit water outflow from a wetland and its downstream or downslope movement, thus causing water to back up into the wetland, which allows more time for nitrate to be processed. The types of outlets described here are ones that typically are more constricted than natural channels, which usually have adjusted over time to local runoff and thus are wider relative to volume of flow received. </t>
    </r>
    <r>
      <rPr>
        <i/>
        <sz val="10"/>
        <rFont val="Arial Narrow"/>
        <family val="2"/>
        <scheme val="minor"/>
      </rPr>
      <t xml:space="preserve"> In calculations, is excluded automatically (cell goes blank) if no outlet.</t>
    </r>
  </si>
  <si>
    <r>
      <t xml:space="preserve">Many studies have highlighted the importance of subsurface (hyporheic) flow, or groundwater discharge, to denitrification rates in both riverine (Clilverd et al. 2008) and non-riverine (e.g., Kroeger &amp; Charette 2008) wetlands. However, in some areas groundwater is a significant source of nitrogen.  </t>
    </r>
    <r>
      <rPr>
        <i/>
        <sz val="10"/>
        <rFont val="Arial Narrow"/>
        <family val="2"/>
        <scheme val="minor"/>
      </rPr>
      <t>In calculations, is excluded automatically (cell goes blank) if no evidence of groundwater influx; otherwise is rated based on response in column D.</t>
    </r>
  </si>
  <si>
    <t>Dense vegetation offers frictional resistance to runoff, promoting deposition of organic nitrogen and resisting erosion. Vegetation takes up nitrate at least seasonally and plant roots can promote denitrification by providing a carbon source and oxidizing otherwise anoxic subsurface soils.  However, shade from plants reduces soil temperature which slows the denitrification rate (Hogg &amp; Lieffers 1991), and emissions of harmful nitrous oxide can be greater in wetlands with denser vegetation.</t>
  </si>
  <si>
    <t>Amphibians require upland habitat as well as aquatic habitat. Uplands that are dominated by natural vegetation usually provide the most suitable microclimates and habitat structure. Unvegetated or artificially vegetated surfaces can inhibit movements of some species to those  upland habitats. The type of non-natural land cover that surrounds a wetland can influence dispersal success of amphibians.  Unvegetated lands are usually the least suitable.  Clearcuts may be better but perhaps still not as suitable as natural cover on soils of similar productivity. Larger contiguous tracts of nearby natural land are more likely to meet the habitat needs of dispersing amphibians than small or fragmented patches.</t>
  </si>
  <si>
    <t>Predominant Width of Vegetated Zone within Wetland</t>
  </si>
  <si>
    <r>
      <rPr>
        <sz val="10"/>
        <rFont val="Arial Narrow"/>
        <family val="2"/>
        <scheme val="minor"/>
      </rPr>
      <t>Wetland vegetation promotes water loss via evapotranspiration and increased infiltration before that runoff contributes to downgradient flooding.</t>
    </r>
    <r>
      <rPr>
        <i/>
        <sz val="10"/>
        <rFont val="Arial Narrow"/>
        <family val="2"/>
        <scheme val="minor"/>
      </rPr>
      <t xml:space="preserve">  In calculations, is excluded automatically (cell goes blank) if wetland never has surface water during an average year.  Also is excluded automatically if wetland is &lt;0.01 ha.</t>
    </r>
  </si>
  <si>
    <r>
      <rPr>
        <sz val="10"/>
        <rFont val="Arial Narrow"/>
        <family val="2"/>
        <scheme val="minor"/>
      </rPr>
      <t xml:space="preserve">Unvegetated (open) water is susceptible to removal via evaporation due to increased exposure to wind and warming sunlight. </t>
    </r>
    <r>
      <rPr>
        <i/>
        <sz val="10"/>
        <rFont val="Arial Narrow"/>
        <family val="2"/>
        <scheme val="minor"/>
      </rPr>
      <t xml:space="preserve"> In calculations, is excluded automatically (cell goes blank) if wetland never has surface water during an average year.  Also is excluded automatically if wetland is &lt;0.01 ha.</t>
    </r>
  </si>
  <si>
    <t>Phosphorus is often adsorbed to soils, so if soils within a wetland are being disturbed or eroded, it is less likely the wetland will retain phosphorust on a net annual basis.</t>
  </si>
  <si>
    <t>Tree roots can extend the subsurface zone of denitrification by oxidizing deeper subsurface areas, as well as retaining drifting snow which helps sustain soil moisture necessary for denitrification. Trees also take up and temporarily retain nitrate, as well as adding carbon to the soil, which promotes denitrification.  However, dense canopy cover reduces soil warming in spring (Hennon et al. 2010) which otherwise could accelerate denitrification.</t>
  </si>
  <si>
    <r>
      <t>AVERAGE(</t>
    </r>
    <r>
      <rPr>
        <sz val="10"/>
        <color rgb="FFFF0000"/>
        <rFont val="Arial Narrow"/>
        <family val="2"/>
      </rPr>
      <t xml:space="preserve">SoilTex4, </t>
    </r>
    <r>
      <rPr>
        <sz val="10"/>
        <rFont val="Arial Narrow"/>
        <family val="2"/>
      </rPr>
      <t xml:space="preserve">SoilOrgPct, </t>
    </r>
    <r>
      <rPr>
        <sz val="10"/>
        <color rgb="FFFF0000"/>
        <rFont val="Arial Narrow"/>
        <family val="2"/>
      </rPr>
      <t>SoilDisturb4, OWpct4, Wettype4, NewWet</t>
    </r>
    <r>
      <rPr>
        <sz val="10"/>
        <rFont val="Arial Narrow"/>
        <family val="2"/>
      </rPr>
      <t>)</t>
    </r>
  </si>
  <si>
    <r>
      <t xml:space="preserve">AVERAGE(1-WatProb, WetPerim2Area, SwampMarshPct, </t>
    </r>
    <r>
      <rPr>
        <sz val="10"/>
        <color rgb="FFFF0000"/>
        <rFont val="Arial Narrow"/>
        <family val="2"/>
      </rPr>
      <t>Interspers4,  Inclus4, Groundw4, PermWpct4, SatPct4, SeasWpct4, Fluctu4</t>
    </r>
    <r>
      <rPr>
        <sz val="10"/>
        <rFont val="Arial Narrow"/>
        <family val="2"/>
      </rPr>
      <t xml:space="preserve">) </t>
    </r>
  </si>
  <si>
    <r>
      <t>AVERAGE(</t>
    </r>
    <r>
      <rPr>
        <sz val="10"/>
        <color rgb="FFFF0000"/>
        <rFont val="Arial Narrow"/>
        <family val="2"/>
      </rPr>
      <t>WetPctCA4, PondPct4, Gradient4, Thruflo4, Girreg4, Constric4, VwidthAbs4</t>
    </r>
    <r>
      <rPr>
        <sz val="10"/>
        <rFont val="Arial Narrow"/>
        <family val="2"/>
      </rPr>
      <t xml:space="preserve">) </t>
    </r>
  </si>
  <si>
    <t xml:space="preserve">If wetland not intersected by a mapped riparian area or floodplain, then cell turns blank (NULL) and is ignored in calculations rather than reducing the indicator score. </t>
  </si>
  <si>
    <t>VwidthAbs4</t>
  </si>
  <si>
    <t>SoilDisturb4</t>
  </si>
  <si>
    <r>
      <t xml:space="preserve">See above. </t>
    </r>
    <r>
      <rPr>
        <i/>
        <sz val="10"/>
        <rFont val="Arial Narrow"/>
        <family val="2"/>
      </rPr>
      <t>The score is the number of classes (including one from above) divided by 4.</t>
    </r>
  </si>
  <si>
    <t>Millar, J. B. 1971. Shoreline-area ratio as a factor in rate of water loss from small sloughs. Journal of Hydrology 14:259-284.</t>
  </si>
  <si>
    <t>Wetlands with a large Perimeter-Area Ratio have been reported to lose water faster via evapotranspiration (e.g., Millar 1971), thus providing new capacity for storing water more quickly.</t>
  </si>
  <si>
    <t xml:space="preserve">Wetlands that comprise a large portion of their contributing area have a greater potential to control the runoff arriving from that limited area (McAllister et al. 2000, Ehsanzadeh et al. 2012). </t>
  </si>
  <si>
    <t>Although ice represents stored water, ice -- when it freezes all the waty to the bottom of a wetland or water body -- also forms a temporarily impervious barrier to infiltration.  Water temporarily stored by infiltration and groundwater recharge would otherwise be mostly unavailable as a contributor to downslope flooding.  During spring runoff, the volume of liquid water (runoff) that moves across the top of ice-covered wetlands (which are slower than uplands to thaw completely) and thus is slowed only slightly may be greater than the amount of fall and winter precipitation stored as ice (and eventually as infiltrate) within the wetland.</t>
  </si>
  <si>
    <t>Siegel, D. I. 1988. The recharge‐discharge function of wetlands near Juneau, Alaska: Part II. Geochemical investigations. Ground Water 26:580-586.</t>
  </si>
  <si>
    <t>Wetlands with large perimeter-to-area ratio tend to lose more water to evapotranspiration (Millar 1971) and so are less able to subsidize downstream flows.</t>
  </si>
  <si>
    <t>Runoff ratio (the percent of precipitation that contributes to streamflow immediately after storms) is lowest for open peatland areas with thick organic horizons (0.02-0.05) due to low topographic gradients and many surface depressions capable of retaining surface water. Runoff ratio is greatest in areas with more permeable soils, at least where those areas aren't sloping. That is due partly to higher likelihood of groundwater reaching the land surface via seeps (Quinton et al. 2003).</t>
  </si>
  <si>
    <t>The weights assigned to the wetland classes reflect the likelihood of there being extensive shade and/or discharging groundwater, which both cool or help maintain water temperature.</t>
  </si>
  <si>
    <t>Pearl, C., M. Adams, N. Leuthold, and R. Bury. 2005. Amphibian occurrence and aquatic invaders in a changing landscape: implications for wetland mitigation in the Willamette Valley, Oregon, USA. Wetlands 25:76-88.</t>
  </si>
  <si>
    <t>See OF28 above.</t>
  </si>
  <si>
    <t>Petranka, J. and E. Doyle. 2010. Effects of road salts on the composition of seasonal pond communities: can the use of road salts enhance mosquito recruitment? Aquatic Ecology 44:155-166.</t>
  </si>
  <si>
    <t>Stevens, C. E., C. A. Paszkowski, and A. L. Foote. 2007. Beaver (Castor canadensis) as a surrogate species for conserving anuran amphibians on boreal streams in Alberta, Canada. Biological Conservation 134:1-13.</t>
  </si>
  <si>
    <t>Stevens, C. E., C. A. Paszkowski, and G. J. Scrimgeour. 2006. Older is better: Beaver ponds on boreal streams as breeding habitat for the wood frog. Journal of Wildlife Management 70:1360-1371.</t>
  </si>
  <si>
    <r>
      <t>Sanzo, D. and S. J. Hecnar. 2006. Effects of road de-icing salt (NaCl) on larval wood frogs (</t>
    </r>
    <r>
      <rPr>
        <i/>
        <sz val="10"/>
        <rFont val="Arial Narrow"/>
        <family val="2"/>
      </rPr>
      <t>Rana sylvatica</t>
    </r>
    <r>
      <rPr>
        <sz val="10"/>
        <rFont val="Arial Narrow"/>
        <family val="2"/>
      </rPr>
      <t>). Environmental Pollution 140:247-256.</t>
    </r>
  </si>
  <si>
    <r>
      <t xml:space="preserve">Larson, D. L., S. McDonald, A. J. Fivizzani, W. E. Newton, and S. J. Hamilton. 1998. Effects of the herbicide atrazine on </t>
    </r>
    <r>
      <rPr>
        <i/>
        <sz val="10"/>
        <rFont val="Arial Narrow"/>
        <family val="2"/>
      </rPr>
      <t>Ambystoma tigrinum</t>
    </r>
    <r>
      <rPr>
        <sz val="10"/>
        <rFont val="Arial Narrow"/>
        <family val="2"/>
      </rPr>
      <t xml:space="preserve"> metamorphosis: Duration, larval growth, and hormonal response. Physiological Zoology 71:671-679.</t>
    </r>
  </si>
  <si>
    <t>Pollet, I. and L. I. Bendell-Young. 2000. Amphibians as indicators of wetland quality in wetlands forme from oil sands effluent. Environmental Toxicology and Chemistry 19:2589-2597.</t>
  </si>
  <si>
    <t xml:space="preserve">Larval amphibians (tadpoles) are very sensitive to pesticides and many other toxins, e.g., Pollett &amp; Bendell-Young 2000.  Tiger salamanders were harmed by concentrations of 75 and 250 mu g/L atrazine, an herbicide commonly applied near Alberta wetlands (Larson et al 1998).  </t>
  </si>
  <si>
    <t>Brown, J. 2007. Groundwater and Biodiversity Conservation.  in: A. Wyers, A. Aldous, and L. Bach, editors. A Methods Guide for Integrating Groundwater Needs of Ecosystems and Species into Conservation Plans in the Pacific Northwest. The Nature Conservancy, Portland, OR.</t>
  </si>
  <si>
    <t>Populations of some amphibians (e.g., four-toed salamander) seem to thrive best in fishless wetlands. Predatory fish (especially, exotic species) can cause extirpations of native species (Pearl et al. 2005). However, wood frogs in Alberta foothill wetlands may be relatively unharmed if the fish that are present are only native (not stocked) species (Schank et al. 2011).</t>
  </si>
  <si>
    <t>Complex microtopography provides many suitable microclimates important to survival of adult amphibians during the late summer, fall, and winter (e.g., Browne &amp; Pazkowski 2010).</t>
  </si>
  <si>
    <r>
      <t>Langhans, M., B. Peterson, A. Walker, G. R. Smith, and J. E. Rettig. 2009. Effects of salinity on survivorship of wood frog (</t>
    </r>
    <r>
      <rPr>
        <i/>
        <sz val="10"/>
        <rFont val="Arial Narrow"/>
        <family val="2"/>
        <scheme val="minor"/>
      </rPr>
      <t>Rana sylvatica</t>
    </r>
    <r>
      <rPr>
        <sz val="10"/>
        <rFont val="Arial Narrow"/>
        <family val="2"/>
        <scheme val="minor"/>
      </rPr>
      <t>) tadpoles. Journal of Freshwater Ecology 24:335-337.</t>
    </r>
  </si>
  <si>
    <r>
      <t>Browne, C. L., and C. A. Paszkowski. 2010. Hibernation sites of western toads (</t>
    </r>
    <r>
      <rPr>
        <i/>
        <sz val="10"/>
        <rFont val="Arial Narrow"/>
        <family val="2"/>
      </rPr>
      <t>Anaxyrus boreas</t>
    </r>
    <r>
      <rPr>
        <sz val="10"/>
        <rFont val="Arial Narrow"/>
        <family val="2"/>
      </rPr>
      <t>): Characterization and management implications. Herpetological Conservation and Biology 5.1:49-63.</t>
    </r>
  </si>
  <si>
    <t>Arnold, T. W., L. M. Craig-Moore, L. M. Armstrong, D. W. Howerter, J. H. Devries, B. L. Joynt, R. B. Emery, and M. G. Anderson. 2007. Waterfowl use of dense nesting cover in the Canadian Parklands. Journal of Wildlife Management 71:2542-2549.</t>
  </si>
  <si>
    <t>Baschuk, M. 2010. Effects of water-level management on the abundance and habitat use of waterfowl and marsh birds in the Saskatchewan River Delta, Manitoba, Canada. Master's Thesis. University of Manitoba, Manitoba, Canada.</t>
  </si>
  <si>
    <t>Baschuk, M. S., N. Koper, D. A. Wrubleski, and G. Goldsborough. 2012. Effects of water depth, cover and food resources on habitat use of marsh birds and waterfowl in boreal wetlands of Manitoba, Canada. Waterbirds 35:44-55.</t>
  </si>
  <si>
    <t>Bayley, S. E., A. S. Wong, and J. E. Thompson. 2013. Effects of agricultural encroachment and drought on wetlands and shallow lakes in the boreal transition zone of Canada. Wetlands 33:17-28.</t>
  </si>
  <si>
    <t xml:space="preserve">Bloom, P. M., R. G. Clark, D. W. Howerter, and L. M. Armstrong. 2012. Landscape-level correlates of mallard duckling survival: Implications for conservation programs. Journal of Wildlife Management 76:813-823.
</t>
  </si>
  <si>
    <r>
      <t>Bromley, C. K. and G.A. Hood. 2013. Beavers (</t>
    </r>
    <r>
      <rPr>
        <i/>
        <sz val="10"/>
        <rFont val="Arial Narrow"/>
        <family val="2"/>
      </rPr>
      <t>Castor canadensis</t>
    </r>
    <r>
      <rPr>
        <sz val="10"/>
        <rFont val="Arial Narrow"/>
        <family val="2"/>
      </rPr>
      <t>) facilitate early access by Canada geese (</t>
    </r>
    <r>
      <rPr>
        <i/>
        <sz val="10"/>
        <rFont val="Arial Narrow"/>
        <family val="2"/>
      </rPr>
      <t>Branta canadensis</t>
    </r>
    <r>
      <rPr>
        <sz val="10"/>
        <rFont val="Arial Narrow"/>
        <family val="2"/>
      </rPr>
      <t>) to nesting habitat and areas of open water in Canada's boreal wetlands. Mammalian Biology 78(1):73-77.</t>
    </r>
  </si>
  <si>
    <t>Devries, J. H. and L. M. Armstrong. 2011. Impact of management treatments on waterfowl use of dense nesting cover in the Canadian Parklands. Journal of Wildlife Management 75:1340-1349.</t>
  </si>
  <si>
    <t>Forcey, G. M., W. E. Thogmartin, G. M. Linz, W. J. Bleier, and P. C. McKann. 2011. Land use and climate influences on waterbirds in the Prairie Potholes. Journal of Biogeography 38:1694-1707.</t>
  </si>
  <si>
    <t>Horn, D. J., M. L. Phillips, R. R. Koford, W. R. Clark, M. A. Sovada, and R. J. Greenwood. 2005. Landscape composition, patch size, and distance to edges: Interactions affecting duck reproductive success. Ecological Applications 15:1367-1376.</t>
  </si>
  <si>
    <t>Kaminski, R. M. and H. H. Prince. 1981. Dabbling duck and aquatic macro-invertebrate responses to manipulated wetland habitat. Journal of Wildlife Management 45:1–15.</t>
  </si>
  <si>
    <t>Naugle, D. E., K. F. Higgins, M. E. Estey, R. R. Johnson, and S. M. Nusser. 2000. Local and landscape-level factors influencing black tern habitat suitability. Journal of Wildlife Management 64:253-260.</t>
  </si>
  <si>
    <t>Rehm, E. M. and G. A. Baldassarre. 2007. The influence of interspersion on marsh bird abundance in New York. Wilson Journal of Ornithology 119:648-654.</t>
  </si>
  <si>
    <t>Thompson, S. J., T. W. Arnold, and S. Vacek. 2012. Impact of encroaching woody vegetation on nest success of upland nesting waterfowl. Journal of Wildlife Management 76:1635-1642.</t>
  </si>
  <si>
    <t>Murkin, H. R., R. M. Kaminski, and R. D. Titman. 1982. Responses by dabbling ducks and aquatic invertebrates to an experimentally manipulated cattail marsh. Canadian Journal of Zoology 60:2324-2332.</t>
  </si>
  <si>
    <t xml:space="preserve">Silver, C. A., J. E. Thompson, A. S. Wong, and S. E. Bayley. 2012. Relationship between wetland macroinvertebrates and waterfowl along an agricultural gradient in boreal transition zone of western Canada. Northwestern Naturalist 93:40-59.
</t>
  </si>
  <si>
    <t xml:space="preserve">Herbaceous rather than woody vegetation is the most attractive nesting cover for most species of waterbirds (Bolenbaugh et al. 2011), partly because it provides food as well as cover.  Trees near water edges discourage use of those areas by some waterbird species (Thomphson et al. 2012), probably because it potentially conceals or provides a perch for predators such as eagles and falcons (Shepherd &amp; Lank 2004, Sprague et al. 2008). </t>
  </si>
  <si>
    <t>Different waterbird species prefer different water depths, so a diversity of depth classes in a wetland is likely to support a more varied mix of waterbirds (Baschuk 2010, Baschuk et al. 2012).</t>
  </si>
  <si>
    <t xml:space="preserve">In herbaceous wetlands, the type of adjoining upland cover is very important to many nesting waterbird species (Horn et al. 2005, Bayley et al. 2013). Most upland-nesting waterfowl nest within about 1000 ft of wetlands. Maintaining mostly non-woody but natural vegetation in such areas makes it difficult for predators to find nests. </t>
  </si>
  <si>
    <t>Very Coarse</t>
  </si>
  <si>
    <t>Moderately Coarse &amp; Very Coarse</t>
  </si>
  <si>
    <t>Medium &amp; Very Coarse</t>
  </si>
  <si>
    <t>Peat &amp; Very Coarse</t>
  </si>
  <si>
    <t>Moderate &amp; Coarse</t>
  </si>
  <si>
    <t>Moderately Coarse &amp; Medium</t>
  </si>
  <si>
    <t>Moderately Coarse &amp; Peat</t>
  </si>
  <si>
    <t>Medium</t>
  </si>
  <si>
    <t>Medium &amp; Peat</t>
  </si>
  <si>
    <t>Fine &amp; Medium</t>
  </si>
  <si>
    <t>Medium &amp; Fine</t>
  </si>
  <si>
    <t>Peat</t>
  </si>
  <si>
    <t>Fine</t>
  </si>
  <si>
    <t>Undifferentiated</t>
  </si>
  <si>
    <t>CD194</t>
  </si>
  <si>
    <t>CURR</t>
  </si>
  <si>
    <t>DALY</t>
  </si>
  <si>
    <t>GADS1</t>
  </si>
  <si>
    <t>HANS</t>
  </si>
  <si>
    <t>HOLM</t>
  </si>
  <si>
    <t>MACL</t>
  </si>
  <si>
    <t>MARUNE</t>
  </si>
  <si>
    <t>MARUS8</t>
  </si>
  <si>
    <t>MINHWY</t>
  </si>
  <si>
    <t>MIQUEL01</t>
  </si>
  <si>
    <t>MIQUEL02</t>
  </si>
  <si>
    <t>MIQUEL03</t>
  </si>
  <si>
    <t>MIQUEL23</t>
  </si>
  <si>
    <t>MIQUEL36</t>
  </si>
  <si>
    <t>MITT</t>
  </si>
  <si>
    <t>MITTEA</t>
  </si>
  <si>
    <t>MITTEA2</t>
  </si>
  <si>
    <t>MLPP10</t>
  </si>
  <si>
    <t>MLPPN</t>
  </si>
  <si>
    <t>MLPPS</t>
  </si>
  <si>
    <t>MNSTSE</t>
  </si>
  <si>
    <t>RAUS</t>
  </si>
  <si>
    <t>RAUS3</t>
  </si>
  <si>
    <t>SUMM</t>
  </si>
  <si>
    <t>HU</t>
  </si>
  <si>
    <t>Max_E</t>
  </si>
  <si>
    <t>Min_E</t>
  </si>
  <si>
    <t>Max_Esub</t>
  </si>
  <si>
    <t>Min_Esub</t>
  </si>
  <si>
    <t>05CD195</t>
  </si>
  <si>
    <t>05FAJJColl</t>
  </si>
  <si>
    <t>05CD89</t>
  </si>
  <si>
    <t>05FC10</t>
  </si>
  <si>
    <t>05FC200</t>
  </si>
  <si>
    <t>05FC13</t>
  </si>
  <si>
    <t>05FC25</t>
  </si>
  <si>
    <t>05FC30</t>
  </si>
  <si>
    <t>3042BS</t>
  </si>
  <si>
    <t>05CD90</t>
  </si>
  <si>
    <t>05CD67</t>
  </si>
  <si>
    <t>Woody vegetation provides vertical structure that enables more individuals and species to inhabit a wetland.  It also provides shelter from weather and cover from predators.</t>
  </si>
  <si>
    <t>TreePct14</t>
  </si>
  <si>
    <t>F70</t>
  </si>
  <si>
    <t>The AA's size (in hectares) was measured as the following (next column):</t>
  </si>
  <si>
    <t>Size of AA</t>
  </si>
  <si>
    <t>If this (or a corrected measurement) is GREATER than 10 hectares enter a "1" here:</t>
  </si>
  <si>
    <t>% of Wetland Classified as Swamp or Forested (macro scale)</t>
  </si>
  <si>
    <t>If wetland size &lt;10 ha, then =NULL (ignored in calculations). Otherwise calculated as the number of open water polygons within each wetland and normalizing the number by the ratio of the total area of those polygons to the wetland's total area.</t>
  </si>
  <si>
    <t>If wetland size &lt;10 ha, then =NULL (ignored in calculations). Otherwise calculated as the number of swamp or forested polygons within each wetland and normalizing the number by the ratio of the total area of those polygons to the wetland's total area.</t>
  </si>
  <si>
    <t>*</t>
  </si>
  <si>
    <t>All distances &gt;5 km are considered to be in the 100th percentile.  "Well settled" = ESRD Geoadministrative Cities, Towns, Villages, Summer Villages.</t>
  </si>
  <si>
    <t>Percent probability of surface water being present, as calculated by Creed et al. (2014 unpublished)</t>
  </si>
  <si>
    <t>Results for this Wetland Assessment Area (AA):</t>
  </si>
  <si>
    <r>
      <t xml:space="preserve">substituted </t>
    </r>
    <r>
      <rPr>
        <b/>
        <sz val="10"/>
        <rFont val="Arial Narrow"/>
        <family val="2"/>
      </rPr>
      <t>SoilTex</t>
    </r>
    <r>
      <rPr>
        <sz val="10"/>
        <rFont val="Arial Narrow"/>
        <family val="2"/>
      </rPr>
      <t xml:space="preserve">, </t>
    </r>
    <r>
      <rPr>
        <b/>
        <sz val="10"/>
        <rFont val="Arial Narrow"/>
        <family val="2"/>
      </rPr>
      <t>OWpct</t>
    </r>
    <r>
      <rPr>
        <sz val="10"/>
        <rFont val="Arial Narrow"/>
        <family val="2"/>
      </rPr>
      <t xml:space="preserve">, </t>
    </r>
    <r>
      <rPr>
        <b/>
        <sz val="10"/>
        <rFont val="Arial Narrow"/>
        <family val="2"/>
      </rPr>
      <t>WetWooded</t>
    </r>
  </si>
  <si>
    <t>AVERAGE(WetArea, AVERAGE(WetPctCA1, ElevPctileHUC8), Fluctua1, SeasPct1)</t>
  </si>
  <si>
    <t xml:space="preserve">AVERAGE(ThruFlo1, Gradient1, Girreg1, Constric1, IsoDry1, vwidth1) </t>
  </si>
  <si>
    <t>IF(OutNone+OutNone1&gt;0), then =0</t>
  </si>
  <si>
    <r>
      <t>AVERAGE(Depth7, ISOdry7,</t>
    </r>
    <r>
      <rPr>
        <sz val="10"/>
        <color rgb="FFFF0000"/>
        <rFont val="Arial Narrow"/>
        <family val="2"/>
      </rPr>
      <t xml:space="preserve"> OpenPonded7, </t>
    </r>
    <r>
      <rPr>
        <sz val="10"/>
        <rFont val="Arial Narrow"/>
        <family val="2"/>
      </rPr>
      <t>WetWooded)</t>
    </r>
  </si>
  <si>
    <t>AVERAGE(WclassDom7, WclassSub7, SatPct7, Shade7)</t>
  </si>
  <si>
    <t>AVERAGE(Gwater7, GWDspring, FenPct)</t>
  </si>
  <si>
    <t xml:space="preserve">AVERAGE(OutDur7, RipFloodPl, WatProb) </t>
  </si>
  <si>
    <t>Through Flow Pattern</t>
  </si>
  <si>
    <t>Does not bump into plant stems as it travels through the AA.  Nearly all the water continues to travel in unvegetated (often incised) channels that have little contact with wetland vegetation, or through a zone of open water such as an instream pond or lake.</t>
  </si>
  <si>
    <r>
      <t>bumps into</t>
    </r>
    <r>
      <rPr>
        <b/>
        <sz val="10"/>
        <rFont val="Arial Narrow"/>
        <family val="2"/>
      </rPr>
      <t xml:space="preserve"> tree trunks and/or shrub stems </t>
    </r>
    <r>
      <rPr>
        <sz val="10"/>
        <rFont val="Arial Narrow"/>
        <family val="2"/>
      </rPr>
      <t>but mostly remains in fairly straight channels.</t>
    </r>
  </si>
  <si>
    <r>
      <t>bumps into</t>
    </r>
    <r>
      <rPr>
        <b/>
        <sz val="10"/>
        <rFont val="Arial Narrow"/>
        <family val="2"/>
      </rPr>
      <t xml:space="preserve"> herbaceous </t>
    </r>
    <r>
      <rPr>
        <sz val="10"/>
        <rFont val="Arial Narrow"/>
        <family val="2"/>
      </rPr>
      <t>vegetation and mostly spreads throughout, or is in widely  meandering, multi-branched, or braided channels.</t>
    </r>
  </si>
  <si>
    <r>
      <t>bumps into</t>
    </r>
    <r>
      <rPr>
        <b/>
        <sz val="10"/>
        <rFont val="Arial Narrow"/>
        <family val="2"/>
      </rPr>
      <t xml:space="preserve"> herbaceous </t>
    </r>
    <r>
      <rPr>
        <sz val="10"/>
        <rFont val="Arial Narrow"/>
        <family val="2"/>
      </rPr>
      <t>vegetation but mostly remains in fairly straight channels.</t>
    </r>
  </si>
  <si>
    <r>
      <t xml:space="preserve">During its travel through the AA at the time of peak annual flow, </t>
    </r>
    <r>
      <rPr>
        <b/>
        <u/>
        <sz val="10"/>
        <rFont val="Arial Narrow"/>
        <family val="2"/>
      </rPr>
      <t>most</t>
    </r>
    <r>
      <rPr>
        <b/>
        <sz val="10"/>
        <rFont val="Arial Narrow"/>
        <family val="2"/>
      </rPr>
      <t xml:space="preserve"> of</t>
    </r>
    <r>
      <rPr>
        <sz val="10"/>
        <rFont val="Arial Narrow"/>
        <family val="2"/>
      </rPr>
      <t xml:space="preserve"> the water arriving in channels [select only the ONE encountered by most of the incoming water]:</t>
    </r>
  </si>
  <si>
    <r>
      <t xml:space="preserve">During </t>
    </r>
    <r>
      <rPr>
        <b/>
        <sz val="10"/>
        <rFont val="Arial Narrow"/>
        <family val="2"/>
      </rPr>
      <t xml:space="preserve">most </t>
    </r>
    <r>
      <rPr>
        <sz val="10"/>
        <rFont val="Arial Narrow"/>
        <family val="2"/>
      </rPr>
      <t xml:space="preserve">of the growing season, the spatial pattern of tall robust herbaceous vegetation (e.g., cattail, bulrush) that has surface water beneath it is </t>
    </r>
    <r>
      <rPr>
        <b/>
        <sz val="10"/>
        <rFont val="Arial Narrow"/>
        <family val="2"/>
      </rPr>
      <t>mostly</t>
    </r>
    <r>
      <rPr>
        <sz val="10"/>
        <rFont val="Arial Narrow"/>
        <family val="2"/>
      </rPr>
      <t>:</t>
    </r>
  </si>
  <si>
    <t>Interspersion of Robust Emergents &amp; Open Water</t>
  </si>
  <si>
    <t>Scattered in small clumps, islands, or patches throughout the surface water area.</t>
  </si>
  <si>
    <r>
      <t xml:space="preserve">Clumped at one or a few sides of the surface water area, or mostly surrounds a central area of open water.  </t>
    </r>
    <r>
      <rPr>
        <u/>
        <sz val="10"/>
        <rFont val="Arial Narrow"/>
        <family val="2"/>
      </rPr>
      <t>Or</t>
    </r>
    <r>
      <rPr>
        <sz val="10"/>
        <rFont val="Arial Narrow"/>
        <family val="2"/>
      </rPr>
      <t xml:space="preserve"> such vegetation is absent or covers &lt;9 sq m and &lt;1% of the AA.</t>
    </r>
  </si>
  <si>
    <t>AVERAGE(MarshPct, MarshUniq, AVERAGE(WaterI, HabStrucI, CfixI, StressI))</t>
  </si>
  <si>
    <r>
      <t>Substituted 1-</t>
    </r>
    <r>
      <rPr>
        <b/>
        <sz val="10"/>
        <rFont val="Arial Narrow"/>
        <family val="2"/>
      </rPr>
      <t>OWpct</t>
    </r>
    <r>
      <rPr>
        <sz val="10"/>
        <rFont val="Arial Narrow"/>
        <family val="2"/>
      </rPr>
      <t xml:space="preserve">, </t>
    </r>
    <r>
      <rPr>
        <b/>
        <sz val="10"/>
        <rFont val="Arial Narrow"/>
        <family val="2"/>
      </rPr>
      <t xml:space="preserve">MixWaterVeg </t>
    </r>
    <r>
      <rPr>
        <sz val="10"/>
        <rFont val="Arial Narrow"/>
        <family val="2"/>
      </rPr>
      <t>and added</t>
    </r>
    <r>
      <rPr>
        <b/>
        <sz val="10"/>
        <rFont val="Arial Narrow"/>
        <family val="2"/>
      </rPr>
      <t xml:space="preserve"> LGindex.</t>
    </r>
  </si>
  <si>
    <t>10*AVERAGE[ WetVegArea, 1-OWpct, MixWaterVeg, AVERAGE(1-Sub0Days, SlopeBuffer, LGindex) ]</t>
  </si>
  <si>
    <t>AVERAGE(1-Sub0Days, PPET, 1-WindSumm, 1-WetPerim2Area, 1-OWpct,1- WetVegArea, 1-WetWooded)</t>
  </si>
  <si>
    <t>b. AVERAGE [1-Sub0Days, AVERAGE(SoilTex, AqVul) ]</t>
  </si>
  <si>
    <t>d. AVERAGE(WetVegArea, WetWooded)</t>
  </si>
  <si>
    <t>b. AVERAGE [1-Sub0Days, AVERAGE(SoilTex1, AqVul) ]</t>
  </si>
  <si>
    <t xml:space="preserve">c. AVERAGE(1-PPET, WindSumm, WetPerim2Area, OpenPct1, WetArea) </t>
  </si>
  <si>
    <t>d. AVERAGE(WetVegArea, AllWoody1)</t>
  </si>
  <si>
    <t>10*MAX[ #1, AVERAGE(SeasPct1, a, b, c, d, e, f)]</t>
  </si>
  <si>
    <t>10*AVERAGE[ WetVegArea, OpenPonded2, Interspers2, AVERAGE(1-Sub0Days, SlopeBuffer, LGindex) ]</t>
  </si>
  <si>
    <t>AVERAGE(OpenWpct3, Interspers3, WetVegArea)</t>
  </si>
  <si>
    <t>AVERAGE(SoilTex3, SoilOrgPct)</t>
  </si>
  <si>
    <t>AVERAGE(1-OWpct, MixWaterVeg, WetVegArea)</t>
  </si>
  <si>
    <r>
      <t xml:space="preserve">Substituted </t>
    </r>
    <r>
      <rPr>
        <b/>
        <sz val="10"/>
        <rFont val="Arial Narrow"/>
        <family val="2"/>
      </rPr>
      <t>SoilTex</t>
    </r>
    <r>
      <rPr>
        <sz val="10"/>
        <rFont val="Arial Narrow"/>
        <family val="2"/>
      </rPr>
      <t/>
    </r>
  </si>
  <si>
    <r>
      <t xml:space="preserve">[ AVERAGE(WetVegArea, </t>
    </r>
    <r>
      <rPr>
        <sz val="10"/>
        <color rgb="FFFF0000"/>
        <rFont val="Arial Narrow"/>
        <family val="2"/>
      </rPr>
      <t>OpenPonded2</t>
    </r>
    <r>
      <rPr>
        <sz val="10"/>
        <rFont val="Arial Narrow"/>
        <family val="2"/>
      </rPr>
      <t xml:space="preserve">, </t>
    </r>
    <r>
      <rPr>
        <sz val="10"/>
        <color rgb="FFFF0000"/>
        <rFont val="Arial Narrow"/>
        <family val="2"/>
      </rPr>
      <t>Interspers2</t>
    </r>
    <r>
      <rPr>
        <sz val="10"/>
        <rFont val="Arial Narrow"/>
        <family val="2"/>
      </rPr>
      <t>) + AVERAGE(Sub0Days, SlopeBuffer, Gradient2) + AVERAGE (WetPctCA2,SeasPct2, Fluc2, DepthC2, WatEdgeSlope2, WidthAbs2, Iso2,ThruFlo2, Constric2, Gcover2, Girreg2,  SoilAlt2) ] / 3</t>
    </r>
  </si>
  <si>
    <r>
      <t>[ AVERAGE(</t>
    </r>
    <r>
      <rPr>
        <sz val="10"/>
        <color rgb="FFFF0000"/>
        <rFont val="Arial Narrow"/>
        <family val="2"/>
      </rPr>
      <t>SoilTex3</t>
    </r>
    <r>
      <rPr>
        <sz val="10"/>
        <rFont val="Arial Narrow"/>
        <family val="2"/>
      </rPr>
      <t>, SoilOrgPct, Salin3) + AVERAGE(WatProb, SatPct3, Algae3, Fluctu3, DomDepth3) ] / 2</t>
    </r>
  </si>
  <si>
    <r>
      <t>[ AVERAGE(</t>
    </r>
    <r>
      <rPr>
        <sz val="10"/>
        <color rgb="FFFF0000"/>
        <rFont val="Arial Narrow"/>
        <family val="2"/>
      </rPr>
      <t xml:space="preserve">OpenWpct3, Interspers3, </t>
    </r>
    <r>
      <rPr>
        <sz val="10"/>
        <rFont val="Arial Narrow"/>
        <family val="2"/>
      </rPr>
      <t>WetVegArea) + AVERAGE(1-Sub0Days, CApctB3, Persis3, Lake3, VegWabs3, ThruFlo3, Constric3, Gradient3, Gcover3, Girreg3, SoilAlt3) ] / 2</t>
    </r>
  </si>
  <si>
    <r>
      <t xml:space="preserve">Substituted </t>
    </r>
    <r>
      <rPr>
        <b/>
        <sz val="10"/>
        <rFont val="Arial Narrow"/>
        <family val="2"/>
      </rPr>
      <t>1-OWpct, MixWaterVeg</t>
    </r>
  </si>
  <si>
    <t>10* AVERAGE (WatProb, SwampMarshPct, WetPerim2Area, Interspers4, c, d, e)</t>
  </si>
  <si>
    <r>
      <t>Substituted</t>
    </r>
    <r>
      <rPr>
        <b/>
        <sz val="10"/>
        <rFont val="Arial Narrow"/>
        <family val="2"/>
      </rPr>
      <t xml:space="preserve"> WetWooded.</t>
    </r>
  </si>
  <si>
    <r>
      <t xml:space="preserve">AVERAGE(1-Sub0Days, GrowDD, Aspect, </t>
    </r>
    <r>
      <rPr>
        <sz val="10"/>
        <color rgb="FFFF0000"/>
        <rFont val="Arial Narrow"/>
        <family val="2"/>
      </rPr>
      <t>WoodyPct4</t>
    </r>
    <r>
      <rPr>
        <sz val="10"/>
        <rFont val="Arial Narrow"/>
        <family val="2"/>
      </rPr>
      <t>, Gcover4)</t>
    </r>
  </si>
  <si>
    <r>
      <t xml:space="preserve">Substituted </t>
    </r>
    <r>
      <rPr>
        <b/>
        <sz val="10"/>
        <rFont val="Arial Narrow"/>
        <family val="2"/>
      </rPr>
      <t>MixWaterVeg</t>
    </r>
    <r>
      <rPr>
        <sz val="10"/>
        <rFont val="Arial Narrow"/>
        <family val="2"/>
      </rPr>
      <t/>
    </r>
  </si>
  <si>
    <r>
      <t xml:space="preserve">Added </t>
    </r>
    <r>
      <rPr>
        <b/>
        <sz val="10"/>
        <rFont val="Arial Narrow"/>
        <family val="2"/>
      </rPr>
      <t>LGindex</t>
    </r>
  </si>
  <si>
    <t>AVERAGE(SoilTex6, SoilOrgPct, FenBogMarsh)</t>
  </si>
  <si>
    <t>10* AVERAGE(Interspers6, a, b)</t>
  </si>
  <si>
    <r>
      <t>Substituted 1-</t>
    </r>
    <r>
      <rPr>
        <b/>
        <sz val="10"/>
        <rFont val="Arial Narrow"/>
        <family val="2"/>
      </rPr>
      <t>OWPct, SoilTex</t>
    </r>
  </si>
  <si>
    <r>
      <t xml:space="preserve">Added </t>
    </r>
    <r>
      <rPr>
        <b/>
        <sz val="10"/>
        <rFont val="Arial Narrow"/>
        <family val="2"/>
      </rPr>
      <t>LGIndex</t>
    </r>
    <r>
      <rPr>
        <sz val="10"/>
        <rFont val="Arial Narrow"/>
        <family val="2"/>
      </rPr>
      <t xml:space="preserve">, substituted </t>
    </r>
    <r>
      <rPr>
        <b/>
        <sz val="10"/>
        <rFont val="Arial Narrow"/>
        <family val="2"/>
      </rPr>
      <t>MixWaterVeg</t>
    </r>
    <r>
      <rPr>
        <sz val="10"/>
        <rFont val="Arial Narrow"/>
        <family val="2"/>
      </rPr>
      <t xml:space="preserve">, </t>
    </r>
    <r>
      <rPr>
        <sz val="10"/>
        <color rgb="FFFF0000"/>
        <rFont val="Arial Narrow"/>
        <family val="2"/>
      </rPr>
      <t/>
    </r>
  </si>
  <si>
    <r>
      <t xml:space="preserve">AVERAGE(FenBogMarsh, WetVegArea, </t>
    </r>
    <r>
      <rPr>
        <sz val="10"/>
        <color rgb="FFFF0000"/>
        <rFont val="Arial Narrow"/>
        <family val="2"/>
      </rPr>
      <t xml:space="preserve">OWpct6, SoilTex6, </t>
    </r>
    <r>
      <rPr>
        <sz val="10"/>
        <rFont val="Arial Narrow"/>
        <family val="2"/>
      </rPr>
      <t>SoilOrgPct, Moss6, Stained6, Fluctu6, NewWet6, VwidthAbs6)</t>
    </r>
  </si>
  <si>
    <r>
      <t>AVERAGE(GrowDD, Wettype6, Gradient6,</t>
    </r>
    <r>
      <rPr>
        <sz val="10"/>
        <color rgb="FFFF0000"/>
        <rFont val="Arial Narrow"/>
        <family val="2"/>
      </rPr>
      <t xml:space="preserve"> Interspers6, </t>
    </r>
    <r>
      <rPr>
        <sz val="10"/>
        <rFont val="Arial Narrow"/>
        <family val="2"/>
      </rPr>
      <t>ThruFlo6, Gcover6, PondedPct6, SeasWpct6, Shade6, Decid6, Nfixer6)</t>
    </r>
  </si>
  <si>
    <t>AVERAGE(Constric6, OutDura6, RipFloodpl)</t>
  </si>
  <si>
    <t>AVERAGE(GrowDD, Spring, Groundw10, Wettype10, Lake10, MAX(FishPres, Fish10), Fringe10, Salin10, Beaver, AcidicPool10)</t>
  </si>
  <si>
    <t xml:space="preserve">AVERAGE(WatProb, OutDura10, PermWpct10, SatPct10)  </t>
  </si>
  <si>
    <r>
      <t>Substituted</t>
    </r>
    <r>
      <rPr>
        <b/>
        <sz val="10"/>
        <rFont val="Arial Narrow"/>
        <family val="2"/>
      </rPr>
      <t xml:space="preserve"> OWpct</t>
    </r>
  </si>
  <si>
    <r>
      <t xml:space="preserve">AVERAGE(1-Sub0Days, WetArea, RipFloodpl, OutDura10, Depth10, IsoDry10, </t>
    </r>
    <r>
      <rPr>
        <sz val="10"/>
        <color rgb="FFFF0000"/>
        <rFont val="Arial Narrow"/>
        <family val="2"/>
      </rPr>
      <t>OWpct10</t>
    </r>
    <r>
      <rPr>
        <sz val="10"/>
        <rFont val="Arial Narrow"/>
        <family val="2"/>
      </rPr>
      <t>)</t>
    </r>
  </si>
  <si>
    <t>AVERAGE(FishPres, RipFloodpl, OutDura10)</t>
  </si>
  <si>
    <t>AVERAGE (OWpct10, Interspers10)</t>
  </si>
  <si>
    <t>AVERAGE(Interspers8, OWpct8) </t>
  </si>
  <si>
    <t>AVERAGE (VegIntersp8, ClassRichIn) </t>
  </si>
  <si>
    <t>AVERAGE(WatProb, Spring, Girreg8, Groundw8, SatPct8, PermWpct8, SeasPct8)</t>
  </si>
  <si>
    <r>
      <t xml:space="preserve">Substituted </t>
    </r>
    <r>
      <rPr>
        <b/>
        <sz val="10"/>
        <rFont val="Arial Narrow"/>
        <family val="2"/>
      </rPr>
      <t>ClassRichIn, OWpct, MixWaterVeg, MixHerbWood</t>
    </r>
  </si>
  <si>
    <t>AVERAGE(GrowDD, Moss8, Stain8, Hardwood8, Depth8, Fluc8, Nfixers8)</t>
  </si>
  <si>
    <t>AVERAGE(SedCA8, Toxic8, AltTime8, SoilDisturb8, BuffNatPct8, NatCov1k, Fish8, PerimNatCov, WQprob8, WQrisk)</t>
  </si>
  <si>
    <r>
      <t>AVERAGE(</t>
    </r>
    <r>
      <rPr>
        <sz val="10"/>
        <color rgb="FFFF0000"/>
        <rFont val="Arial Narrow"/>
        <family val="2"/>
      </rPr>
      <t>ClassRichIn8</t>
    </r>
    <r>
      <rPr>
        <sz val="10"/>
        <rFont val="Arial Narrow"/>
        <family val="2"/>
      </rPr>
      <t>, WetPerim2Area, WetVegArea,</t>
    </r>
    <r>
      <rPr>
        <sz val="10"/>
        <color rgb="FFFF0000"/>
        <rFont val="Arial Narrow"/>
        <family val="2"/>
      </rPr>
      <t xml:space="preserve"> OWpct8, </t>
    </r>
    <r>
      <rPr>
        <sz val="10"/>
        <rFont val="Arial Narrow"/>
        <family val="2"/>
      </rPr>
      <t xml:space="preserve">HerbDiv8, ThruFlo8, WoodDown8, </t>
    </r>
    <r>
      <rPr>
        <sz val="10"/>
        <color rgb="FFFF0000"/>
        <rFont val="Arial Narrow"/>
        <family val="2"/>
      </rPr>
      <t xml:space="preserve"> Interspers8, VegIntersp8, </t>
    </r>
    <r>
      <rPr>
        <sz val="10"/>
        <rFont val="Arial Narrow"/>
        <family val="2"/>
      </rPr>
      <t xml:space="preserve">DepthDiv8, AqCov8)  </t>
    </r>
  </si>
  <si>
    <r>
      <t xml:space="preserve">Substituted </t>
    </r>
    <r>
      <rPr>
        <b/>
        <sz val="10"/>
        <rFont val="Arial Narrow"/>
        <family val="2"/>
      </rPr>
      <t>OWpct, MixWaterVeg, MixHerbWood</t>
    </r>
  </si>
  <si>
    <r>
      <t xml:space="preserve">AVERAGE(WetPerim2Area, WetVegArea, </t>
    </r>
    <r>
      <rPr>
        <sz val="10"/>
        <color rgb="FFFF0000"/>
        <rFont val="Arial Narrow"/>
        <family val="2"/>
      </rPr>
      <t xml:space="preserve">OWpct11,  Interspers11, </t>
    </r>
    <r>
      <rPr>
        <sz val="10"/>
        <rFont val="Arial Narrow"/>
        <family val="2"/>
      </rPr>
      <t>ClassRichIn,</t>
    </r>
    <r>
      <rPr>
        <sz val="10"/>
        <color rgb="FFFF0000"/>
        <rFont val="Arial Narrow"/>
        <family val="2"/>
      </rPr>
      <t xml:space="preserve"> HerbWoodMix11,</t>
    </r>
    <r>
      <rPr>
        <sz val="10"/>
        <rFont val="Arial Narrow"/>
        <family val="2"/>
      </rPr>
      <t xml:space="preserve"> IsoWet11, Girreg11, Vwidth11, TreeVar11, WoodDown11, WoodAbove11)</t>
    </r>
  </si>
  <si>
    <r>
      <t>AVERAGE(Salin11, AVERAGE(GrowDD, Spring, MarshPct, ClassRich1k,</t>
    </r>
    <r>
      <rPr>
        <sz val="10"/>
        <color rgb="FFFF0000"/>
        <rFont val="Arial Narrow"/>
        <family val="2"/>
      </rPr>
      <t xml:space="preserve"> </t>
    </r>
    <r>
      <rPr>
        <sz val="10"/>
        <rFont val="Arial Narrow"/>
        <family val="2"/>
      </rPr>
      <t xml:space="preserve">GroundW11, Beaver11, Gradient11, SatPct11, Fluctu11)  </t>
    </r>
  </si>
  <si>
    <r>
      <t>AVERAGE(Core1_11, Core2_11, MAX(1-</t>
    </r>
    <r>
      <rPr>
        <b/>
        <sz val="10"/>
        <rFont val="Arial Narrow"/>
        <family val="2"/>
      </rPr>
      <t>FishPres</t>
    </r>
    <r>
      <rPr>
        <sz val="10"/>
        <rFont val="Arial Narrow"/>
        <family val="2"/>
      </rPr>
      <t>, Fish11), BMP_11)</t>
    </r>
  </si>
  <si>
    <r>
      <t>AVERAGE(1-</t>
    </r>
    <r>
      <rPr>
        <b/>
        <sz val="10"/>
        <rFont val="Arial Narrow"/>
        <family val="2"/>
      </rPr>
      <t>WQrisk</t>
    </r>
    <r>
      <rPr>
        <sz val="10"/>
        <rFont val="Arial Narrow"/>
        <family val="2"/>
      </rPr>
      <t>, 1-</t>
    </r>
    <r>
      <rPr>
        <b/>
        <sz val="10"/>
        <rFont val="Arial Narrow"/>
        <family val="2"/>
      </rPr>
      <t>WindSumm</t>
    </r>
    <r>
      <rPr>
        <sz val="10"/>
        <rFont val="Arial Narrow"/>
        <family val="2"/>
      </rPr>
      <t>, WQprob11, Toxic11, 1-RdDens1k, DistRd, Dist2DevCrop)</t>
    </r>
  </si>
  <si>
    <t>AVERAGE(Interspers11, OWpct11) </t>
  </si>
  <si>
    <t>AVERAGE (HerbWoodMix11, ClassRichIn) </t>
  </si>
  <si>
    <r>
      <t>Substituted</t>
    </r>
    <r>
      <rPr>
        <sz val="10"/>
        <color rgb="FFFF0000"/>
        <rFont val="Arial Narrow"/>
        <family val="2"/>
      </rPr>
      <t xml:space="preserve"> </t>
    </r>
    <r>
      <rPr>
        <b/>
        <sz val="10"/>
        <rFont val="Arial Narrow"/>
        <family val="2"/>
      </rPr>
      <t>OWpct,</t>
    </r>
    <r>
      <rPr>
        <sz val="10"/>
        <color rgb="FFFF0000"/>
        <rFont val="Arial Narrow"/>
        <family val="2"/>
      </rPr>
      <t xml:space="preserve"> </t>
    </r>
    <r>
      <rPr>
        <b/>
        <sz val="10"/>
        <rFont val="Arial Narrow"/>
        <family val="2"/>
      </rPr>
      <t>MixWaterVeg</t>
    </r>
  </si>
  <si>
    <r>
      <t>AVERAGE(WetVegArea,WatProb, ISOdry13</t>
    </r>
    <r>
      <rPr>
        <sz val="10"/>
        <color rgb="FFFF0000"/>
        <rFont val="Arial Narrow"/>
        <family val="2"/>
      </rPr>
      <t xml:space="preserve">, OWpct13, Interspers13, </t>
    </r>
    <r>
      <rPr>
        <sz val="10"/>
        <rFont val="Arial Narrow"/>
        <family val="2"/>
      </rPr>
      <t>EmPct13, DepthEven13, SBhab13, ShoreSlope13, TreeForm13, SnagB13, Island13, VwidthAbs13)</t>
    </r>
  </si>
  <si>
    <t>AVERAGE(Gradient13, Wettype13, AVERAGE(GrowDD, RipFloodpl, Lake13, Fish13, SatPct13, Acidic13, Woody13, Beaver13,  Salin13, Fluctu13))</t>
  </si>
  <si>
    <t>AVERAGE(Dist2DevCrop, BuffNatPct13, Core1_13, Core2_13, BMP_13)</t>
  </si>
  <si>
    <t>AVERAGE(WetDens1k, PerimNatCov, UndevOpenL1k, VegCon1k)</t>
  </si>
  <si>
    <r>
      <t>Substituted</t>
    </r>
    <r>
      <rPr>
        <sz val="10"/>
        <color rgb="FFFF0000"/>
        <rFont val="Arial Narrow"/>
        <family val="2"/>
      </rPr>
      <t xml:space="preserve"> </t>
    </r>
    <r>
      <rPr>
        <b/>
        <sz val="10"/>
        <rFont val="Arial Narrow"/>
        <family val="2"/>
      </rPr>
      <t xml:space="preserve">ClassRichIn, </t>
    </r>
    <r>
      <rPr>
        <sz val="10"/>
        <rFont val="Arial Narrow"/>
        <family val="2"/>
      </rPr>
      <t>1-</t>
    </r>
    <r>
      <rPr>
        <b/>
        <sz val="10"/>
        <rFont val="Arial Narrow"/>
        <family val="2"/>
      </rPr>
      <t>OWpct, WetWooded</t>
    </r>
    <r>
      <rPr>
        <sz val="10"/>
        <color rgb="FFFF0000"/>
        <rFont val="Arial Narrow"/>
        <family val="2"/>
      </rPr>
      <t xml:space="preserve">, </t>
    </r>
    <r>
      <rPr>
        <b/>
        <sz val="10"/>
        <rFont val="Arial Narrow"/>
        <family val="2"/>
      </rPr>
      <t>MixWaterVeg, MixHerbWood</t>
    </r>
  </si>
  <si>
    <r>
      <t>[ AVERAGE(WetVegArea, Vwidth14,</t>
    </r>
    <r>
      <rPr>
        <sz val="10"/>
        <color rgb="FFFF0000"/>
        <rFont val="Arial Narrow"/>
        <family val="2"/>
      </rPr>
      <t xml:space="preserve"> ClassRichIn14</t>
    </r>
    <r>
      <rPr>
        <sz val="10"/>
        <rFont val="Arial Narrow"/>
        <family val="2"/>
      </rPr>
      <t>) + AVERAGE(WetPerim2Area, Inclus14) + AVERAGE(WatProb, SatPct14,</t>
    </r>
    <r>
      <rPr>
        <sz val="10"/>
        <color rgb="FFFF0000"/>
        <rFont val="Arial Narrow"/>
        <family val="2"/>
      </rPr>
      <t xml:space="preserve"> PondedOWpct14) </t>
    </r>
    <r>
      <rPr>
        <sz val="10"/>
        <rFont val="Arial Narrow"/>
        <family val="2"/>
      </rPr>
      <t>+ AVERAGE</t>
    </r>
    <r>
      <rPr>
        <sz val="10"/>
        <color rgb="FFFF0000"/>
        <rFont val="Arial Narrow"/>
        <family val="2"/>
      </rPr>
      <t>(WoodyPct14</t>
    </r>
    <r>
      <rPr>
        <sz val="10"/>
        <rFont val="Arial Narrow"/>
        <family val="2"/>
      </rPr>
      <t>, TreePct14, ShrubCanop14, ShrubDiv14, HerbDom14, TreeTypes14, SnagD14, WoodDown14, Cliffs14) + AVERAGE(</t>
    </r>
    <r>
      <rPr>
        <sz val="10"/>
        <color rgb="FFFF0000"/>
        <rFont val="Arial Narrow"/>
        <family val="2"/>
      </rPr>
      <t>Interspers14, WoodPatt14</t>
    </r>
    <r>
      <rPr>
        <sz val="10"/>
        <rFont val="Arial Narrow"/>
        <family val="2"/>
      </rPr>
      <t>)] / 5</t>
    </r>
  </si>
  <si>
    <r>
      <t xml:space="preserve">Substituted </t>
    </r>
    <r>
      <rPr>
        <b/>
        <sz val="10"/>
        <rFont val="Arial Narrow"/>
        <family val="2"/>
      </rPr>
      <t>FenMarshSwamp</t>
    </r>
  </si>
  <si>
    <r>
      <t>[ MAX(RaptorNest, BioDivZone, Spring) +</t>
    </r>
    <r>
      <rPr>
        <sz val="10"/>
        <color rgb="FFFF0000"/>
        <rFont val="Arial Narrow"/>
        <family val="2"/>
      </rPr>
      <t xml:space="preserve"> </t>
    </r>
    <r>
      <rPr>
        <sz val="10"/>
        <rFont val="Arial Narrow"/>
        <family val="2"/>
      </rPr>
      <t xml:space="preserve">AVERAGE(GrowDD, RipFloodpl, </t>
    </r>
    <r>
      <rPr>
        <sz val="10"/>
        <color rgb="FFFF0000"/>
        <rFont val="Arial Narrow"/>
        <family val="2"/>
      </rPr>
      <t>Wettype14,</t>
    </r>
    <r>
      <rPr>
        <sz val="10"/>
        <rFont val="Arial Narrow"/>
        <family val="2"/>
      </rPr>
      <t xml:space="preserve"> Hardwd14, Sedge14, ForbCov14, Beaver14a)] /2</t>
    </r>
  </si>
  <si>
    <t>AVERAGE(PerimNatCov, NatCov1k, ClassRich1k, WetDens1k, VegCon1k, CUbuffNatPct14)</t>
  </si>
  <si>
    <r>
      <t>AVERAGE(1-</t>
    </r>
    <r>
      <rPr>
        <b/>
        <sz val="10"/>
        <rFont val="Arial Narrow"/>
        <family val="2"/>
      </rPr>
      <t>WQrisk</t>
    </r>
    <r>
      <rPr>
        <sz val="10"/>
        <rFont val="Arial Narrow"/>
        <family val="2"/>
      </rPr>
      <t>, Dist2DevCrop, 1-WindWin, 1-RdDens1k, DistRd, DistPop, Core14a, Core14b, BMP_14)</t>
    </r>
  </si>
  <si>
    <r>
      <t>AVERAGE(</t>
    </r>
    <r>
      <rPr>
        <sz val="10"/>
        <color rgb="FFFF0000"/>
        <rFont val="Arial Narrow"/>
        <family val="2"/>
      </rPr>
      <t>InterspersPD, WoodyCovPD, HerbWood15</t>
    </r>
    <r>
      <rPr>
        <sz val="10"/>
        <rFont val="Arial Narrow"/>
        <family val="2"/>
      </rPr>
      <t>, ClassRichIn15, wood2pd, herbdom15, HardwdPD, dbhPD, sedgePD, forbsPD)</t>
    </r>
  </si>
  <si>
    <r>
      <t xml:space="preserve">Substituted </t>
    </r>
    <r>
      <rPr>
        <b/>
        <sz val="10"/>
        <rFont val="Arial Narrow"/>
        <family val="2"/>
      </rPr>
      <t>MixWaterVeg, MixHerbWood, WetWooded</t>
    </r>
    <r>
      <rPr>
        <sz val="10"/>
        <rFont val="Arial Narrow"/>
        <family val="2"/>
      </rPr>
      <t/>
    </r>
  </si>
  <si>
    <t>AVERAGE(GrowDD, RipFloodpl, Spring, InfloPD, SoilTexPD, WettypePD, MossPD, BeaverPD, NfixPD, NewWetPD, FlucPD, Depth15)</t>
  </si>
  <si>
    <t>AVERAGE(PerimNatCov,NatCov1k, WetDens1k, ClassRich1k, VegCon1k, BuffLUpd, NatVegCApd)</t>
  </si>
  <si>
    <t>IF((RarePlant=1),10, 10*AVERAGE(RarePlantRange, UniqClass, AVERAGE(Vstruc, Vspace, CfixV, Vscape, StressV))</t>
  </si>
  <si>
    <r>
      <t>Substituted 1-</t>
    </r>
    <r>
      <rPr>
        <b/>
        <sz val="10"/>
        <rFont val="Arial Narrow"/>
        <family val="2"/>
      </rPr>
      <t>OWpct</t>
    </r>
    <r>
      <rPr>
        <sz val="10"/>
        <color rgb="FFFF0000"/>
        <rFont val="Arial Narrow"/>
        <family val="2"/>
      </rPr>
      <t/>
    </r>
  </si>
  <si>
    <t>AVERAGE (WetVegArea, ClassRichIn, HerbWood15)</t>
  </si>
  <si>
    <t>AVERAGE(MarshFenSwamp, PondedOWpctPD, InterspersPD, RipFloodpl)</t>
  </si>
  <si>
    <r>
      <t>[ (AVERAGE(WidthPD,</t>
    </r>
    <r>
      <rPr>
        <sz val="10"/>
        <color rgb="FFFF0000"/>
        <rFont val="Arial Narrow"/>
        <family val="2"/>
      </rPr>
      <t xml:space="preserve"> PondedOWpctPD</t>
    </r>
    <r>
      <rPr>
        <sz val="10"/>
        <rFont val="Arial Narrow"/>
        <family val="2"/>
      </rPr>
      <t>, PersisPD) + AVERAGE(DownedWood15, Snags15, GirregPD, Rock15) ] /2</t>
    </r>
  </si>
  <si>
    <t>AVERAGE(Provis21, Visibility, Core1PU, Core2PU, RecreaPot, BMPsoilsPU, BMPwildPU, Wells21)</t>
  </si>
  <si>
    <r>
      <t xml:space="preserve">Substituted </t>
    </r>
    <r>
      <rPr>
        <b/>
        <sz val="10"/>
        <rFont val="Arial Narrow"/>
        <family val="2"/>
        <scheme val="minor"/>
      </rPr>
      <t>OWpct</t>
    </r>
  </si>
  <si>
    <t>10*AVERAGE(Ownership, Invest21, Access, Use, Wet)</t>
  </si>
  <si>
    <t>AVERAGE(WetArea, WatProb, PondedOWpct21, Fringe, Lake)</t>
  </si>
  <si>
    <t>10*AVERAGE(Ownership, a, b, c)</t>
  </si>
  <si>
    <t>Function (ABWRET-ESub ):</t>
  </si>
  <si>
    <t>Function  (ABWRET-ESub ) Normalized:</t>
  </si>
  <si>
    <t>Function (ABWRET-E ) Normalized:</t>
  </si>
  <si>
    <r>
      <t>For an average person, walking is physically possible</t>
    </r>
    <r>
      <rPr>
        <u/>
        <sz val="10"/>
        <rFont val="Arial Narrow"/>
        <family val="2"/>
      </rPr>
      <t xml:space="preserve"> in</t>
    </r>
    <r>
      <rPr>
        <sz val="10"/>
        <rFont val="Arial Narrow"/>
        <family val="2"/>
      </rPr>
      <t xml:space="preserve"> (not just near) &gt;5% of the AA during most of the growing season, e.g., free of deep water and dense shrub thickets.</t>
    </r>
  </si>
  <si>
    <r>
      <t xml:space="preserve">(a) Woody cover and herbaceous/ moss cover EACH comprise </t>
    </r>
    <r>
      <rPr>
        <b/>
        <sz val="10"/>
        <rFont val="Arial Narrow"/>
        <family val="2"/>
      </rPr>
      <t>30-70%</t>
    </r>
    <r>
      <rPr>
        <sz val="10"/>
        <rFont val="Arial Narrow"/>
        <family val="2"/>
      </rPr>
      <t xml:space="preserve"> of the </t>
    </r>
    <r>
      <rPr>
        <b/>
        <sz val="10"/>
        <rFont val="Arial Narrow"/>
        <family val="2"/>
      </rPr>
      <t xml:space="preserve">vegetated part </t>
    </r>
    <r>
      <rPr>
        <sz val="10"/>
        <rFont val="Arial Narrow"/>
        <family val="2"/>
      </rPr>
      <t xml:space="preserve">of the AA, AND (b) There are </t>
    </r>
    <r>
      <rPr>
        <u/>
        <sz val="10"/>
        <rFont val="Arial Narrow"/>
        <family val="2"/>
      </rPr>
      <t>many</t>
    </r>
    <r>
      <rPr>
        <sz val="10"/>
        <rFont val="Arial Narrow"/>
        <family val="2"/>
      </rPr>
      <t xml:space="preserve"> patches of woody vegetation scattered widely within herbaceous/ moss vegetation, or many patches of herbaceous vegetation scattered widely within woody vegetation.</t>
    </r>
  </si>
  <si>
    <r>
      <t xml:space="preserve">(a) Woody cover and herbaceous/ moss EACH comprise 30-70% of the vegetated AA, AND (b) There are </t>
    </r>
    <r>
      <rPr>
        <u/>
        <sz val="10"/>
        <rFont val="Arial Narrow"/>
        <family val="2"/>
      </rPr>
      <t>few</t>
    </r>
    <r>
      <rPr>
        <sz val="10"/>
        <rFont val="Arial Narrow"/>
        <family val="2"/>
      </rPr>
      <t xml:space="preserve"> patches ("islands") of woody vegetation scattered widely within herbaceous vegetation, or few patches of herbaceous/ moss vegetation ("gaps") scattered widely within woody vegetation.</t>
    </r>
  </si>
  <si>
    <r>
      <t xml:space="preserve">(a) Woody cover </t>
    </r>
    <r>
      <rPr>
        <b/>
        <sz val="10"/>
        <rFont val="Arial Narrow"/>
        <family val="2"/>
      </rPr>
      <t>OR</t>
    </r>
    <r>
      <rPr>
        <sz val="10"/>
        <rFont val="Arial Narrow"/>
        <family val="2"/>
      </rPr>
      <t xml:space="preserve"> herbaceous/ moss comprise</t>
    </r>
    <r>
      <rPr>
        <b/>
        <sz val="10"/>
        <rFont val="Arial Narrow"/>
        <family val="2"/>
      </rPr>
      <t xml:space="preserve"> &gt;70% </t>
    </r>
    <r>
      <rPr>
        <sz val="10"/>
        <rFont val="Arial Narrow"/>
        <family val="2"/>
      </rPr>
      <t xml:space="preserve">of the vegetated AA, AND (b) There are several patches of the other scattered within it. </t>
    </r>
  </si>
  <si>
    <r>
      <t>Substituted</t>
    </r>
    <r>
      <rPr>
        <b/>
        <sz val="10"/>
        <rFont val="Arial Narrow"/>
        <family val="2"/>
      </rPr>
      <t xml:space="preserve"> 1-OWpct, Soiltex, WetWooded</t>
    </r>
    <r>
      <rPr>
        <sz val="10"/>
        <rFont val="Arial Narrow"/>
        <family val="2"/>
      </rPr>
      <t/>
    </r>
  </si>
  <si>
    <t>Leave Column Blank</t>
  </si>
  <si>
    <t>SOIL TEXTURE CLASS (as mapped by AGRASID)</t>
  </si>
  <si>
    <r>
      <t xml:space="preserve">Score for Relative Capacity for </t>
    </r>
    <r>
      <rPr>
        <b/>
        <sz val="12"/>
        <color theme="1"/>
        <rFont val="Times New Roman"/>
        <family val="1"/>
      </rPr>
      <t xml:space="preserve">Infiltration </t>
    </r>
    <r>
      <rPr>
        <sz val="12"/>
        <color theme="1"/>
        <rFont val="Times New Roman"/>
        <family val="1"/>
      </rPr>
      <t>(Assumed)</t>
    </r>
  </si>
  <si>
    <t>blank (=NULL)</t>
  </si>
  <si>
    <r>
      <t xml:space="preserve">Score for Relative Capacity for </t>
    </r>
    <r>
      <rPr>
        <b/>
        <sz val="12"/>
        <color theme="1"/>
        <rFont val="Times New Roman"/>
        <family val="1"/>
      </rPr>
      <t>Phosphorus Adsorption</t>
    </r>
    <r>
      <rPr>
        <sz val="12"/>
        <color theme="1"/>
        <rFont val="Times New Roman"/>
        <family val="1"/>
      </rPr>
      <t xml:space="preserve"> (Assumed)</t>
    </r>
  </si>
  <si>
    <t>Score for ORGANIC CONTENT (Assumed)</t>
  </si>
  <si>
    <t>Specific Functions:</t>
  </si>
  <si>
    <t>Function ABWRET-E Raw Score:</t>
  </si>
  <si>
    <t>Function (ABWRET-A raw score)</t>
  </si>
  <si>
    <t>Normalized Function Scores (ABWRET-A):</t>
  </si>
  <si>
    <r>
      <t xml:space="preserve">Fringe wetlands adjoin expanses of open water that are visually appealing as well as providing opportunity for fishing and water sports.  </t>
    </r>
    <r>
      <rPr>
        <i/>
        <sz val="10"/>
        <rFont val="Arial Narrow"/>
        <family val="2"/>
      </rPr>
      <t>If wetland is not a fringe wetland, then ignored in calculations rather than being counted as a negative. Also ignored if F20 indicates an unsightly growth of algae or duckweed is dominant.</t>
    </r>
  </si>
  <si>
    <t>Investigator:</t>
  </si>
  <si>
    <t>Date:</t>
  </si>
  <si>
    <t>Data  x  Weight</t>
  </si>
  <si>
    <t>Weight</t>
  </si>
  <si>
    <r>
      <t xml:space="preserve">Included </t>
    </r>
    <r>
      <rPr>
        <b/>
        <sz val="10"/>
        <rFont val="Arial Narrow"/>
        <family val="2"/>
      </rPr>
      <t xml:space="preserve">LGIndex </t>
    </r>
    <r>
      <rPr>
        <sz val="10"/>
        <rFont val="Arial Narrow"/>
        <family val="2"/>
      </rPr>
      <t>in above average</t>
    </r>
  </si>
  <si>
    <r>
      <t xml:space="preserve">This directly estimates the relative amount of vertical space in which precipitation and runoff are being stored, at least temporarily (Minke et al. 2010).  </t>
    </r>
    <r>
      <rPr>
        <i/>
        <sz val="10"/>
        <rFont val="Arial Narrow"/>
        <family val="2"/>
        <scheme val="minor"/>
      </rPr>
      <t>In calculations, is excluded automatically (cell goes blank) if wetland never has surface water during an average year.</t>
    </r>
  </si>
  <si>
    <t>Minke, A. G., C. J. Westbrook, and G. van der Kamp. 2010. Simplified volume-area-depth method for estimating water storage of prairie potholes. Wetlands 30:541-551.</t>
  </si>
  <si>
    <r>
      <t xml:space="preserve">Narrow outlets limit water outflow from a wetland and its downstream or downslope movement, thus increasing storage (Carter et al. 1979). Snowmelt and precipitation tend to be exported downstream more quickly from wetlands that have been drained (Lindsay et al. 2004). The types of outlets described here are ones that typically are more constricted than natural channels, which usually have adjusted over time to local runoff and thus are wider relative to volume of flow received.  </t>
    </r>
    <r>
      <rPr>
        <i/>
        <sz val="10"/>
        <rFont val="Arial Narrow"/>
        <family val="2"/>
        <scheme val="minor"/>
      </rPr>
      <t>In calculations, is excluded automatically (cell goes blank) if no outlet.</t>
    </r>
  </si>
  <si>
    <t>Lindsay, J. B., I. F. Creed, and F. D. Beall. 2004. Drainage basin morphometrics for depressional landscapes. Water Resources Research 40.</t>
  </si>
  <si>
    <t>Biswas, A., H. W. Chau, A. K. Bedard-Haughn, and B. C. Si. 2012. Factors controlling soil water storage in the hummocky landscape of the Prairie Pothole Region of North America. Canadian Journal of Soil Science 92:649-663.</t>
  </si>
  <si>
    <t>Gala, T. S., R. J. Trueman, and S. Carlyle. 2012. Soil hydrodynamics and controls in prairie potholes of central Canada. Area 44:305-316.</t>
  </si>
  <si>
    <r>
      <t xml:space="preserve">Wetlands fed constantly by groundwater are likely to have only limited subsurface storage space for storing additional precipitation (Biswas et al. 2012, Gala et al. 2012).  However, they may remain unfrozen for shorter periods. </t>
    </r>
    <r>
      <rPr>
        <i/>
        <sz val="10"/>
        <rFont val="Arial Narrow"/>
        <family val="2"/>
        <scheme val="minor"/>
      </rPr>
      <t xml:space="preserve"> In calculations, is excluded automatically (cell goes blank) if no strong evidence of groundwater (last choice).</t>
    </r>
  </si>
  <si>
    <r>
      <t xml:space="preserve">Substituted </t>
    </r>
    <r>
      <rPr>
        <b/>
        <sz val="10"/>
        <rFont val="Arial Narrow"/>
        <family val="2"/>
      </rPr>
      <t xml:space="preserve">OWpct. </t>
    </r>
    <r>
      <rPr>
        <sz val="10"/>
        <rFont val="Arial Narrow"/>
        <family val="2"/>
      </rPr>
      <t xml:space="preserve"> Added 1-</t>
    </r>
    <r>
      <rPr>
        <b/>
        <sz val="10"/>
        <rFont val="Arial Narrow"/>
        <family val="2"/>
      </rPr>
      <t>LGindex</t>
    </r>
    <r>
      <rPr>
        <sz val="10"/>
        <rFont val="Arial Narrow"/>
        <family val="2"/>
      </rPr>
      <t>.</t>
    </r>
  </si>
  <si>
    <t>Woody vegetation is assumed to provide more shade than herbaceous, and shade cools or helps maintain temperature of surface waters (e.g., Rounds 2007).</t>
  </si>
  <si>
    <t>Janisch, J. E., S. M. Wondzell, and W. J. Ehinger. 2012. Headwater stream temperature: Interpreting response after logging, with and without riparian buffers, Washington, USA. Forest Ecology and Management 270:302-313.</t>
  </si>
  <si>
    <t>Caldwell, J. E., K. Doughty, and K. Sullivan. 1991. Evaluation of downstream temperature effects of type 4/5 waters.Timber/Fish/Wildlife Rep. No. TFW -WQ5-91-004. Washington Department of Natural Resources, Olympia, WA.</t>
  </si>
  <si>
    <t>Lewis, D., M. J. Singer, R. A. Dahlgren, and K. W. Tate. 2000. Hydrology in a California oak woodland watershed: a 17-year study. Journal of Hydrology 240:106-117.</t>
  </si>
  <si>
    <t>Groundwater discharging into wetlands supports a wetland's capacity to cool surface runoff during summer because groundwater in most cases is cooler than surface water during that time (Mellina et al. 2002). For example, in higher-gradient intermittent headwater streams, the cooling effect of groundwater may be greater than that of shade (Janisch et al. 2012). Cooling effects may extend 50 m to 4 km downstream from an individual source of cooler water, depending on the temperature and discharge rate from the source relative to those of the receiving waters (Caldwell et al. 1991, Lewis et al. 2000).</t>
  </si>
  <si>
    <r>
      <t xml:space="preserve">Wetlands with greater water depth overall tend to have cooler outflows (depending on elevation of the outlet) because water depth provides insulation from solar warming. </t>
    </r>
    <r>
      <rPr>
        <i/>
        <sz val="10"/>
        <rFont val="Arial Narrow"/>
        <family val="2"/>
      </rPr>
      <t>In calculations, is excluded automatically (cell goes blank) if wetland never has surface water during an average year. Also is excluded automatically if wetland is &lt;0.01 ha.</t>
    </r>
  </si>
  <si>
    <r>
      <t xml:space="preserve">Suspended sediment is more likely to be filtered and stranded in vegetation if water levels fluctuate. However, in some soil types, large water level fluctuations (especially if artificially induced) cause erosion that results in more sediment being exported than retained. </t>
    </r>
    <r>
      <rPr>
        <i/>
        <sz val="10"/>
        <rFont val="Arial Narrow"/>
        <family val="2"/>
      </rPr>
      <t>In calculations, is excluded automatically (cell goes blank) if wetland never has surface water during an average year or if surface water is permanent (i.e., must have at least a seasonal-only zone in order to have water fluctuation).</t>
    </r>
  </si>
  <si>
    <r>
      <t xml:space="preserve">As the proportionate area of emergent and other aquatic plants increases, current velocity may be reduced (depending on the distribution of the plants relative to flow paths), and a larger proportion of the sediment may be intercepted, particularly if the wetland is not narrow. </t>
    </r>
    <r>
      <rPr>
        <i/>
        <sz val="10"/>
        <rFont val="Arial Narrow"/>
        <family val="2"/>
      </rPr>
      <t>In calculations, is excluded automatically (cell goes blank) if wetland never has surface water during an average year. Also is excluded automatically if wetland has no ponded water or is &lt;0.01 ha.</t>
    </r>
  </si>
  <si>
    <r>
      <t xml:space="preserve">Greater interspersion of open water and vegetation should allow more contact between plants and moving sediment-bearing water, resulting in greater deposition of suspended sediment. </t>
    </r>
    <r>
      <rPr>
        <i/>
        <sz val="10"/>
        <rFont val="Arial Narrow"/>
        <family val="2"/>
      </rPr>
      <t>In calculations, is excluded automatically (cell goes blank) if wetland never has surface water during an average year, if no ponded water, if ponded water but no vegetation, or if ponded but no open water.</t>
    </r>
  </si>
  <si>
    <r>
      <t xml:space="preserve">Like a constricted outlet, vegetation and other obstacles create a "roughness" within a wetland that can slow the water and allow sediment particles to be deposited. This is much truer if the vegetation intercepts a large proportion of the flow during high-flow periods (i.e., is not merely along an upland edge that never floods). Although tall and stiff vegetation provides the most resistance and thus sedimentation, it often tends to have less ground cover, so the net effect is uncertain in some wetlands. Water takes longer to move through complex channel networks (e.g., braided or sinuous) which themselves provide additional friction, thus allowing more suspended sediment to be deposited. The sinuosity is as much the result of sedimentation-erosion dynamics as it is the cause of them. Wetlands with a sheet flow pattern often retain more suspended solids than channelized systems (Morris et al. 1981). </t>
    </r>
    <r>
      <rPr>
        <i/>
        <sz val="10"/>
        <rFont val="Arial Narrow"/>
        <family val="2"/>
      </rPr>
      <t>In calculations, is excluded automatically (cell goes blank) if wetland never has surface water during an average year or if no surface inflows.</t>
    </r>
  </si>
  <si>
    <r>
      <t xml:space="preserve">Narrow outlets limit water outflow from a wetland and its downstream or downslope movement, thus causing water to back up into the wetland, which allows more time for suspended sediments to be deposited. The types of outlets described here are ones that typically are more constricted than natural channels. Natural channels usually have adjusted over time to local runoff and thus tend to be wider relative to volume of flow received. A restricting outlet in wetlands can reduce export of sediment (Amatya et al. 2003). </t>
    </r>
    <r>
      <rPr>
        <i/>
        <sz val="10"/>
        <rFont val="Arial Narrow"/>
        <family val="2"/>
      </rPr>
      <t>In calculations, is excluded automatically (cell goes blank) if no outlet.  In calculations, is excluded automatically (cell goes blank) if wetland has no surface water outlet.</t>
    </r>
  </si>
  <si>
    <r>
      <t xml:space="preserve">Wider vegetated areas provide more area for phosphorus adsorbed to sediment particles in runoff to be filtered and deposited. Where phosphorus is mainly attached to sediment (as often it is), then buffer widths sufficient for sediment retention (generally 10-30 ft) may be almost as effective for retaining phosphorus (White et al. 2007). But if phosphorus is mostly in dissolved form (orthophosphate, or soluble reactive phosphorus), then vegetated buffers may need to be very large or may not be effective at all (Prepas et al. 2001, Hoffman et al. 2009). </t>
    </r>
    <r>
      <rPr>
        <i/>
        <sz val="10"/>
        <rFont val="Arial Narrow"/>
        <family val="2"/>
      </rPr>
      <t>In calculations, is excluded automatically (cell goes blank) if wetland never has surface water during an average year, or no open water, or if wetland is &lt;0.01 ha..</t>
    </r>
  </si>
  <si>
    <r>
      <t xml:space="preserve">Greater interspersion of open water and vegetation is hypothesized to support greater sediment and phosphorus removal. That is because plants assist the deposition of suspended sediment which contains P, while open water areas tend to be more aerobic which immobilizes P in the deposited sediment. </t>
    </r>
    <r>
      <rPr>
        <i/>
        <sz val="10"/>
        <rFont val="Arial Narrow"/>
        <family val="2"/>
      </rPr>
      <t>In calculations, is excluded automatically (cell goes blank) if wetland never has surface water during an average year, if no ponded water, if ponded water but no vegetation, or if ponded but no open water.</t>
    </r>
  </si>
  <si>
    <r>
      <t xml:space="preserve">A proliferation of algae and floating aquatics can indicate that the wetland is receiving more nutrients than it is capable of processing effectively.  These non-rooted plants do not oxygenate the sediments, they take up and store nutrients only briefly, and their die-offs create anoxic conditions that mobilize phosphorus temporarily retained in sediments. In the calculations, abundant algae reduces the score but absence of blooms does not increase it. </t>
    </r>
    <r>
      <rPr>
        <i/>
        <sz val="10"/>
        <rFont val="Arial Narrow"/>
        <family val="2"/>
      </rPr>
      <t>In calculations, is excluded automatically (cell goes blank) if wetland never has surface water during an average year, or if wetland is &lt;0.01 ha.</t>
    </r>
  </si>
  <si>
    <r>
      <t xml:space="preserve">Like a constricted outlet, vegetation and other obstacles create a "roughness" within a wetland that can slow the water and allow phosphorus adsorbed to sediment particles to be deposited. This is much truer if the vegetation intercepts a large proportion of the flow during high-flow periods (i.e., is not merely along an upland edge that never floods). Although tall and stiff vegetation provides the most resistance and thus may be more effective at allowing sediment to be deposited, it often tends to have less ground cover, so the net effect is uncertain in some wetlands. Water takes longer to move through complex channel networks (e.g., braided or sinuous) which themselves provide additional friction, thus allowing more suspended sediment and the phosphorus associated with it to be deposited. Wetlands with a sheet flow pattern often retain more total phosphorus than channelized systems (Morris et al. 1981, Knox et al. 2008). </t>
    </r>
    <r>
      <rPr>
        <i/>
        <sz val="10"/>
        <rFont val="Arial Narrow"/>
        <family val="2"/>
      </rPr>
      <t>In calculations, is excluded automatically (cell goes blank) if wetland never has surface water during an average year or if no surface inflows.</t>
    </r>
  </si>
  <si>
    <r>
      <t xml:space="preserve">Wetlands that lack outlets retain all phosphorus that enters them. Wetlands that connect to downslope water bodies for only part of the year may export less phosphorus annually than those with persistent outflow. </t>
    </r>
    <r>
      <rPr>
        <i/>
        <sz val="10"/>
        <rFont val="Arial Narrow"/>
        <family val="2"/>
      </rPr>
      <t>In calculations, is excluded automatically (cell goes blank) if wetland never has surface water during an average year.</t>
    </r>
  </si>
  <si>
    <r>
      <t xml:space="preserve">Narrow outlets limit water outflow from a wetland and its downstream or downslope movement, thus causing water to back up into the wetland, which allows more time for sediments to be deposited and phosphorus to be processed. The types of outlets described here are ones that typically are more constricted than natural channels, which usually have adjusted over time to local runoff and thus are wider relative to volume of flow received. A restricting outlet in wetlands can reduce export of phosphorus (Amatya et al. 2003). </t>
    </r>
    <r>
      <rPr>
        <i/>
        <sz val="10"/>
        <rFont val="Arial Narrow"/>
        <family val="2"/>
      </rPr>
      <t>In calculations, is excluded automatically (cell goes blank) if no outlet.</t>
    </r>
  </si>
  <si>
    <t>Plants take up nitrate from sediments and can facilitate retention if N is transferred to roots that are not as subject to erosion as foliage. Plants also facilitate sediment deposition by slowing the water, and some nitrate is associated with that sediment so is also deposited and potentially retained. Perhaps most importantly, roots of some plants oxidize the anoxic sediments that surround them and this facilitates denitrification, the major process for removing soluble nitrate from water.</t>
  </si>
  <si>
    <t>Wetland vegetation is a primary source of the organic matter that is subject to export from wetlands.</t>
  </si>
  <si>
    <t>Interspersion of open water with vegetation would seem to promote greater export of organic matter from the vegetation or accumulated organic soils.</t>
  </si>
  <si>
    <r>
      <t xml:space="preserve">Persistent surface water is essential to resident fish in isolated wetlands, and is important to resident fish even in wetlands that connect seasonally to other water bodies. </t>
    </r>
    <r>
      <rPr>
        <i/>
        <sz val="10"/>
        <rFont val="Arial Narrow"/>
        <family val="2"/>
      </rPr>
      <t>In calculations, is excluded automatically (cell goes blank) if wetland never has surface water during an average year.</t>
    </r>
    <r>
      <rPr>
        <sz val="10"/>
        <rFont val="Arial Narrow"/>
        <family val="2"/>
      </rPr>
      <t xml:space="preserve"> </t>
    </r>
  </si>
  <si>
    <r>
      <t xml:space="preserve">Shade helps maintain stable water temperatures favorable to resident fish. Vegetation associated with shading increases the availability of terrestrial insects that fall off the shading vegetation and into waters where they are fed upon by fish. However, shade also can reduce algal biomass and thus the abundance of aquatic insects fed upon by some resident fish. </t>
    </r>
    <r>
      <rPr>
        <i/>
        <sz val="10"/>
        <rFont val="Arial Narrow"/>
        <family val="2"/>
      </rPr>
      <t>In calculations, is excluded automatically (cell goes blank) if wetland never has surface water during an average year or if water is present only seasonally.</t>
    </r>
  </si>
  <si>
    <r>
      <t xml:space="preserve">Even if not connected to other water bodies, lakes are used extensively by resident fish, and lakeside wetlands provide shelter, rich feeding areas, and substrate for spawning by some species. </t>
    </r>
    <r>
      <rPr>
        <i/>
        <sz val="10"/>
        <rFont val="Arial Narrow"/>
        <family val="2"/>
      </rPr>
      <t>In calculations, is excluded automatically (cell goes blank) if wetland never has surface water during an average year or if water is present only seasonally.  If condition not met, then ignored in calculations rather than being counted as a negative.</t>
    </r>
  </si>
  <si>
    <r>
      <t xml:space="preserve">Most resident fish spend much of their time in deeper water because of the cover it provides. Wetlands with deeper water provide more habitat space. </t>
    </r>
    <r>
      <rPr>
        <i/>
        <sz val="10"/>
        <rFont val="Arial Narrow"/>
        <family val="2"/>
      </rPr>
      <t>In calculations, is excluded automatically (cell goes blank) if wetland never has surface water during an average year. Also is excluded automatically if wetland is &lt;0.01 ha.</t>
    </r>
  </si>
  <si>
    <r>
      <t>Large woody debris helps protect young fish from aerial predators and provides cooler water preferred by salmonids.</t>
    </r>
    <r>
      <rPr>
        <i/>
        <sz val="10"/>
        <rFont val="Arial Narrow"/>
        <family val="2"/>
      </rPr>
      <t xml:space="preserve"> In calculations, is excluded automatically (cell goes blank) if wetland never has surface water during an average year. Also is excluded automatically if wetland lacks open water or is &lt;0.01 ha.</t>
    </r>
  </si>
  <si>
    <r>
      <t>A mix of accessible ponded and flowing water is important to many fish species.</t>
    </r>
    <r>
      <rPr>
        <i/>
        <sz val="10"/>
        <rFont val="Arial Narrow"/>
        <family val="2"/>
      </rPr>
      <t xml:space="preserve"> In calculations, is excluded automatically (cell goes blank) if wetland is &lt;0.01 ha.</t>
    </r>
  </si>
  <si>
    <r>
      <t xml:space="preserve">Greater interspersion of open water with vegetation provides resident fish with greater access to food sources, such as insects falling off emergent plants. </t>
    </r>
    <r>
      <rPr>
        <i/>
        <sz val="10"/>
        <rFont val="Arial Narrow"/>
        <family val="2"/>
      </rPr>
      <t>In calculations, is excluded automatically (cell goes blank) if no ponded water, if ponded water but no vegetation, if ponded but no open water, or if &lt;0.01 ha.</t>
    </r>
  </si>
  <si>
    <r>
      <t xml:space="preserve">Fewer resident fish thrive in nutrient-poor acidic ponds. Lakes and wetlands that are naturally acidic tend to have lower aquatic productivity and fewer fish species compared to non-acidic wetlands of the same size (Rahel 1984, Rago &amp; Wiener 1986).  However, as pond size increases and ponds begin to resemble lakes, alkalinity often increases and consequently the ability to support a wider array of aquatic animals. Even where surrounded by bog vegetation and acidic soils with high DOC (Dissolved Organic Carbon) concentrations, many of these lakes are not acidic, especially when located low in a watershed (Eilers et al. 1993). </t>
    </r>
    <r>
      <rPr>
        <i/>
        <sz val="10"/>
        <rFont val="Arial Narrow"/>
        <family val="2"/>
      </rPr>
      <t xml:space="preserve">In calculations, is excluded automatically (cell goes blank) if wetland is &lt;0.01 ha.  If acidic ponded water is absent, the model ignores this indicator, but if present ("1"), the indicator score is set to zero. </t>
    </r>
  </si>
  <si>
    <r>
      <t xml:space="preserve">Although simple presence of fish does not necessarily indicate optimal habitat, their presence suggests that habitat suitability is at least minimal. </t>
    </r>
    <r>
      <rPr>
        <i/>
        <sz val="10"/>
        <rFont val="Arial Narrow"/>
        <family val="2"/>
      </rPr>
      <t>Is excluded from calculations (cell goes blank) automatically if wetland is &lt;0.01 ha.</t>
    </r>
  </si>
  <si>
    <r>
      <t xml:space="preserve">If water containing toxic substances enters a wetland, the wetland has much less capacity to support fish, or fish may be unsafe to consume. Resident fish are especially prone to bioaccumulation of locally-sourced metals (e.g., Deniseger et al. 1990). </t>
    </r>
    <r>
      <rPr>
        <i/>
        <sz val="10"/>
        <rFont val="Arial Narrow"/>
        <family val="2"/>
      </rPr>
      <t>In calculations, is excluded automatically (cell goes blank) if wetland never has surface water during an average year.</t>
    </r>
  </si>
  <si>
    <r>
      <t xml:space="preserve">Life histories of resident fish are closely synchronized to natural hydrologic patterns. Wetlands where that has been disrupted will have lower capacity to support resident fish. </t>
    </r>
    <r>
      <rPr>
        <i/>
        <sz val="10"/>
        <rFont val="Arial Narrow"/>
        <family val="2"/>
      </rPr>
      <t>In calculations, is excluded automatically (cell goes blank) if wetland never has surface water during an average year.</t>
    </r>
  </si>
  <si>
    <t>Fish                   Habitat</t>
  </si>
  <si>
    <r>
      <t>Wetlands in which surface water persists longer are capable of supporting a wider variety of invertebrates, e.g., those that require many months or years to complete their life cycle, as well as those that mature more rapidly. Thus, wetlands with a proportionately large extent of persistent water may benefit a wide range of aquatic invertebrates.  However, even wetlands that remain dry for years before reflooding can support aquatic invertebrates that have dormant eggs that remain viable during drought.  Reflooded wetlands also are quickly recolonised by flying aquatic insects.</t>
    </r>
    <r>
      <rPr>
        <i/>
        <sz val="10"/>
        <rFont val="Arial Narrow"/>
        <family val="2"/>
        <scheme val="minor"/>
      </rPr>
      <t xml:space="preserve"> In calculations, is excluded automatically (cell goes blank) if wetland never has surface water during an average year. </t>
    </r>
  </si>
  <si>
    <r>
      <t xml:space="preserve">The parts of a wetland that are inundated only seasonally may contain water long enough for many invertebrates to complete their life cycle, while providing fresh food resources (e.g., plant litter). They also tend to be shallower and less deficient in dissolved oxygen, making them suitable for a wider range of species. Seasonal fluctuations release nutrients bound up in wetland sediments, and stimulate the growth of new plants whose seeds have been dormant.  However, some invertebrate taxa, such as those without winged adult stages living in isolated wetlands (bog pools), may not survive prolonged desiccation. </t>
    </r>
    <r>
      <rPr>
        <i/>
        <sz val="10"/>
        <rFont val="Arial Narrow"/>
        <family val="2"/>
        <scheme val="minor"/>
      </rPr>
      <t>In calculations, is excluded automatically (cell goes blank) if wetland never has surface water during an average year.</t>
    </r>
  </si>
  <si>
    <r>
      <t xml:space="preserve">Provided that they hold surface water for several weeks, shallow areas support greater primary production, support higher vascular plant densities, and consequently greater invertebrate production. </t>
    </r>
    <r>
      <rPr>
        <i/>
        <sz val="10"/>
        <rFont val="Arial Narrow"/>
        <family val="2"/>
        <scheme val="minor"/>
      </rPr>
      <t>In calculations, is excluded automatically (cell goes blank) if wetland never has surface water during an average year. Also is excluded automatically if wetland is &lt;0.01 ha.</t>
    </r>
  </si>
  <si>
    <r>
      <t xml:space="preserve">Different invertebrate groups thrive at different water depths in boreal wetlands (Corcoran et al. 2009). Thus, a variety of depths may promote greater invertebrate richness for the wetland as a whole. </t>
    </r>
    <r>
      <rPr>
        <i/>
        <sz val="10"/>
        <rFont val="Arial Narrow"/>
        <family val="2"/>
        <scheme val="minor"/>
      </rPr>
      <t>In calculations, is excluded automatically (cell goes blank) if wetland never has surface water during an average year. Also is excluded automatically if wetland is &lt;0.01 ha.</t>
    </r>
  </si>
  <si>
    <r>
      <t xml:space="preserve">Emergent and submerged vegetation typically hosts extensive growths of epiphytic algae, which along with the supporting herbaceous plants, provide food and cover for a wide variety of invertebrates.  Intermediate cover conditions allow more light penetration of the water column, higher algal productivity, greater oxygenation, and thus tend to support a wide variety of invertebrate groups. </t>
    </r>
    <r>
      <rPr>
        <i/>
        <sz val="10"/>
        <rFont val="Arial Narrow"/>
        <family val="2"/>
        <scheme val="minor"/>
      </rPr>
      <t>In calculations, is excluded automatically (cell goes blank) if wetland never has surface water during an average year or has no ponded water or is &lt;0.01 ha.</t>
    </r>
  </si>
  <si>
    <r>
      <t xml:space="preserve">Greater invertebrate diversity overall may be supported by wetlands with a relatively even mix of open water and vegetation, interspersed throughout. Such conditions reflect a variety of light, temperature, and oxygen regimes as well as edge habitats (ecotones) that together provide more niches for invertebrates. </t>
    </r>
    <r>
      <rPr>
        <i/>
        <sz val="10"/>
        <rFont val="Arial Narrow"/>
        <family val="2"/>
        <scheme val="minor"/>
      </rPr>
      <t>In calculations, is excluded automatically (cell goes blank) if wetland never has surface water during an average year, if no ponded water, if ponded water but no vegetation, if ponded but no open water, or if &lt;0.01 ha.</t>
    </r>
  </si>
  <si>
    <r>
      <t xml:space="preserve">Diffuse flow paths and large spatial complexity of channels within a wetland support a wider variety of microhabitats for invertebrates, so should result in greater species richness. </t>
    </r>
    <r>
      <rPr>
        <i/>
        <sz val="10"/>
        <rFont val="Arial Narrow"/>
        <family val="2"/>
        <scheme val="minor"/>
      </rPr>
      <t>In calculations, is excluded automatically (cell goes blank) if wetland never has surface water during an average year or if no surface inflows.</t>
    </r>
  </si>
  <si>
    <r>
      <t>For invertebrates, groundwater provides a relatively steady input of nutrients that supports algal production. It also provides relatively warm temperatures and helps sustain low flows, thus increasing annual production of invertebrates (Brown et al. 2007).  However, where underlying geologic strata are iron-rich, groundwater discharge is accompanied by precipitation of iron "floc" in wetland sediment, smothering aquatic invertebrates and reducing their diversity.</t>
    </r>
    <r>
      <rPr>
        <i/>
        <sz val="10"/>
        <rFont val="Arial Narrow"/>
        <family val="2"/>
        <scheme val="minor"/>
      </rPr>
      <t xml:space="preserve"> In calculations, is excluded automatically (cell goes blank) if no evidence of groundwater influx; otherwise is rated based on response in column D.</t>
    </r>
  </si>
  <si>
    <r>
      <t xml:space="preserve">Downed wood provides food, cover, and a stable microclimate for many  invertebrates that live in soil and peat of wetlands that seldom flood. </t>
    </r>
    <r>
      <rPr>
        <i/>
        <sz val="10"/>
        <rFont val="Arial Narrow"/>
        <family val="2"/>
        <scheme val="minor"/>
      </rPr>
      <t>In calculations, is excluded automatically (cell goes blank) if woody vegetation occupies &lt;5% of the vegetated part of the AA.</t>
    </r>
  </si>
  <si>
    <r>
      <t xml:space="preserve">On a per-surface-area basis, deciduous trees often support higher levels of insect biomass than conifers, at least among nocturnal flying insects (Ober and Hayes 2008). </t>
    </r>
    <r>
      <rPr>
        <i/>
        <sz val="10"/>
        <rFont val="Arial Narrow"/>
        <family val="2"/>
        <scheme val="minor"/>
      </rPr>
      <t>In calculations, is excluded automatically (cell goes blank) if no woody vegetation in the wetland.</t>
    </r>
  </si>
  <si>
    <r>
      <t xml:space="preserve">The second condition implies greater diversity of plants, which sometimes is associated with greater diversity of aquatic invertebrates.  </t>
    </r>
    <r>
      <rPr>
        <i/>
        <sz val="10"/>
        <rFont val="Arial Narrow"/>
        <family val="2"/>
        <scheme val="minor"/>
      </rPr>
      <t>In calculations, is excluded automatically (cell goes blank) if vegetation in the wetland is &lt;5% herbaceous.</t>
    </r>
  </si>
  <si>
    <r>
      <t xml:space="preserve">Life histories of most invertebrates are closely linked to specific thermal and light (seasonality) conditions as those interact with specific hydrologic patterns. Abnormal patterns of inundation to which invertebrate communities are not adapted may reduce populations of many intolerant invertebrate species, thus diminishing local biodiversity. </t>
    </r>
    <r>
      <rPr>
        <i/>
        <sz val="10"/>
        <rFont val="Arial Narrow"/>
        <family val="2"/>
        <scheme val="minor"/>
      </rPr>
      <t>In calculations, is excluded automatically (cell goes blank) if wetland never has surface water during an average year.</t>
    </r>
  </si>
  <si>
    <t>Amphibian             Habitat</t>
  </si>
  <si>
    <t>UniqFenMarsh Swamp</t>
  </si>
  <si>
    <t>The raw value is scored as follows: &lt;1%=0.2;  1%-99%=1.0; &gt;99%=0.</t>
  </si>
  <si>
    <r>
      <t xml:space="preserve">Egg masses of many frogs and aquatic salamanders are more susceptible to stranding in wetlands with large water level fluctuations. </t>
    </r>
    <r>
      <rPr>
        <i/>
        <sz val="10"/>
        <rFont val="Arial Narrow"/>
        <family val="2"/>
        <scheme val="minor"/>
      </rPr>
      <t>In calculations, is excluded automatically (cell goes blank) if wetland never has surface water during an average year, or if none of it floods only seasonally.</t>
    </r>
  </si>
  <si>
    <r>
      <t xml:space="preserve">Wider bands of wetland vegetation help protect a wetland's open waters from contaminants carried in from adjoining uplands. Wider bands of wetland vegetation also provide better cover for young frogs and salamanders as they transition to upland nonbreeding areas. </t>
    </r>
    <r>
      <rPr>
        <i/>
        <sz val="10"/>
        <rFont val="Arial Narrow"/>
        <family val="2"/>
        <scheme val="minor"/>
      </rPr>
      <t>In calculations, is excluded automatically (cell goes blank) if wetland never has surface water during an average year or if wetland lacks open water or is &lt;0.01 ha.</t>
    </r>
  </si>
  <si>
    <r>
      <t xml:space="preserve">Large woody debris helps protect frogs and aquatic salamanders from aerial predators, and provides important basking sites. </t>
    </r>
    <r>
      <rPr>
        <i/>
        <sz val="10"/>
        <rFont val="Arial Narrow"/>
        <family val="2"/>
        <scheme val="minor"/>
      </rPr>
      <t>In calculations, is excluded automatically (cell goes blank) if wetland never has surface water during an average year, or has no open water, or  is &lt;0.01 ha.</t>
    </r>
  </si>
  <si>
    <r>
      <t xml:space="preserve">Unshaded open water areas potentially provide warmer conditions favored by many amphibians, while nearby areas with cover provide protection from predators. </t>
    </r>
    <r>
      <rPr>
        <i/>
        <sz val="10"/>
        <rFont val="Arial Narrow"/>
        <family val="2"/>
        <scheme val="minor"/>
      </rPr>
      <t>In calculations, is excluded automatically (cell goes blank) if wetland never has surface water during an average year, if no ponded water, if ponded water but no vegetation, if ponded but no open water, or if &lt;0.01 ha.</t>
    </r>
  </si>
  <si>
    <r>
      <t xml:space="preserve">Stained surface waters tend to be less biologically productive and thus less supportive in the early development of pond-breeding amphibians.  </t>
    </r>
    <r>
      <rPr>
        <i/>
        <sz val="10"/>
        <rFont val="Arial Narrow"/>
        <family val="2"/>
        <scheme val="minor"/>
      </rPr>
      <t>Is excluded from calculations (cell goes blank) automatically if wetland is &lt;0.01 ha.</t>
    </r>
  </si>
  <si>
    <r>
      <t xml:space="preserve">Wetlands with substantial groundwater inputs tend to have more stable and reliable water levels, thus increasing the likelihood of amphibians breeding successfully.  Also, winter water temperatures are warmer than most receiving surface waters.  However, the cooler temperatures in summer associated with groundwater input may be less favorable to development of some amphibians. </t>
    </r>
    <r>
      <rPr>
        <i/>
        <sz val="10"/>
        <rFont val="Arial Narrow"/>
        <family val="2"/>
        <scheme val="minor"/>
      </rPr>
      <t>In calculations, is excluded automatically (cell goes blank) if no evidence of groundwater influx; otherwise is rated based on response in column D.</t>
    </r>
  </si>
  <si>
    <r>
      <t xml:space="preserve">During certain months of the year many salamanders and some frogs and toads require the moist microclimate and abundant invertebrate foods found in or under large downed in the uplands surrounding wetlands.  Forests with large-diameter trees are most likely to have such conditions.  However, the branches of smaller-diameter shrubs when partially inundated provide suitable sites for attachment of aquatic salamander egg masses. The dominant type of vegetation, both near a stream and in a watershed generally,  has the potential to strongly influence aquatic productivity (Ball et al. 2010). </t>
    </r>
    <r>
      <rPr>
        <i/>
        <sz val="10"/>
        <rFont val="Arial Narrow"/>
        <family val="2"/>
        <scheme val="minor"/>
      </rPr>
      <t xml:space="preserve"> In calculations, is excluded automatically (cell goes blank) if trees occupy &lt;5% of the vegetated part of the AA. Otherwise, score is based on the number of categories and the presence of the categories with the greatest weights, i.e., larger trees.</t>
    </r>
  </si>
  <si>
    <r>
      <t>Downed wood provides food, cover, and a stable microclimate for many salamanders.</t>
    </r>
    <r>
      <rPr>
        <i/>
        <sz val="10"/>
        <rFont val="Arial Narrow"/>
        <family val="2"/>
        <scheme val="minor"/>
      </rPr>
      <t xml:space="preserve"> In calculations, is excluded automatically (cell goes blank) if woody vegetation is &lt;5% of the vegetated part of the AA.</t>
    </r>
  </si>
  <si>
    <t>Bender, D. J., L. Tischendorf, and L. Fahrig. 2003. Evaluation of patch isolation metrics for predicting animal movement in binary landscapes. Landscape Ecology 18:17-39.</t>
  </si>
  <si>
    <r>
      <t xml:space="preserve">Beaver dam-building activities are highly beneficial to amphibian habitat, creating warmer stagnant pools and increasing the overall productivity of river systems.  Beaver ponds provide abundant submersed vegetation for attachment of eggs of frogs and salamanders, as well as cover for adults.  Presence of wood frog is highly correlated with beaver flowages in some parts of Alberta (Stevens et al. 2006, 2007). (Stevens et al. 2006, 2007).  </t>
    </r>
    <r>
      <rPr>
        <i/>
        <sz val="10"/>
        <rFont val="Arial Narrow"/>
        <family val="2"/>
        <scheme val="minor"/>
      </rPr>
      <t>In calculations, is excluded automatically (cell goes blank) if wetland never has surface water during an average year.</t>
    </r>
  </si>
  <si>
    <r>
      <t xml:space="preserve">Frogs, snakes, and aquatic salamanders frequently use multiple wetlands in close proximity, such that wetlands located within landscapes with a high proportion of wetland cover are more likely to cumulatively meet the needs of these species, especially for dispersal to alternative breeding sites during years of drought. One amphibian study found that the </t>
    </r>
    <r>
      <rPr>
        <b/>
        <sz val="10.5"/>
        <rFont val="Arial Narrow"/>
        <family val="2"/>
        <scheme val="minor"/>
      </rPr>
      <t>amount</t>
    </r>
    <r>
      <rPr>
        <sz val="10.5"/>
        <rFont val="Arial Narrow"/>
        <family val="2"/>
        <scheme val="minor"/>
      </rPr>
      <t xml:space="preserve"> of available habitat within a given radius of a patch was more successful at predicting successful amphibian immigration than </t>
    </r>
    <r>
      <rPr>
        <b/>
        <sz val="10.5"/>
        <rFont val="Arial Narrow"/>
        <family val="2"/>
        <scheme val="minor"/>
      </rPr>
      <t>distance</t>
    </r>
    <r>
      <rPr>
        <sz val="10.5"/>
        <rFont val="Arial Narrow"/>
        <family val="2"/>
        <scheme val="minor"/>
      </rPr>
      <t xml:space="preserve"> to nearest patch of suitable habitat (Bender 2003). </t>
    </r>
  </si>
  <si>
    <r>
      <t>Productivity of most amphibian species is greater in fresh rather than saline water, and some species are absent from high-conductivity waters (Browne et al. 2009).  Wood frog eggs and hatchlings are harmed when salt concentrations exceed 4500 mg/L (Langhans et al. 2009, Petranka et al. 2010), or perhaps as little as 78 mg/L (Sanzo &amp; Hecnar 2006).</t>
    </r>
    <r>
      <rPr>
        <i/>
        <sz val="10"/>
        <rFont val="Arial Narrow"/>
        <family val="2"/>
        <scheme val="minor"/>
      </rPr>
      <t xml:space="preserve"> If wetland is saline or brackish the score for this indicator is 0.  Otherwise it is ignored in the calculations.</t>
    </r>
  </si>
  <si>
    <t>Browne, C. L., C. A. Paszkowski, A. L. Foote, A. Moenting, and S. M. Boss. 2009. The relationship of amphibian abundance to habitat features across spatial scales in the Boreal Plains. Ecoscience 16:209-223.</t>
  </si>
  <si>
    <t>Waterbird          Habitat</t>
  </si>
  <si>
    <t>Wetlands surrounded by many other waterfowl-producing wetlands (in landscapes of 1000, 10,000 and 100,000 ha) are more likely to support nesting waterfowl (Forcey et al. 2011) .</t>
  </si>
  <si>
    <r>
      <t xml:space="preserve">Surface water that persists for all or most of a year (and especially, during the early summer) provides more physical habitat for waterbirds. If no surface water persists, waterbird use can still be substantial if the wetland borders a lake or large river. </t>
    </r>
    <r>
      <rPr>
        <i/>
        <sz val="10"/>
        <rFont val="Arial Narrow"/>
        <family val="2"/>
      </rPr>
      <t xml:space="preserve">In calculations, is excluded automatically (cell goes blank) if wetland never has surface water during an average year. </t>
    </r>
  </si>
  <si>
    <r>
      <t xml:space="preserve">Lacustrine wetlands are especially attractive to nesting waterbirds, partly because of the variety of foods they provide, and the refuge that the large expanse of open water provides from terrestrial predators. However, nesting waterbird use of lakes may be less if there is frequent motorboat use. </t>
    </r>
    <r>
      <rPr>
        <i/>
        <sz val="10"/>
        <rFont val="Arial Narrow"/>
        <family val="2"/>
      </rPr>
      <t>If wetland is not part of a lake, then ignored in calculations rather than being counted as a negative.</t>
    </r>
  </si>
  <si>
    <r>
      <t xml:space="preserve">Large water level fluctuations during the nesting season (late spring and early summer), can flood the nests of birds that nest along wetland edges. However, annual fluctuations (described here) do not necessarily parallel propensity of water levels to fluctuate during the nesting season, and can stimulate wetland productivity. </t>
    </r>
    <r>
      <rPr>
        <i/>
        <sz val="10"/>
        <rFont val="Arial Narrow"/>
        <family val="2"/>
      </rPr>
      <t>In calculations, is excluded automatically (cell goes blank) if wetland never has surface water during an average year, or if none of it floods only seasonally.</t>
    </r>
  </si>
  <si>
    <r>
      <t xml:space="preserve">Most wetland birds tend to feed more in ponded areas than along channels. If these isolated pools areas persist well into the summer, they allow waterbird populations to establish more breeding territories within the site, as well as concentrating invertebrate foods. </t>
    </r>
    <r>
      <rPr>
        <i/>
        <sz val="10"/>
        <rFont val="Arial Narrow"/>
        <family val="2"/>
      </rPr>
      <t>In calculations, is excluded automatically (cell goes blank) if wetland never has surface water during an average year or is &lt;0.01 ha..</t>
    </r>
  </si>
  <si>
    <r>
      <t xml:space="preserve">Submersed and partly submersed vegetation is an essential food for many duck species, either directly or because of the higher densities of invertebrate foods that it supports (Epners et al. 2010). </t>
    </r>
    <r>
      <rPr>
        <i/>
        <sz val="10"/>
        <rFont val="Arial Narrow"/>
        <family val="2"/>
      </rPr>
      <t>In calculations, is excluded automatically (cell goes blank) if wetland never has surface water during an average year.  Also is excluded automatically if wetland has no ponded water or is &lt;0.01 ha..</t>
    </r>
  </si>
  <si>
    <r>
      <t>Waterbird nests located in narrow wetlands may be more vulnerable to predation.</t>
    </r>
    <r>
      <rPr>
        <i/>
        <sz val="10"/>
        <rFont val="Arial Narrow"/>
        <family val="2"/>
      </rPr>
      <t xml:space="preserve">  In calculations, is excluded automatically (cell goes blank) if wetland never has surface water during an average year or if wetland lacks open water or is &lt;0.01 ha.</t>
    </r>
  </si>
  <si>
    <r>
      <t xml:space="preserve">Interspersion of patches of open water amid patches of vegetation provides waterbirds with the best access to aquatic foods, and waterbird use of such wetlands has been shown to be significantly greater (Kaminski and Prince 1981, Murkin et al. 1982, Rehm &amp; Baldassarre 2007, Schummer et al. 2012, Bolenbaugh et al. 2011).  </t>
    </r>
    <r>
      <rPr>
        <i/>
        <sz val="10"/>
        <rFont val="Arial Narrow"/>
        <family val="2"/>
      </rPr>
      <t>In calculations, is excluded automatically (cell goes blank) if wetland never has surface water during an average year, if no ponded water, if ponded water but no vegetation, if ponded but no open water, or if &lt;0.01 ha.</t>
    </r>
  </si>
  <si>
    <r>
      <t xml:space="preserve">Waterfowl nests on Islands that are inaccessible to mammalian predators are more successful (Loekmoen &amp; Woodward 1992). </t>
    </r>
    <r>
      <rPr>
        <i/>
        <sz val="10"/>
        <rFont val="Arial Narrow"/>
        <family val="2"/>
      </rPr>
      <t xml:space="preserve"> If wetland does not contain an island or is &lt;0.01 ha, then ignored in calculations rather than being counted as a negative.</t>
    </r>
  </si>
  <si>
    <r>
      <t xml:space="preserve">When non-acidic ponds are available, ducks prefer to nest in those rather than acidic lakes and wetlands (Epners et al. 2010).  </t>
    </r>
    <r>
      <rPr>
        <i/>
        <sz val="10"/>
        <rFont val="Arial Narrow"/>
        <family val="2"/>
      </rPr>
      <t>Is excluded from calculations (cell goes blank) automatically if wetland is &lt;0.01 ha.</t>
    </r>
  </si>
  <si>
    <r>
      <t xml:space="preserve">Fish are fed upon by several waterbird species, so their presence is considered generally beneficial.  However, one study found that breeding waterfowl density was twice as great in fishless lakes than in lakes with fish, after accounting for lake area, and some species occurred almost exclusively in fishless lakes (Epners et al. 2010).  </t>
    </r>
    <r>
      <rPr>
        <i/>
        <sz val="10"/>
        <rFont val="Arial Narrow"/>
        <family val="2"/>
      </rPr>
      <t>If wetland lacks fish or is &lt;0.01 ha, then ignored in calculations rather than being counted as a negative.</t>
    </r>
  </si>
  <si>
    <r>
      <t xml:space="preserve">At least in the short term, open water areas created by beaver dams provide excellent nesting and foraging habitat for several waterbird species (Hood &amp; Bayley 2008, Bromley &amp; Hood 2013).  </t>
    </r>
    <r>
      <rPr>
        <i/>
        <sz val="10"/>
        <rFont val="Arial Narrow"/>
        <family val="2"/>
      </rPr>
      <t>In calculations, is excluded automatically (cell goes blank) if wetland never has surface water during an average year.</t>
    </r>
  </si>
  <si>
    <r>
      <t xml:space="preserve">Large-diameter trees are more important because of their potential to provide rookeries for herons and nest cavities for a few waterbird species, e.g., hooded merganser. Such trees may be used even when located a considerable distance from the wetland.  </t>
    </r>
    <r>
      <rPr>
        <i/>
        <sz val="10"/>
        <rFont val="Arial Narrow"/>
        <family val="2"/>
      </rPr>
      <t>In calculations, is excluded automatically (cell goes blank) if trees occupy &lt;5% of the vegetated part of the AA.  Otherwise, score is based on the  presence of the categories with the greatest weights, i.e., larger trees, which are more suitable as nest sites for herons, geese, and cavity-nesting ducks.</t>
    </r>
  </si>
  <si>
    <r>
      <t xml:space="preserve">Humans visiting wetlands commonly bring dogs, which potentially harass waterbirds, and human presence can attract crows and ravens, which prey on nests. Even the simple presence of people on foot and without dogs will cause many waterbirds to take flight. Repeated intrusions that drain the energy of waterbirds are especially damaging during the period when adult birds are searching for food to feed their young.  </t>
    </r>
    <r>
      <rPr>
        <i/>
        <sz val="10"/>
        <rFont val="Arial Narrow"/>
        <family val="2"/>
      </rPr>
      <t>In calculations, is excluded automatically (cell goes blank) if last choice in F59 was chosen AND first choice in F60 was chosen.</t>
    </r>
  </si>
  <si>
    <r>
      <t xml:space="preserve">Although some waterbirds (e.g., gadwall, phalaropes) use saline wetlands extensively, in general waterbird diversity tends to be less than in fresh or slightly brackish wetlands. </t>
    </r>
    <r>
      <rPr>
        <i/>
        <sz val="10"/>
        <rFont val="Arial Narrow"/>
        <family val="2"/>
      </rPr>
      <t xml:space="preserve"> If wetland is saline or brackish the score for this indicator is 0.  Otherwise it is ignored.</t>
    </r>
  </si>
  <si>
    <t>Songbird,          Raptor, &amp;          Mammal                       Habitat</t>
  </si>
  <si>
    <t>McLellen, B. R. and B. M. Shackleton. 1988. Grizzly bears and resource extraction industries: effects of road on behaviour, habitat use, and demography. Journal of Applied Ecology 25:451-460.</t>
  </si>
  <si>
    <t>Keller, C. M. E., C. S. Robbins, and J. S. Hatfield. 1993. Avian communities in riparian forests of different widths in Maryland and Delaware. Wetlands 13:137-144.</t>
  </si>
  <si>
    <t>Darveau, M., P. Beauchesne, L. Belanger, J. Huot, and P. Larue. 1995. Riparian forest strips as habitat for breeding birds in boreal forest. The Journal of Wildlife Management:67-78.</t>
  </si>
  <si>
    <t>Dickson, J. G., J. H. Williamson, R. N. Conner, and B. Ortega. 1995. Streamside zones and breeding birds in east Texas. Wildlife Society Bulletin 23:750-755.</t>
  </si>
  <si>
    <t>Hodges Jr, M. F. and D. G. Krementz. 1996. Neotropical migratory breeding bird communities in riparian forests of different widths along the Altamaha River, Georgia. The Wilson Bulletin:496-506.</t>
  </si>
  <si>
    <r>
      <t xml:space="preserve">Species richness of songbirds and mammals tends to be lower in bogs than in other wetland classes. </t>
    </r>
    <r>
      <rPr>
        <i/>
        <sz val="10"/>
        <rFont val="Arial Narrow"/>
        <family val="2"/>
        <scheme val="minor"/>
      </rPr>
      <t>In the calculations, If bog is the only class present the score is set to 0.  Otherwise this indicator is excluded (set to blank).</t>
    </r>
  </si>
  <si>
    <r>
      <t xml:space="preserve">The number of bird and mammal species using a wetland is greater if more wetland classes are present within the wetland. </t>
    </r>
    <r>
      <rPr>
        <i/>
        <sz val="10"/>
        <rFont val="Arial Narrow"/>
        <family val="2"/>
        <scheme val="minor"/>
      </rPr>
      <t>The score is the number of classes (including one from above) divided by 4.</t>
    </r>
  </si>
  <si>
    <r>
      <t xml:space="preserve">Parts of wetlands that remain flooded most of the time will support fewer small mammals and songbirds. Wetlands with at least a little persistent water are important to aerially-foraging swallows, swifts, and flycatchers, as well as bats, muskrat, beaver, moose, and many other mammals. </t>
    </r>
    <r>
      <rPr>
        <i/>
        <sz val="10"/>
        <rFont val="Arial Narrow"/>
        <family val="2"/>
        <scheme val="minor"/>
      </rPr>
      <t xml:space="preserve">In calculations, is excluded automatically (cell goes blank) if wetland never has surface water during an average year. </t>
    </r>
  </si>
  <si>
    <r>
      <t xml:space="preserve">Open water lacks vertical structure and thus supports fewer songbird species than land, so a large proportion of open water in a wetland implies lower overall songbird richness. </t>
    </r>
    <r>
      <rPr>
        <i/>
        <sz val="10"/>
        <rFont val="Arial Narrow"/>
        <family val="2"/>
        <scheme val="minor"/>
      </rPr>
      <t>In calculations, is excluded automatically (cell goes blank) if wetland never has surface water during an average year.  Also is excluded automatically if wetland has no ponded water or is &lt;0.01 ha..</t>
    </r>
  </si>
  <si>
    <r>
      <t xml:space="preserve">Wider vegetated zones within wetlands provide more nesting space and structure for songbirds and mammals. Avian species richness and abundance increase with riparian width (Keller et al.1993; Darveau et al.1995; Dickson et al.1995; Hodges and Krementz 1996). Wider riparian buffers in British Columbia supported a greater density of deciduous trees important to wildlife diversity (Shirley 2004). The diversity of microhabitats within bogs and fens generally increases with increasing area, and vertebrate richness consequently increases (Desrochers &amp; van Duinen 2006). </t>
    </r>
    <r>
      <rPr>
        <i/>
        <sz val="10"/>
        <rFont val="Arial Narrow"/>
        <family val="2"/>
        <scheme val="minor"/>
      </rPr>
      <t>In calculations, is excluded automatically (cell goes blank) if wetland never has surface water during an average year or if wetland lacks open water or is &lt;0.01 ha.</t>
    </r>
  </si>
  <si>
    <r>
      <t xml:space="preserve">When water and vegetation (especially woody or other robust vegetation) are moderately interspersed, this provides more extensive feeding areas for many wetland-dependent songbirds and raptors. </t>
    </r>
    <r>
      <rPr>
        <i/>
        <sz val="10"/>
        <rFont val="Arial Narrow"/>
        <family val="2"/>
        <scheme val="minor"/>
      </rPr>
      <t>In calculations, is excluded automatically (cell goes blank) if wetland never has surface water during an average year, if no ponded water, if ponded water but no vegetation, if ponded but no open water, or if &lt;0.01 ha.</t>
    </r>
  </si>
  <si>
    <r>
      <t xml:space="preserve">Beaver impoundments, especially after they are abandoned and revert to early successional shrubs, are very species-rich compared with other land cover types (Grover &amp; Baldassarre 1995, Aznar &amp; Desrochers 2008). </t>
    </r>
    <r>
      <rPr>
        <i/>
        <sz val="10"/>
        <rFont val="Arial Narrow"/>
        <family val="2"/>
        <scheme val="minor"/>
      </rPr>
      <t>In calculations, is excluded automatically (cell goes blank) if wetland never has surface water during an average year.</t>
    </r>
  </si>
  <si>
    <r>
      <t xml:space="preserve">Trees support a wider diversity of songbirds, raptors, and mammals than does herbaceous vegetation, partly because they provide more vertical structure and produce downed wood and snags that have other habitat benefits. Trees help shelter the water in wetlands from high winds, facilitating the aerial foraging activities of birds and bats (Whitaker et al. 2000).  However, a mix of tree and shrub cover usually promotes greater habitat structure and songbird diversity overall. </t>
    </r>
    <r>
      <rPr>
        <i/>
        <sz val="10"/>
        <rFont val="Arial Narrow"/>
        <family val="2"/>
        <scheme val="minor"/>
      </rPr>
      <t>In calculations, is excluded automatically (cell goes blank) if woody vegetation is &lt;5% of the vegetated part of the AA.</t>
    </r>
  </si>
  <si>
    <r>
      <t xml:space="preserve">Downed wood provides cover for many small mammals. Downed wood is often the result of natural windthrow, which also creates small patches of semi-open canopy within blocks of forest and in so doing can support a larger number of wildlife species, despite the temporary loss of nest trees (Zmihorski 2010).  </t>
    </r>
    <r>
      <rPr>
        <i/>
        <sz val="10"/>
        <rFont val="Arial Narrow"/>
        <family val="2"/>
        <scheme val="minor"/>
      </rPr>
      <t>In calculations, is excluded automatically (cell goes blank) if woody vegetation is &lt;5% of the vegetated part of the AA.</t>
    </r>
  </si>
  <si>
    <r>
      <t xml:space="preserve">Shrubs that are not under a tree canopy are preferred by many nesting songbirds, such as song sparrow, Lincoln's sparrow, and orange-crowned warbler. </t>
    </r>
    <r>
      <rPr>
        <i/>
        <sz val="10"/>
        <rFont val="Arial Narrow"/>
        <family val="2"/>
        <scheme val="minor"/>
      </rPr>
      <t>In calculations, is excluded automatically (cell goes blank) if woody vegetation is &lt;5% of the vegetated part of the AA.</t>
    </r>
  </si>
  <si>
    <r>
      <t xml:space="preserve">Lack of one dominant shrub species suggests higher shrub richness, which has the potential to provide more food sources to more species throughout a season. </t>
    </r>
    <r>
      <rPr>
        <i/>
        <sz val="10"/>
        <rFont val="Arial Narrow"/>
        <family val="2"/>
        <scheme val="minor"/>
      </rPr>
      <t>In calculations, is excluded automatically (cell goes blank) if exposed shrub cover is &lt;5% of the vegetated part of the AA.</t>
    </r>
  </si>
  <si>
    <r>
      <t xml:space="preserve">Forbs are an important component of the foods that a wide variety of songbirds and mammals require. </t>
    </r>
    <r>
      <rPr>
        <i/>
        <sz val="10"/>
        <rFont val="Arial Narrow"/>
        <family val="2"/>
        <scheme val="minor"/>
      </rPr>
      <t>In calculations, is excluded automatically (cell goes blank) if herbaceous cover is &lt;5% of the vegetated cover.</t>
    </r>
  </si>
  <si>
    <r>
      <t xml:space="preserve"> Sedges are favored as forage by many wetland mammals. </t>
    </r>
    <r>
      <rPr>
        <i/>
        <sz val="10"/>
        <rFont val="Arial Narrow"/>
        <family val="2"/>
        <scheme val="minor"/>
      </rPr>
      <t>In calculations, is excluded automatically (cell goes blank) if herbaceous cover is &lt;5% of the vegetated cover.</t>
    </r>
  </si>
  <si>
    <r>
      <t xml:space="preserve">Multiple herb species, none strongly dominant, provide a wider range of foods throughout the growing season for wetland songbirds and mammals. </t>
    </r>
    <r>
      <rPr>
        <i/>
        <sz val="10"/>
        <rFont val="Arial Narrow"/>
        <family val="2"/>
        <scheme val="minor"/>
      </rPr>
      <t>Included in calculations only if herbaceous cover is &gt;5% of vegetated cover and second choice is answered positively.</t>
    </r>
  </si>
  <si>
    <r>
      <t xml:space="preserve">Human presence can attract crows and ravens, which prey on nests. </t>
    </r>
    <r>
      <rPr>
        <i/>
        <sz val="10"/>
        <rFont val="Arial Narrow"/>
        <family val="2"/>
        <scheme val="minor"/>
      </rPr>
      <t>In calculations, is excluded automatically (cell goes blank) if last choice in F59 was chosen AND first choice in F60 was chosen.</t>
    </r>
  </si>
  <si>
    <t>FenMarsh Swamp</t>
  </si>
  <si>
    <t>Gignac, L. D. and M. R. T. Dale. 2005. Effects of fragment size and habitat heterogeneity on cryptogram diversity in the low-boreal forest of western Canada. The Bryologist 108:50-66.</t>
  </si>
  <si>
    <t>Vitt, D. H. 2006. Functional characteristics and indicators of boreal peatlands. Pages 9-24 in R. K. Wieder and D. H. Vitt, editors. Boreal peatland ecosystems. Springer, Berlin, Heidelberg, GE.</t>
  </si>
  <si>
    <r>
      <t xml:space="preserve">Wetlands with less persistent surface water, i.e., more extensive areas that are saturated but lack surface water, or which flood only seasonally, tend to have greater plant species richness.  Wetlands that are entirely covered by persistent water can support only aquatic species, not the full suite of wetland-associated plants.  Disturbance from occasional floods opens the vegetation canopy (Pollack et al. 1998). Seasonal inundation brings in external nutrients to riverine wetlands, and in all wetlands is necessary for seed germination of many wetland plant species. </t>
    </r>
    <r>
      <rPr>
        <i/>
        <sz val="10"/>
        <rFont val="Arial Narrow"/>
        <family val="2"/>
      </rPr>
      <t xml:space="preserve">In calculations, is excluded automatically (cell goes blank) if wetland never has surface water during an average year. </t>
    </r>
  </si>
  <si>
    <r>
      <t xml:space="preserve">With regard to submersed aquatic plants, shallower areas generally have greater plant richness due to greater availability of light and sediment oxygen. </t>
    </r>
    <r>
      <rPr>
        <i/>
        <sz val="10"/>
        <rFont val="Arial Narrow"/>
        <family val="2"/>
      </rPr>
      <t>In calculations, is excluded automatically (cell goes blank) if wetland never has surface water during an average year or is &lt;0.01 ha.</t>
    </r>
  </si>
  <si>
    <r>
      <t xml:space="preserve">Wetlands with wider vegetated areas are more likely to contain more plant species and rarer and more sensitive plants, as well as being more insulated from some upland disturbances (Rooney &amp; Bayley 2011). </t>
    </r>
    <r>
      <rPr>
        <i/>
        <sz val="10"/>
        <rFont val="Arial Narrow"/>
        <family val="2"/>
      </rPr>
      <t>In calculations, is excluded automatically (cell goes blank) if wetland never has surface water during an average year or if wetland lacks open water or is &lt;0.01 ha.</t>
    </r>
  </si>
  <si>
    <r>
      <t xml:space="preserve">Open water supports fewer plant species than land, so a large proportion of open water in a wetland implies lower overall plant richness in most cases, although at least a little open water is important to support aquatic species. </t>
    </r>
    <r>
      <rPr>
        <i/>
        <sz val="10"/>
        <rFont val="Arial Narrow"/>
        <family val="2"/>
      </rPr>
      <t>In calculations, is excluded automatically (cell goes blank) if wetland never has surface water during an average year.  Also is excluded automatically if wetland has no ponded water or is &lt;0.01 ha.</t>
    </r>
  </si>
  <si>
    <r>
      <t xml:space="preserve">Greater plant diversity in wetlands is often associated with a well-mixed pattern of water and plants, e.g., the "hemi-marsh". This may optimise moisture, nutrients, and sunlight available to wetland plants.  Relatively even mixes of emergent plants and open water also imply that both submerged aquatics and emergents may be present, thus comprising greater diversity. </t>
    </r>
    <r>
      <rPr>
        <i/>
        <sz val="10"/>
        <rFont val="Arial Narrow"/>
        <family val="2"/>
      </rPr>
      <t>In calculations, is excluded automatically (cell goes blank) if wetland never has surface water during an average year, if no ponded water, if ponded water but no vegetation, if ponded but no open water, or if &lt;0.01 ha.</t>
    </r>
  </si>
  <si>
    <r>
      <t xml:space="preserve">Beaver impoundments increase richness of wetland plants locally, especially a few years after they are abandoned (Pollock et al. 1998, Wright et al. 2002, 2003; Bayley &amp; Guimond 2008, Hood &amp; Bayley 2008). </t>
    </r>
    <r>
      <rPr>
        <i/>
        <sz val="10"/>
        <rFont val="Arial Narrow"/>
        <family val="2"/>
      </rPr>
      <t>In calculations, is excluded automatically (cell goes blank) if wetland never has surface water during an average year.</t>
    </r>
  </si>
  <si>
    <r>
      <t xml:space="preserve">Partly because of the greater nutrient levels and hydrologic stability of most groundwater, several plant species thrive best where a wetland's surface water originates most directly from groundwater (e.g., Radies et al. 2009). </t>
    </r>
    <r>
      <rPr>
        <i/>
        <sz val="10"/>
        <rFont val="Arial Narrow"/>
        <family val="2"/>
      </rPr>
      <t>In calculations, is excluded automatically (cell goes blank) if no evidence of groundwater influx; otherwise is rated based on response in column D.</t>
    </r>
  </si>
  <si>
    <t>Deciduous forests, because of their less acidic soils and more open canopies, often support greater plant richness than coniferous forests.  Larger-diameter stands sometime indicate more mature soils which support more native plant species than younger stands with comparable light conditions. In calculations, is excluded automatically (cell goes blank) if trees occupy &lt;5% of the vegetated part of the AA. Otherwise, score is based on the number of categories and a weighted average that favors larger deciduous trees.</t>
  </si>
  <si>
    <r>
      <t xml:space="preserve">Downed wood adds microtopographic relief to wetlands and can serve as "nurse logs" that allow many plants to germinate with less competition or exposure to prolonged inundation.  This may increase plant richness within a site. Downed wood also provides nest or dormancy sites for many insect pollinators. </t>
    </r>
    <r>
      <rPr>
        <i/>
        <sz val="10"/>
        <rFont val="Arial Narrow"/>
        <family val="2"/>
      </rPr>
      <t>In calculations, is excluded automatically (cell goes blank) if woody vegetation is &lt;5% of the vegetated part of the AA.</t>
    </r>
  </si>
  <si>
    <r>
      <t xml:space="preserve">Shrubs contribute to onsite plant diversity, but are generally less diverse than herbaceous plants, which are often more diverse without the shading and nutrient-competitive effects of shrubs. Sparse shrub cover sometimes indicates overgrazing by deer, which reduces plant diversity. Damages to native ecosystems from abnormally high deer density have been documented on an island in British Columbia (Allombert et al. 2005). Such damage to shrubs and ground cover occurs in places where fragmentation of forests has created deer densities of more than about 1 per 25 acres (Thiemann et al. 2009, Martin et al. 2010).  </t>
    </r>
    <r>
      <rPr>
        <i/>
        <sz val="10"/>
        <rFont val="Arial Narrow"/>
        <family val="2"/>
      </rPr>
      <t>In calculations, is excluded automatically (cell goes blank) if woody vegetation is &lt;5% of the vegetated part of the AA.</t>
    </r>
  </si>
  <si>
    <r>
      <t xml:space="preserve">A dominance of common species usually implies overall reduction in plant species richness. </t>
    </r>
    <r>
      <rPr>
        <i/>
        <sz val="10"/>
        <rFont val="Arial Narrow"/>
        <family val="2"/>
      </rPr>
      <t>In calculations, is excluded automatically (cell goes blank) if exposed shrub cover is &lt;5% of the vegetated part of the AA.</t>
    </r>
  </si>
  <si>
    <r>
      <t xml:space="preserve">Dominance by deciduous cover allows more light to penetrate to the ground.  In many instances this results in greater richness of understory plant species. </t>
    </r>
    <r>
      <rPr>
        <i/>
        <sz val="10"/>
        <rFont val="Arial Narrow"/>
        <family val="2"/>
      </rPr>
      <t>In calculations, is excluded automatically (cell goes blank) if woody vegetation is &lt;5% of the vegetated part of the AA.</t>
    </r>
  </si>
  <si>
    <r>
      <t xml:space="preserve">Moss usually indicates acidic conditions that generally support fewer plant species. Acidifying Sphagnum mosses, which inhibit the expansion of diverse communities of vascular plants, tend to decline above a pH of 5.5 (Vitt 2006). By acidifying the soil, Sphagnum moss slows down decomposition and thus the availability of nutrients for other plants (Malmer et al. 2003). Although plant richness is usually less in moss wetlands compared to others, the species that occur are often specialized and regionally uncommon. </t>
    </r>
    <r>
      <rPr>
        <i/>
        <sz val="10"/>
        <rFont val="Arial Narrow"/>
        <family val="2"/>
      </rPr>
      <t>In calculations, is excluded automatically (cell goes blank) if the site contains virtually no wetland vegetation.</t>
    </r>
  </si>
  <si>
    <r>
      <t xml:space="preserve">As a group, forbs tend to be more diverse than graminoids and thus contribute significantly to biodiversity within and among wetlands. </t>
    </r>
    <r>
      <rPr>
        <i/>
        <sz val="10"/>
        <rFont val="Arial Narrow"/>
        <family val="2"/>
      </rPr>
      <t>In calculations, is excluded automatically (cell goes blank) if herbaceous cover is &lt;5% of the vegetated cover.</t>
    </r>
  </si>
  <si>
    <r>
      <t xml:space="preserve">As a group, sedges tend to be extremely diverse and thus contribute significantly to biodiversity within and among wetlands.  They also are often associated with diverse assemblages of other plants because they tend to occur in wetlands with the fewest previous disturbances and/or pollution. </t>
    </r>
    <r>
      <rPr>
        <i/>
        <sz val="10"/>
        <rFont val="Arial Narrow"/>
        <family val="2"/>
      </rPr>
      <t>In calculations, is excluded automatically (cell goes blank) if herbaceous cover is &lt;5% of the vegetated cover.</t>
    </r>
  </si>
  <si>
    <r>
      <t xml:space="preserve">Wetlands not dominated a one or two plant species are, by definition, more diverse. </t>
    </r>
    <r>
      <rPr>
        <i/>
        <sz val="10"/>
        <rFont val="Arial Narrow"/>
        <family val="2"/>
      </rPr>
      <t>Included in calculations only if herbaceous cover is &gt;5% of vegetated cover and second choice is answered positively.</t>
    </r>
  </si>
  <si>
    <r>
      <t xml:space="preserve">Some types of surrounding land cover are more likely to produce propagules of invasive plants that may reduce native plant richness in an adjoining wetland. </t>
    </r>
    <r>
      <rPr>
        <i/>
        <sz val="10"/>
        <rFont val="Arial Narrow"/>
        <family val="2"/>
      </rPr>
      <t>In calculations, is excluded automatically (cell goes blank) if natural cover in the buffer (see above) is &gt;90%.</t>
    </r>
  </si>
  <si>
    <r>
      <t xml:space="preserve">Trampling of native vegetation by recreationists can decrease seed germination and increase vulnerability to invasion by more tolerant invasive plants and ultimately reduce native plant richness.  These and other Best Management Practices (BMPs) potentially reduce such damage.  </t>
    </r>
    <r>
      <rPr>
        <i/>
        <sz val="10"/>
        <rFont val="Arial Narrow"/>
        <family val="2"/>
      </rPr>
      <t>In calculations, is excluded automatically (cell goes blank) if last choice in F59 was chosen AND first choice in F60 was chosen.</t>
    </r>
  </si>
  <si>
    <r>
      <t>The germination of many plant species is triggered by the interaction of water conditions and season (light). Homogenization or alteration of the natural water regime can thus encourage invasive species at the expense of native flora. Inundation at aberrant times of the year can reduce native plant diversity because most native species have evolved in close synchronization with natural seasonal water regimes. Monthly timing of first soil moistening may be more important than duration of moist period before inundation and length of inundation., for determining the number of plants and number of species that germinate (Bliss &amp; Zedler 1997). Any development that involves increasing the area of lawn or impervious surface is likely to increase runoff amount and concentrate it within shorter time periods, i.e. “pulses” “flashiness” (Booth &amp; Jackson 1997, Booth et al. 2002, DeGasperi et al. 2009). This has been shown to make wetlands more susceptible to invasion by non-native plants (Magee &amp; Kentula 2005). However, one study found that forested wetlands in developed landscapes had community composition and structure similar to those in undeveloped landscapes, with number of exotic species being no greater (Ehrenfeld 2005).</t>
    </r>
    <r>
      <rPr>
        <i/>
        <sz val="10"/>
        <rFont val="Arial Narrow"/>
        <family val="2"/>
      </rPr>
      <t xml:space="preserve">  In calculations, is excluded automatically (cell goes blank) if wetland never has surface water during an average year.</t>
    </r>
  </si>
  <si>
    <t>PondedOWpct PD</t>
  </si>
  <si>
    <t>Halpern, C. B. and T. A. Spies. 1995. Plant-species diversity in natural and managed forests of the Pacific-Northwest. Ecological Applications 5:913-934.</t>
  </si>
  <si>
    <t>Chavez, V. and S. E. Macdonald. 2010. The influence of canopy patch mosaics on understory plant community composition in boreal mixedwood forest. Forest Ecology and Management 259:1067-1075.</t>
  </si>
  <si>
    <t>Chipman, S. J. and E. A. Johnson. 2002. Understory vascular plant species diversity in the mixedwood boreal forest of western Canada. Ecological Applications 12:588-601.</t>
  </si>
  <si>
    <t>Benscoter, B. W. and D. H. Vitt. 2008. Spatial patterns and temporal trajectories of the bog ground layer along a post-fire chronosequence. Ecosystems 11:1054-1064.</t>
  </si>
  <si>
    <t>Different plant species occur under different moisture regimes, which correlate with different elevations (Samoni et al. 2010), so a greater diversity of elevations (i.e., complex microtopography) often supports a wider variety of wetland plants (Benscoter &amp; Vitt 2008). Adding small ridges and furrows to constructed depressional wetlands was found in one study to increase their percent cover of obligate wetland species (Alsfeld et al. 2009). Wetlands with more varied topography (e.g., more hummocks) tend to have greater plant species richness because this created different flood frequencies within the wetland (Pollack et al. 1998).</t>
  </si>
  <si>
    <r>
      <t xml:space="preserve">Plant diversity is often greater without the shading and nutrient-competitive effects of trees (Hanley &amp; Brady 1997).  Intermediate levels of canopy closure usually support the most plant species (e.g., Halpern &amp; Spies 1995, Chavez &amp; Macdonald 2010, Chipman &amp; Johnson 2002).  </t>
    </r>
    <r>
      <rPr>
        <i/>
        <sz val="10"/>
        <rFont val="Arial Narrow"/>
        <family val="2"/>
      </rPr>
      <t>In calculations, is excluded automatically (cell goes blank) if woody vegetation is &lt;5% of the vegetated part of the AA.</t>
    </r>
  </si>
  <si>
    <t>Human Use              and                    Recognition</t>
  </si>
  <si>
    <t>PondedOW pct21</t>
  </si>
  <si>
    <r>
      <t xml:space="preserve">The expanses of open water that characterise lakes are visually appealing as well as providing opportunity for fishing and water sports. </t>
    </r>
    <r>
      <rPr>
        <i/>
        <sz val="10"/>
        <rFont val="Arial Narrow"/>
        <family val="2"/>
      </rPr>
      <t>If wetland is not part of a lake, then ignored in calculations rather than being counted as a negative. Also ignored if F20 indicates an unsightly growth of algae or duckweed is dominant.</t>
    </r>
  </si>
  <si>
    <r>
      <t xml:space="preserve">Open water areas, especially if ponded, are visually appealing as well as providing opportunity for fishing and water sports. </t>
    </r>
    <r>
      <rPr>
        <i/>
        <sz val="10"/>
        <rFont val="Arial Narrow"/>
        <family val="2"/>
      </rPr>
      <t>In calculations, is excluded automatically (cell goes blank) if wetland never has surface water during an average year.  Also is excluded automatically if wetland has no ponded water or is &lt;0.01 ha..  Because the simple presence (rather than amount) of open water matters most, the largest jump in the score occurs when at least a little open water is present.  Also ignored if F20 indicates an unsightly growth of algae or duckweed is dominant.</t>
    </r>
  </si>
  <si>
    <r>
      <t xml:space="preserve">Extensive mats of algae or duckweed are unsightly to most people and discourage recreational use, as well as sometimes posing a health risk. </t>
    </r>
    <r>
      <rPr>
        <i/>
        <sz val="10"/>
        <rFont val="Arial Narrow"/>
        <family val="2"/>
      </rPr>
      <t>In calculations, is excluded automatically (cell goes blank) if wetland never has surface water during an average year.  Also is excluded automatically if wetland has no ponded water or is &lt;0.01 ha..</t>
    </r>
  </si>
  <si>
    <r>
      <t xml:space="preserve">Such features and practices minimize damage to plants and wildlife and thus help sustain the natural features that attract people to wetlands. </t>
    </r>
    <r>
      <rPr>
        <i/>
        <sz val="10"/>
        <rFont val="Arial Narrow"/>
        <family val="2"/>
      </rPr>
      <t>In calculations, is excluded automatically (cell goes blank) if last choice in F59 was chosen AND first choice in F60 was chosen.</t>
    </r>
  </si>
  <si>
    <r>
      <t>These provide evidence of direct use of a wetland's resources.</t>
    </r>
    <r>
      <rPr>
        <i/>
        <sz val="10"/>
        <rFont val="Arial Narrow"/>
        <family val="2"/>
      </rPr>
      <t xml:space="preserve"> If any of these uses are present the indicator gets a score of 1.</t>
    </r>
  </si>
  <si>
    <t>Depending on local geology, some wetlands recharge groundwater or at least reflect local water table levels. In doing so they may indirectly support wells that provide drinking water to nearby residences.</t>
  </si>
  <si>
    <r>
      <t xml:space="preserve">These represent prior investment of public funds which would be nullified if wetland was destroyed. </t>
    </r>
    <r>
      <rPr>
        <i/>
        <sz val="10"/>
        <rFont val="Arial Narrow"/>
        <family val="2"/>
      </rPr>
      <t>Score is the sum of the first 3 choices divided by 3.</t>
    </r>
  </si>
  <si>
    <r>
      <t>Annual precipitation minus evapotranspiration. Based on Canadian Forest Service average precip and ET during growing season 1971-2000, minimum resolution of 1 km2.</t>
    </r>
    <r>
      <rPr>
        <sz val="10"/>
        <color rgb="FFFF0000"/>
        <rFont val="Arial Narrow"/>
        <family val="2"/>
        <scheme val="minor"/>
      </rPr>
      <t xml:space="preserve"> </t>
    </r>
  </si>
  <si>
    <r>
      <t>[AVERAGE(1-GWDspring, 1-FenPct, Groundw1) + AVERAGE(1-Sub0Days, AVERAGE(</t>
    </r>
    <r>
      <rPr>
        <sz val="10"/>
        <color rgb="FFFF0000"/>
        <rFont val="Arial Narrow"/>
        <family val="2"/>
      </rPr>
      <t>SoilTex1</t>
    </r>
    <r>
      <rPr>
        <sz val="10"/>
        <rFont val="Arial Narrow"/>
        <family val="2"/>
      </rPr>
      <t>, AquifVul)) + AVERAGE(1-PPET, WindSumm, WetPerim2Area,</t>
    </r>
    <r>
      <rPr>
        <sz val="10"/>
        <color rgb="FFFF0000"/>
        <rFont val="Arial Narrow"/>
        <family val="2"/>
      </rPr>
      <t xml:space="preserve"> OpenPct1</t>
    </r>
    <r>
      <rPr>
        <sz val="10"/>
        <rFont val="Arial Narrow"/>
        <family val="2"/>
      </rPr>
      <t xml:space="preserve">) + AVERAGE(WetVegArea, </t>
    </r>
    <r>
      <rPr>
        <sz val="10"/>
        <color rgb="FFFF0000"/>
        <rFont val="Arial Narrow"/>
        <family val="2"/>
      </rPr>
      <t>AllWoody1</t>
    </r>
    <r>
      <rPr>
        <sz val="10"/>
        <rFont val="Arial Narrow"/>
        <family val="2"/>
      </rPr>
      <t>)] / 4</t>
    </r>
  </si>
  <si>
    <t>See Table 2 worksheet.</t>
  </si>
  <si>
    <r>
      <t xml:space="preserve">IF((OutNone + OutNone1&gt;0),0, </t>
    </r>
    <r>
      <rPr>
        <b/>
        <sz val="10"/>
        <rFont val="Arial Narrow"/>
        <family val="2"/>
      </rPr>
      <t>ELSE</t>
    </r>
    <r>
      <rPr>
        <sz val="10"/>
        <rFont val="Arial Narrow"/>
        <family val="2"/>
      </rPr>
      <t xml:space="preserve">: [AVERAGE(GWDspring, FenPct, Groundw2_, Wettype2, </t>
    </r>
    <r>
      <rPr>
        <sz val="10"/>
        <color rgb="FFFF0000"/>
        <rFont val="Arial Narrow"/>
        <family val="2"/>
      </rPr>
      <t>Soil2_</t>
    </r>
    <r>
      <rPr>
        <sz val="10"/>
        <rFont val="Arial Narrow"/>
        <family val="2"/>
      </rPr>
      <t xml:space="preserve">) + AVERAGE(Sub0Days, PPET, 1-WindSumm, 1-WetPerim2Area, </t>
    </r>
    <r>
      <rPr>
        <sz val="10"/>
        <color rgb="FFFF0000"/>
        <rFont val="Arial Narrow"/>
        <family val="2"/>
      </rPr>
      <t>OpenPonded2</t>
    </r>
    <r>
      <rPr>
        <sz val="10"/>
        <rFont val="Arial Narrow"/>
        <family val="2"/>
      </rPr>
      <t xml:space="preserve">, 1-WetVegArea, </t>
    </r>
    <r>
      <rPr>
        <sz val="10"/>
        <color rgb="FFFF0000"/>
        <rFont val="Arial Narrow"/>
        <family val="2"/>
      </rPr>
      <t>WoodyPct2</t>
    </r>
    <r>
      <rPr>
        <sz val="10"/>
        <rFont val="Arial Narrow"/>
        <family val="2"/>
      </rPr>
      <t>) + AVERAGE(WetPctHUC8, ElevPctileHUC8, RipFloodpl)  + AVERAGE(Depth2_, OutDur2_, WatProb)] / 4</t>
    </r>
  </si>
  <si>
    <r>
      <t xml:space="preserve">IF((OutNone + OutNone1&gt;0),10, </t>
    </r>
    <r>
      <rPr>
        <b/>
        <sz val="10"/>
        <rFont val="Arial Narrow"/>
        <family val="2"/>
      </rPr>
      <t>ELSE</t>
    </r>
    <r>
      <rPr>
        <sz val="10"/>
        <rFont val="Arial Narrow"/>
        <family val="2"/>
      </rPr>
      <t>: 10*AVERAGE(INFILT, STORE, RESIST)</t>
    </r>
  </si>
  <si>
    <r>
      <t xml:space="preserve">IF((OutNone + OutNone1&gt;0),0, </t>
    </r>
    <r>
      <rPr>
        <b/>
        <sz val="10"/>
        <rFont val="Arial Narrow"/>
        <family val="2"/>
      </rPr>
      <t>ELSE</t>
    </r>
    <r>
      <rPr>
        <sz val="10"/>
        <rFont val="Arial Narrow"/>
        <family val="2"/>
      </rPr>
      <t>: 10*AVERAGE(SHADE, SOLAR, GWin, OUT)</t>
    </r>
  </si>
  <si>
    <r>
      <t xml:space="preserve">IF((OutNone + OutNone1&gt;0),10, </t>
    </r>
    <r>
      <rPr>
        <b/>
        <sz val="10"/>
        <rFont val="Arial Narrow"/>
        <family val="2"/>
      </rPr>
      <t>ELSE</t>
    </r>
    <r>
      <rPr>
        <sz val="10"/>
        <rFont val="Arial Narrow"/>
        <family val="2"/>
      </rPr>
      <t>: AVERAGE(TRAP, OUT)</t>
    </r>
  </si>
  <si>
    <r>
      <t xml:space="preserve">IF((OutNone + OutNone1&gt;0),10, </t>
    </r>
    <r>
      <rPr>
        <b/>
        <sz val="10"/>
        <rFont val="Arial Narrow"/>
        <family val="2"/>
      </rPr>
      <t>ELSE</t>
    </r>
    <r>
      <rPr>
        <sz val="10"/>
        <rFont val="Arial Narrow"/>
        <family val="2"/>
      </rPr>
      <t>: AVERAGE(ADSORB, SEDTRAP, OUT)</t>
    </r>
  </si>
  <si>
    <r>
      <t xml:space="preserve">Substituted: </t>
    </r>
    <r>
      <rPr>
        <b/>
        <sz val="10"/>
        <rFont val="Arial Narrow"/>
        <family val="2"/>
      </rPr>
      <t>SoilTex, 1-OWpct</t>
    </r>
  </si>
  <si>
    <r>
      <t xml:space="preserve">IF((OutNone + OutNone1&gt;0),10, </t>
    </r>
    <r>
      <rPr>
        <b/>
        <sz val="10"/>
        <rFont val="Arial Narrow"/>
        <family val="2"/>
      </rPr>
      <t>ELSE</t>
    </r>
    <r>
      <rPr>
        <sz val="10"/>
        <rFont val="Arial Narrow"/>
        <family val="2"/>
      </rPr>
      <t>: AVERAGE(TEMP, CARB, REDOX, DELAY, OUT)</t>
    </r>
  </si>
  <si>
    <t>McDonald, M. A., B. J. Hawkins, C. E. Prescott, and J. Kimmins, P. 1994. Growth and foliar nutrition of western red cedar fertilized with sewage-sludge, pulp sludge, fish silage and wood ash on northern Vancouver Island. Canadian Journal of Forest Research 24:297-301.</t>
  </si>
  <si>
    <r>
      <t xml:space="preserve">IF((OutNone + OutNone1&gt;0), 0, </t>
    </r>
    <r>
      <rPr>
        <b/>
        <sz val="10"/>
        <rFont val="Arial Narrow"/>
        <family val="2"/>
      </rPr>
      <t>ELSE</t>
    </r>
    <r>
      <rPr>
        <sz val="10"/>
        <rFont val="Arial Narrow"/>
        <family val="2"/>
      </rPr>
      <t>: AVERAGE(CStock, LabileC, OutC)</t>
    </r>
  </si>
  <si>
    <r>
      <t>Although shade can limit aquatic productivity and thus the amount of carbon subject to export, this indicator more importantly describes the proximity of vegetation to water, and thus the potential for detritus to be exported.</t>
    </r>
    <r>
      <rPr>
        <i/>
        <sz val="10"/>
        <rFont val="Arial Narrow"/>
        <family val="2"/>
        <scheme val="minor"/>
      </rPr>
      <t xml:space="preserve"> In calculations, is excluded automatically (cell goes blank) if wetland never has surface water during an average year or if water is present only seasonally.</t>
    </r>
  </si>
  <si>
    <r>
      <t xml:space="preserve">Prolonged inundation can stifle plant productivity, whereas seasonal inundation encourages it, and is often associated with conditions that contribute to the export of organic matter, e.g., river floods. Seasonally high water levels promote decomposition (Bayley &amp; Mewhort, 2004) and thus facilitate the export of carbon. </t>
    </r>
    <r>
      <rPr>
        <i/>
        <sz val="10"/>
        <rFont val="Arial Narrow"/>
        <family val="2"/>
        <scheme val="minor"/>
      </rPr>
      <t>In calculations, is excluded automatically (cell goes blank) if wetland never has surface water during an average year.</t>
    </r>
  </si>
  <si>
    <r>
      <t xml:space="preserve">Dynamic water levels in wetlands with outlets usually imply more productive wetlands and greater export of organic matter, whereas stable water levels typically imply less export. However, if water level fluctuations are too severe (e.g., greater than plant height) production of organic matter can diminish. </t>
    </r>
    <r>
      <rPr>
        <i/>
        <sz val="10"/>
        <rFont val="Arial Narrow"/>
        <family val="2"/>
        <scheme val="minor"/>
      </rPr>
      <t>In calculations, is excluded automatically (cell goes blank) if wetland never has surface water during an average year, or if none of it floods only seasonally.</t>
    </r>
  </si>
  <si>
    <r>
      <t xml:space="preserve">Flowing rather than ponded waters provide the most opportunity for organic matter to be exported from wetlands.  In boreal regions, flowing waters also tend to be more productive. </t>
    </r>
    <r>
      <rPr>
        <i/>
        <sz val="10"/>
        <rFont val="Arial Narrow"/>
        <family val="2"/>
        <scheme val="minor"/>
      </rPr>
      <t>In calculations, is excluded automatically (cell goes blank) if wetland never has surface water during an average year. Also is excluded automatically if wetland is &lt;0.01 ha.</t>
    </r>
  </si>
  <si>
    <r>
      <t xml:space="preserve">The probability that organic matter from wetland plants will be exported increases in relation to the percent of the inundated area containing such plants, provided some outflow paths exist. </t>
    </r>
    <r>
      <rPr>
        <i/>
        <sz val="10"/>
        <rFont val="Arial Narrow"/>
        <family val="2"/>
        <scheme val="minor"/>
      </rPr>
      <t>In calculations, is excluded automatically (cell goes blank) if wetland never has surface water during an average year. Also is excluded automatically if wetland has no ponded water or is &lt;0.01 ha.</t>
    </r>
  </si>
  <si>
    <r>
      <t xml:space="preserve">The plant material from narrower (fringe) wetlands is often more vulnerable to transport into adjoining waters. However, wider wetlands represent larger total stores of organic matter available for waterborne export downstream or offsite, and export can occur during infrequent but extreme floods (Pacific et al. 2010). </t>
    </r>
    <r>
      <rPr>
        <i/>
        <sz val="10"/>
        <rFont val="Arial Narrow"/>
        <family val="2"/>
        <scheme val="minor"/>
      </rPr>
      <t>In calculations, is excluded automatically (cell goes blank) if wetland never has surface water during an average year. Also is excluded automatically if wetland lacks open water or is &lt;0.01 ha.</t>
    </r>
  </si>
  <si>
    <r>
      <t xml:space="preserve">Interspersion of open water with vegetation would seem to promote greater export of organic matter from the vegetation or accumulated organic soils. </t>
    </r>
    <r>
      <rPr>
        <i/>
        <sz val="10"/>
        <rFont val="Arial Narrow"/>
        <family val="2"/>
        <scheme val="minor"/>
      </rPr>
      <t>In calculations, is excluded automatically (cell goes blank) if wetland never has surface water during an average year, if no ponded water, if ponded water but no vegetation, if ponded but no open water, or if &lt;0.01 ha.</t>
    </r>
  </si>
  <si>
    <r>
      <t>Stained water is direct evidence that dissolved organic matter is present.</t>
    </r>
    <r>
      <rPr>
        <i/>
        <sz val="10"/>
        <rFont val="Arial Narrow"/>
        <family val="2"/>
        <scheme val="minor"/>
      </rPr>
      <t xml:space="preserve"> In calculations, is excluded automatically (cell goes blank) if condition is absent (0), or if wetland never has surface water during an average year, or if wetland is &lt;0.01 ha.  </t>
    </r>
  </si>
  <si>
    <r>
      <t xml:space="preserve">Increased channel complexity implies greater interspersion of open water and vegetation, which provides more opportunity for organic matter to be in contact with moving water and thus be exported. </t>
    </r>
    <r>
      <rPr>
        <i/>
        <sz val="10"/>
        <rFont val="Arial Narrow"/>
        <family val="2"/>
        <scheme val="minor"/>
      </rPr>
      <t>In calculations, is excluded automatically (cell goes blank) if wetland never has surface water during an average year or if no surface inflows.</t>
    </r>
  </si>
  <si>
    <r>
      <t xml:space="preserve">Streams are an important transporter of protein-rich, labile DOM in temperate watersheds (Fellman et al. 2009). Thus, annual export of accumulated organic matter to downstream water can be greater in wetlands with outlets, especially those with persistent outflow.  Nonetheless, even wetlands that lack outlets may export variable amounts of dissolved carbon via subsurface infiltration and "pipes" created by decayed subsurface peat and tree roots which cannot be evaluated in a rapid assessment. </t>
    </r>
    <r>
      <rPr>
        <i/>
        <sz val="10"/>
        <rFont val="Arial Narrow"/>
        <family val="2"/>
        <scheme val="minor"/>
      </rPr>
      <t>In calculations, is excluded automatically (cell goes blank) if wetland never has surface water during an average year.</t>
    </r>
  </si>
  <si>
    <r>
      <t xml:space="preserve">Narrow outlets limit water outflow from a wetland and its downstream or downslope movement, thus limiting export of organic matter. The types of outlets described here are ones that typically are more constricted than natural channels, which usually have adjusted over time to local runoff and thus are wider relative to volume of flow received. </t>
    </r>
    <r>
      <rPr>
        <i/>
        <sz val="10"/>
        <rFont val="Arial Narrow"/>
        <family val="2"/>
        <scheme val="minor"/>
      </rPr>
      <t>In calculations, is excluded automatically (cell goes blank) if no outlet.</t>
    </r>
  </si>
  <si>
    <r>
      <t xml:space="preserve">Leaf litter from deciduous shrubs and trees tends to break down and cycle in receiving waters more rapidly than that of coniferous trees and shrubs. </t>
    </r>
    <r>
      <rPr>
        <i/>
        <sz val="10"/>
        <rFont val="Arial Narrow"/>
        <family val="2"/>
        <scheme val="minor"/>
      </rPr>
      <t>In calculations, is excluded automatically (cell goes blank) if no woody vegetation in the wetland.</t>
    </r>
  </si>
  <si>
    <t>Indicators from Estimator</t>
  </si>
  <si>
    <t>Indicators from Onsite Visit</t>
  </si>
  <si>
    <t>See Table 3 worksheet.</t>
  </si>
  <si>
    <t xml:space="preserve">The capacity to support an abundance and diversity of native fish species.  </t>
  </si>
  <si>
    <t>Open water does not restrict fish movements, whereas in vegetated wetlands (especially Bog, Fen, Swamp) fish movements are partly or completely restricted by lack of water or water that is often too shallow.</t>
  </si>
  <si>
    <t>Raw values potentially range from 1 (low) to 6 and are based on coarse-scale per-unit-area estimates of manure production and fertiliser and pesticide use as of 2001. From Agricultural Land Resource Atlas of Alberta.</t>
  </si>
  <si>
    <t>Pesticides and some other chemicals associated with agricultural and developed areas can harm fish, if not directly then by decimating the invertebrate foods upon which fish depend.  However, this index from the Agricultural Land Resource Atlas of Alberta was mapped at a coarse scale with outdated information on pesticide and fertiliser use.</t>
  </si>
  <si>
    <t>Road density is an index of fishing pressure as well as potential impacts from stormwater runoff, reduced fish access, and channel form changes.</t>
  </si>
  <si>
    <r>
      <t>AVERAGE(</t>
    </r>
    <r>
      <rPr>
        <sz val="10"/>
        <color rgb="FFFF0000"/>
        <rFont val="Arial Narrow"/>
        <family val="2"/>
      </rPr>
      <t>Interspers10</t>
    </r>
    <r>
      <rPr>
        <sz val="10"/>
        <rFont val="Arial Narrow"/>
        <family val="2"/>
      </rPr>
      <t>, ThruFlo10, Depth10, DepthEven10, Shade10, WoodAbove10)</t>
    </r>
  </si>
  <si>
    <r>
      <t xml:space="preserve">IF((RareFish=1),10, IF((AllSat+Fish10=0),0, IF((TooSaline + Fish10=0),0, </t>
    </r>
    <r>
      <rPr>
        <b/>
        <sz val="10"/>
        <rFont val="Arial Narrow"/>
        <family val="2"/>
      </rPr>
      <t>ELSE</t>
    </r>
    <r>
      <rPr>
        <sz val="10"/>
        <rFont val="Arial Narrow"/>
        <family val="2"/>
      </rPr>
      <t>: AVERAGE(CfixF, HabStrucF, Water, AnoxF, StressF)</t>
    </r>
  </si>
  <si>
    <t>Yoder, C. O., R. J. Miltner, and D. White. 1999. Assessing the Status of Aquatic Life Designated Uses in Urban and Suburban Watersheds. Pages 16-28 in A. Everson et al., editor. Proceedings of National Conference on Retrofit Opportunities for Water Resource Protection in Urban Environments. Chicago, IL February 9-12, 1998. Technology Transfer and Support Division, National Risk Management Research Laboratory, Office of Research and Development, U.S. Environmental Protection Agency, Cincinnati, Ohio.</t>
  </si>
  <si>
    <t>Horwitz, R. J., T. E. Johnson, P. F. Overbeck, T. K. O'Donnell, W. C. Hession, and B. W. Sweeney. 2008. Effects of riparian vegetation and watershed urbanization on fishes in streams of the mid-Atlantic Piedmont (USA). Journal of the American Water Resources Association 44:724-741.</t>
  </si>
  <si>
    <t>Hornung, J. and A. L. Foote. 2006. Aquatic invertebrate responses to fish presence and vegetation complexity in western boreal wetlands, with implications for Waterbird productivity. Wetlands 26:1-12.</t>
  </si>
  <si>
    <t>See OF38 above.</t>
  </si>
  <si>
    <r>
      <t xml:space="preserve">IF((MAX(RareWB, IBirdArea, SwanArea, RareBirdUse, SBstaging, WBstaging)&gt;0),10, </t>
    </r>
    <r>
      <rPr>
        <b/>
        <sz val="10"/>
        <rFont val="Arial Narrow"/>
        <family val="2"/>
      </rPr>
      <t>ELSE</t>
    </r>
    <r>
      <rPr>
        <sz val="10"/>
        <rFont val="Arial Narrow"/>
        <family val="2"/>
      </rPr>
      <t>: 10*AVERAGE(DuckDens, MarshPct, UniqFenMarsh, HabStrucW, CfixW, LscapeW, StressW))</t>
    </r>
  </si>
  <si>
    <t>AVERAGE(Interspers13, OWpct13)</t>
  </si>
  <si>
    <r>
      <t xml:space="preserve">AVERAGE(WetVegArea,ClassRichIn) </t>
    </r>
    <r>
      <rPr>
        <sz val="10"/>
        <rFont val="Times New Roman"/>
        <family val="1"/>
      </rPr>
      <t/>
    </r>
  </si>
  <si>
    <t>AVERAGE(BiodivZone, RaptorNest, RipFloodpl)</t>
  </si>
  <si>
    <t xml:space="preserve">AVERAGE (1-WindWin, Dist2DevCrop, NatCov1k, VegConn1k, DistRd, 1-RdDens1k) </t>
  </si>
  <si>
    <t>10*AVERAGE(UniqClass, a, b, c, d, e)</t>
  </si>
  <si>
    <t>AVERAGE(WoodPatt14, Interspers14, MarshFenSwamp, PondedOWpct14)</t>
  </si>
  <si>
    <t>AVERAGE (ClassRich1km, WetDens1k)</t>
  </si>
  <si>
    <t xml:space="preserve">AVERAGE (1-WindWint, DistDevCrop, NatCov1k, VegConn1k, DistRd, RdDens1k) </t>
  </si>
  <si>
    <r>
      <t>See OF8</t>
    </r>
    <r>
      <rPr>
        <sz val="10.5"/>
        <color rgb="FFFF0000"/>
        <rFont val="Arial Narrow"/>
        <family val="2"/>
        <scheme val="minor"/>
      </rPr>
      <t xml:space="preserve"> </t>
    </r>
    <r>
      <rPr>
        <sz val="10.5"/>
        <rFont val="Arial Narrow"/>
        <family val="2"/>
        <scheme val="minor"/>
      </rPr>
      <t>above.</t>
    </r>
  </si>
  <si>
    <t>See OF 8 above.</t>
  </si>
  <si>
    <r>
      <t xml:space="preserve">IF((RareSBM=1),10, </t>
    </r>
    <r>
      <rPr>
        <b/>
        <sz val="10"/>
        <rFont val="Arial Narrow"/>
        <family val="2"/>
      </rPr>
      <t>ELSE</t>
    </r>
    <r>
      <rPr>
        <sz val="10"/>
        <rFont val="Arial Narrow"/>
        <family val="2"/>
      </rPr>
      <t>: 10*AVERAGE(UniqClass, HabStrucS, CfixS,  LscapeS, StressS))</t>
    </r>
  </si>
  <si>
    <r>
      <t>Poulin, J.-F., M.-A. Villard, M. Edman, P. J. Goulet, and A.-M. Eriksson. 2008. Thresholds in nesting habitat requirements of an old forest specialist, the brown creeper (</t>
    </r>
    <r>
      <rPr>
        <i/>
        <sz val="10"/>
        <rFont val="Arial Narrow"/>
        <family val="2"/>
        <scheme val="minor"/>
      </rPr>
      <t>Certhia americana</t>
    </r>
    <r>
      <rPr>
        <sz val="10"/>
        <rFont val="Arial Narrow"/>
        <family val="2"/>
        <scheme val="minor"/>
      </rPr>
      <t>), as conservation targets. Biological Conservation 141:1129-1137.</t>
    </r>
  </si>
  <si>
    <t>Russell, G. J., J. M. Diamond, T. M. Reed, and S. L. Pimm. 2006. Breeding birds on small islands: island biogeography or optimal foraging? Journal of Animal Ecology l75:324–339.</t>
  </si>
  <si>
    <r>
      <t>Wood, W. E. and S. M. Yezerinac. 2006. Song sparrow (</t>
    </r>
    <r>
      <rPr>
        <i/>
        <sz val="10"/>
        <rFont val="Arial Narrow"/>
        <family val="2"/>
        <scheme val="minor"/>
      </rPr>
      <t>Melospiza melodia</t>
    </r>
    <r>
      <rPr>
        <sz val="10"/>
        <rFont val="Arial Narrow"/>
        <family val="2"/>
        <scheme val="minor"/>
      </rPr>
      <t>) song varies with urban noise. Auk 123:650-659.</t>
    </r>
  </si>
  <si>
    <t xml:space="preserve">St. Clair, C. C., M. Bélisle, A. Desrochers, and S. Hannon. 1998. Winter responses of forest birds to habitat corridors and gaps. Conservation Ecology Online: http://www.consecol.org/vol2/iss2/art13/. </t>
  </si>
  <si>
    <t>See OF8 above.</t>
  </si>
  <si>
    <t>Fertilizers, herbicides, and other pollutants can alter the composition and sometimes the diversity of plants within a wetland, as well as harm pollinating insects.</t>
  </si>
  <si>
    <t xml:space="preserve">Transport of plant propagules among wetlands by wildlife is probably facilitated if natural vegetation connects the wetlands.  </t>
  </si>
  <si>
    <t>Native Plant &amp; Pollinator Habitat</t>
  </si>
  <si>
    <t>Native Plant &amp; Pollinator Habitat (PH)</t>
  </si>
  <si>
    <t>Baldwin, L. K. and G. E. Bradfield. 2005. Bryophyte community differences between edge and interior environments in temperate rain-forest fragments of coastal British Columbia. Canadian Journal of Forest Research 35:580-592.</t>
  </si>
  <si>
    <t>Mahaney, W. M., D. H. Wardrop, and R. P. Brooks. 2005. Impacts of sedimentation and nitrogen enrichment on wetland plant community structure. Plant Ecology 175:227-243.</t>
  </si>
  <si>
    <t>AGRASID used for RWAUs 14, 15, 16 and 17, GSC used for remaining RWVAUs.   Minimum resolvable unit is 1 ha.</t>
  </si>
  <si>
    <t>Windspeed at 30m above land surface in summer, average for years 1958-2000.  Minimum resolvable unit is 2500 ha. Incomplete data coverage for RWVAUs 15 and 21.  From Environment Canada.</t>
  </si>
  <si>
    <t>Windspeed at 30m above land surface in winter, average for years 1958-2000.  Minimum resolvable unit is 2500 ha. Incomplete data coverage for RWVAUs 15 and 21. From Environment Canada.</t>
  </si>
  <si>
    <r>
      <t>In parts of the AA that lack persistent water, the texture of soil in the uppermost layer is mostly:  [</t>
    </r>
    <r>
      <rPr>
        <i/>
        <sz val="10"/>
        <rFont val="Arial Narrow"/>
        <family val="2"/>
      </rPr>
      <t>To determine this, use a trowel to check in at least 3 widely spaced locations, and use the soil texture key in Appendix A of the Manual]</t>
    </r>
  </si>
  <si>
    <t>RareWB13</t>
  </si>
  <si>
    <t>RareSBM</t>
  </si>
  <si>
    <t>RarePlant</t>
  </si>
  <si>
    <t>RareFish</t>
  </si>
  <si>
    <t>RareAmphib</t>
  </si>
  <si>
    <t>Because of their relative rarity, these fish species contribute more to regional biodiversity than fish species with broader habitat tolerances.</t>
  </si>
  <si>
    <t>Because of their relative rarity, these waterbird species contribute more to regional biodiversity than waterbird species with broader habitat tolerances.</t>
  </si>
  <si>
    <t>Because of their relative rarity, these songbird, raptor, and mammal species contribute more to regional biodiversity than ones with broader habitat tolerances.</t>
  </si>
  <si>
    <t>AVERAGE(1-Sub0Days, PPET, 1-WindSumm, 1-WetPerim2Area, OpenPonded2, 1-WetVegArea, 1-WoodyPct2)</t>
  </si>
  <si>
    <r>
      <t xml:space="preserve">Hogg, E. H. and V. J. Lieffers. 1991. The impact of </t>
    </r>
    <r>
      <rPr>
        <i/>
        <sz val="10"/>
        <rFont val="Arial Narrow"/>
        <family val="2"/>
        <scheme val="minor"/>
      </rPr>
      <t>Calamagrostis canadensis</t>
    </r>
    <r>
      <rPr>
        <sz val="10"/>
        <rFont val="Arial Narrow"/>
        <family val="2"/>
        <scheme val="minor"/>
      </rPr>
      <t xml:space="preserve"> on soil thermal regimes after logging in northern Alberta. Canadian Journal of Forest Research 21:387-394.</t>
    </r>
  </si>
  <si>
    <t>Boët, P., Belliard J, Berrebi, T.R. 1999. Multiple human impacts by the City of Paris on fish communities in the Seine River Basin, France. Hydrobiologia 410:59-68.</t>
  </si>
  <si>
    <t>Leaves of nitrogen-fixing plants such as alder have been shown to support higher densities and richness of aquatic and terrestrial invertebrates (Wipfli et al. 2007, Wipfli &amp; Musselwhite 2004).</t>
  </si>
  <si>
    <r>
      <t xml:space="preserve">The importance of large wood to aquatic life has been widely documented in perennial streams (literature reviewed by Murphy 1995, May 2003, Wenger 2000) and in lakes (Roth et al. 2007). Many aquatic invertebrates attach to submerged wood and feed on algae and leaves associated with it. Constructed wetlands to which woody debris is added may support greater biomass or richness of several aquatic invertebrate groups (e.g., Alsfeld et al. 2009). Most instream wood originates in the parts of the riparian areas that are within 100 ft of a stream (McDade et al. 1990, Van Sickle &amp; Gregory 1990, Robison &amp; Beschta 1990, Meleason et al. 2003). </t>
    </r>
    <r>
      <rPr>
        <i/>
        <sz val="10"/>
        <rFont val="Arial Narrow"/>
        <family val="2"/>
        <scheme val="minor"/>
      </rPr>
      <t>In calculations, is excluded automatically (cell goes blank) if wetland never has surface water during an average year, or has no open water, or  is &lt;0.01 ha.</t>
    </r>
  </si>
  <si>
    <t>Fish can negatively impact the density and perhaps diversity of invertebrates in a stream or wetland (Hornung &amp; Foote 2006). Disturbance of stream bottom sediments by spawning fish can temporarily change the composition and abundance of the stream invertebrate community in a localized area (Moore &amp; Schindler 2008).</t>
  </si>
  <si>
    <t>The total proportion of the land that is natural land cover, as well as its proximity, can affect songbird and mammal richness in wetlands. In Ohio, migrant songbirds had the strongest positive correlation with natural land cover near streams when it was measured within ~820 ft of streams, rather than in areas closer or farther. Some migrant songbirds were much less likely to occur where there were many buildings within that distance of streams (Pennington 2008). However, one study found that migrant bird abundance was statistically unrelated to either percent urbanized land or percent forest cover within 0.6 mile (Rodewald &amp; Mathews 2005).  High nest predation was found in clearcut openings and edges where squirrels were a common nest predator throughout. [Desanto &amp; Wilson 2001]. Younger forests that develop after clearcutting often contain mixed alder-conifer stands which provide significantly higher understory biomass than in pure conifer forests. Many songbirds and mammals occur only in larger tracts of natural land cover. Fragmentation of wooded riparian areas by residential development or clearcuts can, over the long term, reduce the diversity of songbirds nesting in the remaining patches (e.g., Smith &amp; Wachob 2006). Breeding wetland birds sometimes do persist in small disturbed wetlands as long as much larger undisturbed wetlands nearby remain productive (e.g., Vermaat et al. 2008). Ideally, no clearing should result in a forest being fragmented into an isolate smaller than about 100 acres or narrower than 150 feet, and definitely not smaller than 2 acres or narrower than 100 feet (Donnelly &amp; Marzluff 2004).Theoretical and limited empirical data suggest that 30% or more forest cover across a large area is the threshold value above which landscapes might provide sufficient habitat and connectivity for many forest species, allowing those species' populations to survive even in small remaining patches (Andren 1994). Minimum patch sizes required for breeding by those forest songbirds (e.g., brown Creeper) which may be the most sensitive to forest fragmentation in the Pacific Northwest may be about 25 acres (Donnelly &amp; Marzluff 2004, Poulin et al. 2008). However, a study in British Columbia found patch size had little to do with the abundance or diversity of birds in patches of old growth forest (Schieck et al. 1995).</t>
  </si>
  <si>
    <t xml:space="preserve">Traffic poses a hazard to songbirds and mammals that attempt to cross roads (Forman et al. 2002, Clevenger et al. 2003, Massey et al. 2008, Minor &amp; Urban 2010, Tremblay &amp; St. Clair 2010, and see reviews by Fahrig &amp; Rytwinski 2009, Benitez-Lopez et al. 2010). Roadsides also may channel the movements of predators. Noise from heavy traffic interferes with bird reproduction because some birds cannot hear singing of prospective mates (Wood &amp; Yezerinac 2006, Slabbekoorn &amp; Ripmeester 2008, Barber et al. 2010) and road noise can restrict habitat use by bats (Schaub et al. 2008). Grizzly bears avoid habitat within 0.5 km from highways; Waller and Servheen 2005, McLellen and Shackleton 1988). In a study examining the spatial patterns and factors influencing small terrestrial vertebrate road-kill aggregations in the Bow River Valley of Alberta, Canada, mammal and bird road-kill indices were consistently higher on low volume parkway roads than on the high-speed, high volume highways (Clevenger et al. 2003).    </t>
  </si>
  <si>
    <r>
      <t xml:space="preserve">Tree cavities needed by many nesting songbirds and mammals are found mostly in dead standing trees (snags) and larger-diameter trees, which are more likely to have bole entries, conks, abundant mistletoe, and dead tops (Bakker &amp; Hastings 2002.) Larger-diameter stands also tend to be older and provide more structure useful to a variety of songbirds and mammals. Tall snags are especially useful to raptors as hunting perches. A mixture of tree species, especially mixtures that include aspen, is necessary to sustain populations of most boreal woodpecker species [Drever &amp; Martin 2010]. Deer need a diversity of forest types and ages (both clear-cut and old growth) near each other within their home ranges. </t>
    </r>
    <r>
      <rPr>
        <i/>
        <sz val="10"/>
        <rFont val="Arial Narrow"/>
        <family val="2"/>
        <scheme val="minor"/>
      </rPr>
      <t>In calculations, is excluded automatically (cell goes blank) if trees occupy &lt;5% of the vegetated part of the AA.  Otherwise, score is based on the number of categories and a weighted average that favors larger deciduous trees.</t>
    </r>
    <r>
      <rPr>
        <sz val="10"/>
        <rFont val="Arial Narrow"/>
        <family val="2"/>
        <scheme val="minor"/>
      </rPr>
      <t xml:space="preserve">
</t>
    </r>
  </si>
  <si>
    <r>
      <t xml:space="preserve">Small mammals moving between wetlands are less likely to have their movements disrupted by lands with residual cover than in lands with impervious surface. </t>
    </r>
    <r>
      <rPr>
        <i/>
        <sz val="10"/>
        <rFont val="Arial Narrow"/>
        <family val="2"/>
        <scheme val="minor"/>
      </rPr>
      <t>In calculations, is excluded automatically (cell goes blank) if natural cover in the buffer (see above) is &gt;90%.</t>
    </r>
  </si>
  <si>
    <r>
      <t xml:space="preserve">At least in regions dominated by conifers, deciduous shrub cover is known to increase local bird richness and probably abundance (Willson &amp; Comet 1996a,b).  </t>
    </r>
    <r>
      <rPr>
        <i/>
        <sz val="10"/>
        <rFont val="Arial Narrow"/>
        <family val="2"/>
        <scheme val="minor"/>
      </rPr>
      <t>In calculations, is excluded automatically (cell goes blank) if woody vegetation is &lt;5% of the vegetated part of the AA.</t>
    </r>
  </si>
  <si>
    <t>Shirley, S. 2004. The influence of habitat diversity and structure on bird use of riparian buffer strips in coastal forests of British Columbia, Canada. Canadian Journal of Forest Research 34:1499-1510.</t>
  </si>
  <si>
    <t>Alder often occurs in mildly disturbed settings, and through its ability to increase soil fertility by fixing nitrogen, can increase the diversity and abundance of understory plants (Deal 1997). However, as alder stands age, they form a closed canopy which can block light and reduce understory plant richness.</t>
  </si>
  <si>
    <t>Flatter wetlands are more likely than steep ones to slow runoff, facilitating more deposition of suspended matter. Ground cover becomes more important to sediment stabilization in wetlands on slopes. A Pennsylvania study found that slope wetlands tended to have the lowest sediment accretion rates of any wetland type (HGM class) (Wardrop &amp; Brooks 1998).</t>
  </si>
  <si>
    <r>
      <t xml:space="preserve">IF((Algae=1),0, </t>
    </r>
    <r>
      <rPr>
        <b/>
        <sz val="10"/>
        <rFont val="Arial Narrow"/>
        <family val="2"/>
        <scheme val="minor"/>
      </rPr>
      <t>ELSE</t>
    </r>
    <r>
      <rPr>
        <sz val="10"/>
        <rFont val="Arial Narrow"/>
        <family val="2"/>
        <scheme val="minor"/>
      </rPr>
      <t>:  AVERAGE(WetArea, Fringe21, Lake21,</t>
    </r>
    <r>
      <rPr>
        <sz val="10"/>
        <color rgb="FFFF0000"/>
        <rFont val="Arial Narrow"/>
        <family val="2"/>
        <scheme val="minor"/>
      </rPr>
      <t>PondedOWpct21</t>
    </r>
    <r>
      <rPr>
        <sz val="10"/>
        <rFont val="Arial Narrow"/>
        <family val="2"/>
        <scheme val="minor"/>
      </rPr>
      <t>, WatProb)</t>
    </r>
  </si>
  <si>
    <t>Brinkmann, L. and J. B. Rasmussen. 2010. High levels of mercury in biota of a new Prairie irrigation reservoir with a simplified food web in Southern Alberta, Canada. Hydrobiologia 641:11-21.</t>
  </si>
  <si>
    <t>Brinkmann, L. and J. B. Rasmussen. 2012. Elevated mercury levels in biota along an agricultural land use gradient in the Oldman River basin, Alberta. Canadian Journal of Fisheries and Aquatic Sciences 69:1202-1213.</t>
  </si>
  <si>
    <t>Jeffries, K. M., E. R. Nelson, L. J. Jackson, and H. R. Habibi. 2008. Basin-wide impacts of compounds with estrogen-like activity on longnose dace (Rhinichthys cataractae) in two prairie rivers of Alberta, Canada. Environmental Toxicology and Chemistry 27:2042-2052.</t>
  </si>
  <si>
    <r>
      <t xml:space="preserve">Dynamic water levels in wetlands with outlets usually imply more productive wetlands (Nicholson 1995). However, if water level fluctuations are too severe (e.g., greater than plant height) production of organic matter can diminish. Also, more stable water levels may benefit aquatic invertebrates in regions where many streams and wetlands are prone to sudden fluctuations from melting snow and storms. </t>
    </r>
    <r>
      <rPr>
        <i/>
        <sz val="10"/>
        <rFont val="Arial Narrow"/>
        <family val="2"/>
        <scheme val="minor"/>
      </rPr>
      <t>In calculations, is excluded automatically (cell goes blank) if wetland never has surface water during an average year, or if none of it floods only seasonally.</t>
    </r>
  </si>
  <si>
    <t>Nicholson, B. J. 1995. The wetlands of Elk Island National Park: Vegetation classification, water chemistry, and hydrotopographic relationships. Wetlands 15:119-133.</t>
  </si>
  <si>
    <r>
      <t xml:space="preserve">Wetlands with naturally fluctuating water levels tend to have greater plant species richness (Nicholson 1995, Pollack et al. 1998). Duration, frequency, and timing of inundation may be more important than magnitude of fluctuation, but cannot be estimated during a single visit to an ungaged wetland. Prolonged deep flooding can reduce plant species richness (Bayley &amp; Guimond 2009). </t>
    </r>
    <r>
      <rPr>
        <i/>
        <sz val="10"/>
        <rFont val="Arial Narrow"/>
        <family val="2"/>
      </rPr>
      <t>In calculations, is excluded automatically (cell goes blank) if wetland never has surface water during an average year, or if none of it floods only seasonally.</t>
    </r>
  </si>
  <si>
    <t xml:space="preserve">Documentation of Wetland Assessment Using ABWRET-A </t>
  </si>
  <si>
    <t>RWVAU</t>
  </si>
  <si>
    <t>Value Score (ABWRET_a)</t>
  </si>
  <si>
    <t>Value Category (a, b, c, d)</t>
  </si>
  <si>
    <t>Abundance Factor</t>
  </si>
  <si>
    <t>Final Score(A, B, C, D)</t>
  </si>
  <si>
    <t>Hydrologic Health (HH)</t>
  </si>
  <si>
    <t>Min</t>
  </si>
  <si>
    <t>Max</t>
  </si>
  <si>
    <t>Water Quality (WQ)</t>
  </si>
  <si>
    <t>Ecological Health (EH)</t>
  </si>
  <si>
    <t>Human Use (HU)</t>
  </si>
  <si>
    <t>Normalization</t>
  </si>
  <si>
    <t>Percentile</t>
  </si>
  <si>
    <t>Percentile Value</t>
  </si>
  <si>
    <t>Abundance Modifier</t>
  </si>
  <si>
    <t>Normal</t>
  </si>
  <si>
    <t>Raw</t>
  </si>
  <si>
    <t xml:space="preserve"> the top 5% and bottom 5% would not be modified.</t>
  </si>
  <si>
    <t>OF73</t>
  </si>
  <si>
    <t>All distances &gt;5 km are considered to be in the 100th percentile.  From AAFC "Annual Crop" and "Developed" map layers.</t>
  </si>
  <si>
    <t>1 (yes) or 0 (no) based on official designation.</t>
  </si>
  <si>
    <t>same as WetArea minus OWarea</t>
  </si>
  <si>
    <t>Aspect within +/- 45 degrees of north gets a 1, Aspect within +/- 45 degrees of sourth gets a 0, all others get a 0.5.  From the DEM.</t>
  </si>
  <si>
    <t>Number of mapped wetland classes within 1 km of wetland centroid.  From Alberta Merged Wetland Inventory map layer.</t>
  </si>
  <si>
    <t>Number of mapped wetland classes within the wetland. From Alberta Merged Wetland Inventory map layer.</t>
  </si>
  <si>
    <t>The percentages of these 3 classes were summed within each wetland, then the percentile of that sum as calculated for all wetlands in RWAU was determined and used as reference point.  From Alberta Merged Wetland Inventory map layer.</t>
  </si>
  <si>
    <t>From Alberta Merged Wetland Inventory map layer.</t>
  </si>
  <si>
    <t>1 (yes) or 0 (no) based on a join of the target wetland's centroid with intersecting lake layer from base hydrography features, plus spatial join of target wetland with intersecting river polygon layer from that layer.  From Alberta Merged Wetland Inventory map layer.</t>
  </si>
  <si>
    <t>If wetland size &lt;10 ha, then =NULL (ignored in calculations). Otherwise, ratio of flow length to gradient, both measured within the wetland.  Measured from Alberta Merged Wetland Inventory map layer.</t>
  </si>
  <si>
    <t>Instead of RWAU percentile, for the Invertebrate Habitat function the raw value is converted to a score as follows: &lt;1%=0.2;  1%-5%=0.6; 6-30%=0.8, 31-70%=1; 71-99%=0.4; &gt;99%=0.  From Alberta Merged Wetland Inventory map layer.</t>
  </si>
  <si>
    <t>Instead of RWAU percentile, for the Amphibian Habitat function the raw value is converted to a score as follows: &lt;1%=0.2;  1%-99%=1.0; &gt;99%=0.  From Alberta Merged Wetland Inventory map layer.</t>
  </si>
  <si>
    <t>Instead of RWAU percentile, for the Invertebrate Habitat function the raw value is converted to a score as follows: &lt;1%=0;  1%-5%=0.4; 6-30%=0.8, 31-70%=1; 71-99%=0.6; &gt;99%=0.2.  From Alberta Merged Wetland Inventory map layer.</t>
  </si>
  <si>
    <t xml:space="preserve"> "Natural Cover" includes all AAFC classes except Water, Annual Crops, Exposed Land, &amp; Developed.  Measured around wetland boundary as depiced in Alberta Merged Wetland Inventory map layer.</t>
  </si>
  <si>
    <t>1 (yes) or 0 (no).  From FWMIS database.</t>
  </si>
  <si>
    <t>1 (yes) or 0 (no).  From FWMIS map layer.</t>
  </si>
  <si>
    <t>The percentages of these 2 classes were summed within each wetland, then the percentile of that sum as calculated for all wetlands in RWVAU was determined and used as reference point.  From Alberta Merged Wetland Inventory map layer.</t>
  </si>
  <si>
    <t>MAX of: (UniqFen, UniqMarsh, UniqBog, UniqSwamp). From Alberta Merged Wetland Inventory map layer.</t>
  </si>
  <si>
    <t>1 (yes) or 0 (no) natural cover intersects both the target wetland and another wetland within 1 km. From Alberta Merged Wetland Inventory map layer.  Natural cover derived from AAFC layers.</t>
  </si>
  <si>
    <t>Join of Swamps class in Alberta Merged Wetland Inventory map layer with AAFC Forest layers, divided by WetArea.</t>
  </si>
  <si>
    <t>C</t>
  </si>
  <si>
    <t>FuncName</t>
  </si>
  <si>
    <t>Function</t>
  </si>
  <si>
    <t>Max_A</t>
  </si>
  <si>
    <t>Min_A</t>
  </si>
  <si>
    <t>Function_175Sites</t>
  </si>
  <si>
    <t>Normalized  (ABWRET_A) Based on 175 Calibrated Sites</t>
  </si>
  <si>
    <t>Normalized Score (ABWRET_E) Based on 175 Calibrated Sites</t>
  </si>
  <si>
    <t>Normalized Score (ABWRET_E) Based on Wetlands in RWVAU</t>
  </si>
  <si>
    <t>Normalized Score (ABWRET_Esub) Based on 175 Calibrated Sites</t>
  </si>
  <si>
    <t>Normalized Score (ABWRET_Esub) Based on Wetlands in RWVAU</t>
  </si>
  <si>
    <t>Normalized Score (ABWRET_A) Based on Wetlands in RWVAU</t>
  </si>
  <si>
    <t>F1</t>
  </si>
  <si>
    <r>
      <t xml:space="preserve">Most of the </t>
    </r>
    <r>
      <rPr>
        <b/>
        <sz val="10"/>
        <rFont val="Arial Narrow"/>
        <family val="2"/>
      </rPr>
      <t>vegetated</t>
    </r>
    <r>
      <rPr>
        <sz val="10"/>
        <rFont val="Arial Narrow"/>
        <family val="2"/>
      </rPr>
      <t xml:space="preserve"> part of the AA (wetland </t>
    </r>
    <r>
      <rPr>
        <u/>
        <sz val="10"/>
        <rFont val="Arial Narrow"/>
        <family val="2"/>
      </rPr>
      <t>A</t>
    </r>
    <r>
      <rPr>
        <sz val="10"/>
        <rFont val="Arial Narrow"/>
        <family val="2"/>
      </rPr>
      <t xml:space="preserve">ssessment </t>
    </r>
    <r>
      <rPr>
        <u/>
        <sz val="10"/>
        <rFont val="Arial Narrow"/>
        <family val="2"/>
      </rPr>
      <t>A</t>
    </r>
    <r>
      <rPr>
        <sz val="10"/>
        <rFont val="Arial Narrow"/>
        <family val="2"/>
      </rPr>
      <t>rea) is a (select ONE):</t>
    </r>
  </si>
  <si>
    <t>F1.1</t>
  </si>
  <si>
    <t>F1.2</t>
  </si>
  <si>
    <t>F1.3</t>
  </si>
  <si>
    <t>F1.4</t>
  </si>
  <si>
    <t>F2</t>
  </si>
  <si>
    <t>F3</t>
  </si>
  <si>
    <t>F4</t>
  </si>
  <si>
    <t>F5</t>
  </si>
  <si>
    <t>F6</t>
  </si>
  <si>
    <t>F7</t>
  </si>
  <si>
    <t>F8</t>
  </si>
  <si>
    <t>F9</t>
  </si>
  <si>
    <t>F10</t>
  </si>
  <si>
    <t>F11</t>
  </si>
  <si>
    <t>F12</t>
  </si>
  <si>
    <t>F13</t>
  </si>
  <si>
    <t>F14</t>
  </si>
  <si>
    <t>F15</t>
  </si>
  <si>
    <t>F16</t>
  </si>
  <si>
    <t>F17</t>
  </si>
  <si>
    <t>F18</t>
  </si>
  <si>
    <t>F19</t>
  </si>
  <si>
    <t>F20</t>
  </si>
  <si>
    <t>F21</t>
  </si>
  <si>
    <t>F22</t>
  </si>
  <si>
    <r>
      <t xml:space="preserve">Fish (native or stocked) are known to be present in the AA.  Or fish can access at least part of the AA during one or more days annually.  If uncertain, use answer from Form OF, item  </t>
    </r>
    <r>
      <rPr>
        <sz val="10"/>
        <color indexed="10"/>
        <rFont val="Arial Narrow"/>
        <family val="2"/>
      </rPr>
      <t>OF15</t>
    </r>
    <r>
      <rPr>
        <sz val="10"/>
        <rFont val="Arial Narrow"/>
        <family val="2"/>
      </rPr>
      <t>, or enter "0".</t>
    </r>
  </si>
  <si>
    <t>F23</t>
  </si>
  <si>
    <t>F24</t>
  </si>
  <si>
    <t>F25</t>
  </si>
  <si>
    <t>F26</t>
  </si>
  <si>
    <t>F27</t>
  </si>
  <si>
    <t>F28</t>
  </si>
  <si>
    <t xml:space="preserve">Groundwater monitoring has demonstrated that groundwater primarily discharges to the wetland for longer periods during the year than periods when the wetland recharges the groundwater.  Or, springs are known to be present within the AA.
</t>
  </si>
  <si>
    <t>F29</t>
  </si>
  <si>
    <t>F30</t>
  </si>
  <si>
    <t>F31</t>
  </si>
  <si>
    <t>F32</t>
  </si>
  <si>
    <t>F33</t>
  </si>
  <si>
    <t>F34</t>
  </si>
  <si>
    <t>F35</t>
  </si>
  <si>
    <t>F36</t>
  </si>
  <si>
    <t>F37</t>
  </si>
  <si>
    <t>F38</t>
  </si>
  <si>
    <t>F39</t>
  </si>
  <si>
    <t>Several ( &gt;2/hectare) and a pond, lake, or slow-flowing water wider than 10 m is within 1 km.</t>
  </si>
  <si>
    <t>F40</t>
  </si>
  <si>
    <t>F41</t>
  </si>
  <si>
    <t>Hydrological Health (HH)</t>
  </si>
  <si>
    <t>RWVAU #</t>
  </si>
  <si>
    <t>A</t>
  </si>
  <si>
    <t>B</t>
  </si>
  <si>
    <t/>
  </si>
  <si>
    <t>D</t>
  </si>
  <si>
    <t>Water                         Cooling</t>
  </si>
  <si>
    <t>Water Storage        &amp;                                 Delay</t>
  </si>
  <si>
    <t>Stream                       Flow                         Support</t>
  </si>
  <si>
    <t>Sediment             Retention                                        and                    Stabilization</t>
  </si>
  <si>
    <t xml:space="preserve">Nitrate Removal                                &amp;                                       Retention </t>
  </si>
  <si>
    <t>Organic                          Matter                                      Export</t>
  </si>
  <si>
    <t>10* AVERAGE(MixWaterVeg, a, b)</t>
  </si>
  <si>
    <t>AVERAGE(FishPres, RipFloodpl, ChanConn)</t>
  </si>
  <si>
    <t>AVERAGE (OWpct, MixWaterVeg)</t>
  </si>
  <si>
    <t>AVERAGE (DistRd, 1-RdDens1k, PerimNatCov)</t>
  </si>
  <si>
    <t>10*AVERAGE(a, b, c, d, WatProb)</t>
  </si>
  <si>
    <t>AVERAGE (WetVegArea, ClassRichIn, MixHerbWood)</t>
  </si>
  <si>
    <t>AVERAGE(MarshFenSwamp_PctWet, 1-OWpct, MixWaterVeg, RipFloodpl)</t>
  </si>
  <si>
    <t>AVERAGE(DistDevCrop, PerimNatCov, NatCov1k, RdDens1k, DistRd)</t>
  </si>
  <si>
    <t xml:space="preserve">#  </t>
  </si>
  <si>
    <r>
      <t xml:space="preserve">DIRECTIONS:  </t>
    </r>
    <r>
      <rPr>
        <sz val="12"/>
        <rFont val="Arial Narrow"/>
        <family val="2"/>
      </rPr>
      <t>Conduct an assessment only after reading the accompanying Manual and explanations on the data forms.  In the Data column, change the 0 (false) to a 1 (true) for the best choice, or for multiple choices where allowed and so indicated.  Answer these questions primarily based on your onsite observations and interpretations.  Do not write in any shaded parts of this data form.  Answering some questions accurately may require conferring with the landowner or other knowledgable persons, and/or reviewing aerial imagery.  Although some conditions can vary greatly by season and from year to year, report only the conditions believed to prevail during the majority of the past 5 years, or if unknown, then the conditions found in the available aerial imagery.</t>
    </r>
  </si>
  <si>
    <t>Site Name:                                                                                                                                                          Site Location:</t>
  </si>
  <si>
    <t>Investigator's Name:                                                                                                                                           Date:</t>
  </si>
  <si>
    <r>
      <t xml:space="preserve">Is the AA smaller than 0.01 hectare? </t>
    </r>
    <r>
      <rPr>
        <sz val="12"/>
        <rFont val="Arial Narrow"/>
        <family val="2"/>
      </rPr>
      <t xml:space="preserve"> If so, enter "1" in column D and </t>
    </r>
    <r>
      <rPr>
        <b/>
        <sz val="12"/>
        <rFont val="Arial Narrow"/>
        <family val="2"/>
      </rPr>
      <t>SKIP TO F23</t>
    </r>
    <r>
      <rPr>
        <sz val="12"/>
        <rFont val="Arial Narrow"/>
        <family val="2"/>
      </rPr>
      <t xml:space="preserve"> (Beaver)</t>
    </r>
  </si>
  <si>
    <t>Sum=</t>
  </si>
  <si>
    <t>Site Name and Location:</t>
  </si>
  <si>
    <t>Indicator Abbreviation     or Formula</t>
  </si>
  <si>
    <t>Indicator Abbreviation      or Formula</t>
  </si>
  <si>
    <t>Indicator Abbreviation       or Formula</t>
  </si>
  <si>
    <t>AVERAGE (WetVegArea, RipFloodpl) </t>
  </si>
  <si>
    <t>AVERAGE(WetDens1k_OW, DuckDens)</t>
  </si>
  <si>
    <t>AVERAGE(Dist2DevCrop, PerimNatCov, UndevOpenL1k, VegCon1k)</t>
  </si>
  <si>
    <t>AVERAGE(DistDevCrop, PerimNatCov, UndevOpenL1k, VegCon1k)</t>
  </si>
  <si>
    <t xml:space="preserve">If any items were checked above, then for each row of the table below, you may assign points.  However, if you believe the checked items had no measurable effect on the timing of water conditions in any part of the AA, then leave the "0's" for the scores in the following rows.  To estimate effects, contrast the current condition with the condition if the checked items never occurred or were no longer present. </t>
  </si>
  <si>
    <t xml:space="preserve">If any items were checked above, then for each row of the table below, you may assign points.  However, if you believe the checked items did not cumulatively expose the AA to significantly higher levels of contaminants and/or salts, then leave the "0's" for the scores in the following rows.  To estimate effects, contrast the current condition with the condition if the checked items never occurred or were no longer present. </t>
  </si>
  <si>
    <t xml:space="preserve">If any items were checked above, then for each row of the table below, you may assign points.  However, if you believe the checked items did not cumulatively expose the AA to significantly more nutrients, then leave the "0's" for the scores in the following rows.  To estimate effects, contrast the current condition with the condition if the checked items never occurred or were no longer present. </t>
  </si>
  <si>
    <t xml:space="preserve">If any items were checked above, then for each row of the table below, you may assign points (3, 2, or 1 as shown in header) in the last column.  However, if you believe the checked items did not cumulatively add significantly more sediment or suspended solids to the AA, then leave the "0's" for the scores in the following rows.  To estimate effects, contrast the current condition with the condition if the checked items never occurred or were no longer present. </t>
  </si>
  <si>
    <t xml:space="preserve">If any items were checked above, then for each row of the table below, you may assign points.  However, if you believe the checked items did not measurably alter the soil structure and/or topography, then leave the "0's" for the scores in the following rows.  To estimate effects, contrast the current condition with the condition if the checked items never occurred or were no longer present. </t>
  </si>
  <si>
    <t>One or more of the rare plant species was detected within the AA (Appendix A, Table A.4).</t>
  </si>
  <si>
    <t xml:space="preserve">If required, survey the AA for plant or animal species believed to be of conservation concern in Alberta (see list on Form F in Appendix A of Manual).  Do so at appropriate times of the year, especially if the data review conducted during the office phase of this assessment indicated their past presence in the general vicinity.  If you do detect these species or have reliable knowledge of their recent (within ~5 years) occurrence within the AA, indicate that below.  </t>
  </si>
  <si>
    <t>In wetlands &gt;10 ha, GIS indicators in bold are substituted for field indicators denoted with red font in the cell above, because in large wetlands tnose GIS-derived indicators are assumed to yield more accurate estimates of the similar field indicator.</t>
  </si>
  <si>
    <t>Quinton, W. L. and D. M. Gray. 2003. Subsurface drainage from organic soils in permafrost terrain: the major factors to be represented in a runoff model. In: W. Haeberli and D. Brandova, editors. Eighth International Conference on Permafrost. Glaciology and Geomorphodynamics Group, Geography Department, University of Zurich Switzerland Davos, Switzerland.</t>
  </si>
  <si>
    <t>Floodplain and riparian areas that flood only occasionally are  important to fish during the brief times of flooding, as shelter from strong currents and because they provide terrestrial invertebrate foods that fall from vegetation or are flushed out of newly flooded soils.</t>
  </si>
  <si>
    <r>
      <t xml:space="preserve">The eggs and larvae of many frogs and aquatic salamanders can easily be harmed by excessive ultraviolet radiation.  Aquatic plants may provide some degree of shelter from such radiation, as well as providing attachment surfaces for eggs. </t>
    </r>
    <r>
      <rPr>
        <i/>
        <sz val="10"/>
        <rFont val="Arial Narrow"/>
        <family val="2"/>
        <scheme val="minor"/>
      </rPr>
      <t>In calculations, is excluded automatically (cell goes blank) if wetland never has surface water during an average year.  Also is excluded automatically if wetland has no ponded water or is &lt;0.01 ha</t>
    </r>
  </si>
  <si>
    <r>
      <t xml:space="preserve">Pools that remain isolated from other surface waters even during high water provide amphibians with the most protection from predatory fish.  More amphibian species prefer ponded water than water flowing in channels. </t>
    </r>
    <r>
      <rPr>
        <i/>
        <sz val="10"/>
        <rFont val="Arial Narrow"/>
        <family val="2"/>
        <scheme val="minor"/>
      </rPr>
      <t>In calculations, is excluded automatically (cell goes blank) if wetland never has surface water during an average year or is &lt;0.01 ha.</t>
    </r>
  </si>
  <si>
    <t>Schank, C. M. M., C. A. Paszkowski, W. M. Tonn, and G. J. Scrimgeour. 2011. Stocked trout do not significantly affect wood frog populations in Boreal Foothills lakes. Canadian Journal of Fisheries and Aquatic Sciences 68:1790-1801.</t>
  </si>
  <si>
    <t>Data Form F.  ABWRET-A. version 1.0.</t>
  </si>
  <si>
    <t>Data Form S (Stressors).  ABWRET-A version 1.0.</t>
  </si>
  <si>
    <t>Data Entry Columns</t>
  </si>
  <si>
    <t>Enter site ID here</t>
  </si>
  <si>
    <t>Marsh or Shallow Open Water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</si>
</sst>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
    <numFmt numFmtId="166" formatCode="#0.0000"/>
    <numFmt numFmtId="167" formatCode="#0.00"/>
  </numFmts>
  <fonts count="91" x14ac:knownFonts="1">
    <font>
      <sz val="10"/>
      <name val="Times New Roman"/>
    </font>
    <font>
      <sz val="11"/>
      <color theme="1"/>
      <name val="Arial Narrow"/>
      <family val="2"/>
      <scheme val="minor"/>
    </font>
    <font>
      <sz val="11"/>
      <color theme="1"/>
      <name val="Arial Narrow"/>
      <family val="2"/>
      <scheme val="minor"/>
    </font>
    <font>
      <sz val="11"/>
      <color theme="1"/>
      <name val="Arial Narrow"/>
      <family val="2"/>
      <scheme val="minor"/>
    </font>
    <font>
      <sz val="10"/>
      <color indexed="8"/>
      <name val="Arial Narrow"/>
      <family val="2"/>
    </font>
    <font>
      <sz val="8"/>
      <name val="Times New Roman"/>
      <family val="1"/>
    </font>
    <font>
      <sz val="10"/>
      <name val="Arial"/>
      <family val="2"/>
    </font>
    <font>
      <sz val="10"/>
      <name val="Arial Narrow"/>
      <family val="2"/>
    </font>
    <font>
      <b/>
      <sz val="10"/>
      <name val="Arial Narrow"/>
      <family val="2"/>
    </font>
    <font>
      <u/>
      <sz val="10"/>
      <name val="Arial Narrow"/>
      <family val="2"/>
    </font>
    <font>
      <b/>
      <sz val="12"/>
      <name val="Arial Narrow"/>
      <family val="2"/>
    </font>
    <font>
      <b/>
      <u/>
      <sz val="10"/>
      <name val="Arial Narrow"/>
      <family val="2"/>
    </font>
    <font>
      <sz val="10"/>
      <name val="Times New Roman"/>
      <family val="1"/>
    </font>
    <font>
      <sz val="12"/>
      <name val="Arial"/>
      <family val="2"/>
    </font>
    <font>
      <b/>
      <sz val="14"/>
      <name val="Arial Narrow"/>
      <family val="2"/>
    </font>
    <font>
      <i/>
      <sz val="10"/>
      <name val="Arial Narrow"/>
      <family val="2"/>
    </font>
    <font>
      <b/>
      <sz val="16"/>
      <name val="Arial Narrow"/>
      <family val="2"/>
    </font>
    <font>
      <sz val="12"/>
      <name val="Times New Roman"/>
      <family val="1"/>
    </font>
    <font>
      <b/>
      <sz val="12"/>
      <name val="Arial"/>
      <family val="2"/>
    </font>
    <font>
      <sz val="11"/>
      <name val="Calibri"/>
      <family val="2"/>
    </font>
    <font>
      <b/>
      <i/>
      <sz val="12"/>
      <name val="Arial"/>
      <family val="2"/>
    </font>
    <font>
      <b/>
      <sz val="11"/>
      <name val="Arial Narrow"/>
      <family val="2"/>
    </font>
    <font>
      <b/>
      <sz val="11"/>
      <name val="Arial"/>
      <family val="2"/>
    </font>
    <font>
      <sz val="11"/>
      <name val="Arial"/>
      <family val="2"/>
    </font>
    <font>
      <b/>
      <i/>
      <sz val="11"/>
      <name val="Arial Narrow"/>
      <family val="2"/>
    </font>
    <font>
      <sz val="10"/>
      <color indexed="8"/>
      <name val="Arial Narrow"/>
      <family val="2"/>
    </font>
    <font>
      <sz val="8"/>
      <name val="Times New Roman"/>
      <family val="1"/>
    </font>
    <font>
      <sz val="10"/>
      <name val="Arial Narrow"/>
      <family val="2"/>
    </font>
    <font>
      <sz val="11"/>
      <name val="Arial Narrow"/>
      <family val="2"/>
    </font>
    <font>
      <sz val="10"/>
      <name val="Arial Narrow"/>
      <family val="2"/>
    </font>
    <font>
      <sz val="10"/>
      <name val="Arial Narrow"/>
      <family val="2"/>
    </font>
    <font>
      <i/>
      <sz val="10"/>
      <name val="Arial"/>
      <family val="2"/>
    </font>
    <font>
      <sz val="12"/>
      <name val="Arial Narrow"/>
      <family val="2"/>
    </font>
    <font>
      <b/>
      <sz val="10"/>
      <name val="Arial"/>
      <family val="2"/>
    </font>
    <font>
      <sz val="10"/>
      <color indexed="10"/>
      <name val="Arial Narrow"/>
      <family val="2"/>
    </font>
    <font>
      <sz val="8"/>
      <name val="Times New Roman"/>
      <family val="1"/>
    </font>
    <font>
      <sz val="18"/>
      <name val="Times New Roman"/>
      <family val="1"/>
    </font>
    <font>
      <b/>
      <i/>
      <sz val="10"/>
      <name val="Arial Narrow"/>
      <family val="2"/>
    </font>
    <font>
      <i/>
      <sz val="10"/>
      <name val="Times New Roman"/>
      <family val="1"/>
    </font>
    <font>
      <b/>
      <sz val="13"/>
      <name val="Arial"/>
      <family val="2"/>
    </font>
    <font>
      <b/>
      <sz val="13"/>
      <name val="Arial Narrow"/>
      <family val="2"/>
    </font>
    <font>
      <b/>
      <sz val="10.5"/>
      <name val="Arial Narrow"/>
      <family val="2"/>
    </font>
    <font>
      <b/>
      <sz val="14"/>
      <name val="Arial"/>
      <family val="2"/>
    </font>
    <font>
      <sz val="10.5"/>
      <name val="Arial Narrow"/>
      <family val="2"/>
    </font>
    <font>
      <sz val="16"/>
      <name val="Arial Narrow"/>
      <family val="2"/>
    </font>
    <font>
      <sz val="10"/>
      <color indexed="63"/>
      <name val="Arial Narrow"/>
      <family val="2"/>
    </font>
    <font>
      <i/>
      <sz val="10"/>
      <color indexed="63"/>
      <name val="Arial Narrow"/>
      <family val="2"/>
    </font>
    <font>
      <b/>
      <sz val="10"/>
      <color indexed="63"/>
      <name val="Arial Narrow"/>
      <family val="2"/>
    </font>
    <font>
      <sz val="10"/>
      <color rgb="FFFF0000"/>
      <name val="Arial Narrow"/>
      <family val="2"/>
    </font>
    <font>
      <sz val="10"/>
      <name val="Arial Narrow"/>
      <family val="2"/>
      <scheme val="minor"/>
    </font>
    <font>
      <sz val="10"/>
      <color rgb="FF000000"/>
      <name val="Arial Narrow"/>
      <family val="2"/>
    </font>
    <font>
      <sz val="10"/>
      <color rgb="FF222222"/>
      <name val="Arial Narrow"/>
      <family val="2"/>
    </font>
    <font>
      <b/>
      <sz val="10.5"/>
      <name val="Arial Narrow"/>
      <family val="2"/>
      <scheme val="minor"/>
    </font>
    <font>
      <b/>
      <sz val="12"/>
      <name val="Arial Narrow"/>
      <family val="2"/>
      <scheme val="minor"/>
    </font>
    <font>
      <i/>
      <sz val="10"/>
      <name val="Arial Narrow"/>
      <family val="2"/>
      <scheme val="minor"/>
    </font>
    <font>
      <sz val="10"/>
      <color rgb="FFFF0000"/>
      <name val="Arial Narrow"/>
      <family val="2"/>
      <scheme val="minor"/>
    </font>
    <font>
      <b/>
      <sz val="10"/>
      <name val="Arial Narrow"/>
      <family val="2"/>
      <scheme val="minor"/>
    </font>
    <font>
      <sz val="10.5"/>
      <name val="Arial Narrow"/>
      <family val="2"/>
      <scheme val="minor"/>
    </font>
    <font>
      <sz val="11"/>
      <name val="Arial Narrow"/>
      <family val="2"/>
      <scheme val="minor"/>
    </font>
    <font>
      <sz val="10"/>
      <color rgb="FF000000"/>
      <name val="Arial Narrow"/>
      <family val="2"/>
      <scheme val="minor"/>
    </font>
    <font>
      <sz val="10"/>
      <color theme="1"/>
      <name val="Arial Narrow"/>
      <family val="2"/>
    </font>
    <font>
      <sz val="10.5"/>
      <color rgb="FFFF0000"/>
      <name val="Arial Narrow"/>
      <family val="2"/>
      <scheme val="minor"/>
    </font>
    <font>
      <sz val="10"/>
      <name val="Arial Narrow"/>
      <family val="2"/>
      <charset val="1"/>
    </font>
    <font>
      <sz val="10"/>
      <name val="Times New Roman"/>
      <family val="1"/>
      <charset val="1"/>
    </font>
    <font>
      <b/>
      <sz val="16"/>
      <name val="Arial"/>
      <family val="2"/>
    </font>
    <font>
      <b/>
      <sz val="12"/>
      <color theme="1"/>
      <name val="Times New Roman"/>
      <family val="1"/>
    </font>
    <font>
      <sz val="12"/>
      <color theme="1"/>
      <name val="Times New Roman"/>
      <family val="1"/>
    </font>
    <font>
      <sz val="10"/>
      <color theme="1"/>
      <name val="Arial Narrow"/>
      <family val="2"/>
      <scheme val="minor"/>
    </font>
    <font>
      <b/>
      <sz val="10"/>
      <name val="Times New Roman"/>
      <family val="1"/>
    </font>
    <font>
      <sz val="11"/>
      <color theme="0"/>
      <name val="Arial Narrow"/>
      <family val="2"/>
      <scheme val="minor"/>
    </font>
    <font>
      <sz val="10"/>
      <color theme="0"/>
      <name val="Arial Narrow"/>
      <family val="2"/>
    </font>
    <font>
      <b/>
      <sz val="10"/>
      <color theme="0"/>
      <name val="Arial Narrow"/>
      <family val="2"/>
    </font>
    <font>
      <sz val="10"/>
      <color theme="0"/>
      <name val="Arial Narrow"/>
      <family val="2"/>
      <scheme val="minor"/>
    </font>
    <font>
      <sz val="10"/>
      <color theme="0"/>
      <name val="Times New Roman"/>
      <family val="1"/>
    </font>
    <font>
      <b/>
      <sz val="10"/>
      <color rgb="FFFF0000"/>
      <name val="Calibri"/>
      <family val="2"/>
    </font>
    <font>
      <b/>
      <sz val="11"/>
      <color theme="0"/>
      <name val="Arial Narrow"/>
      <family val="2"/>
      <scheme val="minor"/>
    </font>
    <font>
      <sz val="12"/>
      <color theme="0"/>
      <name val="Arial"/>
      <family val="2"/>
    </font>
    <font>
      <i/>
      <sz val="10"/>
      <color theme="0"/>
      <name val="Arial"/>
      <family val="2"/>
    </font>
    <font>
      <i/>
      <sz val="10"/>
      <color theme="0"/>
      <name val="Arial Narrow"/>
      <family val="2"/>
    </font>
    <font>
      <sz val="10"/>
      <color theme="0"/>
      <name val="Arial"/>
      <family val="2"/>
    </font>
    <font>
      <i/>
      <sz val="11"/>
      <color theme="0"/>
      <name val="Times New Roman"/>
      <family val="1"/>
    </font>
    <font>
      <b/>
      <sz val="12"/>
      <color theme="0"/>
      <name val="Arial"/>
      <family val="2"/>
    </font>
    <font>
      <i/>
      <sz val="11"/>
      <color theme="0"/>
      <name val="Arial Narrow"/>
      <family val="2"/>
      <scheme val="minor"/>
    </font>
    <font>
      <sz val="12"/>
      <color theme="0"/>
      <name val="Times New Roman"/>
      <family val="1"/>
    </font>
    <font>
      <b/>
      <sz val="10"/>
      <color theme="0"/>
      <name val="Arial Narrow"/>
      <family val="2"/>
      <scheme val="minor"/>
    </font>
    <font>
      <b/>
      <sz val="10"/>
      <color theme="0"/>
      <name val="Times New Roman"/>
      <family val="1"/>
    </font>
    <font>
      <sz val="16"/>
      <name val="Arial Narrow"/>
      <family val="2"/>
      <scheme val="major"/>
    </font>
    <font>
      <b/>
      <sz val="10"/>
      <color rgb="FFFF0000"/>
      <name val="Arial Narrow"/>
      <family val="2"/>
      <scheme val="major"/>
    </font>
    <font>
      <sz val="12"/>
      <name val="Arial Narrow"/>
      <family val="2"/>
      <scheme val="major"/>
    </font>
    <font>
      <sz val="10"/>
      <name val="Arial Narrow"/>
      <family val="2"/>
      <scheme val="major"/>
    </font>
    <font>
      <sz val="11"/>
      <name val="Arial Narrow"/>
      <family val="2"/>
      <scheme val="major"/>
    </font>
  </fonts>
  <fills count="34">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rgb="FFFFFF0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rgb="FF00FF00"/>
        <bgColor indexed="64"/>
      </patternFill>
    </fill>
    <fill>
      <patternFill patternType="solid">
        <fgColor rgb="FF66FF33"/>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rgb="FF66FF66"/>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22"/>
        <bgColor indexed="44"/>
      </patternFill>
    </fill>
    <fill>
      <patternFill patternType="solid">
        <fgColor indexed="55"/>
        <bgColor indexed="23"/>
      </patternFill>
    </fill>
    <fill>
      <patternFill patternType="solid">
        <fgColor theme="9"/>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00FFFF"/>
        <bgColor indexed="64"/>
      </patternFill>
    </fill>
    <fill>
      <patternFill patternType="solid">
        <fgColor rgb="FFDA9694"/>
        <bgColor indexed="64"/>
      </patternFill>
    </fill>
    <fill>
      <patternFill patternType="solid">
        <fgColor rgb="FFDA96FF"/>
        <bgColor indexed="64"/>
      </patternFill>
    </fill>
    <fill>
      <patternFill patternType="solid">
        <fgColor rgb="FF009999"/>
        <bgColor indexed="64"/>
      </patternFill>
    </fill>
    <fill>
      <patternFill patternType="solid">
        <fgColor rgb="FFFF3399"/>
        <bgColor indexed="64"/>
      </patternFill>
    </fill>
    <fill>
      <patternFill patternType="solid">
        <fgColor rgb="FFFF33CC"/>
        <bgColor indexed="64"/>
      </patternFill>
    </fill>
    <fill>
      <patternFill patternType="solid">
        <fgColor rgb="FFFFB9DC"/>
        <bgColor indexed="64"/>
      </patternFill>
    </fill>
    <fill>
      <patternFill patternType="solid">
        <fgColor rgb="FF72A2DC"/>
        <bgColor indexed="64"/>
      </patternFill>
    </fill>
    <fill>
      <patternFill patternType="solid">
        <fgColor rgb="FFFFFF53"/>
        <bgColor indexed="64"/>
      </patternFill>
    </fill>
    <fill>
      <patternFill patternType="solid">
        <fgColor theme="0"/>
        <bgColor indexed="44"/>
      </patternFill>
    </fill>
  </fills>
  <borders count="1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style="medium">
        <color indexed="64"/>
      </top>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top/>
      <bottom/>
      <diagonal/>
    </border>
    <border>
      <left/>
      <right style="thin">
        <color indexed="64"/>
      </right>
      <top style="medium">
        <color indexed="64"/>
      </top>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indexed="64"/>
      </right>
      <top style="medium">
        <color auto="1"/>
      </top>
      <bottom style="thin">
        <color auto="1"/>
      </bottom>
      <diagonal/>
    </border>
    <border>
      <left style="medium">
        <color auto="1"/>
      </left>
      <right style="thin">
        <color auto="1"/>
      </right>
      <top style="thin">
        <color auto="1"/>
      </top>
      <bottom style="thin">
        <color auto="1"/>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auto="1"/>
      </top>
      <bottom style="thin">
        <color auto="1"/>
      </bottom>
      <diagonal/>
    </border>
    <border>
      <left/>
      <right style="thin">
        <color indexed="64"/>
      </right>
      <top style="medium">
        <color auto="1"/>
      </top>
      <bottom style="thin">
        <color auto="1"/>
      </bottom>
      <diagonal/>
    </border>
    <border>
      <left/>
      <right style="thin">
        <color indexed="64"/>
      </right>
      <top/>
      <bottom style="thin">
        <color auto="1"/>
      </bottom>
      <diagonal/>
    </border>
    <border>
      <left/>
      <right/>
      <top/>
      <bottom style="thin">
        <color indexed="6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indexed="64"/>
      </left>
      <right style="medium">
        <color indexed="64"/>
      </right>
      <top style="medium">
        <color rgb="FF000000"/>
      </top>
      <bottom/>
      <diagonal/>
    </border>
    <border>
      <left style="medium">
        <color indexed="64"/>
      </left>
      <right style="medium">
        <color indexed="64"/>
      </right>
      <top/>
      <bottom style="medium">
        <color rgb="FF000000"/>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auto="1"/>
      </left>
      <right/>
      <top style="medium">
        <color auto="1"/>
      </top>
      <bottom style="thin">
        <color auto="1"/>
      </bottom>
      <diagonal/>
    </border>
    <border>
      <left style="medium">
        <color indexed="64"/>
      </left>
      <right/>
      <top style="medium">
        <color rgb="FF000000"/>
      </top>
      <bottom/>
      <diagonal/>
    </border>
    <border>
      <left style="medium">
        <color indexed="64"/>
      </left>
      <right/>
      <top/>
      <bottom style="medium">
        <color rgb="FF000000"/>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indexed="64"/>
      </left>
      <right style="thin">
        <color auto="1"/>
      </right>
      <top style="medium">
        <color indexed="64"/>
      </top>
      <bottom style="medium">
        <color auto="1"/>
      </bottom>
      <diagonal/>
    </border>
    <border>
      <left style="thin">
        <color auto="1"/>
      </left>
      <right style="thin">
        <color auto="1"/>
      </right>
      <top style="medium">
        <color indexed="64"/>
      </top>
      <bottom style="medium">
        <color auto="1"/>
      </bottom>
      <diagonal/>
    </border>
    <border>
      <left style="thin">
        <color auto="1"/>
      </left>
      <right style="medium">
        <color auto="1"/>
      </right>
      <top style="medium">
        <color indexed="64"/>
      </top>
      <bottom style="medium">
        <color auto="1"/>
      </bottom>
      <diagonal/>
    </border>
    <border>
      <left style="medium">
        <color indexed="64"/>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64"/>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diagonal/>
    </border>
    <border>
      <left/>
      <right/>
      <top style="thin">
        <color auto="1"/>
      </top>
      <bottom/>
      <diagonal/>
    </border>
  </borders>
  <cellStyleXfs count="7">
    <xf numFmtId="0" fontId="0" fillId="0" borderId="0">
      <alignment vertical="top"/>
    </xf>
    <xf numFmtId="0" fontId="12" fillId="0" borderId="0">
      <alignment vertical="top"/>
    </xf>
    <xf numFmtId="0" fontId="12" fillId="0" borderId="0">
      <alignment vertical="top"/>
    </xf>
    <xf numFmtId="0" fontId="3" fillId="0" borderId="0"/>
    <xf numFmtId="0" fontId="2" fillId="0" borderId="0"/>
    <xf numFmtId="0" fontId="1" fillId="0" borderId="0"/>
    <xf numFmtId="0" fontId="1" fillId="0" borderId="0"/>
  </cellStyleXfs>
  <cellXfs count="2444">
    <xf numFmtId="0" fontId="0" fillId="0" borderId="0" xfId="0">
      <alignment vertical="top"/>
    </xf>
    <xf numFmtId="0" fontId="7" fillId="0" borderId="1" xfId="0" applyFont="1" applyBorder="1" applyAlignment="1">
      <alignment vertical="top" wrapText="1"/>
    </xf>
    <xf numFmtId="0" fontId="7" fillId="0" borderId="0" xfId="0" applyFont="1" applyAlignment="1">
      <alignment wrapText="1"/>
    </xf>
    <xf numFmtId="0" fontId="7" fillId="0" borderId="0" xfId="0" applyFont="1" applyFill="1" applyBorder="1" applyAlignment="1">
      <alignment vertical="top" wrapText="1"/>
    </xf>
    <xf numFmtId="0" fontId="7" fillId="0" borderId="0" xfId="0" applyFont="1">
      <alignment vertical="top"/>
    </xf>
    <xf numFmtId="0" fontId="7" fillId="0" borderId="0" xfId="0" applyFont="1" applyBorder="1" applyAlignment="1">
      <alignment vertical="top" wrapText="1"/>
    </xf>
    <xf numFmtId="0" fontId="7" fillId="0" borderId="4" xfId="0" applyFont="1" applyFill="1" applyBorder="1" applyAlignment="1">
      <alignment vertical="top" wrapText="1"/>
    </xf>
    <xf numFmtId="0" fontId="7" fillId="0" borderId="0" xfId="0" applyFont="1" applyAlignment="1">
      <alignment vertical="top" wrapText="1"/>
    </xf>
    <xf numFmtId="0" fontId="7" fillId="0" borderId="0" xfId="0" applyFont="1" applyFill="1" applyAlignment="1">
      <alignment vertical="top" wrapText="1"/>
    </xf>
    <xf numFmtId="0" fontId="7" fillId="0" borderId="0" xfId="0" applyFont="1" applyFill="1">
      <alignment vertical="top"/>
    </xf>
    <xf numFmtId="0" fontId="6" fillId="0" borderId="0" xfId="0" applyFont="1" applyFill="1">
      <alignment vertical="top"/>
    </xf>
    <xf numFmtId="0" fontId="7" fillId="0" borderId="0" xfId="0" applyNumberFormat="1" applyFont="1" applyBorder="1" applyAlignment="1">
      <alignment vertical="top" wrapText="1"/>
    </xf>
    <xf numFmtId="0" fontId="7" fillId="0" borderId="0" xfId="0" applyFont="1" applyAlignment="1">
      <alignment vertical="top"/>
    </xf>
    <xf numFmtId="0" fontId="7" fillId="0" borderId="0" xfId="0" applyFont="1" applyFill="1" applyAlignment="1">
      <alignment vertical="top"/>
    </xf>
    <xf numFmtId="0" fontId="7" fillId="0" borderId="0" xfId="0" applyFont="1" applyFill="1" applyBorder="1" applyAlignment="1">
      <alignment vertical="top"/>
    </xf>
    <xf numFmtId="49" fontId="7" fillId="0" borderId="0" xfId="0" applyNumberFormat="1" applyFont="1" applyBorder="1" applyAlignment="1">
      <alignment vertical="top" wrapText="1"/>
    </xf>
    <xf numFmtId="0" fontId="7" fillId="0" borderId="0" xfId="0" applyFont="1" applyBorder="1" applyAlignment="1">
      <alignment vertical="top"/>
    </xf>
    <xf numFmtId="0" fontId="7" fillId="0" borderId="1" xfId="0" applyFont="1" applyBorder="1" applyAlignment="1">
      <alignment vertical="top"/>
    </xf>
    <xf numFmtId="0" fontId="7" fillId="0" borderId="1" xfId="0" applyFont="1" applyFill="1" applyBorder="1" applyAlignment="1">
      <alignment vertical="top"/>
    </xf>
    <xf numFmtId="0" fontId="7" fillId="0" borderId="5" xfId="0" applyFont="1" applyBorder="1" applyAlignment="1">
      <alignment vertical="top"/>
    </xf>
    <xf numFmtId="0" fontId="7" fillId="0" borderId="0" xfId="0" applyFont="1" applyFill="1" applyAlignment="1">
      <alignment horizontal="left" vertical="top" wrapText="1"/>
    </xf>
    <xf numFmtId="0" fontId="7" fillId="0" borderId="5" xfId="0" applyFont="1" applyFill="1" applyBorder="1" applyAlignment="1">
      <alignment vertical="top"/>
    </xf>
    <xf numFmtId="0" fontId="7" fillId="0" borderId="0" xfId="0" applyNumberFormat="1" applyFont="1" applyFill="1" applyBorder="1" applyAlignment="1">
      <alignment vertical="top" wrapText="1"/>
    </xf>
    <xf numFmtId="0" fontId="7" fillId="0" borderId="2" xfId="0" applyFont="1" applyBorder="1" applyAlignment="1">
      <alignment horizontal="center" vertical="top" wrapText="1"/>
    </xf>
    <xf numFmtId="0" fontId="7" fillId="0" borderId="11" xfId="0" applyFont="1" applyFill="1" applyBorder="1" applyAlignment="1">
      <alignment vertical="top" wrapText="1"/>
    </xf>
    <xf numFmtId="0" fontId="7" fillId="0" borderId="0" xfId="0" applyFont="1" applyAlignment="1">
      <alignment horizontal="left" vertical="top" wrapText="1"/>
    </xf>
    <xf numFmtId="0" fontId="27" fillId="0" borderId="0" xfId="0" applyFont="1" applyBorder="1" applyAlignment="1">
      <alignment vertical="top" wrapText="1"/>
    </xf>
    <xf numFmtId="0" fontId="27" fillId="0" borderId="0" xfId="0" applyFont="1" applyAlignment="1">
      <alignment vertical="top" wrapText="1"/>
    </xf>
    <xf numFmtId="0" fontId="27" fillId="0" borderId="0" xfId="0" applyFont="1" applyFill="1" applyBorder="1" applyAlignment="1">
      <alignment vertical="top" wrapText="1"/>
    </xf>
    <xf numFmtId="0" fontId="27" fillId="0" borderId="0" xfId="0" applyFont="1" applyFill="1" applyAlignment="1">
      <alignment vertical="top" wrapText="1"/>
    </xf>
    <xf numFmtId="0" fontId="29" fillId="0" borderId="0" xfId="0" applyFont="1">
      <alignment vertical="top"/>
    </xf>
    <xf numFmtId="0" fontId="29" fillId="0" borderId="0" xfId="0" applyFont="1" applyFill="1">
      <alignment vertical="top"/>
    </xf>
    <xf numFmtId="0" fontId="29" fillId="0" borderId="0" xfId="0" applyFont="1" applyAlignment="1">
      <alignment vertical="top" wrapText="1"/>
    </xf>
    <xf numFmtId="0" fontId="29" fillId="0" borderId="1" xfId="0" applyFont="1" applyFill="1" applyBorder="1" applyAlignment="1">
      <alignment horizontal="center" vertical="top" wrapText="1"/>
    </xf>
    <xf numFmtId="0" fontId="29" fillId="0" borderId="0" xfId="0" applyFont="1" applyAlignment="1">
      <alignment wrapText="1"/>
    </xf>
    <xf numFmtId="0" fontId="29" fillId="0" borderId="0" xfId="0" applyFont="1" applyFill="1" applyBorder="1" applyAlignment="1">
      <alignment wrapText="1"/>
    </xf>
    <xf numFmtId="0" fontId="29" fillId="0" borderId="1" xfId="0" applyFont="1" applyFill="1" applyBorder="1" applyAlignment="1">
      <alignment wrapText="1"/>
    </xf>
    <xf numFmtId="0" fontId="29" fillId="0" borderId="0" xfId="0" applyFont="1" applyBorder="1" applyAlignment="1"/>
    <xf numFmtId="0" fontId="29" fillId="0" borderId="0" xfId="0" applyFont="1" applyAlignment="1"/>
    <xf numFmtId="0" fontId="30" fillId="0" borderId="0" xfId="0" applyFont="1" applyAlignment="1">
      <alignment vertical="top" wrapText="1"/>
    </xf>
    <xf numFmtId="0" fontId="30" fillId="0" borderId="1" xfId="0" applyFont="1" applyBorder="1" applyAlignment="1">
      <alignment vertical="top" wrapText="1"/>
    </xf>
    <xf numFmtId="0" fontId="30" fillId="0" borderId="0" xfId="0" applyFont="1" applyBorder="1" applyAlignment="1">
      <alignment vertical="top" wrapText="1"/>
    </xf>
    <xf numFmtId="0" fontId="30" fillId="0" borderId="0" xfId="0" applyFont="1" applyFill="1" applyBorder="1" applyAlignment="1">
      <alignment vertical="top" wrapText="1"/>
    </xf>
    <xf numFmtId="0" fontId="30" fillId="0" borderId="0" xfId="0" applyFont="1" applyFill="1" applyBorder="1" applyAlignment="1">
      <alignment horizontal="left" vertical="top" wrapText="1"/>
    </xf>
    <xf numFmtId="0" fontId="30" fillId="0" borderId="0" xfId="0" applyFont="1" applyFill="1" applyAlignment="1">
      <alignment vertical="top" wrapText="1"/>
    </xf>
    <xf numFmtId="0" fontId="30" fillId="0" borderId="0" xfId="0" applyFont="1" applyFill="1" applyAlignment="1">
      <alignment horizontal="left" vertical="top" wrapText="1"/>
    </xf>
    <xf numFmtId="0" fontId="7" fillId="0" borderId="0" xfId="0" applyNumberFormat="1" applyFont="1" applyFill="1" applyBorder="1" applyAlignment="1">
      <alignment horizontal="left" vertical="top" wrapText="1"/>
    </xf>
    <xf numFmtId="0" fontId="7" fillId="0" borderId="8" xfId="0" applyFont="1" applyFill="1" applyBorder="1" applyAlignment="1">
      <alignment horizontal="left" vertical="top" wrapText="1"/>
    </xf>
    <xf numFmtId="0" fontId="7" fillId="0" borderId="0" xfId="0" applyFont="1" applyFill="1" applyAlignment="1">
      <alignment horizontal="left" vertical="top"/>
    </xf>
    <xf numFmtId="0" fontId="30" fillId="0" borderId="0" xfId="0" applyFont="1" applyAlignment="1">
      <alignment horizontal="left" vertical="top" wrapText="1"/>
    </xf>
    <xf numFmtId="0" fontId="7" fillId="0" borderId="1" xfId="0" applyFont="1" applyBorder="1" applyAlignment="1">
      <alignment horizontal="center" vertical="top" wrapText="1"/>
    </xf>
    <xf numFmtId="0" fontId="7" fillId="2" borderId="2" xfId="0" applyFont="1" applyFill="1" applyBorder="1" applyAlignment="1">
      <alignment horizontal="center" vertical="top" wrapText="1"/>
    </xf>
    <xf numFmtId="0" fontId="7" fillId="2" borderId="1" xfId="0" applyFont="1" applyFill="1" applyBorder="1" applyAlignment="1">
      <alignment horizontal="center" vertical="top" wrapText="1"/>
    </xf>
    <xf numFmtId="0" fontId="7" fillId="0" borderId="4" xfId="0" applyFont="1" applyFill="1" applyBorder="1" applyAlignment="1">
      <alignment horizontal="left" vertical="top" wrapText="1"/>
    </xf>
    <xf numFmtId="0" fontId="29" fillId="0" borderId="0" xfId="0" applyFont="1" applyFill="1" applyAlignment="1">
      <alignment wrapText="1"/>
    </xf>
    <xf numFmtId="0" fontId="29" fillId="0" borderId="0" xfId="0" applyFont="1" applyFill="1" applyAlignment="1"/>
    <xf numFmtId="0" fontId="29" fillId="0" borderId="0" xfId="0" applyFont="1" applyAlignment="1">
      <alignment vertical="top"/>
    </xf>
    <xf numFmtId="0" fontId="29" fillId="0" borderId="0" xfId="0" applyFont="1" applyBorder="1" applyAlignment="1">
      <alignment vertical="top"/>
    </xf>
    <xf numFmtId="0" fontId="29" fillId="0" borderId="2" xfId="0" applyFont="1" applyFill="1" applyBorder="1" applyAlignment="1">
      <alignment horizontal="center" vertical="top" wrapText="1"/>
    </xf>
    <xf numFmtId="0" fontId="7" fillId="0" borderId="0" xfId="0" applyFont="1" applyAlignment="1">
      <alignment horizontal="center" wrapText="1"/>
    </xf>
    <xf numFmtId="1" fontId="29" fillId="0" borderId="0" xfId="0" applyNumberFormat="1" applyFont="1" applyAlignment="1">
      <alignment horizontal="center" vertical="top" wrapText="1"/>
    </xf>
    <xf numFmtId="0" fontId="7" fillId="2" borderId="8" xfId="0" applyFont="1" applyFill="1" applyBorder="1" applyAlignment="1">
      <alignment horizontal="center" vertical="top" wrapText="1"/>
    </xf>
    <xf numFmtId="2" fontId="6" fillId="0" borderId="0" xfId="0" applyNumberFormat="1" applyFont="1" applyFill="1" applyAlignment="1">
      <alignment horizontal="center"/>
    </xf>
    <xf numFmtId="164" fontId="6" fillId="0" borderId="0" xfId="0" applyNumberFormat="1" applyFont="1" applyFill="1" applyBorder="1" applyAlignment="1" applyProtection="1">
      <alignment horizontal="center" vertical="top" wrapText="1"/>
      <protection locked="0"/>
    </xf>
    <xf numFmtId="164" fontId="0" fillId="0" borderId="0" xfId="0" applyNumberFormat="1" applyBorder="1" applyAlignment="1" applyProtection="1">
      <alignment horizontal="center" vertical="top" wrapText="1"/>
      <protection locked="0"/>
    </xf>
    <xf numFmtId="0" fontId="31" fillId="0" borderId="0" xfId="0" applyFont="1" applyBorder="1" applyAlignment="1">
      <alignment horizontal="left" vertical="center" wrapText="1"/>
    </xf>
    <xf numFmtId="0" fontId="31" fillId="0" borderId="13" xfId="0" applyFont="1" applyBorder="1" applyAlignment="1">
      <alignment horizontal="left" vertical="center" wrapText="1"/>
    </xf>
    <xf numFmtId="2" fontId="6" fillId="0" borderId="0" xfId="0" applyNumberFormat="1" applyFont="1" applyFill="1">
      <alignment vertical="top"/>
    </xf>
    <xf numFmtId="2" fontId="31" fillId="0" borderId="0" xfId="0" applyNumberFormat="1" applyFont="1" applyBorder="1" applyAlignment="1">
      <alignment horizontal="left" vertical="center" wrapText="1"/>
    </xf>
    <xf numFmtId="2" fontId="31" fillId="0" borderId="0" xfId="0" applyNumberFormat="1" applyFont="1" applyBorder="1" applyAlignment="1">
      <alignment vertical="center" wrapText="1"/>
    </xf>
    <xf numFmtId="2" fontId="6" fillId="0" borderId="0" xfId="0" applyNumberFormat="1" applyFont="1" applyBorder="1" applyAlignment="1" applyProtection="1">
      <alignment horizontal="center" vertical="top" wrapText="1"/>
      <protection locked="0"/>
    </xf>
    <xf numFmtId="2" fontId="6" fillId="0" borderId="0" xfId="0" applyNumberFormat="1" applyFont="1" applyBorder="1" applyAlignment="1" applyProtection="1">
      <alignment vertical="top" wrapText="1"/>
      <protection locked="0"/>
    </xf>
    <xf numFmtId="2" fontId="6" fillId="0" borderId="0" xfId="0" applyNumberFormat="1" applyFont="1" applyBorder="1" applyAlignment="1" applyProtection="1">
      <alignment horizontal="left" vertical="top" wrapText="1"/>
      <protection locked="0"/>
    </xf>
    <xf numFmtId="0" fontId="7" fillId="0" borderId="30" xfId="0" applyFont="1" applyFill="1" applyBorder="1" applyAlignment="1">
      <alignment horizontal="left" vertical="top" wrapText="1"/>
    </xf>
    <xf numFmtId="0" fontId="10" fillId="0" borderId="4" xfId="0" applyFont="1" applyBorder="1" applyAlignment="1">
      <alignment horizontal="center" vertical="center" wrapText="1"/>
    </xf>
    <xf numFmtId="0" fontId="7" fillId="0" borderId="4" xfId="0" applyFont="1" applyBorder="1" applyAlignment="1">
      <alignment vertical="top" wrapText="1"/>
    </xf>
    <xf numFmtId="0" fontId="13" fillId="4" borderId="4" xfId="0" applyFont="1" applyFill="1" applyBorder="1" applyAlignment="1">
      <alignment vertical="top" wrapText="1"/>
    </xf>
    <xf numFmtId="0" fontId="13" fillId="4" borderId="20" xfId="0" applyFont="1" applyFill="1" applyBorder="1" applyAlignment="1">
      <alignment vertical="top" wrapText="1"/>
    </xf>
    <xf numFmtId="0" fontId="32" fillId="0" borderId="0" xfId="0" applyFont="1" applyFill="1" applyAlignment="1">
      <alignment vertical="top"/>
    </xf>
    <xf numFmtId="0" fontId="32" fillId="0" borderId="0" xfId="0" applyFont="1" applyAlignment="1">
      <alignment vertical="top" wrapText="1"/>
    </xf>
    <xf numFmtId="0" fontId="32" fillId="0" borderId="0" xfId="0" applyFont="1" applyFill="1" applyBorder="1" applyAlignment="1">
      <alignment vertical="top"/>
    </xf>
    <xf numFmtId="0" fontId="32" fillId="0" borderId="0" xfId="0" applyFont="1">
      <alignment vertical="top"/>
    </xf>
    <xf numFmtId="0" fontId="32" fillId="0" borderId="0" xfId="0" applyFont="1" applyAlignment="1">
      <alignment wrapText="1"/>
    </xf>
    <xf numFmtId="0" fontId="29" fillId="0" borderId="4" xfId="0" applyFont="1" applyFill="1" applyBorder="1" applyAlignment="1">
      <alignment horizontal="left" vertical="top" wrapText="1"/>
    </xf>
    <xf numFmtId="0" fontId="7" fillId="0" borderId="18" xfId="0" applyFont="1" applyFill="1" applyBorder="1" applyAlignment="1">
      <alignment horizontal="left" vertical="top" wrapText="1"/>
    </xf>
    <xf numFmtId="0" fontId="7" fillId="0" borderId="18" xfId="0" applyFont="1" applyFill="1" applyBorder="1" applyAlignment="1">
      <alignment vertical="top" wrapText="1"/>
    </xf>
    <xf numFmtId="0" fontId="7" fillId="0" borderId="18" xfId="0" applyFont="1" applyBorder="1" applyAlignment="1">
      <alignment vertical="top" wrapText="1"/>
    </xf>
    <xf numFmtId="0" fontId="28" fillId="0" borderId="0" xfId="0" applyFont="1" applyAlignment="1">
      <alignment vertical="top" wrapText="1"/>
    </xf>
    <xf numFmtId="0" fontId="30" fillId="0" borderId="0" xfId="0" applyFont="1" applyAlignment="1">
      <alignment horizontal="center" vertical="center" wrapText="1"/>
    </xf>
    <xf numFmtId="0" fontId="30" fillId="0" borderId="4" xfId="0" applyFont="1" applyBorder="1" applyAlignment="1">
      <alignment vertical="top" wrapText="1"/>
    </xf>
    <xf numFmtId="0" fontId="30" fillId="0" borderId="4" xfId="0" applyFont="1" applyBorder="1" applyAlignment="1">
      <alignment horizontal="left" vertical="top" wrapText="1"/>
    </xf>
    <xf numFmtId="1" fontId="30" fillId="0" borderId="4" xfId="0" applyNumberFormat="1" applyFont="1" applyBorder="1" applyAlignment="1">
      <alignment horizontal="left" vertical="top" wrapText="1"/>
    </xf>
    <xf numFmtId="1" fontId="40" fillId="0" borderId="4" xfId="0" applyNumberFormat="1" applyFont="1" applyBorder="1" applyAlignment="1">
      <alignment horizontal="center" vertical="top" wrapText="1"/>
    </xf>
    <xf numFmtId="1" fontId="40" fillId="0" borderId="20" xfId="0" applyNumberFormat="1" applyFont="1" applyBorder="1" applyAlignment="1">
      <alignment horizontal="center" vertical="top"/>
    </xf>
    <xf numFmtId="0" fontId="40" fillId="4" borderId="20" xfId="0" applyFont="1" applyFill="1" applyBorder="1" applyAlignment="1">
      <alignment horizontal="center" vertical="top" wrapText="1"/>
    </xf>
    <xf numFmtId="1" fontId="40" fillId="0" borderId="20" xfId="0" applyNumberFormat="1" applyFont="1" applyBorder="1" applyAlignment="1">
      <alignment horizontal="center" vertical="top" wrapText="1"/>
    </xf>
    <xf numFmtId="0" fontId="28" fillId="0" borderId="0" xfId="0" applyFont="1" applyFill="1" applyAlignment="1">
      <alignment vertical="top" wrapText="1"/>
    </xf>
    <xf numFmtId="0" fontId="7" fillId="0" borderId="25" xfId="0" applyFont="1" applyBorder="1" applyAlignment="1">
      <alignment vertical="top" wrapText="1"/>
    </xf>
    <xf numFmtId="0" fontId="7" fillId="0" borderId="21" xfId="0" applyFont="1" applyBorder="1" applyAlignment="1">
      <alignment vertical="top" wrapText="1"/>
    </xf>
    <xf numFmtId="0" fontId="7" fillId="0" borderId="4" xfId="0" applyFont="1" applyBorder="1" applyAlignment="1">
      <alignment horizontal="left" vertical="top" wrapText="1"/>
    </xf>
    <xf numFmtId="0" fontId="10" fillId="0" borderId="4" xfId="0" applyFont="1" applyFill="1" applyBorder="1" applyAlignment="1">
      <alignment horizontal="center" vertical="center" wrapText="1"/>
    </xf>
    <xf numFmtId="0" fontId="7" fillId="0" borderId="38" xfId="0" applyFont="1" applyBorder="1" applyAlignment="1">
      <alignment horizontal="left" vertical="top" wrapText="1"/>
    </xf>
    <xf numFmtId="1" fontId="7" fillId="0" borderId="4" xfId="0" applyNumberFormat="1" applyFont="1" applyFill="1" applyBorder="1" applyAlignment="1">
      <alignment horizontal="left" vertical="top" wrapText="1"/>
    </xf>
    <xf numFmtId="0" fontId="28" fillId="0" borderId="0" xfId="0" applyFont="1" applyBorder="1" applyAlignment="1">
      <alignment vertical="top" wrapText="1"/>
    </xf>
    <xf numFmtId="0" fontId="28" fillId="0" borderId="0" xfId="0" applyFont="1" applyFill="1" applyBorder="1" applyAlignment="1">
      <alignment vertical="top" wrapText="1"/>
    </xf>
    <xf numFmtId="0" fontId="7" fillId="0" borderId="44" xfId="0" applyFont="1" applyBorder="1" applyAlignment="1">
      <alignment horizontal="center" vertical="top" wrapText="1"/>
    </xf>
    <xf numFmtId="0" fontId="7" fillId="0" borderId="45" xfId="0" applyFont="1" applyFill="1" applyBorder="1" applyAlignment="1">
      <alignment vertical="top" wrapText="1"/>
    </xf>
    <xf numFmtId="0" fontId="7" fillId="0" borderId="38" xfId="0" applyFont="1" applyBorder="1" applyAlignment="1">
      <alignment vertical="top" wrapText="1"/>
    </xf>
    <xf numFmtId="0" fontId="7" fillId="2" borderId="11" xfId="0" applyFont="1" applyFill="1" applyBorder="1" applyAlignment="1">
      <alignment horizontal="center" vertical="top" wrapText="1"/>
    </xf>
    <xf numFmtId="0" fontId="7" fillId="0" borderId="48" xfId="0" applyNumberFormat="1" applyFont="1" applyBorder="1" applyAlignment="1">
      <alignment vertical="top" wrapText="1"/>
    </xf>
    <xf numFmtId="49" fontId="49" fillId="0" borderId="25" xfId="0" applyNumberFormat="1" applyFont="1" applyBorder="1" applyAlignment="1">
      <alignment vertical="top" wrapText="1"/>
    </xf>
    <xf numFmtId="0" fontId="29" fillId="0" borderId="44" xfId="0" applyFont="1" applyFill="1" applyBorder="1" applyAlignment="1">
      <alignment horizontal="center" vertical="top" wrapText="1"/>
    </xf>
    <xf numFmtId="0" fontId="7" fillId="2" borderId="56" xfId="0" applyFont="1" applyFill="1" applyBorder="1" applyAlignment="1">
      <alignment horizontal="center" vertical="top" wrapText="1"/>
    </xf>
    <xf numFmtId="0" fontId="7" fillId="2" borderId="57" xfId="0" applyFont="1" applyFill="1" applyBorder="1" applyAlignment="1">
      <alignment horizontal="center" vertical="top" wrapText="1"/>
    </xf>
    <xf numFmtId="0" fontId="7" fillId="2" borderId="44" xfId="0" applyFont="1" applyFill="1" applyBorder="1" applyAlignment="1">
      <alignment horizontal="center" vertical="top" wrapText="1"/>
    </xf>
    <xf numFmtId="0" fontId="7" fillId="2" borderId="6" xfId="0" applyFont="1" applyFill="1" applyBorder="1" applyAlignment="1">
      <alignment horizontal="center" vertical="top" wrapText="1"/>
    </xf>
    <xf numFmtId="0" fontId="7" fillId="0" borderId="42" xfId="0" applyFont="1" applyFill="1" applyBorder="1" applyAlignment="1">
      <alignment vertical="top" wrapText="1"/>
    </xf>
    <xf numFmtId="0" fontId="7" fillId="0" borderId="1" xfId="0" applyFont="1" applyFill="1" applyBorder="1" applyAlignment="1">
      <alignment horizontal="center" vertical="top" wrapText="1"/>
    </xf>
    <xf numFmtId="0" fontId="30" fillId="0" borderId="1" xfId="0" applyFont="1" applyFill="1" applyBorder="1" applyAlignment="1">
      <alignment horizontal="center" vertical="top" wrapText="1"/>
    </xf>
    <xf numFmtId="0" fontId="30" fillId="0" borderId="44" xfId="0" applyFont="1" applyFill="1" applyBorder="1" applyAlignment="1">
      <alignment horizontal="center" vertical="top" wrapText="1"/>
    </xf>
    <xf numFmtId="0" fontId="30" fillId="0" borderId="1" xfId="0" applyFont="1" applyBorder="1" applyAlignment="1">
      <alignment horizontal="center" vertical="top" wrapText="1"/>
    </xf>
    <xf numFmtId="0" fontId="30" fillId="0" borderId="44" xfId="0" applyFont="1" applyBorder="1" applyAlignment="1">
      <alignment horizontal="center" vertical="top" wrapText="1"/>
    </xf>
    <xf numFmtId="1" fontId="7" fillId="0" borderId="39" xfId="0" applyNumberFormat="1" applyFont="1" applyFill="1" applyBorder="1" applyAlignment="1">
      <alignment horizontal="center" vertical="top" wrapText="1"/>
    </xf>
    <xf numFmtId="1" fontId="29" fillId="0" borderId="1" xfId="0" applyNumberFormat="1" applyFont="1" applyBorder="1" applyAlignment="1">
      <alignment horizontal="center" vertical="top" wrapText="1"/>
    </xf>
    <xf numFmtId="1" fontId="7" fillId="0" borderId="1" xfId="0" applyNumberFormat="1" applyFont="1" applyBorder="1" applyAlignment="1">
      <alignment horizontal="center" vertical="top" wrapText="1"/>
    </xf>
    <xf numFmtId="1" fontId="29" fillId="0" borderId="44" xfId="0" applyNumberFormat="1" applyFont="1" applyBorder="1" applyAlignment="1">
      <alignment horizontal="center" vertical="top" wrapText="1"/>
    </xf>
    <xf numFmtId="0" fontId="7" fillId="0" borderId="44" xfId="0" applyFont="1" applyFill="1" applyBorder="1" applyAlignment="1">
      <alignment horizontal="center" vertical="top" wrapText="1"/>
    </xf>
    <xf numFmtId="0" fontId="7" fillId="0" borderId="48" xfId="0" applyFont="1" applyBorder="1" applyAlignment="1">
      <alignment vertical="top" wrapText="1"/>
    </xf>
    <xf numFmtId="1" fontId="40" fillId="0" borderId="4" xfId="0" applyNumberFormat="1" applyFont="1" applyBorder="1" applyAlignment="1">
      <alignment horizontal="center" vertical="top"/>
    </xf>
    <xf numFmtId="1" fontId="7" fillId="0" borderId="48" xfId="0" applyNumberFormat="1" applyFont="1" applyFill="1" applyBorder="1" applyAlignment="1">
      <alignment horizontal="left" vertical="top" wrapText="1"/>
    </xf>
    <xf numFmtId="0" fontId="7" fillId="0" borderId="10" xfId="0" applyNumberFormat="1" applyFont="1" applyBorder="1" applyAlignment="1">
      <alignment vertical="top" wrapText="1"/>
    </xf>
    <xf numFmtId="0" fontId="7" fillId="0" borderId="2" xfId="0" applyFont="1" applyFill="1" applyBorder="1" applyAlignment="1">
      <alignment horizontal="center" vertical="top" wrapText="1"/>
    </xf>
    <xf numFmtId="0" fontId="27" fillId="0" borderId="4" xfId="0" applyFont="1" applyFill="1" applyBorder="1" applyAlignment="1">
      <alignment horizontal="left" vertical="top" wrapText="1"/>
    </xf>
    <xf numFmtId="0" fontId="27" fillId="0" borderId="4" xfId="0" applyFont="1" applyBorder="1" applyAlignment="1">
      <alignment horizontal="left" vertical="top" wrapText="1"/>
    </xf>
    <xf numFmtId="1" fontId="7" fillId="0" borderId="44" xfId="0" applyNumberFormat="1" applyFont="1" applyBorder="1" applyAlignment="1">
      <alignment horizontal="center" vertical="top" wrapText="1"/>
    </xf>
    <xf numFmtId="0" fontId="7" fillId="0" borderId="10" xfId="0" applyFont="1" applyBorder="1" applyAlignment="1">
      <alignment vertical="top" wrapText="1"/>
    </xf>
    <xf numFmtId="0" fontId="7" fillId="0" borderId="42" xfId="0" applyFont="1" applyBorder="1" applyAlignment="1">
      <alignment vertical="top" wrapText="1"/>
    </xf>
    <xf numFmtId="1" fontId="7" fillId="0" borderId="48" xfId="0" applyNumberFormat="1" applyFont="1" applyBorder="1" applyAlignment="1">
      <alignment vertical="top" wrapText="1"/>
    </xf>
    <xf numFmtId="0" fontId="7" fillId="2" borderId="53" xfId="0" applyFont="1" applyFill="1" applyBorder="1" applyAlignment="1">
      <alignment horizontal="center" vertical="top" wrapText="1"/>
    </xf>
    <xf numFmtId="0" fontId="7" fillId="0" borderId="40" xfId="0" applyFont="1" applyFill="1" applyBorder="1" applyAlignment="1">
      <alignment vertical="top" wrapText="1"/>
    </xf>
    <xf numFmtId="1" fontId="29" fillId="0" borderId="1" xfId="0" applyNumberFormat="1" applyFont="1" applyFill="1" applyBorder="1" applyAlignment="1">
      <alignment horizontal="center" vertical="top" wrapText="1"/>
    </xf>
    <xf numFmtId="1" fontId="29" fillId="0" borderId="44"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0" fontId="27" fillId="0" borderId="44" xfId="0" applyFont="1" applyFill="1" applyBorder="1" applyAlignment="1">
      <alignment horizontal="center" vertical="top" wrapText="1"/>
    </xf>
    <xf numFmtId="0" fontId="27" fillId="0" borderId="3" xfId="0" applyFont="1" applyFill="1" applyBorder="1" applyAlignment="1">
      <alignment horizontal="center" vertical="top" wrapText="1"/>
    </xf>
    <xf numFmtId="0" fontId="7" fillId="0" borderId="67" xfId="0" applyFont="1" applyFill="1" applyBorder="1" applyAlignment="1">
      <alignment vertical="top" wrapText="1"/>
    </xf>
    <xf numFmtId="0" fontId="7" fillId="0" borderId="24" xfId="0" applyFont="1" applyFill="1" applyBorder="1" applyAlignment="1">
      <alignment vertical="top" wrapText="1"/>
    </xf>
    <xf numFmtId="1" fontId="29" fillId="2" borderId="39" xfId="0" applyNumberFormat="1" applyFont="1" applyFill="1" applyBorder="1" applyAlignment="1">
      <alignment horizontal="center" vertical="top" wrapText="1"/>
    </xf>
    <xf numFmtId="0" fontId="29" fillId="2" borderId="39" xfId="0" applyFont="1" applyFill="1" applyBorder="1" applyAlignment="1">
      <alignment horizontal="center" vertical="top" wrapText="1"/>
    </xf>
    <xf numFmtId="0" fontId="7" fillId="0" borderId="0" xfId="0" applyFont="1" applyBorder="1" applyAlignment="1">
      <alignment horizontal="left" vertical="top" wrapText="1"/>
    </xf>
    <xf numFmtId="0" fontId="41" fillId="0" borderId="0" xfId="0" applyFont="1" applyFill="1" applyAlignment="1">
      <alignment vertical="top" wrapText="1"/>
    </xf>
    <xf numFmtId="0" fontId="41" fillId="0" borderId="0" xfId="0" applyFont="1" applyAlignment="1">
      <alignment wrapText="1"/>
    </xf>
    <xf numFmtId="0" fontId="21" fillId="0" borderId="0" xfId="0" applyFont="1" applyAlignment="1">
      <alignment wrapText="1"/>
    </xf>
    <xf numFmtId="0" fontId="7" fillId="0" borderId="70" xfId="0" applyFont="1" applyFill="1" applyBorder="1" applyAlignment="1">
      <alignment horizontal="left" vertical="top" wrapText="1"/>
    </xf>
    <xf numFmtId="0" fontId="7" fillId="0" borderId="0" xfId="0" applyFont="1" applyFill="1" applyBorder="1" applyAlignment="1">
      <alignment vertical="top" wrapText="1"/>
    </xf>
    <xf numFmtId="0" fontId="0" fillId="0" borderId="0" xfId="0" applyAlignment="1"/>
    <xf numFmtId="1" fontId="30" fillId="0" borderId="42" xfId="0" applyNumberFormat="1" applyFont="1" applyFill="1" applyBorder="1" applyAlignment="1">
      <alignment vertical="top" wrapText="1"/>
    </xf>
    <xf numFmtId="1" fontId="30" fillId="0" borderId="45" xfId="0" applyNumberFormat="1" applyFont="1" applyFill="1" applyBorder="1" applyAlignment="1">
      <alignment vertical="top" wrapText="1"/>
    </xf>
    <xf numFmtId="0" fontId="7" fillId="0" borderId="71" xfId="0" applyFont="1" applyFill="1" applyBorder="1" applyAlignment="1">
      <alignment vertical="top" wrapText="1"/>
    </xf>
    <xf numFmtId="0" fontId="49" fillId="0" borderId="0" xfId="0" applyFont="1" applyFill="1" applyAlignment="1">
      <alignment horizontal="left" vertical="top" wrapText="1"/>
    </xf>
    <xf numFmtId="0" fontId="53" fillId="0" borderId="4" xfId="0" applyFont="1" applyBorder="1" applyAlignment="1">
      <alignment horizontal="center" vertical="center" wrapText="1"/>
    </xf>
    <xf numFmtId="0" fontId="49" fillId="0" borderId="18" xfId="0" applyNumberFormat="1" applyFont="1" applyFill="1" applyBorder="1" applyAlignment="1">
      <alignment vertical="top" wrapText="1"/>
    </xf>
    <xf numFmtId="0" fontId="49" fillId="0" borderId="0" xfId="0" applyFont="1" applyFill="1" applyAlignment="1">
      <alignment vertical="top" wrapText="1"/>
    </xf>
    <xf numFmtId="0" fontId="49" fillId="0" borderId="4" xfId="0" applyFont="1" applyBorder="1" applyAlignment="1">
      <alignment vertical="top" wrapText="1"/>
    </xf>
    <xf numFmtId="0" fontId="56" fillId="0" borderId="4" xfId="0" applyFont="1" applyFill="1" applyBorder="1" applyAlignment="1">
      <alignment horizontal="center" vertical="top" wrapText="1"/>
    </xf>
    <xf numFmtId="0" fontId="7" fillId="0" borderId="39" xfId="0" applyFont="1" applyBorder="1" applyAlignment="1">
      <alignment horizontal="center" vertical="top" wrapText="1"/>
    </xf>
    <xf numFmtId="0" fontId="49" fillId="0" borderId="0" xfId="0" applyFont="1" applyBorder="1" applyAlignment="1">
      <alignment horizontal="left" vertical="top" wrapText="1"/>
    </xf>
    <xf numFmtId="0" fontId="49" fillId="0" borderId="0" xfId="0" applyFont="1" applyAlignment="1">
      <alignment horizontal="left" vertical="top" wrapText="1"/>
    </xf>
    <xf numFmtId="0" fontId="49" fillId="0" borderId="0" xfId="0" applyFont="1" applyFill="1" applyBorder="1" applyAlignment="1">
      <alignment vertical="top" wrapText="1"/>
    </xf>
    <xf numFmtId="0" fontId="53" fillId="0" borderId="4" xfId="0" applyFont="1" applyFill="1" applyBorder="1" applyAlignment="1">
      <alignment horizontal="center" vertical="top" wrapText="1"/>
    </xf>
    <xf numFmtId="0" fontId="7" fillId="0" borderId="1" xfId="0" applyFont="1" applyBorder="1" applyAlignment="1">
      <alignment vertical="top" wrapText="1"/>
    </xf>
    <xf numFmtId="0" fontId="7" fillId="0" borderId="0" xfId="0" applyFont="1" applyBorder="1" applyAlignment="1">
      <alignment horizontal="center" vertical="top"/>
    </xf>
    <xf numFmtId="0" fontId="7" fillId="0" borderId="0" xfId="0" applyFont="1" applyBorder="1" applyAlignment="1">
      <alignment horizontal="left" vertical="top" wrapText="1"/>
    </xf>
    <xf numFmtId="0" fontId="49" fillId="0" borderId="25" xfId="0" applyFont="1" applyBorder="1" applyAlignment="1">
      <alignment vertical="top" wrapText="1"/>
    </xf>
    <xf numFmtId="0" fontId="49" fillId="0" borderId="18" xfId="0" applyFont="1" applyBorder="1" applyAlignment="1">
      <alignment vertical="top" wrapText="1"/>
    </xf>
    <xf numFmtId="0" fontId="49" fillId="0" borderId="21" xfId="0" applyFont="1" applyBorder="1" applyAlignment="1">
      <alignment vertical="top" wrapText="1"/>
    </xf>
    <xf numFmtId="0" fontId="49" fillId="0" borderId="0" xfId="0" applyFont="1" applyBorder="1" applyAlignment="1">
      <alignment vertical="top" wrapText="1"/>
    </xf>
    <xf numFmtId="0" fontId="49" fillId="0" borderId="0" xfId="0" applyFont="1" applyAlignment="1">
      <alignment vertical="top" wrapText="1"/>
    </xf>
    <xf numFmtId="0" fontId="53" fillId="0" borderId="4" xfId="0" applyFont="1" applyFill="1" applyBorder="1" applyAlignment="1">
      <alignment horizontal="center" vertical="center" wrapText="1"/>
    </xf>
    <xf numFmtId="0" fontId="49" fillId="0" borderId="18" xfId="0" applyFont="1" applyBorder="1" applyAlignment="1">
      <alignment horizontal="left" vertical="top" wrapText="1"/>
    </xf>
    <xf numFmtId="0" fontId="49" fillId="0" borderId="0" xfId="0" applyFont="1" applyAlignment="1">
      <alignment wrapText="1"/>
    </xf>
    <xf numFmtId="0" fontId="30" fillId="0" borderId="0" xfId="0" applyFont="1" applyAlignment="1">
      <alignment wrapText="1"/>
    </xf>
    <xf numFmtId="0" fontId="49" fillId="0" borderId="25" xfId="0" applyFont="1" applyBorder="1" applyAlignment="1">
      <alignment horizontal="left" vertical="top" wrapText="1"/>
    </xf>
    <xf numFmtId="0" fontId="49" fillId="0" borderId="18" xfId="0" applyNumberFormat="1" applyFont="1" applyBorder="1" applyAlignment="1">
      <alignment horizontal="left" vertical="top" wrapText="1"/>
    </xf>
    <xf numFmtId="0" fontId="49" fillId="0" borderId="21" xfId="0" applyFont="1" applyBorder="1" applyAlignment="1">
      <alignment horizontal="left" vertical="top" wrapText="1"/>
    </xf>
    <xf numFmtId="0" fontId="49" fillId="0" borderId="0" xfId="0" applyFont="1" applyFill="1" applyBorder="1" applyAlignment="1">
      <alignment horizontal="left" vertical="top" wrapText="1"/>
    </xf>
    <xf numFmtId="0" fontId="7" fillId="2" borderId="3" xfId="0" applyFont="1" applyFill="1" applyBorder="1" applyAlignment="1">
      <alignment horizontal="center" vertical="top" wrapText="1"/>
    </xf>
    <xf numFmtId="2" fontId="49" fillId="0" borderId="4" xfId="0" applyNumberFormat="1" applyFont="1" applyFill="1" applyBorder="1" applyAlignment="1">
      <alignment vertical="top" wrapText="1"/>
    </xf>
    <xf numFmtId="0" fontId="7" fillId="0" borderId="20" xfId="0" applyFont="1" applyBorder="1" applyAlignment="1">
      <alignment horizontal="left" vertical="top" wrapText="1"/>
    </xf>
    <xf numFmtId="0" fontId="7" fillId="0" borderId="18" xfId="0" applyFont="1" applyBorder="1" applyAlignment="1">
      <alignment vertical="top" wrapText="1"/>
    </xf>
    <xf numFmtId="0" fontId="53" fillId="0" borderId="4" xfId="0" applyFont="1" applyBorder="1" applyAlignment="1">
      <alignment horizontal="center" vertical="top" wrapText="1"/>
    </xf>
    <xf numFmtId="0" fontId="30" fillId="0" borderId="0" xfId="0" applyNumberFormat="1" applyFont="1" applyAlignment="1">
      <alignment vertical="top" wrapText="1"/>
    </xf>
    <xf numFmtId="0" fontId="7" fillId="0" borderId="5" xfId="0" applyFont="1" applyBorder="1" applyAlignment="1">
      <alignment vertical="top" wrapText="1"/>
    </xf>
    <xf numFmtId="0" fontId="7" fillId="0" borderId="34" xfId="0" applyFont="1" applyBorder="1" applyAlignment="1">
      <alignment vertical="top" wrapText="1"/>
    </xf>
    <xf numFmtId="0" fontId="28" fillId="0" borderId="0" xfId="0" applyFont="1" applyAlignment="1">
      <alignment horizontal="center" vertical="top" wrapText="1"/>
    </xf>
    <xf numFmtId="0" fontId="49" fillId="0" borderId="42" xfId="0" applyFont="1" applyFill="1" applyBorder="1" applyAlignment="1">
      <alignment horizontal="left" vertical="top" wrapText="1"/>
    </xf>
    <xf numFmtId="2" fontId="29" fillId="0" borderId="30" xfId="0" applyNumberFormat="1" applyFont="1" applyBorder="1" applyAlignment="1">
      <alignment vertical="top" wrapText="1"/>
    </xf>
    <xf numFmtId="0" fontId="29" fillId="0" borderId="0" xfId="0" applyFont="1" applyAlignment="1">
      <alignment horizontal="center" vertical="top" wrapText="1"/>
    </xf>
    <xf numFmtId="0" fontId="7" fillId="0" borderId="0" xfId="0" applyFont="1" applyBorder="1" applyAlignment="1">
      <alignment horizontal="center" vertical="top" wrapText="1"/>
    </xf>
    <xf numFmtId="0" fontId="30" fillId="0" borderId="0" xfId="0" applyFont="1" applyFill="1" applyBorder="1" applyAlignment="1">
      <alignment horizontal="center" vertical="top" wrapText="1"/>
    </xf>
    <xf numFmtId="0" fontId="30" fillId="0" borderId="0" xfId="0" applyFont="1" applyAlignment="1">
      <alignment horizontal="center" vertical="top" wrapText="1"/>
    </xf>
    <xf numFmtId="0" fontId="30" fillId="0" borderId="0" xfId="0" applyFont="1" applyBorder="1" applyAlignment="1">
      <alignment horizontal="center" vertical="top" wrapText="1"/>
    </xf>
    <xf numFmtId="0" fontId="49" fillId="0" borderId="18" xfId="0" applyFont="1" applyFill="1" applyBorder="1" applyAlignment="1">
      <alignment vertical="top" wrapText="1"/>
    </xf>
    <xf numFmtId="0" fontId="49" fillId="0" borderId="25" xfId="0" applyFont="1" applyFill="1" applyBorder="1" applyAlignment="1">
      <alignment vertical="top" wrapText="1"/>
    </xf>
    <xf numFmtId="0" fontId="49" fillId="0" borderId="21" xfId="0" applyFont="1" applyFill="1" applyBorder="1" applyAlignment="1">
      <alignment vertical="top" wrapText="1"/>
    </xf>
    <xf numFmtId="0" fontId="7" fillId="0" borderId="0" xfId="0" applyFont="1" applyBorder="1" applyAlignment="1">
      <alignment horizontal="center" vertical="top"/>
    </xf>
    <xf numFmtId="0" fontId="7" fillId="0" borderId="0" xfId="0" applyFont="1" applyFill="1" applyBorder="1" applyAlignment="1">
      <alignment horizontal="left" vertical="top" wrapText="1"/>
    </xf>
    <xf numFmtId="0" fontId="7" fillId="0" borderId="0" xfId="0" applyFont="1" applyBorder="1" applyAlignment="1">
      <alignment horizontal="left" vertical="top" wrapText="1"/>
    </xf>
    <xf numFmtId="0" fontId="7" fillId="0" borderId="0" xfId="0" applyFont="1" applyFill="1" applyAlignment="1">
      <alignment horizontal="center" vertical="top" wrapText="1"/>
    </xf>
    <xf numFmtId="0" fontId="7" fillId="2" borderId="9" xfId="0" applyFont="1" applyFill="1" applyBorder="1" applyAlignment="1">
      <alignment horizontal="center" vertical="top" wrapText="1"/>
    </xf>
    <xf numFmtId="2" fontId="30" fillId="0" borderId="0" xfId="0" applyNumberFormat="1" applyFont="1" applyFill="1" applyBorder="1" applyAlignment="1">
      <alignment horizontal="center" vertical="top" wrapText="1"/>
    </xf>
    <xf numFmtId="2" fontId="30" fillId="0" borderId="0" xfId="0" applyNumberFormat="1" applyFont="1" applyBorder="1" applyAlignment="1">
      <alignment horizontal="center" vertical="top" wrapText="1"/>
    </xf>
    <xf numFmtId="0" fontId="7" fillId="0" borderId="0" xfId="0" applyFont="1" applyFill="1" applyAlignment="1">
      <alignment horizontal="center" vertical="top"/>
    </xf>
    <xf numFmtId="0" fontId="7" fillId="0" borderId="0" xfId="0" applyFont="1" applyFill="1" applyBorder="1" applyAlignment="1">
      <alignment horizontal="center" vertical="top" wrapText="1"/>
    </xf>
    <xf numFmtId="0" fontId="49" fillId="0" borderId="0" xfId="0" applyFont="1" applyFill="1" applyBorder="1" applyAlignment="1">
      <alignment horizontal="center" vertical="top" wrapText="1"/>
    </xf>
    <xf numFmtId="0" fontId="28" fillId="0" borderId="0" xfId="0" applyFont="1" applyFill="1" applyBorder="1" applyAlignment="1">
      <alignment horizontal="center" vertical="top" wrapText="1"/>
    </xf>
    <xf numFmtId="2" fontId="7" fillId="0" borderId="0" xfId="0" applyNumberFormat="1" applyFont="1" applyFill="1" applyBorder="1" applyAlignment="1">
      <alignment horizontal="center" vertical="top" wrapText="1"/>
    </xf>
    <xf numFmtId="0" fontId="7" fillId="0" borderId="0" xfId="0" applyFont="1" applyAlignment="1">
      <alignment horizontal="center" vertical="top" wrapText="1"/>
    </xf>
    <xf numFmtId="0" fontId="28" fillId="0" borderId="0" xfId="0" applyFont="1" applyAlignment="1">
      <alignment horizontal="center" vertical="top"/>
    </xf>
    <xf numFmtId="0" fontId="28" fillId="0" borderId="0" xfId="0" applyFont="1" applyFill="1" applyBorder="1" applyAlignment="1">
      <alignment horizontal="center" vertical="top"/>
    </xf>
    <xf numFmtId="0" fontId="28" fillId="0" borderId="0" xfId="0" applyFont="1" applyBorder="1" applyAlignment="1">
      <alignment horizontal="center" vertical="top"/>
    </xf>
    <xf numFmtId="0" fontId="0" fillId="0" borderId="0" xfId="0" applyAlignment="1">
      <alignment horizontal="center" vertical="top"/>
    </xf>
    <xf numFmtId="0" fontId="32" fillId="0" borderId="0" xfId="0" applyFont="1" applyAlignment="1">
      <alignment horizontal="center" vertical="top" wrapText="1"/>
    </xf>
    <xf numFmtId="0" fontId="0" fillId="0" borderId="0" xfId="0" applyFill="1" applyBorder="1" applyAlignment="1">
      <alignment horizontal="center" vertical="top"/>
    </xf>
    <xf numFmtId="0" fontId="41" fillId="0" borderId="0" xfId="0" applyFont="1" applyAlignment="1">
      <alignment vertical="top" wrapText="1"/>
    </xf>
    <xf numFmtId="0" fontId="0" fillId="0" borderId="0" xfId="0" applyAlignment="1">
      <alignment vertical="top"/>
    </xf>
    <xf numFmtId="0" fontId="41" fillId="0" borderId="0" xfId="0" applyFont="1" applyAlignment="1">
      <alignment horizontal="center" vertical="top" wrapText="1"/>
    </xf>
    <xf numFmtId="0" fontId="28" fillId="0" borderId="0" xfId="0" applyFont="1" applyFill="1" applyAlignment="1">
      <alignment horizontal="center" vertical="top" wrapText="1"/>
    </xf>
    <xf numFmtId="0" fontId="48" fillId="0" borderId="0" xfId="0" applyFont="1" applyFill="1" applyBorder="1" applyAlignment="1">
      <alignment vertical="top" wrapText="1"/>
    </xf>
    <xf numFmtId="0" fontId="0" fillId="0" borderId="0" xfId="0" applyFill="1" applyBorder="1" applyAlignment="1"/>
    <xf numFmtId="0" fontId="28" fillId="0" borderId="0" xfId="0" applyNumberFormat="1" applyFont="1" applyFill="1" applyBorder="1" applyAlignment="1">
      <alignment horizontal="center" vertical="top" wrapText="1"/>
    </xf>
    <xf numFmtId="0" fontId="28" fillId="0" borderId="0" xfId="0" applyFont="1" applyBorder="1" applyAlignment="1">
      <alignment horizontal="center" vertical="top" wrapText="1"/>
    </xf>
    <xf numFmtId="0" fontId="27" fillId="0" borderId="0" xfId="0" applyFont="1" applyAlignment="1">
      <alignment horizontal="center" vertical="top" wrapText="1"/>
    </xf>
    <xf numFmtId="0" fontId="27" fillId="0" borderId="0" xfId="0" applyFont="1" applyBorder="1" applyAlignment="1">
      <alignment horizontal="center" vertical="top" wrapText="1"/>
    </xf>
    <xf numFmtId="0" fontId="27" fillId="0" borderId="0" xfId="0" applyFont="1" applyFill="1" applyBorder="1" applyAlignment="1">
      <alignment horizontal="center" vertical="top" wrapText="1"/>
    </xf>
    <xf numFmtId="0" fontId="27" fillId="0" borderId="0" xfId="0" applyFont="1" applyFill="1" applyAlignment="1">
      <alignment horizontal="center" vertical="top" wrapText="1"/>
    </xf>
    <xf numFmtId="0" fontId="32" fillId="0" borderId="0" xfId="0" applyFont="1" applyAlignment="1">
      <alignment horizontal="center" vertical="top"/>
    </xf>
    <xf numFmtId="0" fontId="29" fillId="0" borderId="0" xfId="0" applyFont="1" applyAlignment="1">
      <alignment horizontal="center" vertical="top"/>
    </xf>
    <xf numFmtId="0" fontId="29" fillId="0" borderId="0" xfId="0" applyFont="1" applyFill="1" applyBorder="1" applyAlignment="1">
      <alignment horizontal="center" vertical="top"/>
    </xf>
    <xf numFmtId="0" fontId="29" fillId="0" borderId="0" xfId="0" applyFont="1" applyFill="1" applyBorder="1">
      <alignment vertical="top"/>
    </xf>
    <xf numFmtId="0" fontId="49" fillId="0" borderId="0" xfId="0" applyFont="1" applyFill="1" applyBorder="1" applyAlignment="1">
      <alignment vertical="top"/>
    </xf>
    <xf numFmtId="0" fontId="58" fillId="0" borderId="0" xfId="0" applyFont="1" applyFill="1" applyBorder="1" applyAlignment="1">
      <alignment horizontal="center" vertical="top"/>
    </xf>
    <xf numFmtId="0" fontId="49" fillId="0" borderId="0" xfId="0" applyFont="1" applyFill="1" applyAlignment="1">
      <alignment vertical="top"/>
    </xf>
    <xf numFmtId="0" fontId="7" fillId="0" borderId="59" xfId="0" applyFont="1" applyFill="1" applyBorder="1" applyAlignment="1">
      <alignment vertical="top" wrapText="1"/>
    </xf>
    <xf numFmtId="0" fontId="7" fillId="0" borderId="41" xfId="0" applyFont="1" applyFill="1" applyBorder="1" applyAlignment="1">
      <alignment vertical="top" wrapText="1"/>
    </xf>
    <xf numFmtId="1" fontId="0" fillId="0" borderId="0" xfId="0" applyNumberFormat="1" applyBorder="1" applyAlignment="1">
      <alignment horizontal="center" vertical="top"/>
    </xf>
    <xf numFmtId="0" fontId="56" fillId="0" borderId="0" xfId="0" applyFont="1" applyFill="1" applyBorder="1" applyAlignment="1">
      <alignment vertical="top"/>
    </xf>
    <xf numFmtId="0" fontId="49" fillId="13" borderId="0" xfId="0" applyFont="1" applyFill="1" applyBorder="1" applyAlignment="1">
      <alignment wrapText="1"/>
    </xf>
    <xf numFmtId="0" fontId="7" fillId="13" borderId="0" xfId="0" applyFont="1" applyFill="1" applyBorder="1" applyAlignment="1">
      <alignment vertical="top" wrapText="1"/>
    </xf>
    <xf numFmtId="0" fontId="10" fillId="13" borderId="0" xfId="0" applyFont="1" applyFill="1" applyBorder="1" applyAlignment="1">
      <alignment horizontal="left" vertical="top" wrapText="1"/>
    </xf>
    <xf numFmtId="0" fontId="0" fillId="13" borderId="0" xfId="0" applyFill="1" applyBorder="1" applyAlignment="1"/>
    <xf numFmtId="0" fontId="7" fillId="13" borderId="0" xfId="0" applyFont="1" applyFill="1" applyBorder="1">
      <alignment vertical="top"/>
    </xf>
    <xf numFmtId="0" fontId="7" fillId="2" borderId="50" xfId="0" applyFont="1" applyFill="1" applyBorder="1" applyAlignment="1">
      <alignment horizontal="center" vertical="top" wrapText="1"/>
    </xf>
    <xf numFmtId="0" fontId="7" fillId="0" borderId="0" xfId="0" applyNumberFormat="1" applyFont="1" applyBorder="1" applyAlignment="1">
      <alignment horizontal="center" vertical="center" wrapText="1"/>
    </xf>
    <xf numFmtId="0" fontId="49" fillId="0" borderId="19" xfId="0" applyFont="1" applyFill="1" applyBorder="1" applyAlignment="1">
      <alignment vertical="top"/>
    </xf>
    <xf numFmtId="0" fontId="49" fillId="0" borderId="0" xfId="0" applyFont="1" applyFill="1" applyBorder="1" applyAlignment="1"/>
    <xf numFmtId="1" fontId="0" fillId="0" borderId="0" xfId="0" applyNumberFormat="1" applyFill="1" applyBorder="1" applyAlignment="1">
      <alignment horizontal="center" vertical="top"/>
    </xf>
    <xf numFmtId="0" fontId="21" fillId="0" borderId="0" xfId="0" applyFont="1" applyAlignment="1">
      <alignment horizontal="center" wrapText="1"/>
    </xf>
    <xf numFmtId="0" fontId="41" fillId="0" borderId="0" xfId="0" applyFont="1" applyAlignment="1">
      <alignment horizontal="center" wrapText="1"/>
    </xf>
    <xf numFmtId="0" fontId="28" fillId="0" borderId="0" xfId="0" applyFont="1" applyAlignment="1">
      <alignment vertical="top"/>
    </xf>
    <xf numFmtId="0" fontId="28" fillId="0" borderId="0" xfId="0" applyFont="1" applyFill="1" applyBorder="1" applyAlignment="1">
      <alignment vertical="top"/>
    </xf>
    <xf numFmtId="0" fontId="28" fillId="0" borderId="0" xfId="0" applyFont="1" applyBorder="1" applyAlignment="1">
      <alignment vertical="top"/>
    </xf>
    <xf numFmtId="0" fontId="7" fillId="0" borderId="0" xfId="0" applyNumberFormat="1" applyFont="1" applyFill="1" applyBorder="1" applyAlignment="1">
      <alignment horizontal="center" vertical="top" wrapText="1"/>
    </xf>
    <xf numFmtId="0" fontId="7" fillId="2" borderId="13" xfId="0" applyFont="1" applyFill="1" applyBorder="1" applyAlignment="1">
      <alignment horizontal="center" vertical="top" wrapText="1"/>
    </xf>
    <xf numFmtId="0" fontId="7" fillId="2" borderId="47" xfId="0" applyFont="1" applyFill="1" applyBorder="1" applyAlignment="1">
      <alignment horizontal="center" vertical="top" wrapText="1"/>
    </xf>
    <xf numFmtId="0" fontId="40" fillId="0" borderId="20" xfId="0" applyFont="1" applyBorder="1" applyAlignment="1">
      <alignment horizontal="center" vertical="top" wrapText="1"/>
    </xf>
    <xf numFmtId="0" fontId="13" fillId="0" borderId="0" xfId="0" applyFont="1" applyFill="1">
      <alignment vertical="top"/>
    </xf>
    <xf numFmtId="0" fontId="7" fillId="0" borderId="39" xfId="0" applyFont="1" applyFill="1" applyBorder="1" applyAlignment="1">
      <alignment horizontal="center" vertical="top" wrapText="1"/>
    </xf>
    <xf numFmtId="2" fontId="7" fillId="0" borderId="0" xfId="0" applyNumberFormat="1" applyFont="1" applyAlignment="1">
      <alignment horizontal="center" vertical="top" wrapText="1"/>
    </xf>
    <xf numFmtId="1" fontId="27" fillId="0" borderId="0" xfId="0" applyNumberFormat="1" applyFont="1" applyBorder="1" applyAlignment="1">
      <alignment horizontal="center" vertical="top" wrapText="1"/>
    </xf>
    <xf numFmtId="1" fontId="7" fillId="0" borderId="0" xfId="0" applyNumberFormat="1" applyFont="1" applyBorder="1" applyAlignment="1">
      <alignment horizontal="center" vertical="top" wrapText="1"/>
    </xf>
    <xf numFmtId="0" fontId="7" fillId="0" borderId="3" xfId="0" applyFont="1" applyFill="1" applyBorder="1" applyAlignment="1">
      <alignment horizontal="center" vertical="top" wrapText="1"/>
    </xf>
    <xf numFmtId="1" fontId="7" fillId="0" borderId="0" xfId="0" applyNumberFormat="1" applyFont="1" applyBorder="1" applyAlignment="1">
      <alignment horizontal="center" vertical="top"/>
    </xf>
    <xf numFmtId="0" fontId="7" fillId="0" borderId="0" xfId="0" applyFont="1" applyAlignment="1">
      <alignment horizontal="center" vertical="top"/>
    </xf>
    <xf numFmtId="0" fontId="7" fillId="0" borderId="0" xfId="0" applyFont="1" applyAlignment="1">
      <alignment horizontal="center" vertical="top" wrapText="1"/>
    </xf>
    <xf numFmtId="0" fontId="7" fillId="13" borderId="0" xfId="0" applyFont="1" applyFill="1" applyAlignment="1">
      <alignment vertical="top"/>
    </xf>
    <xf numFmtId="0" fontId="28" fillId="13" borderId="0" xfId="0" applyFont="1" applyFill="1" applyBorder="1" applyAlignment="1">
      <alignment vertical="top"/>
    </xf>
    <xf numFmtId="0" fontId="8" fillId="0" borderId="4" xfId="0" applyFont="1" applyFill="1" applyBorder="1" applyAlignment="1">
      <alignment horizontal="center" vertical="center" wrapText="1"/>
    </xf>
    <xf numFmtId="1" fontId="0" fillId="0" borderId="0" xfId="0" applyNumberFormat="1" applyBorder="1" applyAlignment="1">
      <alignment horizontal="left" vertical="top"/>
    </xf>
    <xf numFmtId="0" fontId="0" fillId="0" borderId="0" xfId="0" applyAlignment="1">
      <alignment horizontal="left"/>
    </xf>
    <xf numFmtId="0" fontId="0" fillId="0" borderId="0" xfId="0" applyFill="1" applyAlignment="1">
      <alignment horizontal="center" vertical="top"/>
    </xf>
    <xf numFmtId="0" fontId="0" fillId="0" borderId="0" xfId="0" applyBorder="1" applyAlignment="1">
      <alignment horizontal="center" vertical="top"/>
    </xf>
    <xf numFmtId="0" fontId="30" fillId="0" borderId="2" xfId="0" applyFont="1" applyFill="1" applyBorder="1" applyAlignment="1">
      <alignment horizontal="center" vertical="top" wrapText="1"/>
    </xf>
    <xf numFmtId="0" fontId="30" fillId="0" borderId="43" xfId="0" applyFont="1" applyBorder="1" applyAlignment="1">
      <alignment horizontal="center" vertical="top" wrapText="1"/>
    </xf>
    <xf numFmtId="0" fontId="30" fillId="0" borderId="6" xfId="0" applyFont="1" applyBorder="1" applyAlignment="1">
      <alignment horizontal="center" vertical="top" wrapText="1"/>
    </xf>
    <xf numFmtId="1" fontId="30" fillId="0" borderId="44" xfId="0" applyNumberFormat="1" applyFont="1" applyBorder="1" applyAlignment="1">
      <alignment horizontal="center" vertical="top" wrapText="1"/>
    </xf>
    <xf numFmtId="0" fontId="30" fillId="0" borderId="3" xfId="0" applyFont="1" applyBorder="1" applyAlignment="1">
      <alignment horizontal="center" vertical="top" wrapText="1"/>
    </xf>
    <xf numFmtId="1" fontId="30" fillId="0" borderId="1" xfId="0" applyNumberFormat="1" applyFont="1" applyBorder="1" applyAlignment="1">
      <alignment horizontal="center" vertical="top" wrapText="1"/>
    </xf>
    <xf numFmtId="1" fontId="7" fillId="0" borderId="3" xfId="0" applyNumberFormat="1" applyFont="1" applyFill="1" applyBorder="1" applyAlignment="1">
      <alignment horizontal="center" vertical="top" wrapText="1"/>
    </xf>
    <xf numFmtId="0" fontId="30" fillId="0" borderId="3" xfId="0" applyFont="1" applyFill="1" applyBorder="1" applyAlignment="1">
      <alignment horizontal="center" vertical="top" wrapText="1"/>
    </xf>
    <xf numFmtId="1" fontId="30" fillId="0" borderId="47" xfId="0" applyNumberFormat="1" applyFont="1" applyBorder="1" applyAlignment="1">
      <alignment horizontal="center" vertical="top" wrapText="1"/>
    </xf>
    <xf numFmtId="1" fontId="30" fillId="0" borderId="6" xfId="0" applyNumberFormat="1" applyFont="1" applyBorder="1" applyAlignment="1">
      <alignment horizontal="center" vertical="top" wrapText="1"/>
    </xf>
    <xf numFmtId="1" fontId="30" fillId="0" borderId="3" xfId="0" applyNumberFormat="1" applyFont="1" applyBorder="1" applyAlignment="1">
      <alignment horizontal="center" vertical="top" wrapText="1"/>
    </xf>
    <xf numFmtId="0" fontId="49" fillId="0" borderId="1" xfId="0" applyFont="1" applyFill="1" applyBorder="1" applyAlignment="1">
      <alignment horizontal="center" vertical="top" wrapText="1"/>
    </xf>
    <xf numFmtId="0" fontId="7" fillId="0" borderId="6" xfId="0" applyFont="1" applyFill="1" applyBorder="1" applyAlignment="1">
      <alignment horizontal="center" vertical="top" wrapText="1"/>
    </xf>
    <xf numFmtId="0" fontId="7" fillId="0" borderId="5" xfId="0" applyFont="1" applyFill="1" applyBorder="1" applyAlignment="1">
      <alignment horizontal="center" vertical="top" wrapText="1"/>
    </xf>
    <xf numFmtId="1" fontId="7" fillId="0" borderId="8" xfId="0" applyNumberFormat="1" applyFont="1" applyBorder="1" applyAlignment="1">
      <alignment horizontal="center" vertical="top" wrapText="1"/>
    </xf>
    <xf numFmtId="0" fontId="7" fillId="0" borderId="4" xfId="0" applyFont="1" applyFill="1" applyBorder="1" applyAlignment="1">
      <alignment horizontal="center" vertical="top" wrapText="1"/>
    </xf>
    <xf numFmtId="0" fontId="7" fillId="0" borderId="8" xfId="0" applyFont="1" applyFill="1" applyBorder="1" applyAlignment="1">
      <alignment horizontal="center" vertical="top" wrapText="1"/>
    </xf>
    <xf numFmtId="1" fontId="7" fillId="0" borderId="2" xfId="0" applyNumberFormat="1" applyFont="1" applyBorder="1" applyAlignment="1">
      <alignment horizontal="center" vertical="top" wrapText="1"/>
    </xf>
    <xf numFmtId="1" fontId="7" fillId="0" borderId="44" xfId="0" applyNumberFormat="1" applyFont="1" applyFill="1" applyBorder="1" applyAlignment="1">
      <alignment horizontal="center" vertical="top" wrapText="1"/>
    </xf>
    <xf numFmtId="1" fontId="49" fillId="0" borderId="44" xfId="0" applyNumberFormat="1" applyFont="1" applyFill="1" applyBorder="1" applyAlignment="1">
      <alignment horizontal="center" vertical="top" wrapText="1"/>
    </xf>
    <xf numFmtId="1" fontId="49" fillId="0" borderId="7" xfId="0" applyNumberFormat="1" applyFont="1" applyBorder="1" applyAlignment="1">
      <alignment horizontal="center" vertical="top" wrapText="1"/>
    </xf>
    <xf numFmtId="1" fontId="49" fillId="0" borderId="2" xfId="0" applyNumberFormat="1" applyFont="1" applyFill="1" applyBorder="1" applyAlignment="1">
      <alignment horizontal="center" vertical="top" wrapText="1"/>
    </xf>
    <xf numFmtId="1" fontId="49" fillId="0" borderId="1" xfId="0" applyNumberFormat="1" applyFont="1" applyBorder="1" applyAlignment="1">
      <alignment horizontal="center" vertical="top" wrapText="1"/>
    </xf>
    <xf numFmtId="1" fontId="49" fillId="0" borderId="44" xfId="0" applyNumberFormat="1" applyFont="1" applyBorder="1" applyAlignment="1">
      <alignment horizontal="center" vertical="top" wrapText="1"/>
    </xf>
    <xf numFmtId="1" fontId="49" fillId="0" borderId="1" xfId="0" applyNumberFormat="1" applyFont="1" applyFill="1" applyBorder="1" applyAlignment="1">
      <alignment horizontal="center" vertical="top" wrapText="1"/>
    </xf>
    <xf numFmtId="1" fontId="49" fillId="0" borderId="3" xfId="0" applyNumberFormat="1" applyFont="1" applyFill="1" applyBorder="1" applyAlignment="1">
      <alignment horizontal="center" vertical="top" wrapText="1"/>
    </xf>
    <xf numFmtId="1" fontId="49" fillId="0" borderId="3" xfId="0" applyNumberFormat="1" applyFont="1" applyBorder="1" applyAlignment="1">
      <alignment horizontal="center" vertical="top" wrapText="1"/>
    </xf>
    <xf numFmtId="1" fontId="49" fillId="0" borderId="2" xfId="0" applyNumberFormat="1" applyFont="1" applyBorder="1" applyAlignment="1">
      <alignment horizontal="center" vertical="top" wrapText="1"/>
    </xf>
    <xf numFmtId="1" fontId="49" fillId="0" borderId="4" xfId="0" applyNumberFormat="1" applyFont="1" applyBorder="1" applyAlignment="1">
      <alignment horizontal="center" vertical="top" wrapText="1"/>
    </xf>
    <xf numFmtId="0" fontId="27" fillId="0" borderId="9" xfId="0" applyFont="1" applyFill="1" applyBorder="1" applyAlignment="1">
      <alignment horizontal="center" vertical="top" wrapText="1"/>
    </xf>
    <xf numFmtId="0" fontId="27" fillId="0" borderId="6" xfId="0" applyFont="1" applyFill="1" applyBorder="1" applyAlignment="1">
      <alignment horizontal="center" vertical="top" wrapText="1"/>
    </xf>
    <xf numFmtId="0" fontId="27" fillId="0" borderId="2" xfId="0" applyFont="1" applyBorder="1" applyAlignment="1">
      <alignment horizontal="center" vertical="top" wrapText="1"/>
    </xf>
    <xf numFmtId="0" fontId="27" fillId="0" borderId="3" xfId="0" applyFont="1" applyBorder="1" applyAlignment="1">
      <alignment horizontal="center" vertical="top" wrapText="1"/>
    </xf>
    <xf numFmtId="0" fontId="27" fillId="0" borderId="6" xfId="0" applyFont="1" applyBorder="1" applyAlignment="1">
      <alignment horizontal="center" vertical="top" wrapText="1"/>
    </xf>
    <xf numFmtId="0" fontId="27" fillId="0" borderId="1" xfId="0" applyFont="1" applyBorder="1" applyAlignment="1">
      <alignment horizontal="center" vertical="top" wrapText="1"/>
    </xf>
    <xf numFmtId="0" fontId="27" fillId="0" borderId="44" xfId="0" applyFont="1" applyBorder="1" applyAlignment="1">
      <alignment horizontal="center" vertical="top" wrapText="1"/>
    </xf>
    <xf numFmtId="0" fontId="27" fillId="0" borderId="7" xfId="0" applyFont="1" applyBorder="1" applyAlignment="1">
      <alignment horizontal="center" vertical="top" wrapText="1"/>
    </xf>
    <xf numFmtId="0" fontId="29" fillId="0" borderId="7" xfId="0" applyFont="1" applyFill="1" applyBorder="1" applyAlignment="1">
      <alignment horizontal="center" vertical="top" wrapText="1"/>
    </xf>
    <xf numFmtId="0" fontId="29" fillId="0" borderId="9" xfId="0" applyFont="1" applyFill="1" applyBorder="1" applyAlignment="1">
      <alignment horizontal="center" vertical="top" wrapText="1"/>
    </xf>
    <xf numFmtId="0" fontId="29" fillId="0" borderId="3" xfId="0" applyFont="1" applyFill="1" applyBorder="1" applyAlignment="1">
      <alignment horizontal="center" vertical="top" wrapText="1"/>
    </xf>
    <xf numFmtId="49" fontId="29" fillId="0" borderId="3" xfId="0" applyNumberFormat="1" applyFont="1" applyFill="1" applyBorder="1" applyAlignment="1">
      <alignment horizontal="center" vertical="top" wrapText="1"/>
    </xf>
    <xf numFmtId="2" fontId="29" fillId="0" borderId="39" xfId="0" applyNumberFormat="1" applyFont="1" applyFill="1" applyBorder="1" applyAlignment="1">
      <alignment horizontal="center" vertical="top" wrapText="1"/>
    </xf>
    <xf numFmtId="0" fontId="7" fillId="2" borderId="39" xfId="0" applyFont="1" applyFill="1" applyBorder="1" applyAlignment="1">
      <alignment horizontal="center" vertical="top" wrapText="1"/>
    </xf>
    <xf numFmtId="2" fontId="30" fillId="2" borderId="57" xfId="0" applyNumberFormat="1" applyFont="1" applyFill="1" applyBorder="1" applyAlignment="1" applyProtection="1">
      <alignment horizontal="center" vertical="top" wrapText="1"/>
    </xf>
    <xf numFmtId="2" fontId="30" fillId="2" borderId="7" xfId="0" applyNumberFormat="1" applyFont="1" applyFill="1" applyBorder="1" applyAlignment="1" applyProtection="1">
      <alignment horizontal="center" vertical="top" wrapText="1"/>
    </xf>
    <xf numFmtId="2" fontId="30" fillId="2" borderId="43" xfId="0" applyNumberFormat="1" applyFont="1" applyFill="1" applyBorder="1" applyAlignment="1" applyProtection="1">
      <alignment horizontal="center" vertical="top" wrapText="1"/>
    </xf>
    <xf numFmtId="1" fontId="30" fillId="0" borderId="0" xfId="0" applyNumberFormat="1" applyFont="1" applyAlignment="1" applyProtection="1">
      <alignment horizontal="center" vertical="top" wrapText="1"/>
      <protection hidden="1"/>
    </xf>
    <xf numFmtId="0" fontId="30" fillId="0" borderId="0" xfId="0" applyFont="1" applyAlignment="1" applyProtection="1">
      <alignment horizontal="center" vertical="top" wrapText="1"/>
      <protection hidden="1"/>
    </xf>
    <xf numFmtId="0" fontId="30" fillId="0" borderId="0" xfId="0" applyFont="1" applyBorder="1" applyAlignment="1">
      <alignment horizontal="left" vertical="top" wrapText="1"/>
    </xf>
    <xf numFmtId="0" fontId="49" fillId="0" borderId="0" xfId="0" applyNumberFormat="1" applyFont="1" applyFill="1" applyBorder="1" applyAlignment="1">
      <alignment horizontal="left" vertical="top" wrapText="1"/>
    </xf>
    <xf numFmtId="1" fontId="29" fillId="0" borderId="6" xfId="0" applyNumberFormat="1" applyFont="1" applyFill="1" applyBorder="1" applyAlignment="1">
      <alignment horizontal="center" vertical="top" wrapText="1"/>
    </xf>
    <xf numFmtId="0" fontId="7" fillId="0" borderId="0" xfId="0" applyFont="1" applyAlignment="1"/>
    <xf numFmtId="0" fontId="7" fillId="0" borderId="0" xfId="0" applyFont="1" applyBorder="1" applyAlignment="1">
      <alignment wrapText="1"/>
    </xf>
    <xf numFmtId="2" fontId="29" fillId="2" borderId="8" xfId="0" applyNumberFormat="1" applyFont="1" applyFill="1" applyBorder="1" applyAlignment="1">
      <alignment horizontal="center" vertical="top" wrapText="1"/>
    </xf>
    <xf numFmtId="2" fontId="29" fillId="2" borderId="7" xfId="0" applyNumberFormat="1" applyFont="1" applyFill="1" applyBorder="1" applyAlignment="1">
      <alignment horizontal="center" vertical="top" wrapText="1"/>
    </xf>
    <xf numFmtId="2" fontId="29" fillId="2" borderId="43" xfId="0" applyNumberFormat="1" applyFont="1" applyFill="1" applyBorder="1" applyAlignment="1">
      <alignment horizontal="center" vertical="top" wrapText="1"/>
    </xf>
    <xf numFmtId="2" fontId="7" fillId="3" borderId="59" xfId="0" applyNumberFormat="1" applyFont="1" applyFill="1" applyBorder="1" applyAlignment="1">
      <alignment horizontal="center" vertical="top"/>
    </xf>
    <xf numFmtId="2" fontId="29" fillId="3" borderId="19" xfId="0" applyNumberFormat="1" applyFont="1" applyFill="1" applyBorder="1" applyAlignment="1">
      <alignment horizontal="center" vertical="top" wrapText="1"/>
    </xf>
    <xf numFmtId="2" fontId="29" fillId="3" borderId="30" xfId="0" applyNumberFormat="1" applyFont="1" applyFill="1" applyBorder="1" applyAlignment="1">
      <alignment horizontal="center" vertical="top" wrapText="1"/>
    </xf>
    <xf numFmtId="2" fontId="29" fillId="2" borderId="13" xfId="0" applyNumberFormat="1" applyFont="1" applyFill="1" applyBorder="1" applyAlignment="1">
      <alignment horizontal="center" vertical="top" wrapText="1"/>
    </xf>
    <xf numFmtId="2" fontId="27" fillId="3" borderId="30" xfId="0" applyNumberFormat="1" applyFont="1" applyFill="1" applyBorder="1" applyAlignment="1">
      <alignment horizontal="center" vertical="top" wrapText="1"/>
    </xf>
    <xf numFmtId="2" fontId="7" fillId="2" borderId="8" xfId="0" applyNumberFormat="1" applyFont="1" applyFill="1" applyBorder="1" applyAlignment="1">
      <alignment horizontal="center" vertical="top" wrapText="1"/>
    </xf>
    <xf numFmtId="2" fontId="29" fillId="3" borderId="59" xfId="0" applyNumberFormat="1" applyFont="1" applyFill="1" applyBorder="1" applyAlignment="1">
      <alignment horizontal="center" vertical="top" wrapText="1"/>
    </xf>
    <xf numFmtId="2" fontId="30" fillId="0" borderId="0" xfId="0" applyNumberFormat="1" applyFont="1" applyAlignment="1" applyProtection="1">
      <alignment horizontal="center" vertical="top" wrapText="1"/>
    </xf>
    <xf numFmtId="1" fontId="7" fillId="0" borderId="0" xfId="0" applyNumberFormat="1" applyFont="1" applyFill="1" applyBorder="1" applyAlignment="1">
      <alignment horizontal="center" vertical="top" wrapText="1"/>
    </xf>
    <xf numFmtId="1" fontId="27" fillId="0" borderId="0" xfId="0" applyNumberFormat="1" applyFont="1" applyAlignment="1">
      <alignment horizontal="center" vertical="top" wrapText="1"/>
    </xf>
    <xf numFmtId="2" fontId="29" fillId="0" borderId="0" xfId="0" applyNumberFormat="1" applyFont="1" applyAlignment="1">
      <alignment horizontal="center" vertical="top" wrapText="1"/>
    </xf>
    <xf numFmtId="1" fontId="29" fillId="2" borderId="50" xfId="0" applyNumberFormat="1" applyFont="1" applyFill="1" applyBorder="1" applyAlignment="1">
      <alignment horizontal="center" vertical="top" wrapText="1"/>
    </xf>
    <xf numFmtId="1" fontId="29" fillId="2" borderId="57" xfId="0" applyNumberFormat="1" applyFont="1" applyFill="1" applyBorder="1" applyAlignment="1">
      <alignment horizontal="center" vertical="top" wrapText="1"/>
    </xf>
    <xf numFmtId="1" fontId="29" fillId="2" borderId="1" xfId="0" applyNumberFormat="1" applyFont="1" applyFill="1" applyBorder="1" applyAlignment="1">
      <alignment horizontal="center" vertical="top" wrapText="1"/>
    </xf>
    <xf numFmtId="0" fontId="29" fillId="2" borderId="1" xfId="0" applyFont="1" applyFill="1" applyBorder="1" applyAlignment="1">
      <alignment horizontal="center" vertical="top" wrapText="1"/>
    </xf>
    <xf numFmtId="1" fontId="29" fillId="2" borderId="44" xfId="0" applyNumberFormat="1" applyFont="1" applyFill="1" applyBorder="1" applyAlignment="1">
      <alignment horizontal="center" vertical="top" wrapText="1"/>
    </xf>
    <xf numFmtId="0" fontId="29" fillId="2" borderId="44" xfId="0" applyFont="1" applyFill="1" applyBorder="1" applyAlignment="1">
      <alignment horizontal="center" vertical="top" wrapText="1"/>
    </xf>
    <xf numFmtId="1" fontId="29" fillId="2" borderId="12" xfId="0" applyNumberFormat="1" applyFont="1" applyFill="1" applyBorder="1" applyAlignment="1">
      <alignment horizontal="center" vertical="top" wrapText="1"/>
    </xf>
    <xf numFmtId="0" fontId="29" fillId="2" borderId="6" xfId="0" applyFont="1" applyFill="1" applyBorder="1" applyAlignment="1">
      <alignment horizontal="center" vertical="top" wrapText="1"/>
    </xf>
    <xf numFmtId="1" fontId="29" fillId="2" borderId="11" xfId="0" applyNumberFormat="1" applyFont="1" applyFill="1" applyBorder="1" applyAlignment="1">
      <alignment horizontal="center" vertical="top" wrapText="1"/>
    </xf>
    <xf numFmtId="2" fontId="29" fillId="2" borderId="6" xfId="0" applyNumberFormat="1" applyFont="1" applyFill="1" applyBorder="1" applyAlignment="1">
      <alignment horizontal="center" vertical="top" wrapText="1"/>
    </xf>
    <xf numFmtId="1" fontId="29" fillId="2" borderId="3" xfId="0" applyNumberFormat="1" applyFont="1" applyFill="1" applyBorder="1" applyAlignment="1">
      <alignment horizontal="center" vertical="top" wrapText="1"/>
    </xf>
    <xf numFmtId="1" fontId="29" fillId="2" borderId="2" xfId="0" applyNumberFormat="1" applyFont="1" applyFill="1" applyBorder="1" applyAlignment="1">
      <alignment horizontal="center" vertical="top" wrapText="1"/>
    </xf>
    <xf numFmtId="0" fontId="29" fillId="2" borderId="2" xfId="0" applyFont="1" applyFill="1" applyBorder="1" applyAlignment="1">
      <alignment horizontal="center" vertical="top" wrapText="1"/>
    </xf>
    <xf numFmtId="2" fontId="29" fillId="2" borderId="57" xfId="0" applyNumberFormat="1" applyFont="1" applyFill="1" applyBorder="1" applyAlignment="1">
      <alignment horizontal="center" vertical="top" wrapText="1"/>
    </xf>
    <xf numFmtId="0" fontId="29" fillId="2" borderId="3" xfId="0" applyFont="1" applyFill="1" applyBorder="1" applyAlignment="1">
      <alignment horizontal="center" vertical="top" wrapText="1"/>
    </xf>
    <xf numFmtId="1" fontId="29" fillId="2" borderId="56" xfId="0" applyNumberFormat="1" applyFont="1" applyFill="1" applyBorder="1" applyAlignment="1">
      <alignment horizontal="center" vertical="top" wrapText="1"/>
    </xf>
    <xf numFmtId="0" fontId="29" fillId="2" borderId="57" xfId="0" applyFont="1" applyFill="1" applyBorder="1" applyAlignment="1">
      <alignment horizontal="center" vertical="top" wrapText="1"/>
    </xf>
    <xf numFmtId="1" fontId="29" fillId="2" borderId="5" xfId="0" applyNumberFormat="1" applyFont="1" applyFill="1" applyBorder="1" applyAlignment="1">
      <alignment horizontal="center" vertical="top" wrapText="1"/>
    </xf>
    <xf numFmtId="1" fontId="29" fillId="2" borderId="16" xfId="0" applyNumberFormat="1" applyFont="1" applyFill="1" applyBorder="1" applyAlignment="1">
      <alignment horizontal="center" vertical="top" wrapText="1"/>
    </xf>
    <xf numFmtId="0" fontId="29" fillId="2" borderId="50" xfId="0" applyFont="1" applyFill="1" applyBorder="1" applyAlignment="1">
      <alignment horizontal="center" vertical="top" wrapText="1"/>
    </xf>
    <xf numFmtId="0" fontId="29" fillId="2" borderId="8" xfId="0" applyFont="1" applyFill="1" applyBorder="1" applyAlignment="1">
      <alignment horizontal="center" vertical="top" wrapText="1"/>
    </xf>
    <xf numFmtId="1" fontId="27" fillId="2" borderId="1" xfId="0" applyNumberFormat="1" applyFont="1" applyFill="1" applyBorder="1" applyAlignment="1">
      <alignment horizontal="center" vertical="top" wrapText="1"/>
    </xf>
    <xf numFmtId="1" fontId="27" fillId="2" borderId="2" xfId="0" applyNumberFormat="1" applyFont="1" applyFill="1" applyBorder="1" applyAlignment="1">
      <alignment horizontal="center" vertical="top" wrapText="1"/>
    </xf>
    <xf numFmtId="1" fontId="27" fillId="2" borderId="50" xfId="0" applyNumberFormat="1" applyFont="1" applyFill="1" applyBorder="1" applyAlignment="1">
      <alignment horizontal="center" vertical="top" wrapText="1"/>
    </xf>
    <xf numFmtId="1" fontId="27" fillId="2" borderId="44" xfId="0" applyNumberFormat="1" applyFont="1" applyFill="1" applyBorder="1" applyAlignment="1">
      <alignment horizontal="center" vertical="top" wrapText="1"/>
    </xf>
    <xf numFmtId="1" fontId="29" fillId="2" borderId="45" xfId="0" applyNumberFormat="1" applyFont="1" applyFill="1" applyBorder="1" applyAlignment="1">
      <alignment horizontal="center" vertical="top" wrapText="1"/>
    </xf>
    <xf numFmtId="0" fontId="29" fillId="2" borderId="1" xfId="0" applyNumberFormat="1" applyFont="1" applyFill="1" applyBorder="1" applyAlignment="1">
      <alignment horizontal="center" vertical="top" wrapText="1"/>
    </xf>
    <xf numFmtId="0" fontId="29" fillId="2" borderId="44" xfId="0" applyNumberFormat="1" applyFont="1" applyFill="1" applyBorder="1" applyAlignment="1">
      <alignment horizontal="center" vertical="top" wrapText="1"/>
    </xf>
    <xf numFmtId="0" fontId="29" fillId="2" borderId="3" xfId="0" applyNumberFormat="1" applyFont="1" applyFill="1" applyBorder="1" applyAlignment="1">
      <alignment horizontal="center" vertical="top" wrapText="1"/>
    </xf>
    <xf numFmtId="0" fontId="29" fillId="2" borderId="2" xfId="0" applyNumberFormat="1" applyFont="1" applyFill="1" applyBorder="1" applyAlignment="1">
      <alignment horizontal="center" vertical="top" wrapText="1"/>
    </xf>
    <xf numFmtId="0" fontId="29" fillId="2" borderId="50" xfId="0" applyNumberFormat="1" applyFont="1" applyFill="1" applyBorder="1" applyAlignment="1">
      <alignment horizontal="center" vertical="top" wrapText="1"/>
    </xf>
    <xf numFmtId="0" fontId="29" fillId="2" borderId="13" xfId="0" applyFont="1" applyFill="1" applyBorder="1" applyAlignment="1">
      <alignment horizontal="center" vertical="top" wrapText="1"/>
    </xf>
    <xf numFmtId="1" fontId="29" fillId="2" borderId="8" xfId="0" applyNumberFormat="1" applyFont="1" applyFill="1" applyBorder="1" applyAlignment="1">
      <alignment horizontal="center" vertical="top" wrapText="1"/>
    </xf>
    <xf numFmtId="1" fontId="7" fillId="2" borderId="1" xfId="0" applyNumberFormat="1" applyFont="1" applyFill="1" applyBorder="1" applyAlignment="1">
      <alignment horizontal="center" vertical="top"/>
    </xf>
    <xf numFmtId="1" fontId="7" fillId="2" borderId="44" xfId="0" applyNumberFormat="1" applyFont="1" applyFill="1" applyBorder="1" applyAlignment="1">
      <alignment horizontal="center" vertical="top"/>
    </xf>
    <xf numFmtId="1" fontId="7" fillId="2" borderId="3" xfId="0" applyNumberFormat="1" applyFont="1" applyFill="1" applyBorder="1" applyAlignment="1">
      <alignment horizontal="center" vertical="top"/>
    </xf>
    <xf numFmtId="1" fontId="7" fillId="2" borderId="2" xfId="0" applyNumberFormat="1" applyFont="1" applyFill="1" applyBorder="1" applyAlignment="1">
      <alignment horizontal="center" vertical="top"/>
    </xf>
    <xf numFmtId="1" fontId="7" fillId="2" borderId="39" xfId="0" applyNumberFormat="1" applyFont="1" applyFill="1" applyBorder="1" applyAlignment="1">
      <alignment horizontal="center" vertical="top"/>
    </xf>
    <xf numFmtId="1" fontId="29" fillId="2" borderId="6" xfId="0" applyNumberFormat="1" applyFont="1" applyFill="1" applyBorder="1" applyAlignment="1">
      <alignment horizontal="center" vertical="top" wrapText="1"/>
    </xf>
    <xf numFmtId="1" fontId="29" fillId="2" borderId="47" xfId="0" applyNumberFormat="1" applyFont="1" applyFill="1" applyBorder="1" applyAlignment="1">
      <alignment horizontal="center" vertical="top" wrapText="1"/>
    </xf>
    <xf numFmtId="2" fontId="7" fillId="14" borderId="8" xfId="0" applyNumberFormat="1" applyFont="1" applyFill="1" applyBorder="1" applyAlignment="1">
      <alignment horizontal="center" vertical="top"/>
    </xf>
    <xf numFmtId="0" fontId="7" fillId="0" borderId="20" xfId="0" applyFont="1" applyBorder="1" applyAlignment="1">
      <alignment vertical="top" wrapText="1"/>
    </xf>
    <xf numFmtId="0" fontId="7" fillId="13" borderId="0" xfId="0" applyFont="1" applyFill="1" applyBorder="1" applyAlignment="1">
      <alignment wrapText="1"/>
    </xf>
    <xf numFmtId="1" fontId="7" fillId="0" borderId="0" xfId="0" applyNumberFormat="1" applyFont="1" applyFill="1" applyBorder="1" applyAlignment="1">
      <alignment horizontal="center" vertical="top"/>
    </xf>
    <xf numFmtId="0" fontId="0" fillId="0" borderId="0" xfId="0" applyBorder="1" applyAlignment="1"/>
    <xf numFmtId="1" fontId="43" fillId="0" borderId="0" xfId="0" applyNumberFormat="1" applyFont="1" applyFill="1" applyBorder="1" applyAlignment="1" applyProtection="1">
      <alignment horizontal="center" vertical="top" wrapText="1"/>
      <protection hidden="1"/>
    </xf>
    <xf numFmtId="0" fontId="7" fillId="0" borderId="0" xfId="0" applyFont="1" applyFill="1" applyBorder="1" applyAlignment="1">
      <alignment wrapText="1"/>
    </xf>
    <xf numFmtId="0" fontId="7" fillId="0" borderId="0" xfId="0" applyFont="1" applyFill="1" applyAlignment="1"/>
    <xf numFmtId="0" fontId="7" fillId="0" borderId="0" xfId="0" applyFont="1" applyBorder="1" applyAlignment="1"/>
    <xf numFmtId="0" fontId="49" fillId="0" borderId="20" xfId="0" applyFont="1" applyBorder="1" applyAlignment="1">
      <alignment horizontal="left" vertical="top" wrapText="1"/>
    </xf>
    <xf numFmtId="0" fontId="7" fillId="0" borderId="1" xfId="0" applyFont="1" applyBorder="1" applyAlignment="1">
      <alignment vertical="top" wrapText="1"/>
    </xf>
    <xf numFmtId="0" fontId="7" fillId="0" borderId="3" xfId="0" applyFont="1" applyBorder="1" applyAlignment="1">
      <alignment horizontal="center" vertical="top" wrapText="1"/>
    </xf>
    <xf numFmtId="0" fontId="7" fillId="0" borderId="18" xfId="0" applyFont="1" applyFill="1" applyBorder="1" applyAlignment="1">
      <alignment vertical="top" wrapText="1"/>
    </xf>
    <xf numFmtId="1" fontId="30" fillId="2" borderId="3" xfId="0" applyNumberFormat="1" applyFont="1" applyFill="1" applyBorder="1" applyAlignment="1" applyProtection="1">
      <alignment horizontal="center" vertical="top" wrapText="1"/>
      <protection hidden="1"/>
    </xf>
    <xf numFmtId="2" fontId="30" fillId="3" borderId="19" xfId="0" applyNumberFormat="1" applyFont="1" applyFill="1" applyBorder="1" applyAlignment="1" applyProtection="1">
      <alignment horizontal="center" vertical="top" wrapText="1"/>
    </xf>
    <xf numFmtId="1" fontId="30" fillId="2" borderId="1" xfId="0" applyNumberFormat="1" applyFont="1" applyFill="1" applyBorder="1" applyAlignment="1" applyProtection="1">
      <alignment horizontal="center" vertical="top" wrapText="1"/>
      <protection hidden="1"/>
    </xf>
    <xf numFmtId="0" fontId="30" fillId="2" borderId="2" xfId="0" applyFont="1" applyFill="1" applyBorder="1" applyAlignment="1" applyProtection="1">
      <alignment horizontal="center" vertical="top" wrapText="1"/>
      <protection hidden="1"/>
    </xf>
    <xf numFmtId="2" fontId="30" fillId="2" borderId="13" xfId="0" applyNumberFormat="1" applyFont="1" applyFill="1" applyBorder="1" applyAlignment="1" applyProtection="1">
      <alignment horizontal="center" vertical="top" wrapText="1"/>
    </xf>
    <xf numFmtId="1" fontId="30" fillId="2" borderId="44" xfId="0" applyNumberFormat="1" applyFont="1" applyFill="1" applyBorder="1" applyAlignment="1" applyProtection="1">
      <alignment horizontal="center" vertical="top" wrapText="1"/>
      <protection hidden="1"/>
    </xf>
    <xf numFmtId="0" fontId="30" fillId="2" borderId="44" xfId="0" applyFont="1" applyFill="1" applyBorder="1" applyAlignment="1" applyProtection="1">
      <alignment horizontal="center" vertical="top" wrapText="1"/>
      <protection hidden="1"/>
    </xf>
    <xf numFmtId="2" fontId="30" fillId="2" borderId="54" xfId="0" applyNumberFormat="1" applyFont="1" applyFill="1" applyBorder="1" applyAlignment="1" applyProtection="1">
      <alignment horizontal="center" vertical="top" wrapText="1"/>
      <protection hidden="1"/>
    </xf>
    <xf numFmtId="2" fontId="30" fillId="3" borderId="30" xfId="0" applyNumberFormat="1" applyFont="1" applyFill="1" applyBorder="1" applyAlignment="1" applyProtection="1">
      <alignment horizontal="center" vertical="top" wrapText="1"/>
    </xf>
    <xf numFmtId="1" fontId="30" fillId="2" borderId="53" xfId="0" applyNumberFormat="1" applyFont="1" applyFill="1" applyBorder="1" applyAlignment="1" applyProtection="1">
      <alignment horizontal="center" vertical="top" wrapText="1"/>
      <protection hidden="1"/>
    </xf>
    <xf numFmtId="0" fontId="30" fillId="2" borderId="54" xfId="0" applyFont="1" applyFill="1" applyBorder="1" applyAlignment="1" applyProtection="1">
      <alignment horizontal="center" vertical="top" wrapText="1"/>
      <protection hidden="1"/>
    </xf>
    <xf numFmtId="1" fontId="30" fillId="2" borderId="11" xfId="0" applyNumberFormat="1" applyFont="1" applyFill="1" applyBorder="1" applyAlignment="1">
      <alignment horizontal="center" vertical="top" wrapText="1"/>
    </xf>
    <xf numFmtId="0" fontId="30" fillId="2" borderId="1" xfId="0" applyFont="1" applyFill="1" applyBorder="1" applyAlignment="1" applyProtection="1">
      <alignment horizontal="center" vertical="top" wrapText="1"/>
      <protection hidden="1"/>
    </xf>
    <xf numFmtId="0" fontId="30" fillId="2" borderId="8" xfId="0" applyFont="1" applyFill="1" applyBorder="1" applyAlignment="1" applyProtection="1">
      <alignment horizontal="center" vertical="top" wrapText="1"/>
      <protection hidden="1"/>
    </xf>
    <xf numFmtId="2" fontId="30" fillId="2" borderId="8" xfId="0" applyNumberFormat="1" applyFont="1" applyFill="1" applyBorder="1" applyAlignment="1" applyProtection="1">
      <alignment horizontal="center" vertical="top" wrapText="1"/>
    </xf>
    <xf numFmtId="0" fontId="30" fillId="0" borderId="2" xfId="0" applyFont="1" applyBorder="1" applyAlignment="1">
      <alignment horizontal="center" vertical="top" wrapText="1"/>
    </xf>
    <xf numFmtId="1" fontId="30" fillId="2" borderId="11" xfId="0" applyNumberFormat="1" applyFont="1" applyFill="1" applyBorder="1" applyAlignment="1" applyProtection="1">
      <alignment horizontal="center" vertical="top" wrapText="1"/>
      <protection hidden="1"/>
    </xf>
    <xf numFmtId="1" fontId="30" fillId="0" borderId="2" xfId="0" applyNumberFormat="1" applyFont="1" applyBorder="1" applyAlignment="1">
      <alignment horizontal="center" vertical="top" wrapText="1"/>
    </xf>
    <xf numFmtId="2" fontId="30" fillId="2" borderId="47" xfId="0" applyNumberFormat="1" applyFont="1" applyFill="1" applyBorder="1" applyAlignment="1" applyProtection="1">
      <alignment horizontal="center" vertical="top" wrapText="1"/>
    </xf>
    <xf numFmtId="1" fontId="30" fillId="0" borderId="0" xfId="0" applyNumberFormat="1" applyFont="1" applyBorder="1" applyAlignment="1" applyProtection="1">
      <alignment horizontal="center" vertical="top" wrapText="1"/>
      <protection hidden="1"/>
    </xf>
    <xf numFmtId="2" fontId="7" fillId="0" borderId="0" xfId="0" applyNumberFormat="1" applyFont="1" applyAlignment="1" applyProtection="1">
      <alignment horizontal="center" vertical="top" wrapText="1"/>
    </xf>
    <xf numFmtId="0" fontId="7" fillId="9" borderId="11" xfId="0" applyFont="1" applyFill="1" applyBorder="1" applyAlignment="1">
      <alignment horizontal="center" vertical="top" wrapText="1"/>
    </xf>
    <xf numFmtId="0" fontId="7" fillId="9" borderId="3" xfId="0" applyFont="1" applyFill="1" applyBorder="1" applyAlignment="1">
      <alignment horizontal="center" vertical="top" wrapText="1"/>
    </xf>
    <xf numFmtId="0" fontId="7" fillId="9" borderId="8" xfId="0" applyFont="1" applyFill="1" applyBorder="1" applyAlignment="1">
      <alignment horizontal="center" vertical="top" wrapText="1"/>
    </xf>
    <xf numFmtId="2" fontId="7" fillId="3" borderId="19" xfId="0" applyNumberFormat="1" applyFont="1" applyFill="1" applyBorder="1" applyAlignment="1">
      <alignment horizontal="center" vertical="top" wrapText="1"/>
    </xf>
    <xf numFmtId="0" fontId="7" fillId="9" borderId="5" xfId="0" applyFont="1" applyFill="1" applyBorder="1" applyAlignment="1">
      <alignment horizontal="center" vertical="top" wrapText="1"/>
    </xf>
    <xf numFmtId="0" fontId="7" fillId="9" borderId="1" xfId="0" applyFont="1" applyFill="1" applyBorder="1" applyAlignment="1">
      <alignment horizontal="center" vertical="top" wrapText="1"/>
    </xf>
    <xf numFmtId="2" fontId="7" fillId="9" borderId="8" xfId="0" applyNumberFormat="1" applyFont="1" applyFill="1" applyBorder="1" applyAlignment="1">
      <alignment horizontal="center" vertical="top" wrapText="1"/>
    </xf>
    <xf numFmtId="2" fontId="7" fillId="9" borderId="7" xfId="0" applyNumberFormat="1" applyFont="1" applyFill="1" applyBorder="1" applyAlignment="1">
      <alignment horizontal="center" vertical="top" wrapText="1"/>
    </xf>
    <xf numFmtId="0" fontId="7" fillId="9" borderId="57" xfId="0" applyFont="1" applyFill="1" applyBorder="1" applyAlignment="1">
      <alignment horizontal="center" vertical="top" wrapText="1"/>
    </xf>
    <xf numFmtId="2" fontId="7" fillId="3" borderId="30" xfId="0" applyNumberFormat="1" applyFont="1" applyFill="1" applyBorder="1" applyAlignment="1">
      <alignment horizontal="center" vertical="top" wrapText="1"/>
    </xf>
    <xf numFmtId="0" fontId="7" fillId="9" borderId="45" xfId="0" applyFont="1" applyFill="1" applyBorder="1" applyAlignment="1">
      <alignment horizontal="center" vertical="top" wrapText="1"/>
    </xf>
    <xf numFmtId="0" fontId="7" fillId="9" borderId="44" xfId="0" applyFont="1" applyFill="1" applyBorder="1" applyAlignment="1">
      <alignment horizontal="center" vertical="top" wrapText="1"/>
    </xf>
    <xf numFmtId="2" fontId="7" fillId="9" borderId="43" xfId="0" applyNumberFormat="1" applyFont="1" applyFill="1" applyBorder="1" applyAlignment="1">
      <alignment horizontal="center" vertical="top" wrapText="1"/>
    </xf>
    <xf numFmtId="2" fontId="7" fillId="10" borderId="19" xfId="0" applyNumberFormat="1" applyFont="1" applyFill="1" applyBorder="1" applyAlignment="1">
      <alignment horizontal="center" vertical="top" wrapText="1"/>
    </xf>
    <xf numFmtId="0" fontId="7" fillId="9" borderId="2" xfId="0" applyFont="1" applyFill="1" applyBorder="1" applyAlignment="1">
      <alignment horizontal="center" vertical="top" wrapText="1"/>
    </xf>
    <xf numFmtId="2" fontId="7" fillId="0" borderId="0" xfId="0" applyNumberFormat="1" applyFont="1" applyBorder="1" applyAlignment="1">
      <alignment horizontal="center" vertical="top" wrapText="1"/>
    </xf>
    <xf numFmtId="2" fontId="7" fillId="3" borderId="19" xfId="0" applyNumberFormat="1" applyFont="1" applyFill="1" applyBorder="1" applyAlignment="1">
      <alignment horizontal="center" vertical="top"/>
    </xf>
    <xf numFmtId="1" fontId="7" fillId="2" borderId="50" xfId="0" applyNumberFormat="1" applyFont="1" applyFill="1" applyBorder="1" applyAlignment="1">
      <alignment horizontal="center" vertical="top"/>
    </xf>
    <xf numFmtId="2" fontId="7" fillId="3" borderId="30" xfId="0" applyNumberFormat="1" applyFont="1" applyFill="1" applyBorder="1" applyAlignment="1">
      <alignment horizontal="center" vertical="top"/>
    </xf>
    <xf numFmtId="1" fontId="7" fillId="2" borderId="56" xfId="0" applyNumberFormat="1" applyFont="1" applyFill="1" applyBorder="1" applyAlignment="1">
      <alignment horizontal="center" vertical="top" wrapText="1"/>
    </xf>
    <xf numFmtId="1" fontId="7" fillId="2" borderId="57" xfId="0" applyNumberFormat="1" applyFont="1" applyFill="1" applyBorder="1" applyAlignment="1">
      <alignment horizontal="center" vertical="top"/>
    </xf>
    <xf numFmtId="2" fontId="7" fillId="2" borderId="8" xfId="0" applyNumberFormat="1" applyFont="1" applyFill="1" applyBorder="1" applyAlignment="1">
      <alignment horizontal="center" vertical="top"/>
    </xf>
    <xf numFmtId="2" fontId="7" fillId="2" borderId="7" xfId="0" applyNumberFormat="1" applyFont="1" applyFill="1" applyBorder="1" applyAlignment="1">
      <alignment horizontal="center" vertical="top"/>
    </xf>
    <xf numFmtId="2" fontId="7" fillId="2" borderId="43" xfId="0" applyNumberFormat="1" applyFont="1" applyFill="1" applyBorder="1" applyAlignment="1">
      <alignment horizontal="center" vertical="top"/>
    </xf>
    <xf numFmtId="1" fontId="7" fillId="2" borderId="11" xfId="0" applyNumberFormat="1" applyFont="1" applyFill="1" applyBorder="1" applyAlignment="1">
      <alignment horizontal="center" vertical="top" wrapText="1"/>
    </xf>
    <xf numFmtId="1" fontId="7" fillId="2" borderId="3" xfId="0" applyNumberFormat="1" applyFont="1" applyFill="1" applyBorder="1" applyAlignment="1">
      <alignment horizontal="center" vertical="top" wrapText="1"/>
    </xf>
    <xf numFmtId="1" fontId="7" fillId="2" borderId="8" xfId="0" applyNumberFormat="1" applyFont="1" applyFill="1" applyBorder="1" applyAlignment="1">
      <alignment horizontal="center" vertical="top"/>
    </xf>
    <xf numFmtId="1" fontId="7" fillId="2" borderId="1" xfId="0" applyNumberFormat="1" applyFont="1" applyFill="1" applyBorder="1" applyAlignment="1">
      <alignment horizontal="center" vertical="top" wrapText="1"/>
    </xf>
    <xf numFmtId="1" fontId="7" fillId="2" borderId="2" xfId="0" applyNumberFormat="1" applyFont="1" applyFill="1" applyBorder="1" applyAlignment="1">
      <alignment horizontal="center" vertical="top" wrapText="1"/>
    </xf>
    <xf numFmtId="1" fontId="7" fillId="2" borderId="50" xfId="0" applyNumberFormat="1" applyFont="1" applyFill="1" applyBorder="1" applyAlignment="1">
      <alignment horizontal="center" vertical="top" wrapText="1"/>
    </xf>
    <xf numFmtId="1" fontId="7" fillId="2" borderId="44" xfId="0" applyNumberFormat="1" applyFont="1" applyFill="1" applyBorder="1" applyAlignment="1">
      <alignment horizontal="center" vertical="top" wrapText="1"/>
    </xf>
    <xf numFmtId="1" fontId="7" fillId="2" borderId="5" xfId="0" applyNumberFormat="1" applyFont="1" applyFill="1" applyBorder="1" applyAlignment="1">
      <alignment horizontal="center" vertical="top" wrapText="1"/>
    </xf>
    <xf numFmtId="2" fontId="7" fillId="9" borderId="13" xfId="0" applyNumberFormat="1" applyFont="1" applyFill="1" applyBorder="1" applyAlignment="1">
      <alignment horizontal="center" vertical="top" wrapText="1"/>
    </xf>
    <xf numFmtId="1" fontId="7" fillId="0" borderId="2" xfId="0" applyNumberFormat="1" applyFont="1" applyFill="1" applyBorder="1" applyAlignment="1">
      <alignment horizontal="center" vertical="top" wrapText="1"/>
    </xf>
    <xf numFmtId="1" fontId="7" fillId="2" borderId="16" xfId="0" applyNumberFormat="1" applyFont="1" applyFill="1" applyBorder="1" applyAlignment="1">
      <alignment horizontal="center" vertical="top" wrapText="1"/>
    </xf>
    <xf numFmtId="1" fontId="7" fillId="0" borderId="0" xfId="0" applyNumberFormat="1" applyFont="1" applyAlignment="1">
      <alignment horizontal="center" vertical="top"/>
    </xf>
    <xf numFmtId="2" fontId="7" fillId="0" borderId="0" xfId="0" applyNumberFormat="1" applyFont="1" applyAlignment="1">
      <alignment horizontal="center" vertical="top"/>
    </xf>
    <xf numFmtId="2" fontId="7" fillId="0" borderId="0" xfId="0" applyNumberFormat="1" applyFont="1" applyBorder="1" applyAlignment="1">
      <alignment horizontal="center" vertical="top"/>
    </xf>
    <xf numFmtId="1" fontId="30" fillId="2" borderId="12" xfId="0" applyNumberFormat="1" applyFont="1" applyFill="1" applyBorder="1" applyAlignment="1">
      <alignment horizontal="center" vertical="top" wrapText="1"/>
    </xf>
    <xf numFmtId="1" fontId="30" fillId="2" borderId="3" xfId="0" applyNumberFormat="1" applyFont="1" applyFill="1" applyBorder="1" applyAlignment="1">
      <alignment horizontal="center" vertical="top" wrapText="1"/>
    </xf>
    <xf numFmtId="1" fontId="30" fillId="2" borderId="8" xfId="0" applyNumberFormat="1" applyFont="1" applyFill="1" applyBorder="1" applyAlignment="1">
      <alignment horizontal="center" vertical="top" wrapText="1"/>
    </xf>
    <xf numFmtId="2" fontId="30" fillId="3" borderId="19" xfId="0" applyNumberFormat="1" applyFont="1" applyFill="1" applyBorder="1" applyAlignment="1">
      <alignment horizontal="center" vertical="top" wrapText="1"/>
    </xf>
    <xf numFmtId="1" fontId="30" fillId="2" borderId="1" xfId="0" applyNumberFormat="1" applyFont="1" applyFill="1" applyBorder="1" applyAlignment="1">
      <alignment horizontal="center" vertical="top" wrapText="1"/>
    </xf>
    <xf numFmtId="2" fontId="30" fillId="2" borderId="8" xfId="0" applyNumberFormat="1" applyFont="1" applyFill="1" applyBorder="1" applyAlignment="1">
      <alignment horizontal="center" vertical="top" wrapText="1"/>
    </xf>
    <xf numFmtId="2" fontId="30" fillId="2" borderId="7" xfId="0" applyNumberFormat="1" applyFont="1" applyFill="1" applyBorder="1" applyAlignment="1">
      <alignment horizontal="center" vertical="top" wrapText="1"/>
    </xf>
    <xf numFmtId="1" fontId="30" fillId="2" borderId="2" xfId="0" applyNumberFormat="1" applyFont="1" applyFill="1" applyBorder="1" applyAlignment="1">
      <alignment horizontal="center" vertical="top" wrapText="1"/>
    </xf>
    <xf numFmtId="1" fontId="30" fillId="2" borderId="50" xfId="0" applyNumberFormat="1" applyFont="1" applyFill="1" applyBorder="1" applyAlignment="1">
      <alignment horizontal="center" vertical="top" wrapText="1"/>
    </xf>
    <xf numFmtId="2" fontId="30" fillId="3" borderId="30" xfId="0" applyNumberFormat="1" applyFont="1" applyFill="1" applyBorder="1" applyAlignment="1">
      <alignment horizontal="center" vertical="top" wrapText="1"/>
    </xf>
    <xf numFmtId="1" fontId="30" fillId="2" borderId="44" xfId="0" applyNumberFormat="1" applyFont="1" applyFill="1" applyBorder="1" applyAlignment="1">
      <alignment horizontal="center" vertical="top" wrapText="1"/>
    </xf>
    <xf numFmtId="2" fontId="30" fillId="2" borderId="43" xfId="0" applyNumberFormat="1" applyFont="1" applyFill="1" applyBorder="1" applyAlignment="1">
      <alignment horizontal="center" vertical="top" wrapText="1"/>
    </xf>
    <xf numFmtId="2" fontId="30" fillId="3" borderId="19" xfId="0" applyNumberFormat="1" applyFont="1" applyFill="1" applyBorder="1" applyAlignment="1">
      <alignment horizontal="center" vertical="top"/>
    </xf>
    <xf numFmtId="2" fontId="30" fillId="3" borderId="30" xfId="0" applyNumberFormat="1" applyFont="1" applyFill="1" applyBorder="1" applyAlignment="1">
      <alignment horizontal="center" vertical="top"/>
    </xf>
    <xf numFmtId="1" fontId="30" fillId="2" borderId="57" xfId="0" applyNumberFormat="1" applyFont="1" applyFill="1" applyBorder="1" applyAlignment="1">
      <alignment horizontal="center" vertical="top" wrapText="1"/>
    </xf>
    <xf numFmtId="1" fontId="30" fillId="0" borderId="1" xfId="0" applyNumberFormat="1" applyFont="1" applyFill="1" applyBorder="1" applyAlignment="1">
      <alignment horizontal="center" vertical="top" wrapText="1"/>
    </xf>
    <xf numFmtId="1" fontId="30" fillId="0" borderId="44" xfId="0" applyNumberFormat="1" applyFont="1" applyFill="1" applyBorder="1" applyAlignment="1">
      <alignment horizontal="center" vertical="top" wrapText="1"/>
    </xf>
    <xf numFmtId="1" fontId="30" fillId="2" borderId="5" xfId="0" applyNumberFormat="1" applyFont="1" applyFill="1" applyBorder="1" applyAlignment="1">
      <alignment horizontal="center" vertical="top" wrapText="1"/>
    </xf>
    <xf numFmtId="1" fontId="30" fillId="2" borderId="45" xfId="0" applyNumberFormat="1" applyFont="1" applyFill="1" applyBorder="1" applyAlignment="1">
      <alignment horizontal="center" vertical="top" wrapText="1"/>
    </xf>
    <xf numFmtId="2" fontId="30" fillId="2" borderId="13" xfId="0" applyNumberFormat="1" applyFont="1" applyFill="1" applyBorder="1" applyAlignment="1">
      <alignment horizontal="center" vertical="top" wrapText="1"/>
    </xf>
    <xf numFmtId="1" fontId="30" fillId="0" borderId="0" xfId="0" applyNumberFormat="1" applyFont="1" applyAlignment="1">
      <alignment horizontal="center" vertical="top" wrapText="1"/>
    </xf>
    <xf numFmtId="2" fontId="30" fillId="0" borderId="0" xfId="0" applyNumberFormat="1" applyFont="1" applyAlignment="1">
      <alignment horizontal="center" vertical="top" wrapText="1"/>
    </xf>
    <xf numFmtId="1" fontId="30" fillId="0" borderId="0" xfId="0" applyNumberFormat="1" applyFont="1" applyBorder="1" applyAlignment="1">
      <alignment horizontal="center" vertical="top" wrapText="1"/>
    </xf>
    <xf numFmtId="1" fontId="30" fillId="2" borderId="60" xfId="0" applyNumberFormat="1" applyFont="1" applyFill="1" applyBorder="1" applyAlignment="1">
      <alignment horizontal="center" vertical="top" wrapText="1"/>
    </xf>
    <xf numFmtId="1" fontId="30" fillId="2" borderId="47" xfId="0" applyNumberFormat="1" applyFont="1" applyFill="1" applyBorder="1" applyAlignment="1">
      <alignment horizontal="center" vertical="top" wrapText="1"/>
    </xf>
    <xf numFmtId="0" fontId="30" fillId="2" borderId="1" xfId="0" applyNumberFormat="1" applyFont="1" applyFill="1" applyBorder="1" applyAlignment="1">
      <alignment horizontal="center" vertical="top" wrapText="1"/>
    </xf>
    <xf numFmtId="1" fontId="30" fillId="2" borderId="39" xfId="0" applyNumberFormat="1" applyFont="1" applyFill="1" applyBorder="1" applyAlignment="1">
      <alignment horizontal="center" vertical="top" wrapText="1"/>
    </xf>
    <xf numFmtId="1" fontId="7" fillId="9" borderId="3" xfId="0" applyNumberFormat="1" applyFont="1" applyFill="1" applyBorder="1" applyAlignment="1">
      <alignment horizontal="center" vertical="top" wrapText="1"/>
    </xf>
    <xf numFmtId="1" fontId="7" fillId="9" borderId="8" xfId="0" applyNumberFormat="1" applyFont="1" applyFill="1" applyBorder="1" applyAlignment="1">
      <alignment horizontal="center" vertical="top" wrapText="1"/>
    </xf>
    <xf numFmtId="1" fontId="7" fillId="9" borderId="1" xfId="0" applyNumberFormat="1" applyFont="1" applyFill="1" applyBorder="1" applyAlignment="1">
      <alignment horizontal="center" vertical="top" wrapText="1"/>
    </xf>
    <xf numFmtId="1" fontId="7" fillId="2" borderId="60" xfId="0" applyNumberFormat="1" applyFont="1" applyFill="1" applyBorder="1" applyAlignment="1">
      <alignment horizontal="center" vertical="top"/>
    </xf>
    <xf numFmtId="1" fontId="7" fillId="2" borderId="53" xfId="0" applyNumberFormat="1" applyFont="1" applyFill="1" applyBorder="1" applyAlignment="1">
      <alignment horizontal="center" vertical="top" wrapText="1"/>
    </xf>
    <xf numFmtId="2" fontId="7" fillId="2" borderId="7" xfId="0" applyNumberFormat="1" applyFont="1" applyFill="1" applyBorder="1" applyAlignment="1">
      <alignment horizontal="center" vertical="top" wrapText="1"/>
    </xf>
    <xf numFmtId="2" fontId="7" fillId="2" borderId="43" xfId="0" applyNumberFormat="1" applyFont="1" applyFill="1" applyBorder="1" applyAlignment="1">
      <alignment horizontal="center" vertical="top" wrapText="1"/>
    </xf>
    <xf numFmtId="1" fontId="7" fillId="2" borderId="8" xfId="0" applyNumberFormat="1" applyFont="1" applyFill="1" applyBorder="1" applyAlignment="1">
      <alignment horizontal="center" vertical="top" wrapText="1"/>
    </xf>
    <xf numFmtId="0" fontId="7" fillId="2" borderId="1" xfId="0" applyNumberFormat="1" applyFont="1" applyFill="1" applyBorder="1" applyAlignment="1">
      <alignment horizontal="center" vertical="top" wrapText="1"/>
    </xf>
    <xf numFmtId="0" fontId="7" fillId="2" borderId="2" xfId="0" applyNumberFormat="1" applyFont="1" applyFill="1" applyBorder="1" applyAlignment="1">
      <alignment horizontal="center" vertical="top" wrapText="1"/>
    </xf>
    <xf numFmtId="1" fontId="7" fillId="2" borderId="57" xfId="0" applyNumberFormat="1" applyFont="1" applyFill="1" applyBorder="1" applyAlignment="1">
      <alignment horizontal="center" vertical="top" wrapText="1"/>
    </xf>
    <xf numFmtId="0" fontId="7" fillId="2" borderId="44" xfId="0" applyNumberFormat="1" applyFont="1" applyFill="1" applyBorder="1" applyAlignment="1">
      <alignment horizontal="center" vertical="top" wrapText="1"/>
    </xf>
    <xf numFmtId="2" fontId="7" fillId="3" borderId="8" xfId="0" applyNumberFormat="1" applyFont="1" applyFill="1" applyBorder="1" applyAlignment="1">
      <alignment horizontal="center" vertical="top" wrapText="1"/>
    </xf>
    <xf numFmtId="1" fontId="7" fillId="2" borderId="7" xfId="0" applyNumberFormat="1" applyFont="1" applyFill="1" applyBorder="1" applyAlignment="1">
      <alignment horizontal="center" vertical="top" wrapText="1"/>
    </xf>
    <xf numFmtId="1" fontId="7" fillId="2" borderId="43" xfId="0" applyNumberFormat="1" applyFont="1" applyFill="1" applyBorder="1" applyAlignment="1">
      <alignment horizontal="center" vertical="top" wrapText="1"/>
    </xf>
    <xf numFmtId="2" fontId="7" fillId="2" borderId="13" xfId="0" applyNumberFormat="1" applyFont="1" applyFill="1" applyBorder="1" applyAlignment="1">
      <alignment horizontal="center" vertical="top" wrapText="1"/>
    </xf>
    <xf numFmtId="1" fontId="7" fillId="2" borderId="54" xfId="0" applyNumberFormat="1" applyFont="1" applyFill="1" applyBorder="1" applyAlignment="1">
      <alignment horizontal="center" vertical="top" wrapText="1"/>
    </xf>
    <xf numFmtId="1" fontId="7" fillId="2" borderId="39" xfId="0" applyNumberFormat="1" applyFont="1" applyFill="1" applyBorder="1" applyAlignment="1">
      <alignment horizontal="center" vertical="top" wrapText="1"/>
    </xf>
    <xf numFmtId="1" fontId="7" fillId="2" borderId="47" xfId="0" applyNumberFormat="1" applyFont="1" applyFill="1" applyBorder="1" applyAlignment="1">
      <alignment horizontal="center" vertical="top" wrapText="1"/>
    </xf>
    <xf numFmtId="1" fontId="7" fillId="0" borderId="0" xfId="0" applyNumberFormat="1" applyFont="1" applyAlignment="1">
      <alignment horizontal="center" vertical="top" wrapText="1"/>
    </xf>
    <xf numFmtId="1" fontId="7" fillId="2" borderId="6" xfId="0" applyNumberFormat="1" applyFont="1" applyFill="1" applyBorder="1" applyAlignment="1">
      <alignment horizontal="center" vertical="top" wrapText="1"/>
    </xf>
    <xf numFmtId="1" fontId="7" fillId="2" borderId="45" xfId="0" applyNumberFormat="1" applyFont="1" applyFill="1" applyBorder="1" applyAlignment="1">
      <alignment horizontal="center" vertical="top" wrapText="1"/>
    </xf>
    <xf numFmtId="1" fontId="7" fillId="2" borderId="14" xfId="0" applyNumberFormat="1" applyFont="1" applyFill="1" applyBorder="1" applyAlignment="1">
      <alignment horizontal="center" vertical="top" wrapText="1"/>
    </xf>
    <xf numFmtId="1" fontId="7" fillId="2" borderId="12" xfId="0" applyNumberFormat="1" applyFont="1" applyFill="1" applyBorder="1" applyAlignment="1">
      <alignment horizontal="center" vertical="top" wrapText="1"/>
    </xf>
    <xf numFmtId="2" fontId="7" fillId="3" borderId="4" xfId="0" applyNumberFormat="1" applyFont="1" applyFill="1" applyBorder="1" applyAlignment="1">
      <alignment horizontal="center" vertical="top" wrapText="1"/>
    </xf>
    <xf numFmtId="1" fontId="7" fillId="0" borderId="7" xfId="0" applyNumberFormat="1" applyFont="1" applyBorder="1" applyAlignment="1">
      <alignment horizontal="center" vertical="top" wrapText="1"/>
    </xf>
    <xf numFmtId="1" fontId="7" fillId="2" borderId="51" xfId="0" applyNumberFormat="1" applyFont="1" applyFill="1" applyBorder="1" applyAlignment="1">
      <alignment horizontal="center" vertical="top" wrapText="1"/>
    </xf>
    <xf numFmtId="2" fontId="7" fillId="2" borderId="56" xfId="0" applyNumberFormat="1" applyFont="1" applyFill="1" applyBorder="1" applyAlignment="1">
      <alignment horizontal="center" vertical="top"/>
    </xf>
    <xf numFmtId="2" fontId="7" fillId="2" borderId="13" xfId="0" applyNumberFormat="1" applyFont="1" applyFill="1" applyBorder="1" applyAlignment="1">
      <alignment horizontal="center" vertical="top"/>
    </xf>
    <xf numFmtId="1" fontId="7" fillId="2" borderId="46" xfId="0" applyNumberFormat="1" applyFont="1" applyFill="1" applyBorder="1" applyAlignment="1">
      <alignment horizontal="center" vertical="top" wrapText="1"/>
    </xf>
    <xf numFmtId="2" fontId="7" fillId="2" borderId="55" xfId="0" applyNumberFormat="1" applyFont="1" applyFill="1" applyBorder="1" applyAlignment="1">
      <alignment horizontal="center" vertical="top" wrapText="1"/>
    </xf>
    <xf numFmtId="1" fontId="7" fillId="2" borderId="40" xfId="0" applyNumberFormat="1" applyFont="1" applyFill="1" applyBorder="1" applyAlignment="1">
      <alignment horizontal="center" vertical="top" wrapText="1"/>
    </xf>
    <xf numFmtId="1" fontId="7" fillId="2" borderId="13" xfId="0" applyNumberFormat="1" applyFont="1" applyFill="1" applyBorder="1" applyAlignment="1">
      <alignment horizontal="center" vertical="top" wrapText="1"/>
    </xf>
    <xf numFmtId="2" fontId="7" fillId="0" borderId="39" xfId="0" applyNumberFormat="1" applyFont="1" applyBorder="1" applyAlignment="1">
      <alignment horizontal="center" vertical="top" wrapText="1"/>
    </xf>
    <xf numFmtId="2" fontId="7" fillId="0" borderId="0" xfId="0" applyNumberFormat="1" applyFont="1" applyFill="1" applyBorder="1" applyAlignment="1">
      <alignment horizontal="center" vertical="top"/>
    </xf>
    <xf numFmtId="1" fontId="7" fillId="2" borderId="60" xfId="0" applyNumberFormat="1" applyFont="1" applyFill="1" applyBorder="1" applyAlignment="1">
      <alignment horizontal="center" vertical="top" wrapText="1"/>
    </xf>
    <xf numFmtId="2" fontId="7" fillId="0" borderId="41" xfId="0" applyNumberFormat="1" applyFont="1" applyFill="1" applyBorder="1" applyAlignment="1">
      <alignment horizontal="center" vertical="top" wrapText="1"/>
    </xf>
    <xf numFmtId="0" fontId="7" fillId="2" borderId="51" xfId="0" applyNumberFormat="1" applyFont="1" applyFill="1" applyBorder="1" applyAlignment="1">
      <alignment horizontal="center" vertical="top" wrapText="1"/>
    </xf>
    <xf numFmtId="0" fontId="7" fillId="2" borderId="46" xfId="0" applyNumberFormat="1" applyFont="1" applyFill="1" applyBorder="1" applyAlignment="1">
      <alignment horizontal="center" vertical="top" wrapText="1"/>
    </xf>
    <xf numFmtId="2" fontId="7" fillId="0" borderId="4" xfId="0" applyNumberFormat="1" applyFont="1" applyFill="1" applyBorder="1" applyAlignment="1">
      <alignment horizontal="center" vertical="top" wrapText="1"/>
    </xf>
    <xf numFmtId="0" fontId="7" fillId="2" borderId="40" xfId="0" applyNumberFormat="1" applyFont="1" applyFill="1" applyBorder="1" applyAlignment="1">
      <alignment horizontal="center" vertical="top" wrapText="1"/>
    </xf>
    <xf numFmtId="0" fontId="7" fillId="2" borderId="39" xfId="0" applyNumberFormat="1" applyFont="1" applyFill="1" applyBorder="1" applyAlignment="1">
      <alignment horizontal="center" vertical="top" wrapText="1"/>
    </xf>
    <xf numFmtId="2" fontId="7" fillId="4" borderId="4" xfId="0" applyNumberFormat="1" applyFont="1" applyFill="1" applyBorder="1" applyAlignment="1">
      <alignment horizontal="center" vertical="top" wrapText="1"/>
    </xf>
    <xf numFmtId="1" fontId="7" fillId="0" borderId="0" xfId="0" applyNumberFormat="1" applyFont="1" applyFill="1" applyAlignment="1">
      <alignment horizontal="center" vertical="top"/>
    </xf>
    <xf numFmtId="2" fontId="7" fillId="2" borderId="50" xfId="0" applyNumberFormat="1" applyFont="1" applyFill="1" applyBorder="1" applyAlignment="1">
      <alignment horizontal="center" vertical="top"/>
    </xf>
    <xf numFmtId="2" fontId="7" fillId="2" borderId="57" xfId="0" applyNumberFormat="1" applyFont="1" applyFill="1" applyBorder="1" applyAlignment="1">
      <alignment horizontal="center" vertical="top"/>
    </xf>
    <xf numFmtId="0" fontId="7" fillId="0" borderId="12" xfId="0" applyFont="1" applyFill="1" applyBorder="1" applyAlignment="1">
      <alignment horizontal="center" vertical="top" wrapText="1"/>
    </xf>
    <xf numFmtId="2" fontId="7" fillId="3" borderId="26" xfId="0" applyNumberFormat="1" applyFont="1" applyFill="1" applyBorder="1" applyAlignment="1">
      <alignment horizontal="center" vertical="top" wrapText="1"/>
    </xf>
    <xf numFmtId="2" fontId="7" fillId="3" borderId="57" xfId="0" applyNumberFormat="1" applyFont="1" applyFill="1" applyBorder="1" applyAlignment="1">
      <alignment horizontal="center" vertical="top"/>
    </xf>
    <xf numFmtId="0" fontId="49" fillId="0" borderId="44" xfId="0" applyFont="1" applyFill="1" applyBorder="1" applyAlignment="1">
      <alignment horizontal="center" vertical="top" wrapText="1"/>
    </xf>
    <xf numFmtId="1" fontId="7" fillId="2" borderId="40" xfId="0" applyNumberFormat="1" applyFont="1" applyFill="1" applyBorder="1" applyAlignment="1">
      <alignment horizontal="center" vertical="top"/>
    </xf>
    <xf numFmtId="2" fontId="7" fillId="0" borderId="39" xfId="0" applyNumberFormat="1" applyFont="1" applyFill="1" applyBorder="1" applyAlignment="1">
      <alignment horizontal="center" vertical="top" wrapText="1"/>
    </xf>
    <xf numFmtId="2" fontId="7" fillId="2" borderId="57" xfId="0" applyNumberFormat="1" applyFont="1" applyFill="1" applyBorder="1" applyAlignment="1" applyProtection="1">
      <alignment horizontal="center" vertical="top" wrapText="1"/>
    </xf>
    <xf numFmtId="2" fontId="7" fillId="2" borderId="43" xfId="0" applyNumberFormat="1" applyFont="1" applyFill="1" applyBorder="1" applyAlignment="1" applyProtection="1">
      <alignment horizontal="center" vertical="top" wrapText="1"/>
    </xf>
    <xf numFmtId="1" fontId="7" fillId="2" borderId="0" xfId="0" applyNumberFormat="1" applyFont="1" applyFill="1" applyBorder="1" applyAlignment="1">
      <alignment horizontal="center" vertical="top"/>
    </xf>
    <xf numFmtId="2" fontId="7" fillId="2" borderId="0" xfId="0" applyNumberFormat="1" applyFont="1" applyFill="1" applyBorder="1" applyAlignment="1">
      <alignment horizontal="center" vertical="top"/>
    </xf>
    <xf numFmtId="1" fontId="29" fillId="0" borderId="2" xfId="0" applyNumberFormat="1" applyFont="1" applyFill="1" applyBorder="1" applyAlignment="1">
      <alignment horizontal="center" vertical="top" wrapText="1"/>
    </xf>
    <xf numFmtId="2" fontId="29" fillId="2" borderId="8" xfId="0" applyNumberFormat="1" applyFont="1" applyFill="1" applyBorder="1" applyAlignment="1">
      <alignment horizontal="center" vertical="top"/>
    </xf>
    <xf numFmtId="2" fontId="29" fillId="2" borderId="7" xfId="0" applyNumberFormat="1" applyFont="1" applyFill="1" applyBorder="1" applyAlignment="1">
      <alignment horizontal="center" vertical="top"/>
    </xf>
    <xf numFmtId="2" fontId="29" fillId="2" borderId="43" xfId="0" applyNumberFormat="1" applyFont="1" applyFill="1" applyBorder="1" applyAlignment="1">
      <alignment horizontal="center" vertical="top"/>
    </xf>
    <xf numFmtId="1" fontId="29" fillId="0" borderId="40" xfId="0" applyNumberFormat="1" applyFont="1" applyFill="1" applyBorder="1" applyAlignment="1">
      <alignment horizontal="center" vertical="top" wrapText="1"/>
    </xf>
    <xf numFmtId="1" fontId="29" fillId="2" borderId="40" xfId="0" applyNumberFormat="1" applyFont="1" applyFill="1" applyBorder="1" applyAlignment="1">
      <alignment horizontal="center" vertical="top" wrapText="1"/>
    </xf>
    <xf numFmtId="2" fontId="29" fillId="3" borderId="30" xfId="0" applyNumberFormat="1" applyFont="1" applyFill="1" applyBorder="1" applyAlignment="1">
      <alignment horizontal="center" vertical="top"/>
    </xf>
    <xf numFmtId="1" fontId="29" fillId="2" borderId="8" xfId="0" applyNumberFormat="1" applyFont="1" applyFill="1" applyBorder="1" applyAlignment="1">
      <alignment horizontal="center" vertical="top"/>
    </xf>
    <xf numFmtId="2" fontId="29" fillId="3" borderId="19" xfId="0" applyNumberFormat="1" applyFont="1" applyFill="1" applyBorder="1" applyAlignment="1">
      <alignment horizontal="center" vertical="top"/>
    </xf>
    <xf numFmtId="1" fontId="29" fillId="2" borderId="57" xfId="0" applyNumberFormat="1" applyFont="1" applyFill="1" applyBorder="1" applyAlignment="1">
      <alignment horizontal="center" vertical="top"/>
    </xf>
    <xf numFmtId="1" fontId="29" fillId="2" borderId="55" xfId="0" applyNumberFormat="1" applyFont="1" applyFill="1" applyBorder="1" applyAlignment="1">
      <alignment horizontal="center" vertical="top"/>
    </xf>
    <xf numFmtId="1" fontId="29" fillId="2" borderId="13" xfId="0" applyNumberFormat="1" applyFont="1" applyFill="1" applyBorder="1" applyAlignment="1">
      <alignment horizontal="center" vertical="top" wrapText="1"/>
    </xf>
    <xf numFmtId="2" fontId="29" fillId="3" borderId="59" xfId="0" applyNumberFormat="1" applyFont="1" applyFill="1" applyBorder="1" applyAlignment="1">
      <alignment horizontal="center" vertical="top"/>
    </xf>
    <xf numFmtId="1" fontId="29" fillId="2" borderId="3" xfId="0" applyNumberFormat="1" applyFont="1" applyFill="1" applyBorder="1" applyAlignment="1">
      <alignment horizontal="center" vertical="top"/>
    </xf>
    <xf numFmtId="1" fontId="29" fillId="2" borderId="1" xfId="0" applyNumberFormat="1" applyFont="1" applyFill="1" applyBorder="1" applyAlignment="1">
      <alignment horizontal="center" vertical="top"/>
    </xf>
    <xf numFmtId="1" fontId="29" fillId="2" borderId="2" xfId="0" applyNumberFormat="1" applyFont="1" applyFill="1" applyBorder="1" applyAlignment="1">
      <alignment horizontal="center" vertical="top"/>
    </xf>
    <xf numFmtId="1" fontId="29" fillId="2" borderId="44" xfId="0" applyNumberFormat="1" applyFont="1" applyFill="1" applyBorder="1" applyAlignment="1">
      <alignment horizontal="center" vertical="top"/>
    </xf>
    <xf numFmtId="1" fontId="7" fillId="2" borderId="7" xfId="0" applyNumberFormat="1" applyFont="1" applyFill="1" applyBorder="1" applyAlignment="1">
      <alignment horizontal="center" vertical="top"/>
    </xf>
    <xf numFmtId="1" fontId="29" fillId="0" borderId="0" xfId="0" applyNumberFormat="1" applyFont="1" applyAlignment="1">
      <alignment horizontal="center" vertical="top"/>
    </xf>
    <xf numFmtId="2" fontId="29" fillId="0" borderId="0" xfId="0" applyNumberFormat="1" applyFont="1" applyAlignment="1">
      <alignment horizontal="center" vertical="top"/>
    </xf>
    <xf numFmtId="1" fontId="29" fillId="0" borderId="0" xfId="0" applyNumberFormat="1" applyFont="1" applyBorder="1" applyAlignment="1">
      <alignment horizontal="center" vertical="top"/>
    </xf>
    <xf numFmtId="2" fontId="29" fillId="0" borderId="0" xfId="0" applyNumberFormat="1" applyFont="1" applyBorder="1" applyAlignment="1">
      <alignment horizontal="center" vertical="top"/>
    </xf>
    <xf numFmtId="1" fontId="27" fillId="2" borderId="1" xfId="0" applyNumberFormat="1" applyFont="1" applyFill="1" applyBorder="1" applyAlignment="1">
      <alignment horizontal="center" vertical="top"/>
    </xf>
    <xf numFmtId="2" fontId="27" fillId="3" borderId="19" xfId="0" applyNumberFormat="1" applyFont="1" applyFill="1" applyBorder="1" applyAlignment="1">
      <alignment horizontal="center" vertical="top" wrapText="1"/>
    </xf>
    <xf numFmtId="2" fontId="27" fillId="2" borderId="7" xfId="0" applyNumberFormat="1" applyFont="1" applyFill="1" applyBorder="1" applyAlignment="1">
      <alignment horizontal="center" vertical="top"/>
    </xf>
    <xf numFmtId="2" fontId="27" fillId="3" borderId="4" xfId="0" applyNumberFormat="1" applyFont="1" applyFill="1" applyBorder="1" applyAlignment="1">
      <alignment horizontal="center" vertical="top" wrapText="1"/>
    </xf>
    <xf numFmtId="1" fontId="27" fillId="2" borderId="11" xfId="0" applyNumberFormat="1" applyFont="1" applyFill="1" applyBorder="1" applyAlignment="1">
      <alignment horizontal="center" vertical="top"/>
    </xf>
    <xf numFmtId="1" fontId="27" fillId="2" borderId="3" xfId="0" applyNumberFormat="1" applyFont="1" applyFill="1" applyBorder="1" applyAlignment="1">
      <alignment horizontal="center" vertical="top"/>
    </xf>
    <xf numFmtId="1" fontId="27" fillId="2" borderId="51" xfId="0" applyNumberFormat="1" applyFont="1" applyFill="1" applyBorder="1" applyAlignment="1">
      <alignment horizontal="center" vertical="top"/>
    </xf>
    <xf numFmtId="1" fontId="27" fillId="2" borderId="46" xfId="0" applyNumberFormat="1" applyFont="1" applyFill="1" applyBorder="1" applyAlignment="1">
      <alignment horizontal="center" vertical="top"/>
    </xf>
    <xf numFmtId="1" fontId="27" fillId="2" borderId="11" xfId="0" applyNumberFormat="1" applyFont="1" applyFill="1" applyBorder="1" applyAlignment="1">
      <alignment horizontal="center" vertical="top" wrapText="1"/>
    </xf>
    <xf numFmtId="1" fontId="27" fillId="2" borderId="3" xfId="0" applyNumberFormat="1" applyFont="1" applyFill="1" applyBorder="1" applyAlignment="1">
      <alignment horizontal="center" vertical="top" wrapText="1"/>
    </xf>
    <xf numFmtId="2" fontId="27" fillId="2" borderId="9" xfId="0" applyNumberFormat="1" applyFont="1" applyFill="1" applyBorder="1" applyAlignment="1">
      <alignment horizontal="center" vertical="top" wrapText="1"/>
    </xf>
    <xf numFmtId="1" fontId="27" fillId="2" borderId="56" xfId="0" applyNumberFormat="1" applyFont="1" applyFill="1" applyBorder="1" applyAlignment="1">
      <alignment horizontal="center" vertical="top" wrapText="1"/>
    </xf>
    <xf numFmtId="1" fontId="27" fillId="2" borderId="57" xfId="0" applyNumberFormat="1" applyFont="1" applyFill="1" applyBorder="1" applyAlignment="1">
      <alignment horizontal="center" vertical="top" wrapText="1"/>
    </xf>
    <xf numFmtId="2" fontId="27" fillId="2" borderId="8" xfId="0" applyNumberFormat="1" applyFont="1" applyFill="1" applyBorder="1" applyAlignment="1">
      <alignment horizontal="center" vertical="top" wrapText="1"/>
    </xf>
    <xf numFmtId="2" fontId="27" fillId="2" borderId="7" xfId="0" applyNumberFormat="1" applyFont="1" applyFill="1" applyBorder="1" applyAlignment="1">
      <alignment horizontal="center" vertical="top" wrapText="1"/>
    </xf>
    <xf numFmtId="1" fontId="27" fillId="2" borderId="45" xfId="0" applyNumberFormat="1" applyFont="1" applyFill="1" applyBorder="1" applyAlignment="1">
      <alignment horizontal="center" vertical="top" wrapText="1"/>
    </xf>
    <xf numFmtId="2" fontId="27" fillId="2" borderId="43" xfId="0" applyNumberFormat="1" applyFont="1" applyFill="1" applyBorder="1" applyAlignment="1">
      <alignment horizontal="center" vertical="top" wrapText="1"/>
    </xf>
    <xf numFmtId="1" fontId="27" fillId="2" borderId="5" xfId="0" applyNumberFormat="1" applyFont="1" applyFill="1" applyBorder="1" applyAlignment="1">
      <alignment horizontal="center" vertical="top" wrapText="1"/>
    </xf>
    <xf numFmtId="2" fontId="27" fillId="2" borderId="0" xfId="0" applyNumberFormat="1" applyFont="1" applyFill="1" applyBorder="1" applyAlignment="1">
      <alignment horizontal="center" vertical="top" wrapText="1"/>
    </xf>
    <xf numFmtId="1" fontId="27" fillId="2" borderId="8" xfId="0" applyNumberFormat="1" applyFont="1" applyFill="1" applyBorder="1" applyAlignment="1">
      <alignment horizontal="center" vertical="top" wrapText="1"/>
    </xf>
    <xf numFmtId="1" fontId="27" fillId="2" borderId="7" xfId="0" applyNumberFormat="1" applyFont="1" applyFill="1" applyBorder="1" applyAlignment="1">
      <alignment horizontal="center" vertical="top" wrapText="1"/>
    </xf>
    <xf numFmtId="0" fontId="27" fillId="0" borderId="46" xfId="0" applyFont="1" applyBorder="1" applyAlignment="1">
      <alignment horizontal="center" vertical="top" wrapText="1"/>
    </xf>
    <xf numFmtId="2" fontId="27" fillId="2" borderId="13" xfId="0" applyNumberFormat="1" applyFont="1" applyFill="1" applyBorder="1" applyAlignment="1">
      <alignment horizontal="center" vertical="top" wrapText="1"/>
    </xf>
    <xf numFmtId="1" fontId="27" fillId="2" borderId="43" xfId="0" applyNumberFormat="1" applyFont="1" applyFill="1" applyBorder="1" applyAlignment="1">
      <alignment horizontal="center" vertical="top" wrapText="1"/>
    </xf>
    <xf numFmtId="1" fontId="27" fillId="2" borderId="39" xfId="0" applyNumberFormat="1" applyFont="1" applyFill="1" applyBorder="1" applyAlignment="1">
      <alignment horizontal="center" vertical="top" wrapText="1"/>
    </xf>
    <xf numFmtId="2" fontId="27" fillId="0" borderId="0" xfId="0" applyNumberFormat="1" applyFont="1" applyBorder="1" applyAlignment="1">
      <alignment horizontal="center" vertical="top" wrapText="1"/>
    </xf>
    <xf numFmtId="2" fontId="27" fillId="0" borderId="0" xfId="0" applyNumberFormat="1" applyFont="1" applyAlignment="1">
      <alignment horizontal="center" vertical="top" wrapText="1"/>
    </xf>
    <xf numFmtId="0" fontId="7" fillId="0" borderId="9" xfId="0" applyFont="1" applyFill="1" applyBorder="1" applyAlignment="1">
      <alignment horizontal="center" vertical="top" wrapText="1"/>
    </xf>
    <xf numFmtId="2" fontId="29" fillId="2" borderId="11" xfId="0" applyNumberFormat="1" applyFont="1" applyFill="1" applyBorder="1" applyAlignment="1">
      <alignment horizontal="center" vertical="top" wrapText="1"/>
    </xf>
    <xf numFmtId="0" fontId="29" fillId="0" borderId="43" xfId="0" applyFont="1" applyFill="1" applyBorder="1" applyAlignment="1">
      <alignment horizontal="center" vertical="top" wrapText="1"/>
    </xf>
    <xf numFmtId="1" fontId="29" fillId="0" borderId="12" xfId="0" applyNumberFormat="1" applyFont="1" applyFill="1" applyBorder="1" applyAlignment="1">
      <alignment horizontal="center" vertical="top" wrapText="1"/>
    </xf>
    <xf numFmtId="0" fontId="29" fillId="2" borderId="11" xfId="0" applyNumberFormat="1" applyFont="1" applyFill="1" applyBorder="1" applyAlignment="1">
      <alignment horizontal="center" vertical="top" wrapText="1"/>
    </xf>
    <xf numFmtId="0" fontId="29" fillId="2" borderId="14" xfId="0" applyNumberFormat="1" applyFont="1" applyFill="1" applyBorder="1" applyAlignment="1">
      <alignment horizontal="center" vertical="top" wrapText="1"/>
    </xf>
    <xf numFmtId="0" fontId="29" fillId="0" borderId="1" xfId="0" applyFont="1" applyBorder="1" applyAlignment="1">
      <alignment horizontal="center" vertical="top" wrapText="1"/>
    </xf>
    <xf numFmtId="0" fontId="29" fillId="0" borderId="2" xfId="0" applyFont="1" applyBorder="1" applyAlignment="1">
      <alignment horizontal="center" vertical="top" wrapText="1"/>
    </xf>
    <xf numFmtId="49" fontId="29" fillId="0" borderId="1" xfId="0" applyNumberFormat="1" applyFont="1" applyFill="1" applyBorder="1" applyAlignment="1">
      <alignment horizontal="center" vertical="top" wrapText="1"/>
    </xf>
    <xf numFmtId="0" fontId="29" fillId="0" borderId="39" xfId="0" applyFont="1" applyFill="1" applyBorder="1" applyAlignment="1">
      <alignment horizontal="center" vertical="top" wrapText="1"/>
    </xf>
    <xf numFmtId="0" fontId="49" fillId="0" borderId="18" xfId="0" applyNumberFormat="1" applyFont="1" applyBorder="1" applyAlignment="1">
      <alignment vertical="top" wrapText="1"/>
    </xf>
    <xf numFmtId="0" fontId="49" fillId="0" borderId="21" xfId="0" applyNumberFormat="1" applyFont="1" applyBorder="1" applyAlignment="1">
      <alignment vertical="top" wrapText="1"/>
    </xf>
    <xf numFmtId="2" fontId="7" fillId="11" borderId="4" xfId="0" applyNumberFormat="1" applyFont="1" applyFill="1" applyBorder="1" applyAlignment="1">
      <alignment horizontal="center" vertical="top" wrapText="1"/>
    </xf>
    <xf numFmtId="0" fontId="7" fillId="2" borderId="7" xfId="0" applyFont="1" applyFill="1" applyBorder="1" applyAlignment="1">
      <alignment horizontal="center" vertical="top" wrapText="1"/>
    </xf>
    <xf numFmtId="0" fontId="7" fillId="2" borderId="60" xfId="0" applyFont="1" applyFill="1" applyBorder="1" applyAlignment="1">
      <alignment horizontal="center" vertical="top" wrapText="1"/>
    </xf>
    <xf numFmtId="2" fontId="29" fillId="0" borderId="13" xfId="0" applyNumberFormat="1" applyFont="1" applyFill="1" applyBorder="1" applyAlignment="1">
      <alignment horizontal="center" vertical="top" wrapText="1"/>
    </xf>
    <xf numFmtId="2" fontId="29" fillId="0" borderId="40" xfId="0" applyNumberFormat="1" applyFont="1" applyFill="1" applyBorder="1" applyAlignment="1">
      <alignment horizontal="center" vertical="top" wrapText="1"/>
    </xf>
    <xf numFmtId="0" fontId="8" fillId="0" borderId="0" xfId="0" applyFont="1" applyAlignment="1">
      <alignment wrapText="1"/>
    </xf>
    <xf numFmtId="0" fontId="8" fillId="0" borderId="0" xfId="0" applyFont="1" applyAlignment="1">
      <alignment horizontal="center" wrapText="1"/>
    </xf>
    <xf numFmtId="49" fontId="49" fillId="0" borderId="18" xfId="0" applyNumberFormat="1" applyFont="1" applyBorder="1" applyAlignment="1">
      <alignment vertical="top" wrapText="1"/>
    </xf>
    <xf numFmtId="2" fontId="0" fillId="0" borderId="0" xfId="0" applyNumberFormat="1">
      <alignment vertical="top"/>
    </xf>
    <xf numFmtId="0" fontId="0" fillId="0" borderId="0" xfId="0" applyNumberFormat="1">
      <alignment vertical="top"/>
    </xf>
    <xf numFmtId="1" fontId="0" fillId="0" borderId="0" xfId="0" applyNumberFormat="1">
      <alignment vertical="top"/>
    </xf>
    <xf numFmtId="2" fontId="12" fillId="0" borderId="52" xfId="0" applyNumberFormat="1" applyFont="1" applyFill="1" applyBorder="1">
      <alignment vertical="top"/>
    </xf>
    <xf numFmtId="2" fontId="12" fillId="0" borderId="34" xfId="0" applyNumberFormat="1" applyFont="1" applyFill="1" applyBorder="1">
      <alignment vertical="top"/>
    </xf>
    <xf numFmtId="2" fontId="12" fillId="0" borderId="49" xfId="0" applyNumberFormat="1" applyFont="1" applyFill="1" applyBorder="1">
      <alignment vertical="top"/>
    </xf>
    <xf numFmtId="2" fontId="12" fillId="0" borderId="33" xfId="0" applyNumberFormat="1" applyFont="1" applyFill="1" applyBorder="1">
      <alignment vertical="top"/>
    </xf>
    <xf numFmtId="2" fontId="12" fillId="0" borderId="38" xfId="0" applyNumberFormat="1" applyFont="1" applyFill="1" applyBorder="1">
      <alignment vertical="top"/>
    </xf>
    <xf numFmtId="0" fontId="27" fillId="0" borderId="76" xfId="0" applyFont="1" applyBorder="1" applyAlignment="1">
      <alignment horizontal="center" vertical="top" wrapText="1"/>
    </xf>
    <xf numFmtId="1" fontId="27" fillId="2" borderId="76" xfId="0" applyNumberFormat="1" applyFont="1" applyFill="1" applyBorder="1" applyAlignment="1">
      <alignment horizontal="center" vertical="top" wrapText="1"/>
    </xf>
    <xf numFmtId="2" fontId="27" fillId="2" borderId="75" xfId="0" applyNumberFormat="1" applyFont="1" applyFill="1" applyBorder="1" applyAlignment="1">
      <alignment horizontal="center" vertical="top" wrapText="1"/>
    </xf>
    <xf numFmtId="0" fontId="27" fillId="0" borderId="74" xfId="0" applyFont="1" applyBorder="1" applyAlignment="1">
      <alignment horizontal="center" vertical="top" wrapText="1"/>
    </xf>
    <xf numFmtId="1" fontId="27" fillId="2" borderId="74" xfId="0" applyNumberFormat="1" applyFont="1" applyFill="1" applyBorder="1" applyAlignment="1">
      <alignment horizontal="center" vertical="top" wrapText="1"/>
    </xf>
    <xf numFmtId="2" fontId="27" fillId="2" borderId="74" xfId="0" applyNumberFormat="1" applyFont="1" applyFill="1" applyBorder="1" applyAlignment="1">
      <alignment horizontal="center" vertical="top" wrapText="1"/>
    </xf>
    <xf numFmtId="1" fontId="7" fillId="9" borderId="11" xfId="0" applyNumberFormat="1" applyFont="1" applyFill="1" applyBorder="1" applyAlignment="1">
      <alignment horizontal="center" vertical="top" wrapText="1"/>
    </xf>
    <xf numFmtId="1" fontId="7" fillId="0" borderId="7" xfId="0" applyNumberFormat="1" applyFont="1" applyFill="1" applyBorder="1" applyAlignment="1">
      <alignment horizontal="center" vertical="top" wrapText="1"/>
    </xf>
    <xf numFmtId="1" fontId="7" fillId="0" borderId="3" xfId="0" applyNumberFormat="1" applyFont="1" applyBorder="1" applyAlignment="1">
      <alignment horizontal="center" vertical="top" wrapText="1"/>
    </xf>
    <xf numFmtId="1" fontId="7" fillId="0" borderId="6" xfId="0" applyNumberFormat="1" applyFont="1" applyFill="1" applyBorder="1" applyAlignment="1">
      <alignment horizontal="center" vertical="top" wrapText="1"/>
    </xf>
    <xf numFmtId="1" fontId="7" fillId="0" borderId="40" xfId="0" applyNumberFormat="1" applyFont="1" applyBorder="1" applyAlignment="1">
      <alignment horizontal="center" vertical="top" wrapText="1"/>
    </xf>
    <xf numFmtId="1" fontId="30" fillId="2" borderId="57" xfId="0" applyNumberFormat="1" applyFont="1" applyFill="1" applyBorder="1" applyAlignment="1" applyProtection="1">
      <alignment horizontal="center" vertical="top" wrapText="1"/>
    </xf>
    <xf numFmtId="1" fontId="30" fillId="2" borderId="43" xfId="0" applyNumberFormat="1" applyFont="1" applyFill="1" applyBorder="1" applyAlignment="1" applyProtection="1">
      <alignment horizontal="center" vertical="top" wrapText="1"/>
    </xf>
    <xf numFmtId="1" fontId="29" fillId="0" borderId="76" xfId="0" applyNumberFormat="1" applyFont="1" applyBorder="1" applyAlignment="1">
      <alignment horizontal="center" vertical="top" wrapText="1"/>
    </xf>
    <xf numFmtId="1" fontId="7" fillId="2" borderId="76" xfId="0" applyNumberFormat="1" applyFont="1" applyFill="1" applyBorder="1" applyAlignment="1">
      <alignment horizontal="center" vertical="top"/>
    </xf>
    <xf numFmtId="1" fontId="29" fillId="2" borderId="76" xfId="0" applyNumberFormat="1" applyFont="1" applyFill="1" applyBorder="1" applyAlignment="1">
      <alignment horizontal="center" vertical="top" wrapText="1"/>
    </xf>
    <xf numFmtId="1" fontId="29" fillId="13" borderId="44" xfId="0" applyNumberFormat="1" applyFont="1" applyFill="1" applyBorder="1" applyAlignment="1">
      <alignment horizontal="center" vertical="top" wrapText="1"/>
    </xf>
    <xf numFmtId="164" fontId="29" fillId="3" borderId="30" xfId="0" applyNumberFormat="1" applyFont="1" applyFill="1" applyBorder="1" applyAlignment="1">
      <alignment horizontal="center" vertical="top"/>
    </xf>
    <xf numFmtId="0" fontId="33" fillId="0" borderId="0" xfId="0" applyFont="1" applyFill="1" applyBorder="1" applyAlignment="1">
      <alignment vertical="center" wrapText="1"/>
    </xf>
    <xf numFmtId="2" fontId="17" fillId="4" borderId="78" xfId="0" applyNumberFormat="1" applyFont="1" applyFill="1" applyBorder="1">
      <alignment vertical="top"/>
    </xf>
    <xf numFmtId="2" fontId="17" fillId="21" borderId="77" xfId="0" applyNumberFormat="1" applyFont="1" applyFill="1" applyBorder="1">
      <alignment vertical="top"/>
    </xf>
    <xf numFmtId="2" fontId="17" fillId="21" borderId="73" xfId="0" applyNumberFormat="1" applyFont="1" applyFill="1" applyBorder="1">
      <alignment vertical="top"/>
    </xf>
    <xf numFmtId="0" fontId="17" fillId="0" borderId="0" xfId="0" applyFont="1">
      <alignment vertical="top"/>
    </xf>
    <xf numFmtId="2" fontId="17" fillId="0" borderId="73" xfId="0" applyNumberFormat="1" applyFont="1" applyBorder="1">
      <alignment vertical="top"/>
    </xf>
    <xf numFmtId="2" fontId="17" fillId="0" borderId="0" xfId="0" applyNumberFormat="1" applyFont="1">
      <alignment vertical="top"/>
    </xf>
    <xf numFmtId="0" fontId="17" fillId="22" borderId="73" xfId="0" applyFont="1" applyFill="1" applyBorder="1">
      <alignment vertical="top"/>
    </xf>
    <xf numFmtId="0" fontId="7" fillId="0" borderId="31" xfId="0" applyFont="1" applyFill="1" applyBorder="1" applyAlignment="1">
      <alignment horizontal="left" vertical="top" wrapText="1"/>
    </xf>
    <xf numFmtId="0" fontId="7" fillId="0" borderId="20" xfId="0" applyFont="1" applyBorder="1" applyAlignment="1">
      <alignment vertical="top" wrapText="1"/>
    </xf>
    <xf numFmtId="0" fontId="7" fillId="0" borderId="12" xfId="0" applyFont="1" applyBorder="1" applyAlignment="1">
      <alignment horizontal="left" vertical="top" wrapText="1"/>
    </xf>
    <xf numFmtId="0" fontId="7" fillId="0" borderId="6" xfId="0" applyFont="1" applyBorder="1" applyAlignment="1">
      <alignment horizontal="center" vertical="top" wrapText="1"/>
    </xf>
    <xf numFmtId="0" fontId="7" fillId="0" borderId="3" xfId="0" applyFont="1" applyBorder="1" applyAlignment="1">
      <alignment horizontal="center" vertical="top" wrapText="1"/>
    </xf>
    <xf numFmtId="0" fontId="7" fillId="0" borderId="18" xfId="0" applyFont="1" applyBorder="1" applyAlignment="1">
      <alignment horizontal="left" vertical="top" wrapText="1"/>
    </xf>
    <xf numFmtId="0" fontId="7" fillId="0" borderId="21" xfId="0" applyFont="1" applyBorder="1" applyAlignment="1">
      <alignment horizontal="left" vertical="top" wrapText="1"/>
    </xf>
    <xf numFmtId="0" fontId="7" fillId="0" borderId="25" xfId="0" applyFont="1" applyBorder="1" applyAlignment="1">
      <alignment vertical="top" wrapText="1"/>
    </xf>
    <xf numFmtId="0" fontId="7" fillId="0" borderId="21" xfId="0" applyFont="1" applyBorder="1" applyAlignment="1">
      <alignment vertical="top" wrapText="1"/>
    </xf>
    <xf numFmtId="0" fontId="7" fillId="0" borderId="17" xfId="0" applyFont="1" applyBorder="1" applyAlignment="1">
      <alignment vertical="top" wrapText="1"/>
    </xf>
    <xf numFmtId="0" fontId="7" fillId="0" borderId="18" xfId="0" applyFont="1" applyFill="1" applyBorder="1" applyAlignment="1">
      <alignment vertical="top" wrapText="1"/>
    </xf>
    <xf numFmtId="1" fontId="7" fillId="0" borderId="30" xfId="0" applyNumberFormat="1" applyFont="1" applyFill="1" applyBorder="1" applyAlignment="1">
      <alignment horizontal="left" vertical="top" wrapText="1"/>
    </xf>
    <xf numFmtId="0" fontId="7" fillId="0" borderId="30" xfId="0" applyFont="1" applyBorder="1" applyAlignment="1">
      <alignment vertical="top" wrapText="1"/>
    </xf>
    <xf numFmtId="0" fontId="7" fillId="0" borderId="48" xfId="0" applyFont="1" applyBorder="1" applyAlignment="1">
      <alignment horizontal="left" vertical="top" wrapText="1"/>
    </xf>
    <xf numFmtId="0" fontId="7" fillId="0" borderId="24" xfId="0" applyFont="1" applyFill="1" applyBorder="1" applyAlignment="1">
      <alignment horizontal="left" vertical="top" wrapText="1"/>
    </xf>
    <xf numFmtId="0" fontId="7" fillId="0" borderId="23" xfId="0" applyFont="1" applyFill="1" applyBorder="1" applyAlignment="1">
      <alignment vertical="top" wrapText="1"/>
    </xf>
    <xf numFmtId="0" fontId="7" fillId="0" borderId="67" xfId="0" applyFont="1" applyFill="1" applyBorder="1" applyAlignment="1">
      <alignment horizontal="left" vertical="top" wrapText="1"/>
    </xf>
    <xf numFmtId="0" fontId="7" fillId="0" borderId="18" xfId="0" applyFont="1" applyFill="1" applyBorder="1" applyAlignment="1">
      <alignment horizontal="left" vertical="top" wrapText="1"/>
    </xf>
    <xf numFmtId="0" fontId="7" fillId="0" borderId="21" xfId="0" applyFont="1" applyFill="1" applyBorder="1" applyAlignment="1">
      <alignment horizontal="left" vertical="top" wrapText="1"/>
    </xf>
    <xf numFmtId="0" fontId="7" fillId="0" borderId="17" xfId="0" applyFont="1" applyFill="1" applyBorder="1" applyAlignment="1">
      <alignment horizontal="left" vertical="top" wrapText="1"/>
    </xf>
    <xf numFmtId="0" fontId="7" fillId="0" borderId="18" xfId="0" applyFont="1" applyBorder="1" applyAlignment="1">
      <alignment horizontal="left" vertical="top" wrapText="1"/>
    </xf>
    <xf numFmtId="0" fontId="7" fillId="0" borderId="51" xfId="0" applyFont="1" applyBorder="1" applyAlignment="1">
      <alignment horizontal="left" vertical="top" wrapText="1"/>
    </xf>
    <xf numFmtId="0" fontId="7" fillId="0" borderId="25" xfId="0" applyFont="1" applyFill="1" applyBorder="1" applyAlignment="1">
      <alignment vertical="top" wrapText="1"/>
    </xf>
    <xf numFmtId="0" fontId="7" fillId="0" borderId="21" xfId="0" applyFont="1" applyFill="1" applyBorder="1" applyAlignment="1">
      <alignment vertical="top" wrapText="1"/>
    </xf>
    <xf numFmtId="1" fontId="7" fillId="13" borderId="72" xfId="0" applyNumberFormat="1" applyFont="1" applyFill="1" applyBorder="1" applyAlignment="1" applyProtection="1">
      <alignment horizontal="left" vertical="top" wrapText="1"/>
      <protection hidden="1"/>
    </xf>
    <xf numFmtId="0" fontId="30" fillId="0" borderId="12" xfId="0" applyFont="1" applyFill="1" applyBorder="1" applyAlignment="1">
      <alignment vertical="top" wrapText="1"/>
    </xf>
    <xf numFmtId="0" fontId="30" fillId="0" borderId="79" xfId="0" applyFont="1" applyFill="1" applyBorder="1" applyAlignment="1">
      <alignment vertical="top" wrapText="1"/>
    </xf>
    <xf numFmtId="0" fontId="30" fillId="0" borderId="45" xfId="0" applyFont="1" applyFill="1" applyBorder="1" applyAlignment="1">
      <alignment vertical="top" wrapText="1"/>
    </xf>
    <xf numFmtId="0" fontId="30" fillId="0" borderId="42" xfId="0" applyFont="1" applyFill="1" applyBorder="1" applyAlignment="1">
      <alignment vertical="top" wrapText="1"/>
    </xf>
    <xf numFmtId="0" fontId="30" fillId="0" borderId="11" xfId="0" applyFont="1" applyFill="1" applyBorder="1" applyAlignment="1">
      <alignment vertical="top" wrapText="1"/>
    </xf>
    <xf numFmtId="0" fontId="30" fillId="0" borderId="88" xfId="0" applyFont="1" applyFill="1" applyBorder="1" applyAlignment="1">
      <alignment vertical="top" wrapText="1"/>
    </xf>
    <xf numFmtId="0" fontId="30" fillId="0" borderId="88" xfId="0" applyFont="1" applyBorder="1" applyAlignment="1">
      <alignment horizontal="left" vertical="top" wrapText="1"/>
    </xf>
    <xf numFmtId="0" fontId="30" fillId="0" borderId="45" xfId="0" applyFont="1" applyBorder="1" applyAlignment="1">
      <alignment horizontal="left" vertical="top" wrapText="1"/>
    </xf>
    <xf numFmtId="0" fontId="30" fillId="0" borderId="70" xfId="0" applyFont="1" applyFill="1" applyBorder="1" applyAlignment="1">
      <alignment vertical="top" wrapText="1"/>
    </xf>
    <xf numFmtId="0" fontId="30" fillId="0" borderId="88" xfId="0" applyFont="1" applyFill="1" applyBorder="1" applyAlignment="1">
      <alignment horizontal="left" vertical="top" wrapText="1"/>
    </xf>
    <xf numFmtId="0" fontId="30" fillId="0" borderId="42" xfId="0" applyFont="1" applyBorder="1" applyAlignment="1">
      <alignment vertical="top" wrapText="1"/>
    </xf>
    <xf numFmtId="0" fontId="30" fillId="0" borderId="11" xfId="0" applyFont="1" applyBorder="1" applyAlignment="1">
      <alignment vertical="top" wrapText="1"/>
    </xf>
    <xf numFmtId="0" fontId="30" fillId="0" borderId="88" xfId="0" applyFont="1" applyBorder="1" applyAlignment="1">
      <alignment vertical="top" wrapText="1"/>
    </xf>
    <xf numFmtId="49" fontId="30" fillId="0" borderId="88" xfId="0" applyNumberFormat="1" applyFont="1" applyBorder="1" applyAlignment="1">
      <alignment vertical="top" wrapText="1"/>
    </xf>
    <xf numFmtId="0" fontId="30" fillId="0" borderId="36" xfId="0" applyFont="1" applyBorder="1" applyAlignment="1">
      <alignment vertical="top" wrapText="1"/>
    </xf>
    <xf numFmtId="0" fontId="30" fillId="0" borderId="12" xfId="0" applyFont="1" applyBorder="1" applyAlignment="1">
      <alignment vertical="top" wrapText="1"/>
    </xf>
    <xf numFmtId="0" fontId="30" fillId="0" borderId="79" xfId="0" applyFont="1" applyBorder="1" applyAlignment="1">
      <alignment vertical="top" wrapText="1"/>
    </xf>
    <xf numFmtId="1" fontId="30" fillId="0" borderId="42" xfId="0" applyNumberFormat="1" applyFont="1" applyBorder="1" applyAlignment="1">
      <alignment horizontal="left" vertical="top" wrapText="1"/>
    </xf>
    <xf numFmtId="1" fontId="30" fillId="0" borderId="11" xfId="0" applyNumberFormat="1" applyFont="1" applyBorder="1" applyAlignment="1">
      <alignment horizontal="left" vertical="top" wrapText="1"/>
    </xf>
    <xf numFmtId="1" fontId="30" fillId="0" borderId="88" xfId="0" applyNumberFormat="1" applyFont="1" applyBorder="1" applyAlignment="1">
      <alignment horizontal="left" vertical="top" wrapText="1"/>
    </xf>
    <xf numFmtId="1" fontId="30" fillId="0" borderId="45" xfId="0" applyNumberFormat="1" applyFont="1" applyBorder="1" applyAlignment="1">
      <alignment horizontal="left" vertical="top" wrapText="1"/>
    </xf>
    <xf numFmtId="0" fontId="30" fillId="0" borderId="92" xfId="0" applyFont="1" applyBorder="1" applyAlignment="1">
      <alignment horizontal="left" vertical="top" wrapText="1"/>
    </xf>
    <xf numFmtId="1" fontId="7" fillId="0" borderId="88" xfId="0" applyNumberFormat="1" applyFont="1" applyBorder="1" applyAlignment="1">
      <alignment horizontal="left" vertical="top" wrapText="1"/>
    </xf>
    <xf numFmtId="1" fontId="7" fillId="0" borderId="45" xfId="0" applyNumberFormat="1" applyFont="1" applyBorder="1" applyAlignment="1">
      <alignment horizontal="left" vertical="top" wrapText="1"/>
    </xf>
    <xf numFmtId="1" fontId="7" fillId="13" borderId="17" xfId="0" applyNumberFormat="1" applyFont="1" applyFill="1" applyBorder="1" applyAlignment="1" applyProtection="1">
      <alignment horizontal="left" vertical="top" wrapText="1"/>
      <protection hidden="1"/>
    </xf>
    <xf numFmtId="0" fontId="30" fillId="0" borderId="76" xfId="0" applyFont="1" applyBorder="1" applyAlignment="1">
      <alignment horizontal="center" vertical="top" wrapText="1"/>
    </xf>
    <xf numFmtId="1" fontId="30" fillId="2" borderId="76" xfId="0" applyNumberFormat="1" applyFont="1" applyFill="1" applyBorder="1" applyAlignment="1" applyProtection="1">
      <alignment horizontal="center" vertical="top" wrapText="1"/>
      <protection hidden="1"/>
    </xf>
    <xf numFmtId="0" fontId="30" fillId="2" borderId="76" xfId="0" applyFont="1" applyFill="1" applyBorder="1" applyAlignment="1" applyProtection="1">
      <alignment horizontal="center" vertical="top" wrapText="1"/>
      <protection hidden="1"/>
    </xf>
    <xf numFmtId="2" fontId="30" fillId="2" borderId="75" xfId="0" applyNumberFormat="1" applyFont="1" applyFill="1" applyBorder="1" applyAlignment="1" applyProtection="1">
      <alignment horizontal="center" vertical="top" wrapText="1"/>
    </xf>
    <xf numFmtId="0" fontId="30" fillId="0" borderId="11" xfId="0" applyFont="1" applyFill="1" applyBorder="1" applyAlignment="1">
      <alignment horizontal="left" vertical="top" wrapText="1"/>
    </xf>
    <xf numFmtId="0" fontId="30" fillId="2" borderId="3" xfId="0" applyFont="1" applyFill="1" applyBorder="1" applyAlignment="1" applyProtection="1">
      <alignment horizontal="center" vertical="top" wrapText="1"/>
      <protection hidden="1"/>
    </xf>
    <xf numFmtId="1" fontId="30" fillId="2" borderId="92" xfId="0" applyNumberFormat="1" applyFont="1" applyFill="1" applyBorder="1" applyAlignment="1">
      <alignment horizontal="center" vertical="top" wrapText="1"/>
    </xf>
    <xf numFmtId="1" fontId="30" fillId="2" borderId="84" xfId="0" applyNumberFormat="1" applyFont="1" applyFill="1" applyBorder="1" applyAlignment="1" applyProtection="1">
      <alignment horizontal="center" vertical="top" wrapText="1"/>
      <protection hidden="1"/>
    </xf>
    <xf numFmtId="0" fontId="30" fillId="0" borderId="87" xfId="0" applyFont="1" applyFill="1" applyBorder="1" applyAlignment="1">
      <alignment horizontal="center" vertical="top" wrapText="1"/>
    </xf>
    <xf numFmtId="1" fontId="30" fillId="2" borderId="87" xfId="0" applyNumberFormat="1" applyFont="1" applyFill="1" applyBorder="1" applyAlignment="1" applyProtection="1">
      <alignment horizontal="center" vertical="top" wrapText="1"/>
      <protection hidden="1"/>
    </xf>
    <xf numFmtId="0" fontId="41" fillId="0" borderId="0" xfId="0" applyFont="1" applyAlignment="1">
      <alignment vertical="center" wrapText="1"/>
    </xf>
    <xf numFmtId="0" fontId="41" fillId="0" borderId="0" xfId="0" applyFont="1" applyAlignment="1">
      <alignment horizontal="center" vertical="center" wrapText="1"/>
    </xf>
    <xf numFmtId="1" fontId="7" fillId="13" borderId="30" xfId="0" applyNumberFormat="1" applyFont="1" applyFill="1" applyBorder="1" applyAlignment="1" applyProtection="1">
      <alignment horizontal="left" vertical="top" wrapText="1"/>
      <protection hidden="1"/>
    </xf>
    <xf numFmtId="1" fontId="7" fillId="13" borderId="4" xfId="0" applyNumberFormat="1" applyFont="1" applyFill="1" applyBorder="1" applyAlignment="1" applyProtection="1">
      <alignment horizontal="left" vertical="top" wrapText="1"/>
      <protection hidden="1"/>
    </xf>
    <xf numFmtId="1" fontId="7" fillId="0" borderId="42" xfId="0" applyNumberFormat="1" applyFont="1" applyFill="1" applyBorder="1" applyAlignment="1" applyProtection="1">
      <alignment horizontal="left" vertical="top" wrapText="1"/>
      <protection hidden="1"/>
    </xf>
    <xf numFmtId="1" fontId="7" fillId="2" borderId="39" xfId="0" applyNumberFormat="1" applyFont="1" applyFill="1" applyBorder="1" applyAlignment="1" applyProtection="1">
      <alignment horizontal="center" vertical="top" wrapText="1"/>
      <protection hidden="1"/>
    </xf>
    <xf numFmtId="0" fontId="7" fillId="2" borderId="39" xfId="0" applyFont="1" applyFill="1" applyBorder="1" applyAlignment="1" applyProtection="1">
      <alignment horizontal="center" vertical="top" wrapText="1"/>
      <protection hidden="1"/>
    </xf>
    <xf numFmtId="1" fontId="7" fillId="13" borderId="59" xfId="0" applyNumberFormat="1" applyFont="1" applyFill="1" applyBorder="1" applyAlignment="1" applyProtection="1">
      <alignment horizontal="left" vertical="top" wrapText="1"/>
      <protection hidden="1"/>
    </xf>
    <xf numFmtId="1" fontId="7" fillId="13" borderId="26" xfId="0" applyNumberFormat="1" applyFont="1" applyFill="1" applyBorder="1" applyAlignment="1" applyProtection="1">
      <alignment horizontal="left" vertical="top" wrapText="1"/>
      <protection hidden="1"/>
    </xf>
    <xf numFmtId="1" fontId="7" fillId="2" borderId="6" xfId="0" applyNumberFormat="1" applyFont="1" applyFill="1" applyBorder="1" applyAlignment="1" applyProtection="1">
      <alignment horizontal="center" vertical="top" wrapText="1"/>
      <protection hidden="1"/>
    </xf>
    <xf numFmtId="0" fontId="7" fillId="2" borderId="6" xfId="0" applyFont="1" applyFill="1" applyBorder="1" applyAlignment="1" applyProtection="1">
      <alignment horizontal="center" vertical="top" wrapText="1"/>
      <protection hidden="1"/>
    </xf>
    <xf numFmtId="0" fontId="30" fillId="2" borderId="92" xfId="0" applyFont="1" applyFill="1" applyBorder="1" applyAlignment="1">
      <alignment horizontal="center" vertical="top" wrapText="1"/>
    </xf>
    <xf numFmtId="0" fontId="30" fillId="0" borderId="76" xfId="0" applyFont="1" applyFill="1" applyBorder="1" applyAlignment="1">
      <alignment horizontal="center" vertical="top" wrapText="1"/>
    </xf>
    <xf numFmtId="0" fontId="30" fillId="0" borderId="87" xfId="0" applyFont="1" applyBorder="1" applyAlignment="1">
      <alignment horizontal="center" vertical="top" wrapText="1"/>
    </xf>
    <xf numFmtId="0" fontId="30" fillId="2" borderId="84" xfId="0" applyFont="1" applyFill="1" applyBorder="1" applyAlignment="1" applyProtection="1">
      <alignment horizontal="center" vertical="top" wrapText="1"/>
      <protection hidden="1"/>
    </xf>
    <xf numFmtId="0" fontId="30" fillId="2" borderId="87" xfId="0" applyFont="1" applyFill="1" applyBorder="1" applyAlignment="1" applyProtection="1">
      <alignment horizontal="center" vertical="top" wrapText="1"/>
      <protection hidden="1"/>
    </xf>
    <xf numFmtId="0" fontId="30" fillId="0" borderId="45" xfId="0" applyFont="1" applyFill="1" applyBorder="1" applyAlignment="1">
      <alignment horizontal="left" vertical="top" wrapText="1"/>
    </xf>
    <xf numFmtId="0" fontId="30" fillId="2" borderId="57" xfId="0" applyFont="1" applyFill="1" applyBorder="1" applyAlignment="1" applyProtection="1">
      <alignment horizontal="center" vertical="top" wrapText="1"/>
      <protection hidden="1"/>
    </xf>
    <xf numFmtId="1" fontId="30" fillId="2" borderId="88" xfId="0" applyNumberFormat="1" applyFont="1" applyFill="1" applyBorder="1" applyAlignment="1" applyProtection="1">
      <alignment horizontal="center" vertical="top" wrapText="1"/>
      <protection hidden="1"/>
    </xf>
    <xf numFmtId="0" fontId="30" fillId="0" borderId="45" xfId="0" applyFont="1" applyBorder="1" applyAlignment="1">
      <alignment vertical="top" wrapText="1"/>
    </xf>
    <xf numFmtId="1" fontId="30" fillId="2" borderId="92" xfId="0" applyNumberFormat="1" applyFont="1" applyFill="1" applyBorder="1" applyAlignment="1" applyProtection="1">
      <alignment horizontal="center" vertical="top" wrapText="1"/>
      <protection hidden="1"/>
    </xf>
    <xf numFmtId="1" fontId="30" fillId="0" borderId="87" xfId="0" applyNumberFormat="1" applyFont="1" applyBorder="1" applyAlignment="1">
      <alignment horizontal="center" vertical="top" wrapText="1"/>
    </xf>
    <xf numFmtId="0" fontId="30" fillId="0" borderId="11" xfId="0" applyFont="1" applyBorder="1" applyAlignment="1">
      <alignment horizontal="left" vertical="top" wrapText="1"/>
    </xf>
    <xf numFmtId="1" fontId="7" fillId="0" borderId="11" xfId="0" applyNumberFormat="1" applyFont="1" applyBorder="1" applyAlignment="1">
      <alignment horizontal="left" vertical="top" wrapText="1"/>
    </xf>
    <xf numFmtId="0" fontId="7" fillId="0" borderId="11" xfId="0" applyFont="1" applyBorder="1" applyAlignment="1">
      <alignment horizontal="left" vertical="top" wrapText="1"/>
    </xf>
    <xf numFmtId="1" fontId="30" fillId="2" borderId="60" xfId="0" applyNumberFormat="1" applyFont="1" applyFill="1" applyBorder="1" applyAlignment="1" applyProtection="1">
      <alignment horizontal="center" vertical="top" wrapText="1"/>
      <protection hidden="1"/>
    </xf>
    <xf numFmtId="0" fontId="30" fillId="0" borderId="88" xfId="0" applyFont="1" applyBorder="1" applyAlignment="1">
      <alignment horizontal="center" vertical="top" wrapText="1"/>
    </xf>
    <xf numFmtId="0" fontId="30" fillId="0" borderId="10" xfId="0" applyFont="1" applyBorder="1" applyAlignment="1">
      <alignment vertical="top" wrapText="1"/>
    </xf>
    <xf numFmtId="0" fontId="30" fillId="0" borderId="4" xfId="0" applyFont="1" applyFill="1" applyBorder="1" applyAlignment="1">
      <alignment horizontal="left" vertical="top" wrapText="1"/>
    </xf>
    <xf numFmtId="0" fontId="7" fillId="0" borderId="88" xfId="0" applyFont="1" applyBorder="1" applyAlignment="1">
      <alignment vertical="top" wrapText="1"/>
    </xf>
    <xf numFmtId="0" fontId="7" fillId="0" borderId="45" xfId="0" applyFont="1" applyBorder="1" applyAlignment="1">
      <alignment vertical="top" wrapText="1"/>
    </xf>
    <xf numFmtId="2" fontId="30" fillId="9" borderId="4" xfId="0" applyNumberFormat="1" applyFont="1" applyFill="1" applyBorder="1" applyAlignment="1">
      <alignment horizontal="center" vertical="top" wrapText="1"/>
    </xf>
    <xf numFmtId="0" fontId="7" fillId="0" borderId="61" xfId="0" applyFont="1" applyBorder="1" applyAlignment="1">
      <alignment vertical="top" wrapText="1"/>
    </xf>
    <xf numFmtId="2" fontId="7" fillId="14" borderId="47" xfId="0" applyNumberFormat="1" applyFont="1" applyFill="1" applyBorder="1" applyAlignment="1">
      <alignment horizontal="center" vertical="top"/>
    </xf>
    <xf numFmtId="0" fontId="49" fillId="0" borderId="4" xfId="0" applyFont="1" applyFill="1" applyBorder="1" applyAlignment="1">
      <alignment horizontal="left" vertical="top"/>
    </xf>
    <xf numFmtId="0" fontId="7" fillId="0" borderId="4" xfId="0" applyFont="1" applyFill="1" applyBorder="1" applyAlignment="1">
      <alignment horizontal="left" vertical="top"/>
    </xf>
    <xf numFmtId="1" fontId="7" fillId="0" borderId="4" xfId="0" applyNumberFormat="1" applyFont="1" applyBorder="1" applyAlignment="1">
      <alignment horizontal="left" vertical="top" wrapText="1"/>
    </xf>
    <xf numFmtId="0" fontId="49" fillId="0" borderId="17" xfId="0" applyFont="1" applyBorder="1" applyAlignment="1">
      <alignment vertical="top" wrapText="1"/>
    </xf>
    <xf numFmtId="0" fontId="21" fillId="0" borderId="0" xfId="0" applyFont="1" applyAlignment="1">
      <alignment vertical="center" wrapText="1"/>
    </xf>
    <xf numFmtId="0" fontId="7" fillId="2" borderId="76" xfId="0" applyFont="1" applyFill="1" applyBorder="1" applyAlignment="1" applyProtection="1">
      <alignment horizontal="center" vertical="top" wrapText="1"/>
      <protection hidden="1"/>
    </xf>
    <xf numFmtId="1" fontId="7" fillId="0" borderId="40" xfId="0" applyNumberFormat="1" applyFont="1" applyFill="1" applyBorder="1" applyAlignment="1" applyProtection="1">
      <alignment horizontal="left" vertical="top" wrapText="1"/>
      <protection hidden="1"/>
    </xf>
    <xf numFmtId="0" fontId="7" fillId="0" borderId="40" xfId="0" applyFont="1" applyFill="1" applyBorder="1" applyAlignment="1" applyProtection="1">
      <alignment horizontal="left" vertical="top" wrapText="1"/>
      <protection hidden="1"/>
    </xf>
    <xf numFmtId="0" fontId="7" fillId="0" borderId="12" xfId="0" applyFont="1" applyFill="1" applyBorder="1" applyAlignment="1" applyProtection="1">
      <alignment horizontal="left" vertical="top" wrapText="1"/>
      <protection hidden="1"/>
    </xf>
    <xf numFmtId="0" fontId="7" fillId="0" borderId="12" xfId="0" applyFont="1" applyFill="1" applyBorder="1" applyAlignment="1">
      <alignment horizontal="left" vertical="top" wrapText="1"/>
    </xf>
    <xf numFmtId="0" fontId="7" fillId="0" borderId="79" xfId="0" applyFont="1" applyFill="1" applyBorder="1" applyAlignment="1">
      <alignment horizontal="left" vertical="top" wrapText="1"/>
    </xf>
    <xf numFmtId="0" fontId="30" fillId="0" borderId="81" xfId="0" applyFont="1" applyFill="1" applyBorder="1" applyAlignment="1">
      <alignment horizontal="left" vertical="top" wrapText="1"/>
    </xf>
    <xf numFmtId="0" fontId="7" fillId="0" borderId="79" xfId="0" applyFont="1" applyBorder="1" applyAlignment="1">
      <alignment horizontal="left" vertical="top" wrapText="1"/>
    </xf>
    <xf numFmtId="0" fontId="7" fillId="0" borderId="45" xfId="0" applyFont="1" applyBorder="1" applyAlignment="1">
      <alignment horizontal="left" vertical="top" wrapText="1"/>
    </xf>
    <xf numFmtId="0" fontId="7" fillId="0" borderId="70" xfId="0" applyFont="1" applyBorder="1" applyAlignment="1">
      <alignment vertical="top" wrapText="1"/>
    </xf>
    <xf numFmtId="0" fontId="7" fillId="0" borderId="11" xfId="0" applyFont="1" applyBorder="1" applyAlignment="1">
      <alignment vertical="top" wrapText="1"/>
    </xf>
    <xf numFmtId="0" fontId="7" fillId="0" borderId="70" xfId="0" applyFont="1" applyBorder="1" applyAlignment="1">
      <alignment horizontal="left" vertical="top" wrapText="1"/>
    </xf>
    <xf numFmtId="0" fontId="7" fillId="0" borderId="88" xfId="0" applyFont="1" applyBorder="1" applyAlignment="1">
      <alignment horizontal="left" vertical="top" wrapText="1"/>
    </xf>
    <xf numFmtId="2" fontId="49" fillId="14" borderId="47" xfId="0" applyNumberFormat="1" applyFont="1" applyFill="1" applyBorder="1" applyAlignment="1">
      <alignment horizontal="center" vertical="top"/>
    </xf>
    <xf numFmtId="2" fontId="7" fillId="14" borderId="75" xfId="0" applyNumberFormat="1" applyFont="1" applyFill="1" applyBorder="1" applyAlignment="1">
      <alignment horizontal="center" vertical="top"/>
    </xf>
    <xf numFmtId="2" fontId="7" fillId="14" borderId="13" xfId="0" applyNumberFormat="1" applyFont="1" applyFill="1" applyBorder="1" applyAlignment="1">
      <alignment horizontal="center" vertical="top"/>
    </xf>
    <xf numFmtId="2" fontId="49" fillId="14" borderId="13" xfId="0" applyNumberFormat="1" applyFont="1" applyFill="1" applyBorder="1" applyAlignment="1">
      <alignment horizontal="center" vertical="top"/>
    </xf>
    <xf numFmtId="2" fontId="7" fillId="9" borderId="75" xfId="0" applyNumberFormat="1" applyFont="1" applyFill="1" applyBorder="1" applyAlignment="1">
      <alignment horizontal="center" vertical="top" wrapText="1"/>
    </xf>
    <xf numFmtId="1" fontId="7" fillId="0" borderId="42" xfId="0" applyNumberFormat="1" applyFont="1" applyFill="1" applyBorder="1" applyAlignment="1" applyProtection="1">
      <alignment vertical="top" wrapText="1"/>
      <protection hidden="1"/>
    </xf>
    <xf numFmtId="1" fontId="7" fillId="0" borderId="69" xfId="0" applyNumberFormat="1" applyFont="1" applyFill="1" applyBorder="1" applyAlignment="1" applyProtection="1">
      <alignment vertical="top" wrapText="1"/>
      <protection hidden="1"/>
    </xf>
    <xf numFmtId="0" fontId="49" fillId="0" borderId="86" xfId="0" applyFont="1" applyFill="1" applyBorder="1" applyAlignment="1">
      <alignment horizontal="left" vertical="top"/>
    </xf>
    <xf numFmtId="0" fontId="49" fillId="0" borderId="26" xfId="0" applyFont="1" applyFill="1" applyBorder="1" applyAlignment="1">
      <alignment horizontal="left" vertical="top"/>
    </xf>
    <xf numFmtId="0" fontId="7" fillId="0" borderId="42" xfId="0" applyFont="1" applyFill="1" applyBorder="1" applyAlignment="1">
      <alignment horizontal="left" vertical="top" wrapText="1"/>
    </xf>
    <xf numFmtId="0" fontId="7" fillId="9" borderId="92" xfId="0" applyFont="1" applyFill="1" applyBorder="1" applyAlignment="1">
      <alignment horizontal="center" vertical="top" wrapText="1"/>
    </xf>
    <xf numFmtId="0" fontId="7" fillId="9" borderId="84" xfId="0" applyFont="1" applyFill="1" applyBorder="1" applyAlignment="1">
      <alignment horizontal="center" vertical="top" wrapText="1"/>
    </xf>
    <xf numFmtId="0" fontId="7" fillId="0" borderId="87" xfId="0" applyFont="1" applyFill="1" applyBorder="1" applyAlignment="1">
      <alignment horizontal="center" vertical="top" wrapText="1"/>
    </xf>
    <xf numFmtId="0" fontId="7" fillId="9" borderId="88" xfId="0" applyFont="1" applyFill="1" applyBorder="1" applyAlignment="1">
      <alignment horizontal="center" vertical="top" wrapText="1"/>
    </xf>
    <xf numFmtId="0" fontId="7" fillId="9" borderId="87" xfId="0" applyFont="1" applyFill="1" applyBorder="1" applyAlignment="1">
      <alignment horizontal="center" vertical="top" wrapText="1"/>
    </xf>
    <xf numFmtId="0" fontId="30" fillId="0" borderId="36" xfId="0" applyFont="1" applyFill="1" applyBorder="1" applyAlignment="1">
      <alignment horizontal="left" vertical="top" wrapText="1"/>
    </xf>
    <xf numFmtId="0" fontId="7" fillId="0" borderId="76" xfId="0" applyFont="1" applyBorder="1" applyAlignment="1">
      <alignment horizontal="center" vertical="top" wrapText="1"/>
    </xf>
    <xf numFmtId="0" fontId="7" fillId="9" borderId="79" xfId="0" applyFont="1" applyFill="1" applyBorder="1" applyAlignment="1">
      <alignment horizontal="center" vertical="top" wrapText="1"/>
    </xf>
    <xf numFmtId="0" fontId="7" fillId="9" borderId="76" xfId="0" applyFont="1" applyFill="1" applyBorder="1" applyAlignment="1">
      <alignment horizontal="center" vertical="top" wrapText="1"/>
    </xf>
    <xf numFmtId="2" fontId="7" fillId="10" borderId="30" xfId="0" applyNumberFormat="1" applyFont="1" applyFill="1" applyBorder="1" applyAlignment="1">
      <alignment horizontal="center" vertical="top" wrapText="1"/>
    </xf>
    <xf numFmtId="0" fontId="7" fillId="0" borderId="87" xfId="0" applyFont="1" applyBorder="1" applyAlignment="1">
      <alignment horizontal="center" vertical="top" wrapText="1"/>
    </xf>
    <xf numFmtId="0" fontId="7" fillId="9" borderId="60" xfId="0" applyFont="1" applyFill="1" applyBorder="1" applyAlignment="1">
      <alignment horizontal="center" vertical="top" wrapText="1"/>
    </xf>
    <xf numFmtId="2" fontId="7" fillId="9" borderId="4" xfId="0" applyNumberFormat="1" applyFont="1" applyFill="1" applyBorder="1" applyAlignment="1">
      <alignment horizontal="center" vertical="top" wrapText="1"/>
    </xf>
    <xf numFmtId="0" fontId="7" fillId="0" borderId="70" xfId="0" applyFont="1" applyFill="1" applyBorder="1" applyAlignment="1">
      <alignment vertical="top" wrapText="1"/>
    </xf>
    <xf numFmtId="0" fontId="7" fillId="0" borderId="12" xfId="0" applyFont="1" applyFill="1" applyBorder="1" applyAlignment="1">
      <alignment vertical="top" wrapText="1"/>
    </xf>
    <xf numFmtId="0" fontId="7" fillId="0" borderId="79" xfId="0" applyFont="1" applyFill="1" applyBorder="1" applyAlignment="1">
      <alignment vertical="top" wrapText="1"/>
    </xf>
    <xf numFmtId="0" fontId="7" fillId="0" borderId="88" xfId="0" applyFont="1" applyFill="1" applyBorder="1" applyAlignment="1">
      <alignment vertical="top" wrapText="1"/>
    </xf>
    <xf numFmtId="1" fontId="7" fillId="0" borderId="11" xfId="0" applyNumberFormat="1" applyFont="1" applyFill="1" applyBorder="1" applyAlignment="1">
      <alignment vertical="top" wrapText="1"/>
    </xf>
    <xf numFmtId="1" fontId="7" fillId="0" borderId="88" xfId="0" applyNumberFormat="1" applyFont="1" applyFill="1" applyBorder="1" applyAlignment="1">
      <alignment vertical="top" wrapText="1"/>
    </xf>
    <xf numFmtId="1" fontId="7" fillId="0" borderId="79" xfId="0" applyNumberFormat="1" applyFont="1" applyFill="1" applyBorder="1" applyAlignment="1">
      <alignment vertical="top" wrapText="1"/>
    </xf>
    <xf numFmtId="0" fontId="7" fillId="0" borderId="12" xfId="0" applyFont="1" applyBorder="1" applyAlignment="1">
      <alignment vertical="top" wrapText="1"/>
    </xf>
    <xf numFmtId="0" fontId="7" fillId="0" borderId="79" xfId="0" applyFont="1" applyBorder="1" applyAlignment="1">
      <alignment vertical="top" wrapText="1"/>
    </xf>
    <xf numFmtId="2" fontId="7" fillId="2" borderId="75" xfId="0" applyNumberFormat="1" applyFont="1" applyFill="1" applyBorder="1" applyAlignment="1">
      <alignment horizontal="center" vertical="top"/>
    </xf>
    <xf numFmtId="1" fontId="7" fillId="2" borderId="84" xfId="0" applyNumberFormat="1" applyFont="1" applyFill="1" applyBorder="1" applyAlignment="1">
      <alignment horizontal="center" vertical="top"/>
    </xf>
    <xf numFmtId="1" fontId="7" fillId="2" borderId="87" xfId="0" applyNumberFormat="1" applyFont="1" applyFill="1" applyBorder="1" applyAlignment="1">
      <alignment horizontal="center" vertical="top"/>
    </xf>
    <xf numFmtId="2" fontId="7" fillId="9" borderId="92" xfId="0" applyNumberFormat="1" applyFont="1" applyFill="1" applyBorder="1" applyAlignment="1">
      <alignment horizontal="center" vertical="top" wrapText="1"/>
    </xf>
    <xf numFmtId="0" fontId="7" fillId="0" borderId="76" xfId="0" applyFont="1" applyFill="1" applyBorder="1" applyAlignment="1">
      <alignment horizontal="center" vertical="top" wrapText="1"/>
    </xf>
    <xf numFmtId="1" fontId="7" fillId="9" borderId="87" xfId="0" applyNumberFormat="1" applyFont="1" applyFill="1" applyBorder="1" applyAlignment="1">
      <alignment horizontal="center" vertical="top"/>
    </xf>
    <xf numFmtId="1" fontId="7" fillId="9" borderId="44" xfId="0" applyNumberFormat="1" applyFont="1" applyFill="1" applyBorder="1" applyAlignment="1">
      <alignment horizontal="center" vertical="top"/>
    </xf>
    <xf numFmtId="1" fontId="7" fillId="2" borderId="92" xfId="0" applyNumberFormat="1" applyFont="1" applyFill="1" applyBorder="1" applyAlignment="1">
      <alignment horizontal="center" vertical="top" wrapText="1"/>
    </xf>
    <xf numFmtId="1" fontId="7" fillId="0" borderId="70" xfId="0" applyNumberFormat="1" applyFont="1" applyFill="1" applyBorder="1" applyAlignment="1">
      <alignment vertical="top" wrapText="1"/>
    </xf>
    <xf numFmtId="0" fontId="7" fillId="9" borderId="0" xfId="0" applyFont="1" applyFill="1" applyBorder="1" applyAlignment="1">
      <alignment horizontal="center" vertical="top" wrapText="1"/>
    </xf>
    <xf numFmtId="0" fontId="7" fillId="9" borderId="13" xfId="0" applyFont="1" applyFill="1" applyBorder="1" applyAlignment="1">
      <alignment horizontal="center" vertical="top" wrapText="1"/>
    </xf>
    <xf numFmtId="1" fontId="7" fillId="2" borderId="84" xfId="0" applyNumberFormat="1" applyFont="1" applyFill="1" applyBorder="1" applyAlignment="1">
      <alignment horizontal="center" vertical="top" wrapText="1"/>
    </xf>
    <xf numFmtId="1" fontId="7" fillId="2" borderId="87" xfId="0" applyNumberFormat="1" applyFont="1" applyFill="1" applyBorder="1" applyAlignment="1">
      <alignment horizontal="center" vertical="top" wrapText="1"/>
    </xf>
    <xf numFmtId="1" fontId="7" fillId="2" borderId="92" xfId="0" applyNumberFormat="1" applyFont="1" applyFill="1" applyBorder="1" applyAlignment="1">
      <alignment horizontal="center" vertical="top"/>
    </xf>
    <xf numFmtId="1" fontId="7" fillId="0" borderId="37" xfId="0" applyNumberFormat="1" applyFont="1" applyFill="1" applyBorder="1" applyAlignment="1" applyProtection="1">
      <alignment horizontal="left" vertical="top" wrapText="1"/>
      <protection hidden="1"/>
    </xf>
    <xf numFmtId="1" fontId="7" fillId="2" borderId="76" xfId="0" applyNumberFormat="1" applyFont="1" applyFill="1" applyBorder="1" applyAlignment="1">
      <alignment horizontal="center" vertical="top" wrapText="1"/>
    </xf>
    <xf numFmtId="1" fontId="7" fillId="2" borderId="88" xfId="0" applyNumberFormat="1" applyFont="1" applyFill="1" applyBorder="1" applyAlignment="1">
      <alignment horizontal="center" vertical="top" wrapText="1"/>
    </xf>
    <xf numFmtId="1" fontId="7" fillId="0" borderId="87" xfId="0" applyNumberFormat="1" applyFont="1" applyFill="1" applyBorder="1" applyAlignment="1">
      <alignment horizontal="center" vertical="top" wrapText="1"/>
    </xf>
    <xf numFmtId="1" fontId="7" fillId="0" borderId="76" xfId="0" applyNumberFormat="1" applyFont="1" applyFill="1" applyBorder="1" applyAlignment="1">
      <alignment horizontal="center" vertical="top" wrapText="1"/>
    </xf>
    <xf numFmtId="1" fontId="7" fillId="2" borderId="79" xfId="0" applyNumberFormat="1" applyFont="1" applyFill="1" applyBorder="1" applyAlignment="1">
      <alignment horizontal="center" vertical="top" wrapText="1"/>
    </xf>
    <xf numFmtId="0" fontId="7" fillId="0" borderId="79" xfId="0" applyFont="1" applyBorder="1" applyAlignment="1">
      <alignment horizontal="center" vertical="top" wrapText="1"/>
    </xf>
    <xf numFmtId="0" fontId="7" fillId="0" borderId="51" xfId="0" applyFont="1" applyBorder="1" applyAlignment="1">
      <alignment vertical="top" wrapText="1"/>
    </xf>
    <xf numFmtId="0" fontId="7" fillId="0" borderId="92" xfId="0" applyFont="1" applyBorder="1" applyAlignment="1">
      <alignment vertical="top" wrapText="1"/>
    </xf>
    <xf numFmtId="0" fontId="10" fillId="11" borderId="4" xfId="0" applyFont="1" applyFill="1" applyBorder="1" applyAlignment="1">
      <alignment horizontal="center" vertical="center" wrapText="1"/>
    </xf>
    <xf numFmtId="0" fontId="8" fillId="0" borderId="20" xfId="0" applyFont="1" applyBorder="1" applyAlignment="1">
      <alignment horizontal="center" vertical="center" wrapText="1"/>
    </xf>
    <xf numFmtId="0" fontId="10" fillId="16" borderId="20" xfId="0" applyFont="1" applyFill="1" applyBorder="1" applyAlignment="1">
      <alignment horizontal="center" vertical="center" wrapText="1"/>
    </xf>
    <xf numFmtId="0" fontId="10" fillId="16" borderId="4" xfId="0" applyFont="1" applyFill="1" applyBorder="1" applyAlignment="1">
      <alignment horizontal="center" vertical="center" wrapText="1"/>
    </xf>
    <xf numFmtId="0" fontId="7" fillId="0" borderId="25" xfId="0" applyFont="1" applyBorder="1" applyAlignment="1">
      <alignment vertical="top" wrapText="1"/>
    </xf>
    <xf numFmtId="0" fontId="7" fillId="0" borderId="21" xfId="0" applyFont="1" applyBorder="1" applyAlignment="1">
      <alignment vertical="top" wrapText="1"/>
    </xf>
    <xf numFmtId="0" fontId="7" fillId="0" borderId="18" xfId="0" applyFont="1" applyBorder="1" applyAlignment="1">
      <alignment horizontal="left" vertical="top" wrapText="1"/>
    </xf>
    <xf numFmtId="0" fontId="7" fillId="0" borderId="21" xfId="0" applyFont="1" applyBorder="1" applyAlignment="1">
      <alignment horizontal="left" vertical="top" wrapText="1"/>
    </xf>
    <xf numFmtId="0" fontId="7" fillId="0" borderId="26" xfId="0" applyFont="1" applyFill="1" applyBorder="1" applyAlignment="1">
      <alignment horizontal="left" vertical="top"/>
    </xf>
    <xf numFmtId="0" fontId="7" fillId="0" borderId="20" xfId="0" applyFont="1" applyBorder="1" applyAlignment="1">
      <alignment horizontal="left" vertical="top" wrapText="1"/>
    </xf>
    <xf numFmtId="0" fontId="7" fillId="0" borderId="17" xfId="0" applyFont="1" applyBorder="1" applyAlignment="1">
      <alignment horizontal="left" vertical="top" wrapText="1"/>
    </xf>
    <xf numFmtId="0" fontId="7" fillId="0" borderId="0" xfId="0" applyFont="1" applyAlignment="1">
      <alignment horizontal="center" vertical="top" wrapText="1"/>
    </xf>
    <xf numFmtId="0" fontId="7" fillId="0" borderId="70" xfId="0" applyFont="1" applyFill="1" applyBorder="1" applyAlignment="1">
      <alignment vertical="top" wrapText="1"/>
    </xf>
    <xf numFmtId="0" fontId="7" fillId="0" borderId="70" xfId="0" applyFont="1" applyBorder="1" applyAlignment="1">
      <alignment vertical="top" wrapText="1"/>
    </xf>
    <xf numFmtId="0" fontId="7" fillId="0" borderId="12" xfId="0" applyFont="1" applyBorder="1" applyAlignment="1">
      <alignment vertical="top" wrapText="1"/>
    </xf>
    <xf numFmtId="0" fontId="7" fillId="0" borderId="51" xfId="0" applyFont="1" applyBorder="1" applyAlignment="1">
      <alignment vertical="top" wrapText="1"/>
    </xf>
    <xf numFmtId="0" fontId="49" fillId="0" borderId="20" xfId="0" applyFont="1" applyBorder="1" applyAlignment="1">
      <alignment horizontal="left" vertical="top" wrapText="1"/>
    </xf>
    <xf numFmtId="2" fontId="30" fillId="2" borderId="92" xfId="0" applyNumberFormat="1" applyFont="1" applyFill="1" applyBorder="1" applyAlignment="1" applyProtection="1">
      <alignment horizontal="center" vertical="top" wrapText="1"/>
    </xf>
    <xf numFmtId="2" fontId="30" fillId="2" borderId="39" xfId="0" applyNumberFormat="1" applyFont="1" applyFill="1" applyBorder="1" applyAlignment="1" applyProtection="1">
      <alignment horizontal="center" vertical="top" wrapText="1"/>
    </xf>
    <xf numFmtId="0" fontId="10" fillId="16" borderId="20" xfId="0" applyFont="1" applyFill="1" applyBorder="1" applyAlignment="1">
      <alignment horizontal="left" vertical="top" wrapText="1"/>
    </xf>
    <xf numFmtId="0" fontId="10" fillId="16" borderId="4" xfId="0" applyFont="1" applyFill="1" applyBorder="1" applyAlignment="1">
      <alignment horizontal="left" vertical="top" wrapText="1"/>
    </xf>
    <xf numFmtId="0" fontId="10" fillId="11" borderId="4" xfId="0" applyFont="1" applyFill="1" applyBorder="1" applyAlignment="1">
      <alignment horizontal="left" vertical="top" wrapText="1"/>
    </xf>
    <xf numFmtId="0" fontId="7" fillId="0" borderId="61" xfId="0" applyFont="1" applyFill="1" applyBorder="1" applyAlignment="1">
      <alignment vertical="top" wrapText="1"/>
    </xf>
    <xf numFmtId="0" fontId="7" fillId="0" borderId="93" xfId="0" applyFont="1" applyBorder="1" applyAlignment="1">
      <alignment horizontal="left" vertical="top" wrapText="1"/>
    </xf>
    <xf numFmtId="1" fontId="7" fillId="2" borderId="93" xfId="0" applyNumberFormat="1" applyFont="1" applyFill="1" applyBorder="1" applyAlignment="1">
      <alignment horizontal="center" vertical="top"/>
    </xf>
    <xf numFmtId="1" fontId="7" fillId="13" borderId="41" xfId="0" applyNumberFormat="1" applyFont="1" applyFill="1" applyBorder="1" applyAlignment="1" applyProtection="1">
      <alignment horizontal="left" vertical="top" wrapText="1"/>
      <protection hidden="1"/>
    </xf>
    <xf numFmtId="2" fontId="30" fillId="2" borderId="75" xfId="0" applyNumberFormat="1" applyFont="1" applyFill="1" applyBorder="1" applyAlignment="1">
      <alignment horizontal="center" vertical="top" wrapText="1"/>
    </xf>
    <xf numFmtId="1" fontId="30" fillId="2" borderId="76" xfId="0" applyNumberFormat="1" applyFont="1" applyFill="1" applyBorder="1" applyAlignment="1">
      <alignment horizontal="center" vertical="top" wrapText="1"/>
    </xf>
    <xf numFmtId="2" fontId="30" fillId="0" borderId="39" xfId="0" applyNumberFormat="1" applyFont="1" applyFill="1" applyBorder="1" applyAlignment="1">
      <alignment horizontal="center" vertical="top" wrapText="1"/>
    </xf>
    <xf numFmtId="0" fontId="30" fillId="0" borderId="93" xfId="0" applyFont="1" applyFill="1" applyBorder="1" applyAlignment="1">
      <alignment vertical="top" wrapText="1"/>
    </xf>
    <xf numFmtId="1" fontId="30" fillId="0" borderId="42" xfId="0" applyNumberFormat="1" applyFont="1" applyBorder="1" applyAlignment="1">
      <alignment vertical="top" wrapText="1"/>
    </xf>
    <xf numFmtId="1" fontId="30" fillId="0" borderId="93" xfId="0" applyNumberFormat="1" applyFont="1" applyBorder="1" applyAlignment="1">
      <alignment vertical="top" wrapText="1"/>
    </xf>
    <xf numFmtId="1" fontId="30" fillId="0" borderId="88" xfId="0" applyNumberFormat="1" applyFont="1" applyBorder="1" applyAlignment="1">
      <alignment vertical="top" wrapText="1"/>
    </xf>
    <xf numFmtId="1" fontId="30" fillId="0" borderId="45" xfId="0" applyNumberFormat="1" applyFont="1" applyBorder="1" applyAlignment="1">
      <alignment vertical="top" wrapText="1"/>
    </xf>
    <xf numFmtId="1" fontId="30" fillId="0" borderId="70" xfId="0" applyNumberFormat="1" applyFont="1" applyFill="1" applyBorder="1" applyAlignment="1">
      <alignment vertical="top" wrapText="1"/>
    </xf>
    <xf numFmtId="1" fontId="30" fillId="0" borderId="93" xfId="0" applyNumberFormat="1" applyFont="1" applyFill="1" applyBorder="1" applyAlignment="1">
      <alignment vertical="top" wrapText="1"/>
    </xf>
    <xf numFmtId="1" fontId="30" fillId="0" borderId="88" xfId="0" applyNumberFormat="1" applyFont="1" applyFill="1" applyBorder="1" applyAlignment="1">
      <alignment vertical="top" wrapText="1"/>
    </xf>
    <xf numFmtId="1" fontId="30" fillId="0" borderId="79" xfId="0" applyNumberFormat="1" applyFont="1" applyFill="1" applyBorder="1" applyAlignment="1">
      <alignment vertical="top" wrapText="1"/>
    </xf>
    <xf numFmtId="0" fontId="30" fillId="0" borderId="36" xfId="0" applyFont="1" applyFill="1" applyBorder="1" applyAlignment="1">
      <alignment vertical="top" wrapText="1"/>
    </xf>
    <xf numFmtId="0" fontId="30" fillId="0" borderId="79" xfId="0" applyFont="1" applyFill="1" applyBorder="1" applyAlignment="1">
      <alignment horizontal="left" vertical="top" wrapText="1"/>
    </xf>
    <xf numFmtId="0" fontId="30" fillId="0" borderId="40" xfId="0" applyFont="1" applyFill="1" applyBorder="1" applyAlignment="1">
      <alignment vertical="top" wrapText="1"/>
    </xf>
    <xf numFmtId="1" fontId="7" fillId="13" borderId="20" xfId="0" applyNumberFormat="1" applyFont="1" applyFill="1" applyBorder="1" applyAlignment="1" applyProtection="1">
      <alignment horizontal="left" vertical="top" wrapText="1"/>
      <protection hidden="1"/>
    </xf>
    <xf numFmtId="0" fontId="49" fillId="0" borderId="20" xfId="0" applyFont="1" applyFill="1" applyBorder="1" applyAlignment="1">
      <alignment horizontal="left" vertical="top"/>
    </xf>
    <xf numFmtId="0" fontId="49" fillId="0" borderId="42" xfId="0" applyFont="1" applyBorder="1" applyAlignment="1">
      <alignment vertical="top" wrapText="1"/>
    </xf>
    <xf numFmtId="0" fontId="57" fillId="0" borderId="4" xfId="0" applyFont="1" applyFill="1" applyBorder="1" applyAlignment="1">
      <alignment horizontal="left" vertical="top" wrapText="1"/>
    </xf>
    <xf numFmtId="1" fontId="7" fillId="13" borderId="31" xfId="0" applyNumberFormat="1" applyFont="1" applyFill="1" applyBorder="1" applyAlignment="1" applyProtection="1">
      <alignment horizontal="left" vertical="top" wrapText="1"/>
      <protection hidden="1"/>
    </xf>
    <xf numFmtId="1" fontId="7" fillId="0" borderId="60" xfId="0" applyNumberFormat="1" applyFont="1" applyFill="1" applyBorder="1" applyAlignment="1" applyProtection="1">
      <alignment horizontal="left" vertical="top" wrapText="1"/>
      <protection hidden="1"/>
    </xf>
    <xf numFmtId="1" fontId="7" fillId="2" borderId="53" xfId="0" applyNumberFormat="1" applyFont="1" applyFill="1" applyBorder="1" applyAlignment="1" applyProtection="1">
      <alignment horizontal="center" vertical="top" wrapText="1"/>
      <protection hidden="1"/>
    </xf>
    <xf numFmtId="0" fontId="7" fillId="2" borderId="53" xfId="0" applyFont="1" applyFill="1" applyBorder="1" applyAlignment="1" applyProtection="1">
      <alignment horizontal="center" vertical="top" wrapText="1"/>
      <protection hidden="1"/>
    </xf>
    <xf numFmtId="2" fontId="7" fillId="14" borderId="54" xfId="0" applyNumberFormat="1" applyFont="1" applyFill="1" applyBorder="1" applyAlignment="1">
      <alignment horizontal="center" vertical="top"/>
    </xf>
    <xf numFmtId="1" fontId="7" fillId="0" borderId="27" xfId="0" applyNumberFormat="1" applyFont="1" applyFill="1" applyBorder="1" applyAlignment="1" applyProtection="1">
      <alignment horizontal="left" vertical="top" wrapText="1"/>
      <protection hidden="1"/>
    </xf>
    <xf numFmtId="1" fontId="7" fillId="0" borderId="69" xfId="0" applyNumberFormat="1" applyFont="1" applyFill="1" applyBorder="1" applyAlignment="1" applyProtection="1">
      <alignment horizontal="left" vertical="top" wrapText="1"/>
      <protection hidden="1"/>
    </xf>
    <xf numFmtId="1" fontId="30" fillId="2" borderId="93" xfId="0" applyNumberFormat="1" applyFont="1" applyFill="1" applyBorder="1" applyAlignment="1">
      <alignment horizontal="center" vertical="top" wrapText="1"/>
    </xf>
    <xf numFmtId="1" fontId="30" fillId="2" borderId="84" xfId="0" applyNumberFormat="1" applyFont="1" applyFill="1" applyBorder="1" applyAlignment="1">
      <alignment horizontal="center" vertical="top" wrapText="1"/>
    </xf>
    <xf numFmtId="1" fontId="30" fillId="2" borderId="87" xfId="0" applyNumberFormat="1" applyFont="1" applyFill="1" applyBorder="1" applyAlignment="1">
      <alignment horizontal="center" vertical="top" wrapText="1"/>
    </xf>
    <xf numFmtId="1" fontId="30" fillId="0" borderId="76" xfId="0" applyNumberFormat="1" applyFont="1" applyFill="1" applyBorder="1" applyAlignment="1">
      <alignment horizontal="center" vertical="top" wrapText="1"/>
    </xf>
    <xf numFmtId="1" fontId="30" fillId="0" borderId="93" xfId="0" applyNumberFormat="1" applyFont="1" applyFill="1" applyBorder="1" applyAlignment="1">
      <alignment horizontal="center" vertical="top" wrapText="1"/>
    </xf>
    <xf numFmtId="1" fontId="30" fillId="0" borderId="87" xfId="0" applyNumberFormat="1" applyFont="1" applyFill="1" applyBorder="1" applyAlignment="1">
      <alignment horizontal="center" vertical="top" wrapText="1"/>
    </xf>
    <xf numFmtId="1" fontId="30" fillId="2" borderId="88" xfId="0" applyNumberFormat="1" applyFont="1" applyFill="1" applyBorder="1" applyAlignment="1">
      <alignment horizontal="center" vertical="top" wrapText="1"/>
    </xf>
    <xf numFmtId="0" fontId="7" fillId="0" borderId="59" xfId="0" applyFont="1" applyFill="1" applyBorder="1" applyAlignment="1">
      <alignment horizontal="left" vertical="top" wrapText="1"/>
    </xf>
    <xf numFmtId="0" fontId="7" fillId="0" borderId="20" xfId="0" applyFont="1" applyFill="1" applyBorder="1" applyAlignment="1">
      <alignment horizontal="left" vertical="top" wrapText="1"/>
    </xf>
    <xf numFmtId="0" fontId="7" fillId="0" borderId="26" xfId="0" applyFont="1" applyFill="1" applyBorder="1" applyAlignment="1">
      <alignment horizontal="left" vertical="top" wrapText="1"/>
    </xf>
    <xf numFmtId="0" fontId="7" fillId="0" borderId="25" xfId="0" applyFont="1" applyFill="1" applyBorder="1" applyAlignment="1">
      <alignment horizontal="left" vertical="top" wrapText="1"/>
    </xf>
    <xf numFmtId="0" fontId="7" fillId="0" borderId="26" xfId="0" applyFont="1" applyFill="1" applyBorder="1" applyAlignment="1">
      <alignment horizontal="left" vertical="top"/>
    </xf>
    <xf numFmtId="0" fontId="7" fillId="0" borderId="17" xfId="0" applyFont="1" applyFill="1" applyBorder="1" applyAlignment="1">
      <alignment horizontal="left" vertical="top" wrapText="1"/>
    </xf>
    <xf numFmtId="0" fontId="7" fillId="0" borderId="18" xfId="0" applyFont="1" applyBorder="1" applyAlignment="1">
      <alignment horizontal="left" vertical="top" wrapText="1"/>
    </xf>
    <xf numFmtId="0" fontId="7" fillId="0" borderId="25" xfId="0" applyFont="1" applyBorder="1" applyAlignment="1">
      <alignment vertical="top" wrapText="1"/>
    </xf>
    <xf numFmtId="0" fontId="7" fillId="0" borderId="21" xfId="0" applyFont="1" applyBorder="1" applyAlignment="1">
      <alignment vertical="top" wrapText="1"/>
    </xf>
    <xf numFmtId="0" fontId="7" fillId="0" borderId="41" xfId="0" applyFont="1" applyBorder="1" applyAlignment="1">
      <alignment horizontal="left" vertical="top" wrapText="1"/>
    </xf>
    <xf numFmtId="0" fontId="7" fillId="0" borderId="69" xfId="0" applyFont="1" applyFill="1" applyBorder="1" applyAlignment="1">
      <alignment horizontal="left" vertical="top" wrapText="1"/>
    </xf>
    <xf numFmtId="0" fontId="7" fillId="0" borderId="70" xfId="0" applyFont="1" applyFill="1" applyBorder="1" applyAlignment="1">
      <alignment horizontal="left" vertical="top" wrapText="1"/>
    </xf>
    <xf numFmtId="0" fontId="7" fillId="0" borderId="69" xfId="0" applyFont="1" applyFill="1" applyBorder="1" applyAlignment="1">
      <alignment vertical="top" wrapText="1"/>
    </xf>
    <xf numFmtId="0" fontId="7" fillId="0" borderId="70" xfId="0" applyFont="1" applyFill="1" applyBorder="1" applyAlignment="1">
      <alignment vertical="top" wrapText="1"/>
    </xf>
    <xf numFmtId="0" fontId="7" fillId="0" borderId="70" xfId="0" applyFont="1" applyBorder="1" applyAlignment="1">
      <alignment vertical="top" wrapText="1"/>
    </xf>
    <xf numFmtId="0" fontId="7" fillId="0" borderId="13" xfId="0" applyFont="1" applyBorder="1" applyAlignment="1">
      <alignment horizontal="left" vertical="top" wrapText="1"/>
    </xf>
    <xf numFmtId="0" fontId="7" fillId="0" borderId="93" xfId="0" applyFont="1" applyFill="1" applyBorder="1" applyAlignment="1">
      <alignment horizontal="left" vertical="top" wrapText="1"/>
    </xf>
    <xf numFmtId="0" fontId="7" fillId="0" borderId="88" xfId="0" applyFont="1" applyFill="1" applyBorder="1" applyAlignment="1">
      <alignment horizontal="left" vertical="top" wrapText="1"/>
    </xf>
    <xf numFmtId="0" fontId="7" fillId="0" borderId="79" xfId="0" applyFont="1" applyFill="1" applyBorder="1" applyAlignment="1">
      <alignment horizontal="left" vertical="top" wrapText="1"/>
    </xf>
    <xf numFmtId="0" fontId="49" fillId="0" borderId="26" xfId="0" applyFont="1" applyFill="1" applyBorder="1" applyAlignment="1">
      <alignment horizontal="left" vertical="top" wrapText="1"/>
    </xf>
    <xf numFmtId="0" fontId="7" fillId="0" borderId="65" xfId="0" applyFont="1" applyFill="1" applyBorder="1" applyAlignment="1">
      <alignment vertical="top" wrapText="1"/>
    </xf>
    <xf numFmtId="0" fontId="7" fillId="0" borderId="62" xfId="0" applyFont="1" applyFill="1" applyBorder="1" applyAlignment="1">
      <alignment vertical="top" wrapText="1"/>
    </xf>
    <xf numFmtId="0" fontId="7" fillId="0" borderId="12" xfId="0" applyFont="1" applyBorder="1" applyAlignment="1">
      <alignment horizontal="left" vertical="top" wrapText="1"/>
    </xf>
    <xf numFmtId="0" fontId="49" fillId="0" borderId="26" xfId="0" applyFont="1" applyFill="1" applyBorder="1" applyAlignment="1">
      <alignment vertical="top" wrapText="1"/>
    </xf>
    <xf numFmtId="0" fontId="49" fillId="0" borderId="41" xfId="0" applyFont="1" applyFill="1" applyBorder="1" applyAlignment="1">
      <alignment vertical="top" wrapText="1"/>
    </xf>
    <xf numFmtId="2" fontId="29" fillId="0" borderId="13" xfId="0" applyNumberFormat="1" applyFont="1" applyFill="1" applyBorder="1" applyAlignment="1">
      <alignment vertical="top" wrapText="1"/>
    </xf>
    <xf numFmtId="0" fontId="7" fillId="0" borderId="6" xfId="0" applyFont="1" applyBorder="1" applyAlignment="1">
      <alignment horizontal="center" vertical="top" wrapText="1"/>
    </xf>
    <xf numFmtId="0" fontId="7" fillId="0" borderId="18" xfId="0" applyFont="1" applyFill="1" applyBorder="1" applyAlignment="1">
      <alignment vertical="top" wrapText="1"/>
    </xf>
    <xf numFmtId="0" fontId="7" fillId="0" borderId="93" xfId="0" applyFont="1" applyBorder="1" applyAlignment="1">
      <alignment vertical="top" wrapText="1"/>
    </xf>
    <xf numFmtId="0" fontId="7" fillId="0" borderId="83" xfId="0" applyFont="1" applyBorder="1" applyAlignment="1">
      <alignment vertical="top" wrapText="1"/>
    </xf>
    <xf numFmtId="0" fontId="8" fillId="0" borderId="20" xfId="0" applyFont="1" applyBorder="1" applyAlignment="1">
      <alignment vertical="top" wrapText="1"/>
    </xf>
    <xf numFmtId="2" fontId="30" fillId="3" borderId="4" xfId="0" applyNumberFormat="1" applyFont="1" applyFill="1" applyBorder="1" applyAlignment="1">
      <alignment horizontal="center" vertical="top" wrapText="1"/>
    </xf>
    <xf numFmtId="2" fontId="30" fillId="4" borderId="4" xfId="0" applyNumberFormat="1" applyFont="1" applyFill="1" applyBorder="1" applyAlignment="1">
      <alignment horizontal="center" vertical="top" wrapText="1"/>
    </xf>
    <xf numFmtId="0" fontId="7" fillId="0" borderId="52" xfId="0" applyFont="1" applyFill="1" applyBorder="1" applyAlignment="1" applyProtection="1">
      <alignment horizontal="left" vertical="top" wrapText="1"/>
      <protection hidden="1"/>
    </xf>
    <xf numFmtId="1" fontId="7" fillId="2" borderId="79" xfId="0" applyNumberFormat="1" applyFont="1" applyFill="1" applyBorder="1" applyAlignment="1" applyProtection="1">
      <alignment horizontal="center" vertical="top" wrapText="1"/>
      <protection hidden="1"/>
    </xf>
    <xf numFmtId="0" fontId="7" fillId="0" borderId="48" xfId="0" applyFont="1" applyFill="1" applyBorder="1" applyAlignment="1" applyProtection="1">
      <alignment horizontal="left" vertical="top" wrapText="1"/>
      <protection hidden="1"/>
    </xf>
    <xf numFmtId="0" fontId="7" fillId="0" borderId="0" xfId="0" applyFont="1" applyFill="1" applyBorder="1" applyAlignment="1" applyProtection="1">
      <alignment horizontal="left" vertical="top" wrapText="1"/>
      <protection hidden="1"/>
    </xf>
    <xf numFmtId="1" fontId="7" fillId="0" borderId="48" xfId="0" applyNumberFormat="1" applyFont="1" applyFill="1" applyBorder="1" applyAlignment="1" applyProtection="1">
      <alignment horizontal="left" vertical="top" wrapText="1"/>
      <protection hidden="1"/>
    </xf>
    <xf numFmtId="0" fontId="7" fillId="0" borderId="65" xfId="0" applyFont="1" applyFill="1" applyBorder="1" applyAlignment="1" applyProtection="1">
      <alignment horizontal="left" vertical="top" wrapText="1"/>
      <protection hidden="1"/>
    </xf>
    <xf numFmtId="1" fontId="7" fillId="2" borderId="12" xfId="0" applyNumberFormat="1" applyFont="1" applyFill="1" applyBorder="1" applyAlignment="1" applyProtection="1">
      <alignment horizontal="center" vertical="top" wrapText="1"/>
      <protection hidden="1"/>
    </xf>
    <xf numFmtId="2" fontId="7" fillId="14" borderId="64" xfId="0" applyNumberFormat="1" applyFont="1" applyFill="1" applyBorder="1" applyAlignment="1">
      <alignment horizontal="center" vertical="top"/>
    </xf>
    <xf numFmtId="0" fontId="7" fillId="0" borderId="38" xfId="0" applyFont="1" applyFill="1" applyBorder="1" applyAlignment="1" applyProtection="1">
      <alignment horizontal="left" vertical="top" wrapText="1"/>
      <protection hidden="1"/>
    </xf>
    <xf numFmtId="1" fontId="7" fillId="2" borderId="40" xfId="0" applyNumberFormat="1" applyFont="1" applyFill="1" applyBorder="1" applyAlignment="1" applyProtection="1">
      <alignment horizontal="center" vertical="top" wrapText="1"/>
      <protection hidden="1"/>
    </xf>
    <xf numFmtId="0" fontId="7" fillId="2" borderId="47" xfId="0" applyFont="1" applyFill="1" applyBorder="1" applyAlignment="1" applyProtection="1">
      <alignment horizontal="center" vertical="top" wrapText="1"/>
      <protection hidden="1"/>
    </xf>
    <xf numFmtId="2" fontId="7" fillId="14" borderId="63" xfId="0" applyNumberFormat="1" applyFont="1" applyFill="1" applyBorder="1" applyAlignment="1">
      <alignment horizontal="center" vertical="top"/>
    </xf>
    <xf numFmtId="0" fontId="8" fillId="0" borderId="20" xfId="0" applyFont="1" applyBorder="1" applyAlignment="1">
      <alignment horizontal="left" vertical="top" wrapText="1"/>
    </xf>
    <xf numFmtId="1" fontId="30" fillId="0" borderId="30" xfId="0" applyNumberFormat="1" applyFont="1" applyBorder="1" applyAlignment="1">
      <alignment vertical="top" wrapText="1"/>
    </xf>
    <xf numFmtId="0" fontId="30" fillId="0" borderId="30" xfId="0" applyFont="1" applyBorder="1" applyAlignment="1">
      <alignment horizontal="left" vertical="top" wrapText="1"/>
    </xf>
    <xf numFmtId="1" fontId="30" fillId="0" borderId="70" xfId="0" applyNumberFormat="1" applyFont="1" applyBorder="1" applyAlignment="1">
      <alignment vertical="top" wrapText="1"/>
    </xf>
    <xf numFmtId="1" fontId="30" fillId="0" borderId="0" xfId="0" applyNumberFormat="1" applyFont="1" applyBorder="1" applyAlignment="1">
      <alignment vertical="top" wrapText="1"/>
    </xf>
    <xf numFmtId="1" fontId="30" fillId="0" borderId="81" xfId="0" applyNumberFormat="1" applyFont="1" applyBorder="1" applyAlignment="1">
      <alignment vertical="top" wrapText="1"/>
    </xf>
    <xf numFmtId="0" fontId="30" fillId="0" borderId="93" xfId="0" applyFont="1" applyBorder="1" applyAlignment="1">
      <alignment vertical="top" wrapText="1"/>
    </xf>
    <xf numFmtId="1" fontId="30" fillId="0" borderId="48" xfId="0" applyNumberFormat="1" applyFont="1" applyBorder="1" applyAlignment="1">
      <alignment vertical="top" wrapText="1"/>
    </xf>
    <xf numFmtId="0" fontId="30" fillId="0" borderId="70" xfId="0" applyFont="1" applyBorder="1" applyAlignment="1">
      <alignment vertical="top" wrapText="1"/>
    </xf>
    <xf numFmtId="1" fontId="30" fillId="0" borderId="12" xfId="0" applyNumberFormat="1" applyFont="1" applyBorder="1" applyAlignment="1">
      <alignment horizontal="left" vertical="top" wrapText="1"/>
    </xf>
    <xf numFmtId="1" fontId="30" fillId="0" borderId="79" xfId="0" applyNumberFormat="1" applyFont="1" applyBorder="1" applyAlignment="1">
      <alignment horizontal="left" vertical="top" wrapText="1"/>
    </xf>
    <xf numFmtId="1" fontId="30" fillId="0" borderId="79" xfId="0" applyNumberFormat="1" applyFont="1" applyBorder="1" applyAlignment="1">
      <alignment vertical="top" wrapText="1"/>
    </xf>
    <xf numFmtId="0" fontId="30" fillId="0" borderId="93" xfId="0" applyFont="1" applyBorder="1" applyAlignment="1">
      <alignment horizontal="left" vertical="top" wrapText="1"/>
    </xf>
    <xf numFmtId="1" fontId="7" fillId="13" borderId="13" xfId="0" applyNumberFormat="1" applyFont="1" applyFill="1" applyBorder="1" applyAlignment="1" applyProtection="1">
      <alignment horizontal="left" vertical="top" wrapText="1"/>
      <protection hidden="1"/>
    </xf>
    <xf numFmtId="1" fontId="7" fillId="0" borderId="6" xfId="0" applyNumberFormat="1" applyFont="1" applyFill="1" applyBorder="1" applyAlignment="1" applyProtection="1">
      <alignment horizontal="left" vertical="top" wrapText="1"/>
      <protection hidden="1"/>
    </xf>
    <xf numFmtId="0" fontId="7" fillId="0" borderId="6" xfId="0" applyFont="1" applyFill="1" applyBorder="1" applyAlignment="1" applyProtection="1">
      <alignment horizontal="left" vertical="top" wrapText="1"/>
      <protection hidden="1"/>
    </xf>
    <xf numFmtId="0" fontId="7" fillId="0" borderId="42" xfId="0" applyFont="1" applyBorder="1" applyAlignment="1">
      <alignment horizontal="left" vertical="top" wrapText="1"/>
    </xf>
    <xf numFmtId="0" fontId="49" fillId="13" borderId="26" xfId="0" applyFont="1" applyFill="1" applyBorder="1" applyAlignment="1">
      <alignment horizontal="left" vertical="top"/>
    </xf>
    <xf numFmtId="0" fontId="49" fillId="13" borderId="4" xfId="0" applyFont="1" applyFill="1" applyBorder="1" applyAlignment="1">
      <alignment horizontal="left" vertical="top"/>
    </xf>
    <xf numFmtId="1" fontId="30" fillId="2" borderId="53" xfId="0" applyNumberFormat="1" applyFont="1" applyFill="1" applyBorder="1" applyAlignment="1">
      <alignment horizontal="center" vertical="top" wrapText="1"/>
    </xf>
    <xf numFmtId="1" fontId="30" fillId="0" borderId="36" xfId="0" applyNumberFormat="1" applyFont="1" applyBorder="1" applyAlignment="1">
      <alignment vertical="top" wrapText="1"/>
    </xf>
    <xf numFmtId="1" fontId="30" fillId="0" borderId="43" xfId="0" applyNumberFormat="1" applyFont="1" applyBorder="1" applyAlignment="1">
      <alignment horizontal="center" vertical="top" wrapText="1"/>
    </xf>
    <xf numFmtId="1" fontId="30" fillId="0" borderId="76" xfId="0" applyNumberFormat="1" applyFont="1" applyBorder="1" applyAlignment="1">
      <alignment horizontal="center" vertical="top" wrapText="1"/>
    </xf>
    <xf numFmtId="0" fontId="30" fillId="0" borderId="40" xfId="0" applyFont="1" applyBorder="1" applyAlignment="1">
      <alignment horizontal="left" vertical="top" wrapText="1"/>
    </xf>
    <xf numFmtId="2" fontId="30" fillId="0" borderId="39" xfId="0" applyNumberFormat="1" applyFont="1" applyBorder="1" applyAlignment="1">
      <alignment horizontal="center" vertical="top" wrapText="1"/>
    </xf>
    <xf numFmtId="1" fontId="7" fillId="0" borderId="26" xfId="0" applyNumberFormat="1" applyFont="1" applyFill="1" applyBorder="1" applyAlignment="1" applyProtection="1">
      <alignment horizontal="left" vertical="top" wrapText="1"/>
      <protection hidden="1"/>
    </xf>
    <xf numFmtId="0" fontId="49" fillId="0" borderId="4" xfId="0" applyFont="1" applyBorder="1" applyAlignment="1">
      <alignment wrapText="1"/>
    </xf>
    <xf numFmtId="1" fontId="7" fillId="0" borderId="26" xfId="0" applyNumberFormat="1" applyFont="1" applyFill="1" applyBorder="1" applyAlignment="1" applyProtection="1">
      <alignment horizontal="left" vertical="center" wrapText="1"/>
      <protection hidden="1"/>
    </xf>
    <xf numFmtId="1" fontId="7" fillId="0" borderId="4" xfId="0" applyNumberFormat="1" applyFont="1" applyFill="1" applyBorder="1" applyAlignment="1" applyProtection="1">
      <alignment horizontal="left" vertical="top" wrapText="1"/>
      <protection hidden="1"/>
    </xf>
    <xf numFmtId="0" fontId="7" fillId="0" borderId="47" xfId="0" applyFont="1" applyFill="1" applyBorder="1" applyAlignment="1" applyProtection="1">
      <alignment horizontal="left" vertical="top" wrapText="1"/>
      <protection hidden="1"/>
    </xf>
    <xf numFmtId="0" fontId="30" fillId="0" borderId="79" xfId="0" applyFont="1" applyBorder="1" applyAlignment="1">
      <alignment horizontal="center" vertical="top" wrapText="1"/>
    </xf>
    <xf numFmtId="0" fontId="30" fillId="0" borderId="92" xfId="0" applyFont="1" applyBorder="1" applyAlignment="1">
      <alignment vertical="top" wrapText="1"/>
    </xf>
    <xf numFmtId="0" fontId="30" fillId="0" borderId="80" xfId="0" applyFont="1" applyBorder="1" applyAlignment="1">
      <alignment vertical="top" wrapText="1"/>
    </xf>
    <xf numFmtId="0" fontId="7" fillId="0" borderId="94" xfId="0" applyFont="1" applyFill="1" applyBorder="1" applyAlignment="1">
      <alignment vertical="top" wrapText="1"/>
    </xf>
    <xf numFmtId="0" fontId="7" fillId="0" borderId="80" xfId="0" applyFont="1" applyFill="1" applyBorder="1" applyAlignment="1">
      <alignment vertical="top" wrapText="1"/>
    </xf>
    <xf numFmtId="0" fontId="7" fillId="0" borderId="93" xfId="0" applyFont="1" applyFill="1" applyBorder="1" applyAlignment="1">
      <alignment vertical="top" wrapText="1"/>
    </xf>
    <xf numFmtId="49" fontId="7" fillId="0" borderId="42" xfId="0" applyNumberFormat="1" applyFont="1" applyBorder="1" applyAlignment="1">
      <alignment horizontal="left" vertical="top" wrapText="1"/>
    </xf>
    <xf numFmtId="49" fontId="7" fillId="0" borderId="12" xfId="0" applyNumberFormat="1" applyFont="1" applyBorder="1" applyAlignment="1">
      <alignment horizontal="left" vertical="top" wrapText="1"/>
    </xf>
    <xf numFmtId="49" fontId="7" fillId="0" borderId="79" xfId="0" applyNumberFormat="1" applyFont="1" applyBorder="1" applyAlignment="1">
      <alignment horizontal="left" vertical="top" wrapText="1"/>
    </xf>
    <xf numFmtId="0" fontId="7" fillId="0" borderId="12" xfId="0" applyNumberFormat="1" applyFont="1" applyBorder="1" applyAlignment="1">
      <alignment horizontal="left" vertical="top" wrapText="1"/>
    </xf>
    <xf numFmtId="0" fontId="7" fillId="0" borderId="79" xfId="0" applyNumberFormat="1" applyFont="1" applyBorder="1" applyAlignment="1">
      <alignment horizontal="left" vertical="top" wrapText="1"/>
    </xf>
    <xf numFmtId="0" fontId="7" fillId="0" borderId="86" xfId="0" applyFont="1" applyBorder="1" applyAlignment="1">
      <alignment horizontal="left" vertical="top" wrapText="1"/>
    </xf>
    <xf numFmtId="0" fontId="7" fillId="0" borderId="69" xfId="0" applyFont="1" applyFill="1" applyBorder="1" applyAlignment="1" applyProtection="1">
      <alignment horizontal="left" vertical="top" wrapText="1"/>
      <protection hidden="1"/>
    </xf>
    <xf numFmtId="0" fontId="7" fillId="0" borderId="42" xfId="0" applyFont="1" applyFill="1" applyBorder="1" applyAlignment="1" applyProtection="1">
      <alignment horizontal="left" vertical="top" wrapText="1"/>
      <protection hidden="1"/>
    </xf>
    <xf numFmtId="0" fontId="7" fillId="0" borderId="81" xfId="0" applyFont="1" applyFill="1" applyBorder="1" applyAlignment="1">
      <alignment vertical="top" wrapText="1"/>
    </xf>
    <xf numFmtId="1" fontId="7" fillId="0" borderId="75" xfId="0" applyNumberFormat="1" applyFont="1" applyFill="1" applyBorder="1" applyAlignment="1">
      <alignment horizontal="center" vertical="top" wrapText="1"/>
    </xf>
    <xf numFmtId="1" fontId="7" fillId="9" borderId="76" xfId="0" applyNumberFormat="1" applyFont="1" applyFill="1" applyBorder="1" applyAlignment="1">
      <alignment horizontal="center" vertical="top" wrapText="1"/>
    </xf>
    <xf numFmtId="1" fontId="7" fillId="0" borderId="87" xfId="0" applyNumberFormat="1" applyFont="1" applyBorder="1" applyAlignment="1">
      <alignment horizontal="center" vertical="top" wrapText="1"/>
    </xf>
    <xf numFmtId="0" fontId="7" fillId="2" borderId="76" xfId="0" applyNumberFormat="1" applyFont="1" applyFill="1" applyBorder="1" applyAlignment="1">
      <alignment horizontal="center" vertical="top" wrapText="1"/>
    </xf>
    <xf numFmtId="2" fontId="7" fillId="2" borderId="75" xfId="0" applyNumberFormat="1" applyFont="1" applyFill="1" applyBorder="1" applyAlignment="1">
      <alignment horizontal="center" vertical="top" wrapText="1"/>
    </xf>
    <xf numFmtId="1" fontId="7" fillId="0" borderId="76" xfId="0" applyNumberFormat="1" applyFont="1" applyBorder="1" applyAlignment="1">
      <alignment horizontal="center" vertical="top" wrapText="1"/>
    </xf>
    <xf numFmtId="0" fontId="7" fillId="2" borderId="87" xfId="0" applyNumberFormat="1" applyFont="1" applyFill="1" applyBorder="1" applyAlignment="1">
      <alignment horizontal="center" vertical="top" wrapText="1"/>
    </xf>
    <xf numFmtId="1" fontId="7" fillId="2" borderId="75" xfId="0" applyNumberFormat="1" applyFont="1" applyFill="1" applyBorder="1" applyAlignment="1">
      <alignment horizontal="center" vertical="top" wrapText="1"/>
    </xf>
    <xf numFmtId="1" fontId="7" fillId="2" borderId="93" xfId="0" applyNumberFormat="1" applyFont="1" applyFill="1" applyBorder="1" applyAlignment="1">
      <alignment horizontal="center" vertical="top" wrapText="1"/>
    </xf>
    <xf numFmtId="0" fontId="7" fillId="0" borderId="70" xfId="0" applyNumberFormat="1" applyFont="1" applyBorder="1" applyAlignment="1">
      <alignment horizontal="left" vertical="top" wrapText="1"/>
    </xf>
    <xf numFmtId="49" fontId="7" fillId="0" borderId="45" xfId="0" applyNumberFormat="1" applyFont="1" applyBorder="1" applyAlignment="1">
      <alignment horizontal="left" vertical="top" wrapText="1"/>
    </xf>
    <xf numFmtId="0" fontId="49" fillId="0" borderId="69" xfId="0" applyFont="1" applyBorder="1" applyAlignment="1">
      <alignment vertical="top" wrapText="1"/>
    </xf>
    <xf numFmtId="0" fontId="7" fillId="0" borderId="26" xfId="0" applyFont="1" applyBorder="1" applyAlignment="1">
      <alignment horizontal="left" vertical="top"/>
    </xf>
    <xf numFmtId="0" fontId="7" fillId="2" borderId="84" xfId="0" applyNumberFormat="1" applyFont="1" applyFill="1" applyBorder="1" applyAlignment="1">
      <alignment horizontal="center" vertical="top" wrapText="1"/>
    </xf>
    <xf numFmtId="0" fontId="7" fillId="0" borderId="80" xfId="0" applyFont="1" applyBorder="1" applyAlignment="1">
      <alignment vertical="top" wrapText="1"/>
    </xf>
    <xf numFmtId="1" fontId="30" fillId="2" borderId="47" xfId="0" applyNumberFormat="1" applyFont="1" applyFill="1" applyBorder="1" applyAlignment="1" applyProtection="1">
      <alignment horizontal="center" vertical="top" wrapText="1"/>
    </xf>
    <xf numFmtId="0" fontId="49" fillId="0" borderId="0" xfId="0" applyFont="1" applyFill="1" applyBorder="1" applyAlignment="1">
      <alignment horizontal="left" vertical="top"/>
    </xf>
    <xf numFmtId="0" fontId="7" fillId="0" borderId="31" xfId="0" applyFont="1" applyFill="1" applyBorder="1" applyAlignment="1">
      <alignment horizontal="left" vertical="top" wrapText="1"/>
    </xf>
    <xf numFmtId="0" fontId="7" fillId="0" borderId="59" xfId="0" applyFont="1" applyBorder="1" applyAlignment="1">
      <alignment vertical="top" wrapText="1"/>
    </xf>
    <xf numFmtId="0" fontId="7" fillId="0" borderId="18" xfId="0" applyFont="1" applyBorder="1" applyAlignment="1">
      <alignment horizontal="left" vertical="top" wrapText="1"/>
    </xf>
    <xf numFmtId="0" fontId="7" fillId="0" borderId="21" xfId="0" applyFont="1" applyBorder="1" applyAlignment="1">
      <alignment horizontal="left" vertical="top" wrapText="1"/>
    </xf>
    <xf numFmtId="0" fontId="7" fillId="0" borderId="18" xfId="0" applyFont="1" applyFill="1" applyBorder="1" applyAlignment="1">
      <alignment horizontal="left" vertical="top" wrapText="1"/>
    </xf>
    <xf numFmtId="0" fontId="7" fillId="0" borderId="67" xfId="0" applyFont="1" applyFill="1" applyBorder="1" applyAlignment="1">
      <alignment horizontal="left" vertical="top" wrapText="1"/>
    </xf>
    <xf numFmtId="0" fontId="7" fillId="0" borderId="26" xfId="0" applyFont="1" applyFill="1" applyBorder="1" applyAlignment="1">
      <alignment horizontal="left" vertical="top" wrapText="1"/>
    </xf>
    <xf numFmtId="0" fontId="7" fillId="0" borderId="26" xfId="0" applyFont="1" applyFill="1" applyBorder="1" applyAlignment="1">
      <alignment horizontal="left" vertical="top"/>
    </xf>
    <xf numFmtId="0" fontId="7" fillId="0" borderId="86" xfId="0" applyFont="1" applyFill="1" applyBorder="1" applyAlignment="1">
      <alignment horizontal="left" vertical="top" wrapText="1"/>
    </xf>
    <xf numFmtId="0" fontId="7" fillId="0" borderId="26" xfId="0" applyFont="1" applyBorder="1" applyAlignment="1">
      <alignment horizontal="left" vertical="top" wrapText="1"/>
    </xf>
    <xf numFmtId="0" fontId="7" fillId="0" borderId="41" xfId="0" applyFont="1" applyBorder="1" applyAlignment="1">
      <alignment horizontal="left" vertical="top" wrapText="1"/>
    </xf>
    <xf numFmtId="0" fontId="7" fillId="0" borderId="59" xfId="0" applyFont="1" applyBorder="1" applyAlignment="1">
      <alignment horizontal="left" vertical="top" wrapText="1"/>
    </xf>
    <xf numFmtId="0" fontId="7" fillId="0" borderId="0" xfId="0" applyFont="1" applyAlignment="1">
      <alignment horizontal="center" vertical="top" wrapText="1"/>
    </xf>
    <xf numFmtId="0" fontId="7" fillId="0" borderId="0" xfId="0" applyFont="1" applyFill="1" applyBorder="1" applyAlignment="1">
      <alignment horizontal="center" vertical="top" wrapText="1"/>
    </xf>
    <xf numFmtId="0" fontId="7" fillId="0" borderId="70" xfId="0" applyFont="1" applyBorder="1" applyAlignment="1">
      <alignment horizontal="left" vertical="top" wrapText="1"/>
    </xf>
    <xf numFmtId="0" fontId="7" fillId="0" borderId="88" xfId="0" applyFont="1" applyFill="1" applyBorder="1" applyAlignment="1">
      <alignment horizontal="left" vertical="top" wrapText="1"/>
    </xf>
    <xf numFmtId="0" fontId="7" fillId="0" borderId="86" xfId="0" applyFont="1" applyBorder="1" applyAlignment="1">
      <alignment horizontal="left" vertical="top" wrapText="1"/>
    </xf>
    <xf numFmtId="0" fontId="49" fillId="0" borderId="20" xfId="0" applyFont="1" applyFill="1" applyBorder="1" applyAlignment="1">
      <alignment horizontal="left" vertical="top" wrapText="1"/>
    </xf>
    <xf numFmtId="0" fontId="49" fillId="0" borderId="26" xfId="0" applyFont="1" applyFill="1" applyBorder="1" applyAlignment="1">
      <alignment horizontal="left" vertical="top" wrapText="1"/>
    </xf>
    <xf numFmtId="0" fontId="7" fillId="0" borderId="6" xfId="0" applyFont="1" applyBorder="1" applyAlignment="1">
      <alignment horizontal="center" vertical="top" wrapText="1"/>
    </xf>
    <xf numFmtId="0" fontId="7" fillId="0" borderId="3" xfId="0" applyFont="1" applyBorder="1" applyAlignment="1">
      <alignment horizontal="center" vertical="top" wrapText="1"/>
    </xf>
    <xf numFmtId="0" fontId="29" fillId="0" borderId="12" xfId="0" applyFont="1" applyFill="1" applyBorder="1" applyAlignment="1">
      <alignment horizontal="left" vertical="top" wrapText="1"/>
    </xf>
    <xf numFmtId="0" fontId="29" fillId="0" borderId="13" xfId="0" applyFont="1" applyFill="1" applyBorder="1" applyAlignment="1">
      <alignment horizontal="left" vertical="top" wrapText="1"/>
    </xf>
    <xf numFmtId="1" fontId="29" fillId="0" borderId="13" xfId="0" applyNumberFormat="1" applyFont="1" applyFill="1" applyBorder="1" applyAlignment="1">
      <alignment horizontal="left" vertical="top" wrapText="1"/>
    </xf>
    <xf numFmtId="1" fontId="7" fillId="13" borderId="8" xfId="0" applyNumberFormat="1" applyFont="1" applyFill="1" applyBorder="1" applyAlignment="1" applyProtection="1">
      <alignment horizontal="left" vertical="top" wrapText="1"/>
      <protection hidden="1"/>
    </xf>
    <xf numFmtId="0" fontId="7" fillId="0" borderId="45" xfId="0" applyFont="1" applyFill="1" applyBorder="1" applyAlignment="1">
      <alignment horizontal="left" vertical="top" wrapText="1"/>
    </xf>
    <xf numFmtId="1" fontId="7" fillId="0" borderId="70" xfId="0" applyNumberFormat="1" applyFont="1" applyFill="1" applyBorder="1" applyAlignment="1">
      <alignment horizontal="left" vertical="top" wrapText="1"/>
    </xf>
    <xf numFmtId="1" fontId="7" fillId="0" borderId="12" xfId="0" applyNumberFormat="1" applyFont="1" applyFill="1" applyBorder="1" applyAlignment="1">
      <alignment horizontal="left" vertical="top" wrapText="1"/>
    </xf>
    <xf numFmtId="1" fontId="7" fillId="0" borderId="79" xfId="0" applyNumberFormat="1" applyFont="1" applyFill="1" applyBorder="1" applyAlignment="1">
      <alignment horizontal="left" vertical="top" wrapText="1"/>
    </xf>
    <xf numFmtId="1" fontId="7" fillId="0" borderId="45" xfId="0" applyNumberFormat="1" applyFont="1" applyFill="1" applyBorder="1" applyAlignment="1">
      <alignment horizontal="left" vertical="top" wrapText="1"/>
    </xf>
    <xf numFmtId="1" fontId="7" fillId="0" borderId="42" xfId="0" applyNumberFormat="1" applyFont="1" applyFill="1" applyBorder="1" applyAlignment="1">
      <alignment vertical="top" wrapText="1"/>
    </xf>
    <xf numFmtId="1" fontId="7" fillId="0" borderId="93" xfId="0" applyNumberFormat="1" applyFont="1" applyFill="1" applyBorder="1" applyAlignment="1">
      <alignment vertical="top" wrapText="1"/>
    </xf>
    <xf numFmtId="1" fontId="7" fillId="0" borderId="51" xfId="0" applyNumberFormat="1" applyFont="1" applyFill="1" applyBorder="1" applyAlignment="1">
      <alignment vertical="top" wrapText="1"/>
    </xf>
    <xf numFmtId="0" fontId="49" fillId="0" borderId="88" xfId="0" applyFont="1" applyBorder="1" applyAlignment="1">
      <alignment vertical="top" wrapText="1"/>
    </xf>
    <xf numFmtId="0" fontId="49" fillId="0" borderId="88" xfId="0" applyFont="1" applyFill="1" applyBorder="1" applyAlignment="1">
      <alignment vertical="top" wrapText="1"/>
    </xf>
    <xf numFmtId="0" fontId="49" fillId="0" borderId="93" xfId="0" applyFont="1" applyBorder="1" applyAlignment="1">
      <alignment vertical="top" wrapText="1"/>
    </xf>
    <xf numFmtId="1" fontId="7" fillId="0" borderId="42" xfId="0" applyNumberFormat="1" applyFont="1" applyFill="1" applyBorder="1" applyAlignment="1">
      <alignment horizontal="left" vertical="top" wrapText="1"/>
    </xf>
    <xf numFmtId="49" fontId="7" fillId="0" borderId="70" xfId="0" applyNumberFormat="1" applyFont="1" applyBorder="1" applyAlignment="1">
      <alignment horizontal="left" vertical="top" wrapText="1"/>
    </xf>
    <xf numFmtId="0" fontId="49" fillId="0" borderId="69" xfId="0" applyNumberFormat="1" applyFont="1" applyBorder="1" applyAlignment="1">
      <alignment horizontal="left" vertical="top" wrapText="1"/>
    </xf>
    <xf numFmtId="0" fontId="49" fillId="0" borderId="42" xfId="0" applyFont="1" applyBorder="1" applyAlignment="1">
      <alignment horizontal="left" vertical="top" wrapText="1"/>
    </xf>
    <xf numFmtId="0" fontId="7" fillId="0" borderId="68" xfId="0" applyFont="1" applyFill="1" applyBorder="1" applyAlignment="1">
      <alignment vertical="top" wrapText="1"/>
    </xf>
    <xf numFmtId="0" fontId="7" fillId="0" borderId="85" xfId="0" applyFont="1" applyFill="1" applyBorder="1" applyAlignment="1">
      <alignment vertical="top" wrapText="1"/>
    </xf>
    <xf numFmtId="0" fontId="41" fillId="0" borderId="48" xfId="0" applyFont="1" applyBorder="1" applyAlignment="1">
      <alignment horizontal="center" vertical="center" wrapText="1"/>
    </xf>
    <xf numFmtId="2" fontId="8" fillId="0" borderId="0" xfId="0" applyNumberFormat="1" applyFont="1" applyFill="1" applyBorder="1" applyAlignment="1">
      <alignment vertical="top" wrapText="1"/>
    </xf>
    <xf numFmtId="0" fontId="8" fillId="0" borderId="20" xfId="0" applyFont="1" applyBorder="1" applyAlignment="1">
      <alignment wrapText="1"/>
    </xf>
    <xf numFmtId="1" fontId="7" fillId="2" borderId="3" xfId="0" applyNumberFormat="1" applyFont="1" applyFill="1" applyBorder="1" applyAlignment="1" applyProtection="1">
      <alignment horizontal="center" vertical="top" wrapText="1"/>
      <protection hidden="1"/>
    </xf>
    <xf numFmtId="0" fontId="7" fillId="2" borderId="3" xfId="0" applyFont="1" applyFill="1" applyBorder="1" applyAlignment="1" applyProtection="1">
      <alignment horizontal="center" vertical="top" wrapText="1"/>
      <protection hidden="1"/>
    </xf>
    <xf numFmtId="0" fontId="7" fillId="0" borderId="72" xfId="0" applyFont="1" applyFill="1" applyBorder="1" applyAlignment="1">
      <alignment vertical="top" wrapText="1"/>
    </xf>
    <xf numFmtId="1" fontId="7" fillId="0" borderId="30" xfId="0" applyNumberFormat="1" applyFont="1" applyBorder="1" applyAlignment="1">
      <alignment vertical="top" wrapText="1"/>
    </xf>
    <xf numFmtId="1" fontId="7" fillId="0" borderId="30" xfId="0" applyNumberFormat="1" applyFont="1" applyBorder="1" applyAlignment="1">
      <alignment horizontal="left" vertical="top" wrapText="1"/>
    </xf>
    <xf numFmtId="1" fontId="7" fillId="0" borderId="94" xfId="0" applyNumberFormat="1" applyFont="1" applyBorder="1" applyAlignment="1">
      <alignment horizontal="left" vertical="top" wrapText="1"/>
    </xf>
    <xf numFmtId="1" fontId="7" fillId="0" borderId="80" xfId="0" applyNumberFormat="1" applyFont="1" applyBorder="1" applyAlignment="1">
      <alignment horizontal="left" vertical="top" wrapText="1"/>
    </xf>
    <xf numFmtId="1" fontId="7" fillId="0" borderId="40" xfId="0" applyNumberFormat="1" applyFont="1" applyBorder="1" applyAlignment="1">
      <alignment vertical="top" wrapText="1"/>
    </xf>
    <xf numFmtId="0" fontId="49" fillId="0" borderId="4" xfId="0" applyFont="1" applyFill="1" applyBorder="1" applyAlignment="1">
      <alignment horizontal="left" vertical="top" wrapText="1"/>
    </xf>
    <xf numFmtId="0" fontId="49" fillId="0" borderId="4" xfId="0" applyFont="1" applyBorder="1" applyAlignment="1">
      <alignment horizontal="left" vertical="top" wrapText="1"/>
    </xf>
    <xf numFmtId="1" fontId="49" fillId="0" borderId="4" xfId="0" applyNumberFormat="1" applyFont="1" applyFill="1" applyBorder="1" applyAlignment="1">
      <alignment horizontal="left" vertical="top" wrapText="1"/>
    </xf>
    <xf numFmtId="2" fontId="7" fillId="14" borderId="30" xfId="0" applyNumberFormat="1" applyFont="1" applyFill="1" applyBorder="1" applyAlignment="1">
      <alignment horizontal="center" vertical="top"/>
    </xf>
    <xf numFmtId="2" fontId="7" fillId="2" borderId="94" xfId="0" applyNumberFormat="1" applyFont="1" applyFill="1" applyBorder="1" applyAlignment="1">
      <alignment horizontal="center" vertical="top" wrapText="1"/>
    </xf>
    <xf numFmtId="2" fontId="7" fillId="2" borderId="80" xfId="0" applyNumberFormat="1" applyFont="1" applyFill="1" applyBorder="1" applyAlignment="1">
      <alignment horizontal="center" vertical="top" wrapText="1"/>
    </xf>
    <xf numFmtId="2" fontId="7" fillId="2" borderId="81" xfId="0" applyNumberFormat="1" applyFont="1" applyFill="1" applyBorder="1" applyAlignment="1">
      <alignment horizontal="center" vertical="top" wrapText="1"/>
    </xf>
    <xf numFmtId="0" fontId="7" fillId="0" borderId="17" xfId="0" applyFont="1" applyFill="1" applyBorder="1" applyAlignment="1">
      <alignment horizontal="left" vertical="top"/>
    </xf>
    <xf numFmtId="0" fontId="7" fillId="0" borderId="88" xfId="0" applyFont="1" applyBorder="1" applyAlignment="1">
      <alignment horizontal="center" vertical="top" wrapText="1"/>
    </xf>
    <xf numFmtId="0" fontId="7" fillId="0" borderId="85" xfId="0" applyFont="1" applyBorder="1" applyAlignment="1">
      <alignment vertical="top" wrapText="1"/>
    </xf>
    <xf numFmtId="2" fontId="7" fillId="14" borderId="58" xfId="0" applyNumberFormat="1" applyFont="1" applyFill="1" applyBorder="1" applyAlignment="1">
      <alignment horizontal="center" vertical="top"/>
    </xf>
    <xf numFmtId="2" fontId="7" fillId="14" borderId="69" xfId="0" applyNumberFormat="1" applyFont="1" applyFill="1" applyBorder="1" applyAlignment="1">
      <alignment horizontal="center" vertical="top"/>
    </xf>
    <xf numFmtId="0" fontId="7" fillId="0" borderId="79" xfId="0" applyFont="1" applyFill="1" applyBorder="1" applyAlignment="1">
      <alignment horizontal="center" vertical="top" wrapText="1"/>
    </xf>
    <xf numFmtId="1" fontId="7" fillId="0" borderId="42" xfId="0" applyNumberFormat="1" applyFont="1" applyBorder="1" applyAlignment="1">
      <alignment horizontal="left" vertical="top" wrapText="1"/>
    </xf>
    <xf numFmtId="1" fontId="7" fillId="0" borderId="36" xfId="0" applyNumberFormat="1" applyFont="1" applyBorder="1" applyAlignment="1">
      <alignment horizontal="left" vertical="top" wrapText="1"/>
    </xf>
    <xf numFmtId="1" fontId="7" fillId="0" borderId="43" xfId="0" applyNumberFormat="1" applyFont="1" applyBorder="1" applyAlignment="1">
      <alignment horizontal="center" vertical="top" wrapText="1"/>
    </xf>
    <xf numFmtId="2" fontId="7" fillId="2" borderId="92" xfId="0" applyNumberFormat="1" applyFont="1" applyFill="1" applyBorder="1" applyAlignment="1">
      <alignment horizontal="center" vertical="top"/>
    </xf>
    <xf numFmtId="2" fontId="7" fillId="15" borderId="19" xfId="0" applyNumberFormat="1" applyFont="1" applyFill="1" applyBorder="1" applyAlignment="1">
      <alignment horizontal="center" vertical="top" wrapText="1"/>
    </xf>
    <xf numFmtId="1" fontId="7" fillId="0" borderId="4" xfId="0" applyNumberFormat="1" applyFont="1" applyFill="1" applyBorder="1" applyAlignment="1" applyProtection="1">
      <alignment horizontal="left" vertical="center" wrapText="1"/>
      <protection hidden="1"/>
    </xf>
    <xf numFmtId="1" fontId="7" fillId="2" borderId="94" xfId="0" applyNumberFormat="1" applyFont="1" applyFill="1" applyBorder="1" applyAlignment="1">
      <alignment horizontal="center" vertical="top" wrapText="1"/>
    </xf>
    <xf numFmtId="0" fontId="7" fillId="0" borderId="4" xfId="0" applyFont="1" applyBorder="1" applyAlignment="1">
      <alignment horizontal="left" vertical="top"/>
    </xf>
    <xf numFmtId="2" fontId="30" fillId="2" borderId="63" xfId="0" applyNumberFormat="1" applyFont="1" applyFill="1" applyBorder="1" applyAlignment="1" applyProtection="1">
      <alignment horizontal="center" vertical="top" wrapText="1"/>
    </xf>
    <xf numFmtId="0" fontId="7" fillId="0" borderId="75" xfId="0" applyFont="1" applyFill="1" applyBorder="1" applyAlignment="1">
      <alignment horizontal="left" vertical="top" wrapText="1"/>
    </xf>
    <xf numFmtId="0" fontId="7" fillId="0" borderId="30" xfId="0" applyNumberFormat="1" applyFont="1" applyBorder="1" applyAlignment="1">
      <alignment horizontal="left" vertical="top" wrapText="1"/>
    </xf>
    <xf numFmtId="0" fontId="7" fillId="0" borderId="19" xfId="0" applyNumberFormat="1" applyFont="1" applyBorder="1" applyAlignment="1">
      <alignment horizontal="left" vertical="top" wrapText="1"/>
    </xf>
    <xf numFmtId="0" fontId="7" fillId="0" borderId="94" xfId="0" applyFont="1" applyFill="1" applyBorder="1" applyAlignment="1">
      <alignment horizontal="left" vertical="top" wrapText="1"/>
    </xf>
    <xf numFmtId="1" fontId="7" fillId="0" borderId="93" xfId="0" applyNumberFormat="1" applyFont="1" applyBorder="1" applyAlignment="1">
      <alignment horizontal="left" vertical="top" wrapText="1"/>
    </xf>
    <xf numFmtId="1" fontId="7" fillId="0" borderId="45" xfId="0" applyNumberFormat="1" applyFont="1" applyFill="1" applyBorder="1" applyAlignment="1">
      <alignment vertical="top" wrapText="1"/>
    </xf>
    <xf numFmtId="1" fontId="7" fillId="0" borderId="40" xfId="0" applyNumberFormat="1" applyFont="1" applyFill="1" applyBorder="1" applyAlignment="1">
      <alignment horizontal="left" vertical="top" wrapText="1"/>
    </xf>
    <xf numFmtId="1" fontId="7" fillId="0" borderId="93" xfId="0" applyNumberFormat="1" applyFont="1" applyFill="1" applyBorder="1" applyAlignment="1">
      <alignment horizontal="left" vertical="top" wrapText="1"/>
    </xf>
    <xf numFmtId="0" fontId="7" fillId="0" borderId="41" xfId="0" applyNumberFormat="1" applyFont="1" applyFill="1" applyBorder="1" applyAlignment="1">
      <alignment horizontal="left" vertical="top" wrapText="1"/>
    </xf>
    <xf numFmtId="0" fontId="7" fillId="0" borderId="4" xfId="0" applyNumberFormat="1" applyFont="1" applyFill="1" applyBorder="1" applyAlignment="1">
      <alignment horizontal="left" vertical="top" wrapText="1"/>
    </xf>
    <xf numFmtId="0" fontId="7" fillId="0" borderId="4" xfId="0" applyNumberFormat="1" applyFont="1" applyBorder="1" applyAlignment="1">
      <alignment horizontal="left" vertical="top" wrapText="1"/>
    </xf>
    <xf numFmtId="0" fontId="7" fillId="0" borderId="41" xfId="0" applyNumberFormat="1" applyFont="1" applyBorder="1" applyAlignment="1">
      <alignment horizontal="left" vertical="top" wrapText="1"/>
    </xf>
    <xf numFmtId="1" fontId="7" fillId="2" borderId="81" xfId="0" applyNumberFormat="1" applyFont="1" applyFill="1" applyBorder="1" applyAlignment="1">
      <alignment horizontal="center" vertical="top" wrapText="1"/>
    </xf>
    <xf numFmtId="1" fontId="7" fillId="0" borderId="12" xfId="0" applyNumberFormat="1" applyFont="1" applyFill="1" applyBorder="1" applyAlignment="1">
      <alignment horizontal="center" vertical="top" wrapText="1"/>
    </xf>
    <xf numFmtId="2" fontId="7" fillId="14" borderId="13" xfId="0" applyNumberFormat="1" applyFont="1" applyFill="1" applyBorder="1" applyAlignment="1">
      <alignment horizontal="center" vertical="top" wrapText="1"/>
    </xf>
    <xf numFmtId="1" fontId="7" fillId="0" borderId="40" xfId="0" applyNumberFormat="1" applyFont="1" applyFill="1" applyBorder="1" applyAlignment="1">
      <alignment horizontal="center" vertical="top" wrapText="1"/>
    </xf>
    <xf numFmtId="0" fontId="49" fillId="0" borderId="26" xfId="0" applyFont="1" applyBorder="1" applyAlignment="1">
      <alignment horizontal="left" vertical="top"/>
    </xf>
    <xf numFmtId="0" fontId="7" fillId="0" borderId="17" xfId="0" applyFont="1" applyBorder="1" applyAlignment="1">
      <alignment horizontal="left" vertical="top"/>
    </xf>
    <xf numFmtId="0" fontId="7" fillId="0" borderId="13" xfId="0" applyFont="1" applyFill="1" applyBorder="1" applyAlignment="1">
      <alignment horizontal="center" vertical="top" wrapText="1"/>
    </xf>
    <xf numFmtId="0" fontId="49" fillId="0" borderId="93" xfId="0" applyFont="1" applyFill="1" applyBorder="1" applyAlignment="1">
      <alignment vertical="top" wrapText="1"/>
    </xf>
    <xf numFmtId="0" fontId="7" fillId="0" borderId="0" xfId="0" applyNumberFormat="1" applyFont="1" applyBorder="1" applyAlignment="1">
      <alignment horizontal="left" vertical="top" wrapText="1"/>
    </xf>
    <xf numFmtId="0" fontId="7" fillId="0" borderId="26" xfId="0" applyNumberFormat="1" applyFont="1" applyFill="1" applyBorder="1" applyAlignment="1">
      <alignment horizontal="left" vertical="top" wrapText="1"/>
    </xf>
    <xf numFmtId="1" fontId="7" fillId="0" borderId="0" xfId="0" applyNumberFormat="1" applyFont="1" applyBorder="1" applyAlignment="1">
      <alignment vertical="top" wrapText="1"/>
    </xf>
    <xf numFmtId="2" fontId="7" fillId="0" borderId="26" xfId="0" applyNumberFormat="1" applyFont="1" applyFill="1" applyBorder="1" applyAlignment="1">
      <alignment horizontal="center" vertical="top" wrapText="1"/>
    </xf>
    <xf numFmtId="0" fontId="7" fillId="2" borderId="12" xfId="0" applyNumberFormat="1" applyFont="1" applyFill="1" applyBorder="1" applyAlignment="1">
      <alignment horizontal="center" vertical="top" wrapText="1"/>
    </xf>
    <xf numFmtId="0" fontId="7" fillId="2" borderId="6" xfId="0" applyNumberFormat="1" applyFont="1" applyFill="1" applyBorder="1" applyAlignment="1">
      <alignment horizontal="center" vertical="top" wrapText="1"/>
    </xf>
    <xf numFmtId="2" fontId="7" fillId="3" borderId="59" xfId="0" applyNumberFormat="1" applyFont="1" applyFill="1" applyBorder="1" applyAlignment="1">
      <alignment horizontal="center" vertical="top" wrapText="1"/>
    </xf>
    <xf numFmtId="0" fontId="0" fillId="0" borderId="80" xfId="0" applyFill="1" applyBorder="1" applyAlignment="1">
      <alignment horizontal="center" vertical="top"/>
    </xf>
    <xf numFmtId="0" fontId="49" fillId="0" borderId="26" xfId="0" applyFont="1" applyBorder="1" applyAlignment="1">
      <alignment vertical="top" wrapText="1"/>
    </xf>
    <xf numFmtId="0" fontId="49" fillId="0" borderId="26" xfId="0" applyFont="1" applyBorder="1" applyAlignment="1">
      <alignment horizontal="left" vertical="top" wrapText="1"/>
    </xf>
    <xf numFmtId="0" fontId="49" fillId="0" borderId="26" xfId="0" applyFont="1" applyBorder="1" applyAlignment="1">
      <alignment vertical="top"/>
    </xf>
    <xf numFmtId="0" fontId="49" fillId="0" borderId="4" xfId="0" applyFont="1" applyFill="1" applyBorder="1" applyAlignment="1">
      <alignment vertical="top" wrapText="1"/>
    </xf>
    <xf numFmtId="0" fontId="49" fillId="0" borderId="4" xfId="0" applyNumberFormat="1" applyFont="1" applyFill="1" applyBorder="1" applyAlignment="1">
      <alignment horizontal="left" vertical="top" wrapText="1"/>
    </xf>
    <xf numFmtId="0" fontId="7" fillId="0" borderId="93" xfId="0" applyFont="1" applyBorder="1" applyAlignment="1">
      <alignment horizontal="center" vertical="top" wrapText="1"/>
    </xf>
    <xf numFmtId="0" fontId="7" fillId="0" borderId="88" xfId="0" applyFont="1" applyFill="1" applyBorder="1" applyAlignment="1">
      <alignment horizontal="center" vertical="top" wrapText="1"/>
    </xf>
    <xf numFmtId="0" fontId="7" fillId="0" borderId="48" xfId="0" applyFont="1" applyFill="1" applyBorder="1" applyAlignment="1">
      <alignment vertical="top" wrapText="1"/>
    </xf>
    <xf numFmtId="0" fontId="7" fillId="0" borderId="83" xfId="0" applyFont="1" applyFill="1" applyBorder="1" applyAlignment="1">
      <alignment vertical="top" wrapText="1"/>
    </xf>
    <xf numFmtId="0" fontId="7" fillId="0" borderId="45" xfId="0" applyFont="1" applyFill="1" applyBorder="1" applyAlignment="1">
      <alignment horizontal="center" vertical="top" wrapText="1"/>
    </xf>
    <xf numFmtId="1" fontId="39" fillId="0" borderId="20" xfId="0" applyNumberFormat="1" applyFont="1" applyBorder="1" applyAlignment="1">
      <alignment horizontal="center" vertical="top"/>
    </xf>
    <xf numFmtId="0" fontId="49" fillId="0" borderId="45" xfId="0" applyFont="1" applyFill="1" applyBorder="1" applyAlignment="1">
      <alignment vertical="top" wrapText="1"/>
    </xf>
    <xf numFmtId="2" fontId="7" fillId="0" borderId="30" xfId="0" applyNumberFormat="1" applyFont="1" applyFill="1" applyBorder="1" applyAlignment="1">
      <alignment horizontal="left" vertical="top" wrapText="1"/>
    </xf>
    <xf numFmtId="0" fontId="30" fillId="0" borderId="0" xfId="0" applyNumberFormat="1" applyFont="1" applyAlignment="1">
      <alignment horizontal="left" vertical="top" wrapText="1"/>
    </xf>
    <xf numFmtId="1" fontId="7" fillId="13" borderId="12" xfId="0" applyNumberFormat="1" applyFont="1" applyFill="1" applyBorder="1" applyAlignment="1">
      <alignment horizontal="left" vertical="top" wrapText="1"/>
    </xf>
    <xf numFmtId="0" fontId="57" fillId="0" borderId="26" xfId="0" applyFont="1" applyFill="1" applyBorder="1" applyAlignment="1">
      <alignment horizontal="left" vertical="top" wrapText="1"/>
    </xf>
    <xf numFmtId="1" fontId="7" fillId="13" borderId="40" xfId="0" applyNumberFormat="1" applyFont="1" applyFill="1" applyBorder="1" applyAlignment="1">
      <alignment horizontal="left" vertical="top" wrapText="1"/>
    </xf>
    <xf numFmtId="0" fontId="57" fillId="0" borderId="26" xfId="0" applyNumberFormat="1" applyFont="1" applyFill="1" applyBorder="1" applyAlignment="1">
      <alignment horizontal="left" vertical="top" wrapText="1"/>
    </xf>
    <xf numFmtId="2" fontId="7" fillId="14" borderId="47" xfId="0" applyNumberFormat="1" applyFont="1" applyFill="1" applyBorder="1" applyAlignment="1">
      <alignment horizontal="center" vertical="top" wrapText="1"/>
    </xf>
    <xf numFmtId="0" fontId="57" fillId="0" borderId="4" xfId="0" applyNumberFormat="1" applyFont="1" applyFill="1" applyBorder="1" applyAlignment="1">
      <alignment horizontal="left" vertical="top" wrapText="1"/>
    </xf>
    <xf numFmtId="0" fontId="7" fillId="2" borderId="13" xfId="0" applyFont="1" applyFill="1" applyBorder="1" applyAlignment="1" applyProtection="1">
      <alignment horizontal="center" vertical="top" wrapText="1"/>
      <protection hidden="1"/>
    </xf>
    <xf numFmtId="2" fontId="7" fillId="14" borderId="59" xfId="0" applyNumberFormat="1" applyFont="1" applyFill="1" applyBorder="1" applyAlignment="1">
      <alignment horizontal="center" vertical="top"/>
    </xf>
    <xf numFmtId="2" fontId="7" fillId="2" borderId="93" xfId="0" applyNumberFormat="1" applyFont="1" applyFill="1" applyBorder="1" applyAlignment="1">
      <alignment horizontal="center" vertical="top"/>
    </xf>
    <xf numFmtId="2" fontId="7" fillId="2" borderId="3" xfId="0" applyNumberFormat="1" applyFont="1" applyFill="1" applyBorder="1" applyAlignment="1">
      <alignment horizontal="center" vertical="top"/>
    </xf>
    <xf numFmtId="1" fontId="7" fillId="2" borderId="6" xfId="0" applyNumberFormat="1" applyFont="1" applyFill="1" applyBorder="1" applyAlignment="1">
      <alignment horizontal="center" vertical="top"/>
    </xf>
    <xf numFmtId="0" fontId="49" fillId="0" borderId="30" xfId="0" applyFont="1" applyFill="1" applyBorder="1" applyAlignment="1">
      <alignment horizontal="left" vertical="top" wrapText="1"/>
    </xf>
    <xf numFmtId="0" fontId="49" fillId="0" borderId="40" xfId="0" applyFont="1" applyFill="1" applyBorder="1" applyAlignment="1">
      <alignment horizontal="left" vertical="top" wrapText="1"/>
    </xf>
    <xf numFmtId="0" fontId="49" fillId="0" borderId="39" xfId="0" applyFont="1" applyFill="1" applyBorder="1" applyAlignment="1">
      <alignment horizontal="center" vertical="top" wrapText="1"/>
    </xf>
    <xf numFmtId="2" fontId="7" fillId="2" borderId="47" xfId="0" applyNumberFormat="1" applyFont="1" applyFill="1" applyBorder="1" applyAlignment="1" applyProtection="1">
      <alignment horizontal="center" vertical="top" wrapText="1"/>
    </xf>
    <xf numFmtId="2" fontId="29" fillId="0" borderId="72" xfId="0" applyNumberFormat="1" applyFont="1" applyFill="1" applyBorder="1" applyAlignment="1">
      <alignment vertical="top" wrapText="1"/>
    </xf>
    <xf numFmtId="2" fontId="29" fillId="0" borderId="23" xfId="0" applyNumberFormat="1" applyFont="1" applyFill="1" applyBorder="1" applyAlignment="1">
      <alignment vertical="top" wrapText="1"/>
    </xf>
    <xf numFmtId="2" fontId="29" fillId="0" borderId="30" xfId="0" applyNumberFormat="1" applyFont="1" applyFill="1" applyBorder="1" applyAlignment="1">
      <alignment vertical="top" wrapText="1"/>
    </xf>
    <xf numFmtId="2" fontId="49" fillId="0" borderId="42" xfId="0" applyNumberFormat="1" applyFont="1" applyFill="1" applyBorder="1" applyAlignment="1">
      <alignment vertical="top" wrapText="1"/>
    </xf>
    <xf numFmtId="2" fontId="49" fillId="0" borderId="93" xfId="0" applyNumberFormat="1" applyFont="1" applyFill="1" applyBorder="1" applyAlignment="1">
      <alignment vertical="top" wrapText="1"/>
    </xf>
    <xf numFmtId="2" fontId="49" fillId="0" borderId="88" xfId="0" applyNumberFormat="1" applyFont="1" applyFill="1" applyBorder="1" applyAlignment="1">
      <alignment vertical="top" wrapText="1"/>
    </xf>
    <xf numFmtId="2" fontId="49" fillId="0" borderId="45" xfId="0" applyNumberFormat="1" applyFont="1" applyFill="1" applyBorder="1" applyAlignment="1">
      <alignment vertical="top" wrapText="1"/>
    </xf>
    <xf numFmtId="2" fontId="49" fillId="0" borderId="70" xfId="0" applyNumberFormat="1" applyFont="1" applyBorder="1" applyAlignment="1">
      <alignment vertical="top" wrapText="1"/>
    </xf>
    <xf numFmtId="1" fontId="49" fillId="0" borderId="94" xfId="0" applyNumberFormat="1" applyFont="1" applyBorder="1" applyAlignment="1">
      <alignment horizontal="left" vertical="top" wrapText="1"/>
    </xf>
    <xf numFmtId="1" fontId="49" fillId="0" borderId="80" xfId="0" applyNumberFormat="1" applyFont="1" applyBorder="1" applyAlignment="1">
      <alignment horizontal="left" vertical="top" wrapText="1"/>
    </xf>
    <xf numFmtId="1" fontId="49" fillId="0" borderId="12" xfId="0" applyNumberFormat="1" applyFont="1" applyFill="1" applyBorder="1" applyAlignment="1">
      <alignment vertical="top" wrapText="1"/>
    </xf>
    <xf numFmtId="1" fontId="49" fillId="0" borderId="79" xfId="0" applyNumberFormat="1" applyFont="1" applyFill="1" applyBorder="1" applyAlignment="1">
      <alignment vertical="top" wrapText="1"/>
    </xf>
    <xf numFmtId="1" fontId="49" fillId="0" borderId="93" xfId="0" applyNumberFormat="1" applyFont="1" applyBorder="1" applyAlignment="1">
      <alignment vertical="top" wrapText="1"/>
    </xf>
    <xf numFmtId="1" fontId="49" fillId="0" borderId="88" xfId="0" applyNumberFormat="1" applyFont="1" applyBorder="1" applyAlignment="1">
      <alignment vertical="top" wrapText="1"/>
    </xf>
    <xf numFmtId="2" fontId="49" fillId="0" borderId="93" xfId="0" applyNumberFormat="1" applyFont="1" applyBorder="1" applyAlignment="1">
      <alignment vertical="top" wrapText="1"/>
    </xf>
    <xf numFmtId="2" fontId="49" fillId="0" borderId="88" xfId="0" applyNumberFormat="1" applyFont="1" applyBorder="1" applyAlignment="1">
      <alignment vertical="top" wrapText="1"/>
    </xf>
    <xf numFmtId="2" fontId="49" fillId="0" borderId="79" xfId="0" applyNumberFormat="1" applyFont="1" applyBorder="1" applyAlignment="1">
      <alignment vertical="top" wrapText="1"/>
    </xf>
    <xf numFmtId="2" fontId="49" fillId="0" borderId="42" xfId="0" applyNumberFormat="1" applyFont="1" applyBorder="1" applyAlignment="1">
      <alignment vertical="top" wrapText="1"/>
    </xf>
    <xf numFmtId="2" fontId="49" fillId="0" borderId="45" xfId="0" applyNumberFormat="1" applyFont="1" applyBorder="1" applyAlignment="1">
      <alignment vertical="top" wrapText="1"/>
    </xf>
    <xf numFmtId="2" fontId="49" fillId="0" borderId="12" xfId="0" applyNumberFormat="1" applyFont="1" applyFill="1" applyBorder="1" applyAlignment="1">
      <alignment vertical="top" wrapText="1"/>
    </xf>
    <xf numFmtId="2" fontId="49" fillId="0" borderId="79" xfId="0" applyNumberFormat="1" applyFont="1" applyFill="1" applyBorder="1" applyAlignment="1">
      <alignment vertical="top" wrapText="1"/>
    </xf>
    <xf numFmtId="2" fontId="49" fillId="0" borderId="70" xfId="0" applyNumberFormat="1" applyFont="1" applyFill="1" applyBorder="1" applyAlignment="1">
      <alignment vertical="top" wrapText="1"/>
    </xf>
    <xf numFmtId="2" fontId="29" fillId="0" borderId="12" xfId="0" applyNumberFormat="1" applyFont="1" applyFill="1" applyBorder="1" applyAlignment="1">
      <alignment vertical="top" wrapText="1"/>
    </xf>
    <xf numFmtId="2" fontId="49" fillId="0" borderId="88" xfId="0" applyNumberFormat="1" applyFont="1" applyFill="1" applyBorder="1" applyAlignment="1">
      <alignment horizontal="left" vertical="top" wrapText="1"/>
    </xf>
    <xf numFmtId="2" fontId="49" fillId="0" borderId="45" xfId="0" applyNumberFormat="1" applyFont="1" applyFill="1" applyBorder="1" applyAlignment="1">
      <alignment horizontal="left" vertical="top" wrapText="1"/>
    </xf>
    <xf numFmtId="2" fontId="29" fillId="0" borderId="4" xfId="0" applyNumberFormat="1" applyFont="1" applyFill="1" applyBorder="1" applyAlignment="1">
      <alignment vertical="top" wrapText="1"/>
    </xf>
    <xf numFmtId="2" fontId="29" fillId="0" borderId="26" xfId="0" applyNumberFormat="1" applyFont="1" applyFill="1" applyBorder="1" applyAlignment="1">
      <alignment vertical="top" wrapText="1"/>
    </xf>
    <xf numFmtId="2" fontId="29" fillId="0" borderId="4" xfId="0" applyNumberFormat="1" applyFont="1" applyBorder="1" applyAlignment="1">
      <alignment vertical="top" wrapText="1"/>
    </xf>
    <xf numFmtId="1" fontId="7" fillId="2" borderId="94" xfId="0" applyNumberFormat="1" applyFont="1" applyFill="1" applyBorder="1" applyAlignment="1">
      <alignment horizontal="center" vertical="top"/>
    </xf>
    <xf numFmtId="2" fontId="29" fillId="2" borderId="75" xfId="0" applyNumberFormat="1" applyFont="1" applyFill="1" applyBorder="1" applyAlignment="1">
      <alignment horizontal="center" vertical="top" wrapText="1"/>
    </xf>
    <xf numFmtId="2" fontId="29" fillId="2" borderId="75" xfId="0" applyNumberFormat="1" applyFont="1" applyFill="1" applyBorder="1" applyAlignment="1">
      <alignment horizontal="center" vertical="top"/>
    </xf>
    <xf numFmtId="2" fontId="29" fillId="0" borderId="67" xfId="0" applyNumberFormat="1" applyFont="1" applyFill="1" applyBorder="1" applyAlignment="1">
      <alignment vertical="top" wrapText="1"/>
    </xf>
    <xf numFmtId="1" fontId="49" fillId="0" borderId="76" xfId="0" applyNumberFormat="1" applyFont="1" applyFill="1" applyBorder="1" applyAlignment="1">
      <alignment horizontal="center" vertical="top" wrapText="1"/>
    </xf>
    <xf numFmtId="1" fontId="29" fillId="2" borderId="93" xfId="0" applyNumberFormat="1" applyFont="1" applyFill="1" applyBorder="1" applyAlignment="1">
      <alignment horizontal="center" vertical="top" wrapText="1"/>
    </xf>
    <xf numFmtId="1" fontId="29" fillId="2" borderId="60" xfId="0" applyNumberFormat="1" applyFont="1" applyFill="1" applyBorder="1" applyAlignment="1">
      <alignment horizontal="center" vertical="top" wrapText="1"/>
    </xf>
    <xf numFmtId="1" fontId="29" fillId="2" borderId="92" xfId="0" applyNumberFormat="1" applyFont="1" applyFill="1" applyBorder="1" applyAlignment="1">
      <alignment horizontal="center" vertical="top" wrapText="1"/>
    </xf>
    <xf numFmtId="1" fontId="29" fillId="2" borderId="84" xfId="0" applyNumberFormat="1" applyFont="1" applyFill="1" applyBorder="1" applyAlignment="1">
      <alignment horizontal="center" vertical="top" wrapText="1"/>
    </xf>
    <xf numFmtId="1" fontId="29" fillId="0" borderId="87" xfId="0" applyNumberFormat="1" applyFont="1" applyBorder="1" applyAlignment="1">
      <alignment horizontal="center" vertical="top" wrapText="1"/>
    </xf>
    <xf numFmtId="1" fontId="29" fillId="2" borderId="79" xfId="0" applyNumberFormat="1" applyFont="1" applyFill="1" applyBorder="1" applyAlignment="1">
      <alignment horizontal="center" vertical="top" wrapText="1"/>
    </xf>
    <xf numFmtId="1" fontId="29" fillId="2" borderId="87" xfId="0" applyNumberFormat="1" applyFont="1" applyFill="1" applyBorder="1" applyAlignment="1">
      <alignment horizontal="center" vertical="top" wrapText="1"/>
    </xf>
    <xf numFmtId="1" fontId="49" fillId="0" borderId="36" xfId="0" applyNumberFormat="1" applyFont="1" applyBorder="1" applyAlignment="1">
      <alignment horizontal="left" vertical="top" wrapText="1"/>
    </xf>
    <xf numFmtId="1" fontId="29" fillId="0" borderId="76" xfId="0" applyNumberFormat="1" applyFont="1" applyFill="1" applyBorder="1" applyAlignment="1">
      <alignment horizontal="center" vertical="top" wrapText="1"/>
    </xf>
    <xf numFmtId="1" fontId="49" fillId="0" borderId="70" xfId="0" applyNumberFormat="1" applyFont="1" applyBorder="1" applyAlignment="1">
      <alignment vertical="top" wrapText="1"/>
    </xf>
    <xf numFmtId="1" fontId="49" fillId="0" borderId="79" xfId="0" applyNumberFormat="1" applyFont="1" applyBorder="1" applyAlignment="1">
      <alignment vertical="top" wrapText="1"/>
    </xf>
    <xf numFmtId="1" fontId="49" fillId="0" borderId="87" xfId="0" applyNumberFormat="1" applyFont="1" applyBorder="1" applyAlignment="1">
      <alignment horizontal="center" vertical="top" wrapText="1"/>
    </xf>
    <xf numFmtId="1" fontId="49" fillId="0" borderId="76" xfId="0" applyNumberFormat="1" applyFont="1" applyBorder="1" applyAlignment="1">
      <alignment horizontal="center" vertical="top" wrapText="1"/>
    </xf>
    <xf numFmtId="0" fontId="49" fillId="0" borderId="70" xfId="0" applyFont="1" applyBorder="1" applyAlignment="1">
      <alignment vertical="top" wrapText="1"/>
    </xf>
    <xf numFmtId="1" fontId="29" fillId="0" borderId="87" xfId="0" applyNumberFormat="1" applyFont="1" applyFill="1" applyBorder="1" applyAlignment="1">
      <alignment horizontal="center" vertical="top" wrapText="1"/>
    </xf>
    <xf numFmtId="2" fontId="49" fillId="0" borderId="36" xfId="0" applyNumberFormat="1" applyFont="1" applyFill="1" applyBorder="1" applyAlignment="1">
      <alignment vertical="top" wrapText="1"/>
    </xf>
    <xf numFmtId="1" fontId="29" fillId="0" borderId="4" xfId="0" applyNumberFormat="1" applyFont="1" applyFill="1" applyBorder="1" applyAlignment="1">
      <alignment horizontal="center" vertical="top" wrapText="1"/>
    </xf>
    <xf numFmtId="0" fontId="49" fillId="0" borderId="79" xfId="0" applyFont="1" applyBorder="1" applyAlignment="1">
      <alignment vertical="top" wrapText="1"/>
    </xf>
    <xf numFmtId="1" fontId="29" fillId="2" borderId="93" xfId="0" applyNumberFormat="1" applyFont="1" applyFill="1" applyBorder="1" applyAlignment="1">
      <alignment horizontal="center" vertical="top"/>
    </xf>
    <xf numFmtId="1" fontId="29" fillId="2" borderId="92" xfId="0" applyNumberFormat="1" applyFont="1" applyFill="1" applyBorder="1" applyAlignment="1">
      <alignment horizontal="center" vertical="top"/>
    </xf>
    <xf numFmtId="1" fontId="29" fillId="2" borderId="84" xfId="0" applyNumberFormat="1" applyFont="1" applyFill="1" applyBorder="1" applyAlignment="1">
      <alignment horizontal="center" vertical="top"/>
    </xf>
    <xf numFmtId="1" fontId="29" fillId="2" borderId="87" xfId="0" applyNumberFormat="1" applyFont="1" applyFill="1" applyBorder="1" applyAlignment="1">
      <alignment horizontal="center" vertical="top"/>
    </xf>
    <xf numFmtId="1" fontId="29" fillId="2" borderId="43" xfId="0" applyNumberFormat="1" applyFont="1" applyFill="1" applyBorder="1" applyAlignment="1">
      <alignment horizontal="center" vertical="top" wrapText="1"/>
    </xf>
    <xf numFmtId="1" fontId="7" fillId="2" borderId="43" xfId="0" applyNumberFormat="1" applyFont="1" applyFill="1" applyBorder="1" applyAlignment="1">
      <alignment horizontal="center" vertical="top"/>
    </xf>
    <xf numFmtId="0" fontId="49" fillId="0" borderId="20" xfId="0" applyFont="1" applyBorder="1" applyAlignment="1">
      <alignment vertical="top" wrapText="1"/>
    </xf>
    <xf numFmtId="0" fontId="49" fillId="0" borderId="4" xfId="0" applyFont="1" applyBorder="1" applyAlignment="1">
      <alignment horizontal="left" vertical="top"/>
    </xf>
    <xf numFmtId="2" fontId="43" fillId="14" borderId="13" xfId="0" applyNumberFormat="1" applyFont="1" applyFill="1" applyBorder="1" applyAlignment="1" applyProtection="1">
      <alignment horizontal="center" vertical="top" wrapText="1"/>
      <protection hidden="1"/>
    </xf>
    <xf numFmtId="0" fontId="49" fillId="0" borderId="41" xfId="0" applyFont="1" applyBorder="1" applyAlignment="1">
      <alignment vertical="top" wrapText="1"/>
    </xf>
    <xf numFmtId="1" fontId="29" fillId="2" borderId="91" xfId="0" applyNumberFormat="1" applyFont="1" applyFill="1" applyBorder="1" applyAlignment="1">
      <alignment horizontal="center" vertical="top"/>
    </xf>
    <xf numFmtId="49" fontId="49" fillId="0" borderId="21" xfId="0" applyNumberFormat="1" applyFont="1" applyBorder="1" applyAlignment="1">
      <alignment vertical="top" wrapText="1"/>
    </xf>
    <xf numFmtId="2" fontId="49" fillId="0" borderId="93" xfId="0" applyNumberFormat="1" applyFont="1" applyFill="1" applyBorder="1" applyAlignment="1">
      <alignment horizontal="left" vertical="top" wrapText="1"/>
    </xf>
    <xf numFmtId="2" fontId="49" fillId="0" borderId="4" xfId="0" applyNumberFormat="1" applyFont="1" applyFill="1" applyBorder="1" applyAlignment="1">
      <alignment horizontal="left" vertical="top" wrapText="1"/>
    </xf>
    <xf numFmtId="2" fontId="29" fillId="13" borderId="51" xfId="0" applyNumberFormat="1" applyFont="1" applyFill="1" applyBorder="1" applyAlignment="1">
      <alignment horizontal="left" vertical="top" wrapText="1"/>
    </xf>
    <xf numFmtId="2" fontId="29" fillId="13" borderId="4" xfId="0" applyNumberFormat="1" applyFont="1" applyFill="1" applyBorder="1" applyAlignment="1">
      <alignment horizontal="left" vertical="top" wrapText="1"/>
    </xf>
    <xf numFmtId="2" fontId="49" fillId="0" borderId="48" xfId="0" applyNumberFormat="1" applyFont="1" applyFill="1" applyBorder="1" applyAlignment="1">
      <alignment vertical="top" wrapText="1"/>
    </xf>
    <xf numFmtId="1" fontId="29" fillId="0" borderId="39" xfId="0" applyNumberFormat="1" applyFont="1" applyFill="1" applyBorder="1" applyAlignment="1">
      <alignment horizontal="center" vertical="top" wrapText="1"/>
    </xf>
    <xf numFmtId="1" fontId="49" fillId="0" borderId="47" xfId="0" applyNumberFormat="1" applyFont="1" applyFill="1" applyBorder="1" applyAlignment="1">
      <alignment horizontal="center" vertical="top" wrapText="1"/>
    </xf>
    <xf numFmtId="0" fontId="7" fillId="0" borderId="79" xfId="0" applyFont="1" applyFill="1" applyBorder="1" applyAlignment="1">
      <alignment horizontal="left" vertical="top" wrapText="1"/>
    </xf>
    <xf numFmtId="2" fontId="7" fillId="0" borderId="4" xfId="0" applyNumberFormat="1" applyFont="1" applyFill="1" applyBorder="1" applyAlignment="1">
      <alignment horizontal="left" vertical="top" wrapText="1"/>
    </xf>
    <xf numFmtId="1" fontId="7" fillId="0" borderId="51" xfId="0" applyNumberFormat="1" applyFont="1" applyFill="1" applyBorder="1" applyAlignment="1">
      <alignment horizontal="left" vertical="top" wrapText="1"/>
    </xf>
    <xf numFmtId="1" fontId="7" fillId="2" borderId="46" xfId="0" applyNumberFormat="1" applyFont="1" applyFill="1" applyBorder="1" applyAlignment="1" applyProtection="1">
      <alignment horizontal="center" vertical="top" wrapText="1"/>
      <protection hidden="1"/>
    </xf>
    <xf numFmtId="0" fontId="7" fillId="2" borderId="46" xfId="0" applyFont="1" applyFill="1" applyBorder="1" applyAlignment="1" applyProtection="1">
      <alignment horizontal="center" vertical="top" wrapText="1"/>
      <protection hidden="1"/>
    </xf>
    <xf numFmtId="2" fontId="7" fillId="14" borderId="55" xfId="0" applyNumberFormat="1" applyFont="1" applyFill="1" applyBorder="1" applyAlignment="1">
      <alignment horizontal="center" vertical="top"/>
    </xf>
    <xf numFmtId="2" fontId="12" fillId="14" borderId="13" xfId="0" applyNumberFormat="1" applyFont="1" applyFill="1" applyBorder="1" applyAlignment="1">
      <alignment horizontal="center" vertical="top"/>
    </xf>
    <xf numFmtId="2" fontId="7" fillId="14" borderId="48" xfId="0" applyNumberFormat="1" applyFont="1" applyFill="1" applyBorder="1" applyAlignment="1">
      <alignment horizontal="center" vertical="top" wrapText="1"/>
    </xf>
    <xf numFmtId="0" fontId="27" fillId="0" borderId="75" xfId="0" applyFont="1" applyFill="1" applyBorder="1" applyAlignment="1">
      <alignment horizontal="center" vertical="top" wrapText="1"/>
    </xf>
    <xf numFmtId="1" fontId="27" fillId="2" borderId="90" xfId="0" applyNumberFormat="1" applyFont="1" applyFill="1" applyBorder="1" applyAlignment="1">
      <alignment horizontal="center" vertical="top" wrapText="1"/>
    </xf>
    <xf numFmtId="1" fontId="27" fillId="2" borderId="84" xfId="0" applyNumberFormat="1" applyFont="1" applyFill="1" applyBorder="1" applyAlignment="1">
      <alignment horizontal="center" vertical="top" wrapText="1"/>
    </xf>
    <xf numFmtId="1" fontId="27" fillId="2" borderId="87" xfId="0" applyNumberFormat="1" applyFont="1" applyFill="1" applyBorder="1" applyAlignment="1">
      <alignment horizontal="center" vertical="top" wrapText="1"/>
    </xf>
    <xf numFmtId="0" fontId="27" fillId="0" borderId="76" xfId="0" applyFont="1" applyFill="1" applyBorder="1" applyAlignment="1">
      <alignment horizontal="center" vertical="top" wrapText="1"/>
    </xf>
    <xf numFmtId="1" fontId="27" fillId="2" borderId="79" xfId="0" applyNumberFormat="1" applyFont="1" applyFill="1" applyBorder="1" applyAlignment="1">
      <alignment horizontal="center" vertical="top" wrapText="1"/>
    </xf>
    <xf numFmtId="0" fontId="27" fillId="0" borderId="87" xfId="0" applyFont="1" applyFill="1" applyBorder="1" applyAlignment="1">
      <alignment horizontal="center" vertical="top" wrapText="1"/>
    </xf>
    <xf numFmtId="1" fontId="27" fillId="2" borderId="75" xfId="0" applyNumberFormat="1" applyFont="1" applyFill="1" applyBorder="1" applyAlignment="1">
      <alignment horizontal="center" vertical="top" wrapText="1"/>
    </xf>
    <xf numFmtId="1" fontId="27" fillId="2" borderId="46" xfId="0" applyNumberFormat="1" applyFont="1" applyFill="1" applyBorder="1" applyAlignment="1">
      <alignment horizontal="center" vertical="top" wrapText="1"/>
    </xf>
    <xf numFmtId="2" fontId="27" fillId="2" borderId="76" xfId="0" applyNumberFormat="1" applyFont="1" applyFill="1" applyBorder="1" applyAlignment="1">
      <alignment horizontal="center" vertical="top" wrapText="1"/>
    </xf>
    <xf numFmtId="0" fontId="27" fillId="0" borderId="87" xfId="0" applyFont="1" applyBorder="1" applyAlignment="1">
      <alignment horizontal="center" vertical="top" wrapText="1"/>
    </xf>
    <xf numFmtId="0" fontId="27" fillId="0" borderId="75" xfId="0" applyFont="1" applyBorder="1" applyAlignment="1">
      <alignment horizontal="center" vertical="top" wrapText="1"/>
    </xf>
    <xf numFmtId="0" fontId="27" fillId="2" borderId="90" xfId="0" applyNumberFormat="1" applyFont="1" applyFill="1" applyBorder="1" applyAlignment="1">
      <alignment horizontal="center" vertical="top" wrapText="1"/>
    </xf>
    <xf numFmtId="1" fontId="27" fillId="2" borderId="13" xfId="0" applyNumberFormat="1" applyFont="1" applyFill="1" applyBorder="1" applyAlignment="1">
      <alignment horizontal="center" vertical="top" wrapText="1"/>
    </xf>
    <xf numFmtId="2" fontId="27" fillId="3" borderId="59" xfId="0" applyNumberFormat="1" applyFont="1" applyFill="1" applyBorder="1" applyAlignment="1">
      <alignment horizontal="center" vertical="top" wrapText="1"/>
    </xf>
    <xf numFmtId="0" fontId="49" fillId="0" borderId="30" xfId="0" applyFont="1" applyFill="1" applyBorder="1" applyAlignment="1">
      <alignment horizontal="left" vertical="top"/>
    </xf>
    <xf numFmtId="0" fontId="49" fillId="0" borderId="59" xfId="0" applyFont="1" applyFill="1" applyBorder="1" applyAlignment="1">
      <alignment horizontal="left" vertical="top"/>
    </xf>
    <xf numFmtId="1" fontId="7" fillId="13" borderId="19" xfId="0" applyNumberFormat="1" applyFont="1" applyFill="1" applyBorder="1" applyAlignment="1" applyProtection="1">
      <alignment horizontal="left" vertical="top" wrapText="1"/>
      <protection hidden="1"/>
    </xf>
    <xf numFmtId="0" fontId="27" fillId="0" borderId="70" xfId="0" applyFont="1" applyBorder="1" applyAlignment="1">
      <alignment horizontal="left" vertical="top" wrapText="1"/>
    </xf>
    <xf numFmtId="0" fontId="27" fillId="0" borderId="12" xfId="0" applyFont="1" applyBorder="1" applyAlignment="1">
      <alignment horizontal="left" vertical="top" wrapText="1"/>
    </xf>
    <xf numFmtId="0" fontId="27" fillId="0" borderId="79" xfId="0" applyFont="1" applyBorder="1" applyAlignment="1">
      <alignment horizontal="left" vertical="top" wrapText="1"/>
    </xf>
    <xf numFmtId="0" fontId="27" fillId="0" borderId="88" xfId="0" applyFont="1" applyFill="1" applyBorder="1" applyAlignment="1">
      <alignment horizontal="left" vertical="top" wrapText="1"/>
    </xf>
    <xf numFmtId="0" fontId="27" fillId="0" borderId="45" xfId="0" applyFont="1" applyFill="1" applyBorder="1" applyAlignment="1">
      <alignment horizontal="left" vertical="top" wrapText="1"/>
    </xf>
    <xf numFmtId="0" fontId="27" fillId="0" borderId="42" xfId="0" applyFont="1" applyFill="1" applyBorder="1" applyAlignment="1">
      <alignment horizontal="left" vertical="top" wrapText="1"/>
    </xf>
    <xf numFmtId="0" fontId="27" fillId="0" borderId="11" xfId="0" applyFont="1" applyFill="1" applyBorder="1" applyAlignment="1">
      <alignment horizontal="left" vertical="top" wrapText="1"/>
    </xf>
    <xf numFmtId="0" fontId="27" fillId="0" borderId="70" xfId="0" applyFont="1" applyFill="1" applyBorder="1" applyAlignment="1">
      <alignment horizontal="left" vertical="top" wrapText="1"/>
    </xf>
    <xf numFmtId="0" fontId="27" fillId="0" borderId="79" xfId="0" applyFont="1" applyFill="1" applyBorder="1" applyAlignment="1">
      <alignment horizontal="left" vertical="top" wrapText="1"/>
    </xf>
    <xf numFmtId="0" fontId="27" fillId="0" borderId="26" xfId="0" applyFont="1" applyFill="1" applyBorder="1" applyAlignment="1">
      <alignment vertical="top" wrapText="1"/>
    </xf>
    <xf numFmtId="0" fontId="7" fillId="0" borderId="30" xfId="0" applyFont="1" applyBorder="1" applyAlignment="1">
      <alignment horizontal="left" vertical="top" wrapText="1"/>
    </xf>
    <xf numFmtId="0" fontId="7" fillId="0" borderId="59" xfId="0" applyFont="1" applyFill="1" applyBorder="1" applyAlignment="1">
      <alignment vertical="top"/>
    </xf>
    <xf numFmtId="2" fontId="7" fillId="0" borderId="30" xfId="0" applyNumberFormat="1" applyFont="1" applyFill="1" applyBorder="1" applyAlignment="1">
      <alignment vertical="top" wrapText="1"/>
    </xf>
    <xf numFmtId="0" fontId="49" fillId="0" borderId="30" xfId="0" applyFont="1" applyFill="1" applyBorder="1" applyAlignment="1">
      <alignment vertical="top"/>
    </xf>
    <xf numFmtId="0" fontId="49" fillId="0" borderId="59" xfId="0" applyFont="1" applyFill="1" applyBorder="1" applyAlignment="1">
      <alignment vertical="top" wrapText="1"/>
    </xf>
    <xf numFmtId="0" fontId="7" fillId="0" borderId="30" xfId="0" applyFont="1" applyFill="1" applyBorder="1" applyAlignment="1">
      <alignment vertical="top"/>
    </xf>
    <xf numFmtId="0" fontId="49" fillId="0" borderId="30" xfId="0" applyFont="1" applyFill="1" applyBorder="1" applyAlignment="1">
      <alignment vertical="top" wrapText="1"/>
    </xf>
    <xf numFmtId="0" fontId="49" fillId="0" borderId="59" xfId="0" applyFont="1" applyFill="1" applyBorder="1" applyAlignment="1">
      <alignment vertical="top"/>
    </xf>
    <xf numFmtId="0" fontId="49" fillId="0" borderId="47" xfId="0" applyFont="1" applyFill="1" applyBorder="1" applyAlignment="1">
      <alignment vertical="top"/>
    </xf>
    <xf numFmtId="0" fontId="27" fillId="0" borderId="0" xfId="0" applyFont="1" applyFill="1" applyAlignment="1">
      <alignment horizontal="left" vertical="top" wrapText="1"/>
    </xf>
    <xf numFmtId="0" fontId="7" fillId="0" borderId="34" xfId="0" applyFont="1" applyBorder="1" applyAlignment="1">
      <alignment horizontal="left" vertical="top" wrapText="1"/>
    </xf>
    <xf numFmtId="0" fontId="27" fillId="0" borderId="0" xfId="0" applyFont="1" applyFill="1" applyBorder="1" applyAlignment="1">
      <alignment horizontal="left" vertical="top" wrapText="1"/>
    </xf>
    <xf numFmtId="1" fontId="7" fillId="13" borderId="26" xfId="0" applyNumberFormat="1" applyFont="1" applyFill="1" applyBorder="1" applyAlignment="1" applyProtection="1">
      <alignment vertical="top" wrapText="1"/>
      <protection hidden="1"/>
    </xf>
    <xf numFmtId="1" fontId="7" fillId="13" borderId="4" xfId="0" applyNumberFormat="1" applyFont="1" applyFill="1" applyBorder="1" applyAlignment="1" applyProtection="1">
      <alignment vertical="top" wrapText="1"/>
      <protection hidden="1"/>
    </xf>
    <xf numFmtId="1" fontId="7" fillId="13" borderId="41" xfId="0" applyNumberFormat="1" applyFont="1" applyFill="1" applyBorder="1" applyAlignment="1" applyProtection="1">
      <alignment vertical="top" wrapText="1"/>
      <protection hidden="1"/>
    </xf>
    <xf numFmtId="0" fontId="27" fillId="0" borderId="59" xfId="0" applyFont="1" applyFill="1" applyBorder="1" applyAlignment="1">
      <alignment horizontal="left" vertical="top" wrapText="1"/>
    </xf>
    <xf numFmtId="0" fontId="13" fillId="4" borderId="4" xfId="0" applyFont="1" applyFill="1" applyBorder="1" applyAlignment="1">
      <alignment horizontal="left" vertical="top" wrapText="1"/>
    </xf>
    <xf numFmtId="0" fontId="27" fillId="0" borderId="81" xfId="0" applyFont="1" applyFill="1" applyBorder="1" applyAlignment="1">
      <alignment horizontal="left" vertical="top" wrapText="1"/>
    </xf>
    <xf numFmtId="0" fontId="27" fillId="0" borderId="12" xfId="0" applyFont="1" applyFill="1" applyBorder="1" applyAlignment="1">
      <alignment horizontal="left" vertical="top" wrapText="1"/>
    </xf>
    <xf numFmtId="0" fontId="27" fillId="0" borderId="11" xfId="0" applyFont="1" applyBorder="1" applyAlignment="1">
      <alignment horizontal="left" vertical="top" wrapText="1"/>
    </xf>
    <xf numFmtId="0" fontId="27" fillId="0" borderId="88" xfId="0" applyFont="1" applyBorder="1" applyAlignment="1">
      <alignment horizontal="left" vertical="top" wrapText="1"/>
    </xf>
    <xf numFmtId="0" fontId="27" fillId="0" borderId="42" xfId="0" applyFont="1" applyBorder="1" applyAlignment="1">
      <alignment horizontal="left" vertical="top" wrapText="1"/>
    </xf>
    <xf numFmtId="0" fontId="27" fillId="0" borderId="45" xfId="0" applyFont="1" applyBorder="1" applyAlignment="1">
      <alignment horizontal="left" vertical="top" wrapText="1"/>
    </xf>
    <xf numFmtId="0" fontId="27" fillId="0" borderId="51" xfId="0" applyFont="1" applyBorder="1" applyAlignment="1">
      <alignment horizontal="left" vertical="top" wrapText="1"/>
    </xf>
    <xf numFmtId="0" fontId="27" fillId="0" borderId="14" xfId="0" applyFont="1" applyBorder="1" applyAlignment="1">
      <alignment horizontal="left" vertical="top" wrapText="1"/>
    </xf>
    <xf numFmtId="0" fontId="27" fillId="0" borderId="80" xfId="0" applyFont="1" applyBorder="1" applyAlignment="1">
      <alignment horizontal="left" vertical="top" wrapText="1"/>
    </xf>
    <xf numFmtId="0" fontId="27" fillId="0" borderId="36" xfId="0" applyFont="1" applyBorder="1" applyAlignment="1">
      <alignment horizontal="left" vertical="top" wrapText="1"/>
    </xf>
    <xf numFmtId="0" fontId="27" fillId="0" borderId="81" xfId="0" applyFont="1" applyBorder="1" applyAlignment="1">
      <alignment horizontal="left" vertical="top" wrapText="1"/>
    </xf>
    <xf numFmtId="0" fontId="27" fillId="0" borderId="0" xfId="0" applyFont="1" applyAlignment="1">
      <alignment horizontal="left" vertical="top" wrapText="1"/>
    </xf>
    <xf numFmtId="0" fontId="27" fillId="0" borderId="0" xfId="0" applyFont="1" applyBorder="1" applyAlignment="1">
      <alignment horizontal="left" vertical="top" wrapText="1"/>
    </xf>
    <xf numFmtId="1" fontId="27" fillId="2" borderId="88" xfId="0" applyNumberFormat="1" applyFont="1" applyFill="1" applyBorder="1" applyAlignment="1">
      <alignment horizontal="center" vertical="top"/>
    </xf>
    <xf numFmtId="1" fontId="27" fillId="2" borderId="76" xfId="0" applyNumberFormat="1" applyFont="1" applyFill="1" applyBorder="1" applyAlignment="1">
      <alignment horizontal="center" vertical="top"/>
    </xf>
    <xf numFmtId="2" fontId="27" fillId="2" borderId="75" xfId="0" applyNumberFormat="1" applyFont="1" applyFill="1" applyBorder="1" applyAlignment="1">
      <alignment horizontal="center" vertical="top"/>
    </xf>
    <xf numFmtId="1" fontId="27" fillId="2" borderId="90" xfId="0" applyNumberFormat="1" applyFont="1" applyFill="1" applyBorder="1" applyAlignment="1">
      <alignment horizontal="center" vertical="top"/>
    </xf>
    <xf numFmtId="1" fontId="27" fillId="2" borderId="84" xfId="0" applyNumberFormat="1" applyFont="1" applyFill="1" applyBorder="1" applyAlignment="1">
      <alignment horizontal="center" vertical="top"/>
    </xf>
    <xf numFmtId="2" fontId="27" fillId="2" borderId="87" xfId="0" applyNumberFormat="1" applyFont="1" applyFill="1" applyBorder="1" applyAlignment="1">
      <alignment horizontal="center" vertical="top"/>
    </xf>
    <xf numFmtId="2" fontId="27" fillId="2" borderId="44" xfId="0" applyNumberFormat="1" applyFont="1" applyFill="1" applyBorder="1" applyAlignment="1">
      <alignment horizontal="center" vertical="top"/>
    </xf>
    <xf numFmtId="1" fontId="27" fillId="2" borderId="88" xfId="0" applyNumberFormat="1" applyFont="1" applyFill="1" applyBorder="1" applyAlignment="1">
      <alignment horizontal="center" vertical="top" wrapText="1"/>
    </xf>
    <xf numFmtId="2" fontId="27" fillId="2" borderId="57" xfId="0" applyNumberFormat="1" applyFont="1" applyFill="1" applyBorder="1" applyAlignment="1">
      <alignment horizontal="center" vertical="top" wrapText="1"/>
    </xf>
    <xf numFmtId="0" fontId="7" fillId="0" borderId="11" xfId="0" applyFont="1" applyFill="1" applyBorder="1" applyAlignment="1">
      <alignment horizontal="left" vertical="top" wrapText="1"/>
    </xf>
    <xf numFmtId="0" fontId="7" fillId="0" borderId="83" xfId="0" applyFont="1" applyFill="1" applyBorder="1" applyAlignment="1">
      <alignment horizontal="left" vertical="top" wrapText="1"/>
    </xf>
    <xf numFmtId="2" fontId="7" fillId="9" borderId="41" xfId="0" applyNumberFormat="1" applyFont="1" applyFill="1" applyBorder="1" applyAlignment="1">
      <alignment horizontal="center" vertical="top" wrapText="1"/>
    </xf>
    <xf numFmtId="0" fontId="7" fillId="0" borderId="83" xfId="0" applyFont="1" applyBorder="1" applyAlignment="1">
      <alignment horizontal="left" vertical="top" wrapText="1"/>
    </xf>
    <xf numFmtId="2" fontId="30" fillId="2" borderId="84" xfId="0" applyNumberFormat="1" applyFont="1" applyFill="1" applyBorder="1" applyAlignment="1" applyProtection="1">
      <alignment horizontal="center" vertical="top" wrapText="1"/>
    </xf>
    <xf numFmtId="2" fontId="30" fillId="2" borderId="32" xfId="0" applyNumberFormat="1" applyFont="1" applyFill="1" applyBorder="1" applyAlignment="1" applyProtection="1">
      <alignment horizontal="center" vertical="top" wrapText="1"/>
    </xf>
    <xf numFmtId="2" fontId="30" fillId="2" borderId="44" xfId="0" applyNumberFormat="1" applyFont="1" applyFill="1" applyBorder="1" applyAlignment="1" applyProtection="1">
      <alignment horizontal="center" vertical="top" wrapText="1"/>
    </xf>
    <xf numFmtId="2" fontId="30" fillId="2" borderId="35" xfId="0" applyNumberFormat="1" applyFont="1" applyFill="1" applyBorder="1" applyAlignment="1" applyProtection="1">
      <alignment horizontal="center" vertical="top" wrapText="1"/>
    </xf>
    <xf numFmtId="0" fontId="7" fillId="0" borderId="40" xfId="0" applyFont="1" applyBorder="1" applyAlignment="1">
      <alignment horizontal="left" vertical="top" wrapText="1"/>
    </xf>
    <xf numFmtId="0" fontId="27" fillId="0" borderId="47" xfId="0" applyFont="1" applyBorder="1" applyAlignment="1">
      <alignment horizontal="center" vertical="top" wrapText="1"/>
    </xf>
    <xf numFmtId="49" fontId="29" fillId="0" borderId="76" xfId="0" applyNumberFormat="1" applyFont="1" applyFill="1" applyBorder="1" applyAlignment="1">
      <alignment horizontal="center" vertical="top" wrapText="1"/>
    </xf>
    <xf numFmtId="2" fontId="29" fillId="2" borderId="90" xfId="0" applyNumberFormat="1" applyFont="1" applyFill="1" applyBorder="1" applyAlignment="1">
      <alignment horizontal="center" vertical="top" wrapText="1"/>
    </xf>
    <xf numFmtId="0" fontId="29" fillId="0" borderId="87" xfId="0" applyFont="1" applyBorder="1" applyAlignment="1">
      <alignment horizontal="center" vertical="top" wrapText="1"/>
    </xf>
    <xf numFmtId="0" fontId="29" fillId="0" borderId="76" xfId="0" applyFont="1" applyFill="1" applyBorder="1" applyAlignment="1">
      <alignment horizontal="center" vertical="top" wrapText="1"/>
    </xf>
    <xf numFmtId="0" fontId="29" fillId="0" borderId="87" xfId="0" applyFont="1" applyFill="1" applyBorder="1" applyAlignment="1">
      <alignment horizontal="center" vertical="top" wrapText="1"/>
    </xf>
    <xf numFmtId="0" fontId="29" fillId="2" borderId="87" xfId="0" applyNumberFormat="1" applyFont="1" applyFill="1" applyBorder="1" applyAlignment="1">
      <alignment horizontal="center" vertical="top" wrapText="1"/>
    </xf>
    <xf numFmtId="0" fontId="29" fillId="2" borderId="76" xfId="0" applyNumberFormat="1" applyFont="1" applyFill="1" applyBorder="1" applyAlignment="1">
      <alignment horizontal="center" vertical="top" wrapText="1"/>
    </xf>
    <xf numFmtId="0" fontId="29" fillId="2" borderId="76" xfId="0" applyFont="1" applyFill="1" applyBorder="1" applyAlignment="1">
      <alignment horizontal="center" vertical="top" wrapText="1"/>
    </xf>
    <xf numFmtId="49" fontId="29" fillId="2" borderId="90" xfId="0" applyNumberFormat="1" applyFont="1" applyFill="1" applyBorder="1" applyAlignment="1">
      <alignment horizontal="center" vertical="top" wrapText="1"/>
    </xf>
    <xf numFmtId="0" fontId="29" fillId="2" borderId="54" xfId="0" applyFont="1" applyFill="1" applyBorder="1" applyAlignment="1">
      <alignment horizontal="center" vertical="top" wrapText="1"/>
    </xf>
    <xf numFmtId="0" fontId="29" fillId="2" borderId="87" xfId="0" applyFont="1" applyFill="1" applyBorder="1" applyAlignment="1">
      <alignment horizontal="center" vertical="top" wrapText="1"/>
    </xf>
    <xf numFmtId="0" fontId="29" fillId="2" borderId="43" xfId="0" applyFont="1" applyFill="1" applyBorder="1" applyAlignment="1">
      <alignment horizontal="center" vertical="top" wrapText="1"/>
    </xf>
    <xf numFmtId="2" fontId="29" fillId="2" borderId="55" xfId="0" applyNumberFormat="1" applyFont="1" applyFill="1" applyBorder="1" applyAlignment="1">
      <alignment horizontal="center" vertical="top" wrapText="1"/>
    </xf>
    <xf numFmtId="1" fontId="29" fillId="2" borderId="90" xfId="0" applyNumberFormat="1" applyFont="1" applyFill="1" applyBorder="1" applyAlignment="1">
      <alignment horizontal="center" vertical="top" wrapText="1"/>
    </xf>
    <xf numFmtId="0" fontId="29" fillId="2" borderId="84" xfId="0" applyFont="1" applyFill="1" applyBorder="1" applyAlignment="1">
      <alignment horizontal="center" vertical="top" wrapText="1"/>
    </xf>
    <xf numFmtId="0" fontId="29" fillId="0" borderId="44" xfId="0" applyFont="1" applyBorder="1" applyAlignment="1">
      <alignment horizontal="center" vertical="top" wrapText="1"/>
    </xf>
    <xf numFmtId="0" fontId="29" fillId="2" borderId="91" xfId="0" applyFont="1" applyFill="1" applyBorder="1" applyAlignment="1">
      <alignment horizontal="center" vertical="top" wrapText="1"/>
    </xf>
    <xf numFmtId="1" fontId="29" fillId="2" borderId="88" xfId="0" applyNumberFormat="1" applyFont="1" applyFill="1" applyBorder="1" applyAlignment="1">
      <alignment horizontal="center" vertical="top" wrapText="1"/>
    </xf>
    <xf numFmtId="0" fontId="29" fillId="0" borderId="75" xfId="0" applyFont="1" applyFill="1" applyBorder="1" applyAlignment="1">
      <alignment horizontal="center" vertical="top" wrapText="1"/>
    </xf>
    <xf numFmtId="0" fontId="7" fillId="0" borderId="75" xfId="0" applyFont="1" applyFill="1" applyBorder="1" applyAlignment="1">
      <alignment horizontal="center" vertical="top" wrapText="1"/>
    </xf>
    <xf numFmtId="0" fontId="29" fillId="2" borderId="53" xfId="0" applyFont="1" applyFill="1" applyBorder="1" applyAlignment="1">
      <alignment horizontal="center" vertical="top" wrapText="1"/>
    </xf>
    <xf numFmtId="2" fontId="7" fillId="3" borderId="31" xfId="0" applyNumberFormat="1" applyFont="1" applyFill="1" applyBorder="1" applyAlignment="1">
      <alignment horizontal="center" vertical="top"/>
    </xf>
    <xf numFmtId="0" fontId="29" fillId="0" borderId="38" xfId="0" applyFont="1" applyFill="1" applyBorder="1" applyAlignment="1">
      <alignment horizontal="left" vertical="top" wrapText="1"/>
    </xf>
    <xf numFmtId="49" fontId="29" fillId="0" borderId="0" xfId="0" applyNumberFormat="1" applyFont="1" applyAlignment="1">
      <alignment horizontal="left" vertical="top" wrapText="1"/>
    </xf>
    <xf numFmtId="0" fontId="29" fillId="0" borderId="40" xfId="0" applyFont="1" applyFill="1" applyBorder="1" applyAlignment="1">
      <alignment horizontal="left" vertical="top" wrapText="1"/>
    </xf>
    <xf numFmtId="0" fontId="29" fillId="0" borderId="0" xfId="0" applyFont="1" applyAlignment="1">
      <alignment horizontal="left" vertical="top" wrapText="1"/>
    </xf>
    <xf numFmtId="0" fontId="13" fillId="4" borderId="20" xfId="0" applyFont="1" applyFill="1" applyBorder="1" applyAlignment="1">
      <alignment horizontal="left" vertical="top" wrapText="1"/>
    </xf>
    <xf numFmtId="0" fontId="29" fillId="0" borderId="26" xfId="0" applyFont="1" applyFill="1" applyBorder="1" applyAlignment="1">
      <alignment horizontal="left" vertical="top" wrapText="1"/>
    </xf>
    <xf numFmtId="0" fontId="29" fillId="0" borderId="0" xfId="0" applyFont="1" applyFill="1" applyAlignment="1">
      <alignment horizontal="left" vertical="top"/>
    </xf>
    <xf numFmtId="0" fontId="29" fillId="0" borderId="30" xfId="0" applyFont="1" applyFill="1" applyBorder="1" applyAlignment="1">
      <alignment horizontal="left" vertical="top" wrapText="1"/>
    </xf>
    <xf numFmtId="0" fontId="29" fillId="0" borderId="47" xfId="0" applyFont="1" applyFill="1" applyBorder="1" applyAlignment="1">
      <alignment horizontal="left" vertical="top" wrapText="1"/>
    </xf>
    <xf numFmtId="1" fontId="15" fillId="0" borderId="40" xfId="0" applyNumberFormat="1" applyFont="1" applyFill="1" applyBorder="1" applyAlignment="1">
      <alignment horizontal="left" vertical="top" wrapText="1"/>
    </xf>
    <xf numFmtId="0" fontId="7" fillId="0" borderId="81" xfId="0" applyFont="1" applyFill="1" applyBorder="1" applyAlignment="1">
      <alignment horizontal="left" vertical="top" wrapText="1"/>
    </xf>
    <xf numFmtId="0" fontId="29" fillId="0" borderId="70" xfId="0" applyFont="1" applyFill="1" applyBorder="1" applyAlignment="1">
      <alignment horizontal="left" vertical="top" wrapText="1"/>
    </xf>
    <xf numFmtId="0" fontId="29" fillId="0" borderId="14" xfId="0" applyFont="1" applyFill="1" applyBorder="1" applyAlignment="1">
      <alignment horizontal="left" vertical="top" wrapText="1"/>
    </xf>
    <xf numFmtId="0" fontId="29" fillId="0" borderId="80" xfId="0" applyFont="1" applyFill="1" applyBorder="1" applyAlignment="1">
      <alignment horizontal="left" vertical="top" wrapText="1"/>
    </xf>
    <xf numFmtId="0" fontId="29" fillId="0" borderId="81" xfId="0" applyFont="1" applyFill="1" applyBorder="1" applyAlignment="1">
      <alignment horizontal="left" vertical="top" wrapText="1"/>
    </xf>
    <xf numFmtId="0" fontId="29" fillId="0" borderId="42" xfId="0" applyFont="1" applyFill="1" applyBorder="1" applyAlignment="1">
      <alignment horizontal="left" vertical="top" wrapText="1"/>
    </xf>
    <xf numFmtId="0" fontId="29" fillId="0" borderId="11" xfId="0" applyFont="1" applyFill="1" applyBorder="1" applyAlignment="1">
      <alignment horizontal="left" vertical="top" wrapText="1"/>
    </xf>
    <xf numFmtId="0" fontId="29" fillId="0" borderId="88" xfId="0" applyFont="1" applyFill="1" applyBorder="1" applyAlignment="1">
      <alignment horizontal="left" vertical="top" wrapText="1"/>
    </xf>
    <xf numFmtId="0" fontId="29" fillId="0" borderId="45" xfId="0" applyFont="1" applyFill="1" applyBorder="1" applyAlignment="1">
      <alignment horizontal="left" vertical="top" wrapText="1"/>
    </xf>
    <xf numFmtId="0" fontId="29" fillId="0" borderId="0" xfId="0" applyFont="1" applyFill="1" applyBorder="1" applyAlignment="1">
      <alignment horizontal="left" vertical="top" wrapText="1"/>
    </xf>
    <xf numFmtId="1" fontId="29" fillId="0" borderId="88" xfId="0" applyNumberFormat="1" applyFont="1" applyFill="1" applyBorder="1" applyAlignment="1">
      <alignment horizontal="left" vertical="top" wrapText="1"/>
    </xf>
    <xf numFmtId="1" fontId="29" fillId="0" borderId="45" xfId="0" applyNumberFormat="1" applyFont="1" applyFill="1" applyBorder="1" applyAlignment="1">
      <alignment horizontal="left" vertical="top" wrapText="1"/>
    </xf>
    <xf numFmtId="0" fontId="29" fillId="0" borderId="79" xfId="0" applyFont="1" applyFill="1" applyBorder="1" applyAlignment="1">
      <alignment horizontal="left" vertical="top" wrapText="1"/>
    </xf>
    <xf numFmtId="0" fontId="29" fillId="0" borderId="36" xfId="0" applyFont="1" applyFill="1" applyBorder="1" applyAlignment="1">
      <alignment horizontal="left" vertical="top" wrapText="1"/>
    </xf>
    <xf numFmtId="49" fontId="29" fillId="0" borderId="70" xfId="0" applyNumberFormat="1" applyFont="1" applyFill="1" applyBorder="1" applyAlignment="1">
      <alignment horizontal="left" vertical="top" wrapText="1"/>
    </xf>
    <xf numFmtId="49" fontId="29" fillId="0" borderId="11" xfId="0" applyNumberFormat="1" applyFont="1" applyFill="1" applyBorder="1" applyAlignment="1">
      <alignment horizontal="left" vertical="top" wrapText="1"/>
    </xf>
    <xf numFmtId="49" fontId="29" fillId="0" borderId="88" xfId="0" applyNumberFormat="1" applyFont="1" applyFill="1" applyBorder="1" applyAlignment="1">
      <alignment horizontal="left" vertical="top" wrapText="1"/>
    </xf>
    <xf numFmtId="49" fontId="29" fillId="0" borderId="79" xfId="0" applyNumberFormat="1" applyFont="1" applyFill="1" applyBorder="1" applyAlignment="1">
      <alignment horizontal="left" vertical="top" wrapText="1"/>
    </xf>
    <xf numFmtId="1" fontId="29" fillId="0" borderId="0" xfId="0" applyNumberFormat="1" applyFont="1" applyFill="1" applyBorder="1" applyAlignment="1">
      <alignment horizontal="left" vertical="top" wrapText="1"/>
    </xf>
    <xf numFmtId="0" fontId="29" fillId="0" borderId="40" xfId="0" applyFont="1" applyBorder="1" applyAlignment="1">
      <alignment horizontal="left" vertical="top" wrapText="1"/>
    </xf>
    <xf numFmtId="1" fontId="29" fillId="0" borderId="26" xfId="0" applyNumberFormat="1" applyFont="1" applyFill="1" applyBorder="1" applyAlignment="1">
      <alignment horizontal="left" vertical="top" wrapText="1"/>
    </xf>
    <xf numFmtId="0" fontId="29" fillId="2" borderId="7" xfId="0" applyFont="1" applyFill="1" applyBorder="1" applyAlignment="1">
      <alignment horizontal="center" vertical="top" wrapText="1"/>
    </xf>
    <xf numFmtId="2" fontId="29" fillId="11" borderId="47" xfId="0" applyNumberFormat="1" applyFont="1" applyFill="1" applyBorder="1" applyAlignment="1">
      <alignment horizontal="center" vertical="top" wrapText="1"/>
    </xf>
    <xf numFmtId="0" fontId="39" fillId="0" borderId="20" xfId="0" applyFont="1" applyBorder="1" applyAlignment="1">
      <alignment horizontal="center" vertical="top"/>
    </xf>
    <xf numFmtId="0" fontId="29" fillId="2" borderId="60" xfId="0" applyNumberFormat="1" applyFont="1" applyFill="1" applyBorder="1" applyAlignment="1">
      <alignment horizontal="center" vertical="top" wrapText="1"/>
    </xf>
    <xf numFmtId="0" fontId="7" fillId="2" borderId="75" xfId="0" applyFont="1" applyFill="1" applyBorder="1" applyAlignment="1">
      <alignment horizontal="center" vertical="top" wrapText="1"/>
    </xf>
    <xf numFmtId="0" fontId="7" fillId="2" borderId="43" xfId="0" applyFont="1" applyFill="1" applyBorder="1" applyAlignment="1">
      <alignment horizontal="center" vertical="top" wrapText="1"/>
    </xf>
    <xf numFmtId="0" fontId="41" fillId="0" borderId="80" xfId="0" applyFont="1" applyBorder="1" applyAlignment="1">
      <alignment horizontal="center" vertical="center" wrapText="1"/>
    </xf>
    <xf numFmtId="0" fontId="7" fillId="2" borderId="12" xfId="0" applyFont="1" applyFill="1" applyBorder="1" applyAlignment="1">
      <alignment horizontal="center" vertical="top" wrapText="1"/>
    </xf>
    <xf numFmtId="0" fontId="7" fillId="0" borderId="75" xfId="0" applyFont="1" applyBorder="1" applyAlignment="1">
      <alignment horizontal="left" vertical="top" wrapText="1"/>
    </xf>
    <xf numFmtId="0" fontId="13" fillId="4" borderId="31" xfId="0" applyFont="1" applyFill="1" applyBorder="1" applyAlignment="1">
      <alignment horizontal="left" vertical="top" wrapText="1"/>
    </xf>
    <xf numFmtId="0" fontId="7" fillId="2" borderId="76" xfId="0" applyFont="1" applyFill="1" applyBorder="1" applyAlignment="1">
      <alignment horizontal="center" vertical="top" wrapText="1"/>
    </xf>
    <xf numFmtId="0" fontId="7" fillId="0" borderId="40" xfId="0" applyFont="1" applyFill="1" applyBorder="1" applyAlignment="1">
      <alignment horizontal="left" vertical="top" wrapText="1"/>
    </xf>
    <xf numFmtId="0" fontId="7" fillId="2" borderId="84" xfId="0" applyFont="1" applyFill="1" applyBorder="1" applyAlignment="1">
      <alignment horizontal="center" vertical="top" wrapText="1"/>
    </xf>
    <xf numFmtId="0" fontId="7" fillId="2" borderId="87" xfId="0" applyFont="1" applyFill="1" applyBorder="1" applyAlignment="1">
      <alignment horizontal="center" vertical="top" wrapText="1"/>
    </xf>
    <xf numFmtId="0" fontId="7" fillId="2" borderId="90" xfId="0" applyFont="1" applyFill="1" applyBorder="1" applyAlignment="1">
      <alignment horizontal="center" vertical="top" wrapText="1"/>
    </xf>
    <xf numFmtId="0" fontId="49" fillId="0" borderId="38" xfId="0" applyFont="1" applyBorder="1" applyAlignment="1">
      <alignment horizontal="left" vertical="top" wrapText="1"/>
    </xf>
    <xf numFmtId="0" fontId="49" fillId="0" borderId="83" xfId="0" applyFont="1" applyBorder="1" applyAlignment="1">
      <alignment horizontal="left" vertical="top" wrapText="1"/>
    </xf>
    <xf numFmtId="0" fontId="49" fillId="0" borderId="34" xfId="0" applyFont="1" applyBorder="1" applyAlignment="1">
      <alignment horizontal="left" vertical="top" wrapText="1"/>
    </xf>
    <xf numFmtId="1" fontId="49" fillId="0" borderId="0" xfId="0" applyNumberFormat="1" applyFont="1" applyAlignment="1">
      <alignment horizontal="center" vertical="center"/>
    </xf>
    <xf numFmtId="0" fontId="49" fillId="0" borderId="31" xfId="0" applyFont="1" applyBorder="1" applyAlignment="1">
      <alignment horizontal="left" vertical="top"/>
    </xf>
    <xf numFmtId="0" fontId="49" fillId="0" borderId="0" xfId="0" applyFont="1" applyBorder="1" applyAlignment="1">
      <alignment horizontal="center"/>
    </xf>
    <xf numFmtId="0" fontId="49" fillId="0" borderId="0" xfId="0" applyFont="1" applyFill="1" applyBorder="1" applyAlignment="1">
      <alignment horizontal="center"/>
    </xf>
    <xf numFmtId="0" fontId="49" fillId="0" borderId="59" xfId="0" applyFont="1" applyBorder="1" applyAlignment="1">
      <alignment horizontal="left" vertical="top"/>
    </xf>
    <xf numFmtId="0" fontId="49" fillId="0" borderId="0" xfId="0" applyFont="1" applyBorder="1">
      <alignment vertical="top"/>
    </xf>
    <xf numFmtId="0" fontId="49" fillId="0" borderId="0" xfId="0" applyFont="1">
      <alignment vertical="top"/>
    </xf>
    <xf numFmtId="0" fontId="49" fillId="0" borderId="0" xfId="0" applyFont="1" applyAlignment="1"/>
    <xf numFmtId="0" fontId="49" fillId="0" borderId="30" xfId="0" applyFont="1" applyBorder="1" applyAlignment="1">
      <alignment horizontal="left" vertical="top"/>
    </xf>
    <xf numFmtId="0" fontId="49" fillId="0" borderId="0" xfId="0" applyFont="1" applyAlignment="1">
      <alignment vertical="top"/>
    </xf>
    <xf numFmtId="0" fontId="49" fillId="0" borderId="0" xfId="0" applyFont="1" applyAlignment="1">
      <alignment horizontal="left" vertical="top"/>
    </xf>
    <xf numFmtId="2" fontId="49" fillId="0" borderId="0" xfId="0" applyNumberFormat="1" applyFont="1" applyAlignment="1">
      <alignment horizontal="right" vertical="top"/>
    </xf>
    <xf numFmtId="2" fontId="49" fillId="0" borderId="0" xfId="0" applyNumberFormat="1" applyFont="1" applyFill="1" applyBorder="1" applyAlignment="1">
      <alignment horizontal="right" vertical="top"/>
    </xf>
    <xf numFmtId="0" fontId="66" fillId="5" borderId="4" xfId="0" applyFont="1" applyFill="1" applyBorder="1" applyAlignment="1">
      <alignment wrapText="1"/>
    </xf>
    <xf numFmtId="164" fontId="66" fillId="13" borderId="17" xfId="0" applyNumberFormat="1" applyFont="1" applyFill="1" applyBorder="1" applyAlignment="1">
      <alignment horizontal="left" vertical="top" wrapText="1"/>
    </xf>
    <xf numFmtId="164" fontId="66" fillId="13" borderId="18" xfId="0" applyNumberFormat="1" applyFont="1" applyFill="1" applyBorder="1" applyAlignment="1">
      <alignment horizontal="left" vertical="top" wrapText="1"/>
    </xf>
    <xf numFmtId="164" fontId="66" fillId="13" borderId="21" xfId="0" applyNumberFormat="1" applyFont="1" applyFill="1" applyBorder="1" applyAlignment="1">
      <alignment horizontal="left" vertical="top" wrapText="1"/>
    </xf>
    <xf numFmtId="0" fontId="66" fillId="17" borderId="4" xfId="0" applyFont="1" applyFill="1" applyBorder="1" applyAlignment="1">
      <alignment wrapText="1"/>
    </xf>
    <xf numFmtId="165" fontId="17" fillId="13" borderId="17" xfId="0" applyNumberFormat="1" applyFont="1" applyFill="1" applyBorder="1" applyAlignment="1"/>
    <xf numFmtId="165" fontId="17" fillId="13" borderId="18" xfId="0" applyNumberFormat="1" applyFont="1" applyFill="1" applyBorder="1" applyAlignment="1"/>
    <xf numFmtId="0" fontId="17" fillId="13" borderId="21" xfId="0" applyFont="1" applyFill="1" applyBorder="1" applyAlignment="1">
      <alignment horizontal="right"/>
    </xf>
    <xf numFmtId="0" fontId="66" fillId="23" borderId="4" xfId="0" applyFont="1" applyFill="1" applyBorder="1" applyAlignment="1">
      <alignment wrapText="1"/>
    </xf>
    <xf numFmtId="0" fontId="65" fillId="6" borderId="4" xfId="0" applyFont="1" applyFill="1" applyBorder="1" applyAlignment="1">
      <alignment wrapText="1"/>
    </xf>
    <xf numFmtId="0" fontId="7" fillId="0" borderId="20" xfId="0" applyFont="1" applyFill="1" applyBorder="1" applyAlignment="1">
      <alignment horizontal="left" vertical="top"/>
    </xf>
    <xf numFmtId="0" fontId="7" fillId="0" borderId="59" xfId="0" applyFont="1" applyFill="1" applyBorder="1" applyAlignment="1">
      <alignment horizontal="left" vertical="top" wrapText="1"/>
    </xf>
    <xf numFmtId="0" fontId="7" fillId="0" borderId="25" xfId="0" applyFont="1" applyBorder="1" applyAlignment="1">
      <alignment vertical="top" wrapText="1"/>
    </xf>
    <xf numFmtId="0" fontId="7" fillId="0" borderId="18" xfId="0" applyFont="1" applyBorder="1" applyAlignment="1">
      <alignment vertical="top" wrapText="1"/>
    </xf>
    <xf numFmtId="0" fontId="7" fillId="0" borderId="21" xfId="0" applyFont="1" applyBorder="1" applyAlignment="1">
      <alignment vertical="top" wrapText="1"/>
    </xf>
    <xf numFmtId="0" fontId="7" fillId="0" borderId="31" xfId="0" applyFont="1" applyBorder="1" applyAlignment="1">
      <alignment vertical="top" wrapText="1"/>
    </xf>
    <xf numFmtId="0" fontId="7" fillId="0" borderId="25" xfId="0" applyFont="1" applyBorder="1" applyAlignment="1">
      <alignment horizontal="left" vertical="top" wrapText="1"/>
    </xf>
    <xf numFmtId="0" fontId="7" fillId="0" borderId="18" xfId="0" applyFont="1" applyBorder="1" applyAlignment="1">
      <alignment horizontal="left" vertical="top" wrapText="1"/>
    </xf>
    <xf numFmtId="0" fontId="7" fillId="0" borderId="21" xfId="0" applyFont="1" applyBorder="1" applyAlignment="1">
      <alignment horizontal="left" vertical="top" wrapText="1"/>
    </xf>
    <xf numFmtId="0" fontId="7" fillId="0" borderId="18" xfId="0" applyFont="1" applyFill="1" applyBorder="1" applyAlignment="1">
      <alignment horizontal="left" vertical="top" wrapText="1"/>
    </xf>
    <xf numFmtId="0" fontId="7" fillId="0" borderId="21" xfId="0" applyFont="1" applyFill="1" applyBorder="1" applyAlignment="1">
      <alignment horizontal="left" vertical="top" wrapText="1"/>
    </xf>
    <xf numFmtId="0" fontId="7" fillId="0" borderId="20" xfId="0" applyFont="1" applyFill="1" applyBorder="1" applyAlignment="1">
      <alignment horizontal="left" vertical="top" wrapText="1"/>
    </xf>
    <xf numFmtId="0" fontId="7" fillId="0" borderId="26" xfId="0" applyFont="1" applyFill="1" applyBorder="1" applyAlignment="1">
      <alignment horizontal="left" vertical="top" wrapText="1"/>
    </xf>
    <xf numFmtId="0" fontId="7" fillId="0" borderId="26" xfId="0" applyFont="1" applyFill="1" applyBorder="1" applyAlignment="1">
      <alignment horizontal="left" vertical="top"/>
    </xf>
    <xf numFmtId="0" fontId="7" fillId="0" borderId="20" xfId="0" applyFont="1" applyBorder="1" applyAlignment="1">
      <alignment horizontal="left" vertical="top" wrapText="1"/>
    </xf>
    <xf numFmtId="0" fontId="7" fillId="0" borderId="0" xfId="0" applyFont="1" applyBorder="1" applyAlignment="1">
      <alignment horizontal="center" vertical="top" wrapText="1"/>
    </xf>
    <xf numFmtId="0" fontId="30" fillId="0" borderId="41" xfId="0" applyFont="1" applyFill="1" applyBorder="1" applyAlignment="1">
      <alignment vertical="top" wrapText="1"/>
    </xf>
    <xf numFmtId="0" fontId="7" fillId="0" borderId="0" xfId="0" applyFont="1" applyAlignment="1">
      <alignment horizontal="center" vertical="top" wrapText="1"/>
    </xf>
    <xf numFmtId="0" fontId="7" fillId="0" borderId="69" xfId="0" applyFont="1" applyFill="1" applyBorder="1" applyAlignment="1">
      <alignment vertical="top" wrapText="1"/>
    </xf>
    <xf numFmtId="0" fontId="7" fillId="0" borderId="70" xfId="0" applyFont="1" applyFill="1" applyBorder="1" applyAlignment="1">
      <alignment vertical="top" wrapText="1"/>
    </xf>
    <xf numFmtId="0" fontId="7" fillId="0" borderId="69" xfId="0" applyFont="1" applyBorder="1" applyAlignment="1">
      <alignment vertical="top" wrapText="1"/>
    </xf>
    <xf numFmtId="0" fontId="7" fillId="0" borderId="69" xfId="0" applyFont="1" applyFill="1" applyBorder="1" applyAlignment="1">
      <alignment horizontal="left" vertical="top" wrapText="1"/>
    </xf>
    <xf numFmtId="0" fontId="7" fillId="0" borderId="93" xfId="0" applyFont="1" applyFill="1" applyBorder="1" applyAlignment="1">
      <alignment horizontal="left" vertical="top" wrapText="1"/>
    </xf>
    <xf numFmtId="0" fontId="7" fillId="0" borderId="88" xfId="0" applyFont="1" applyFill="1" applyBorder="1" applyAlignment="1">
      <alignment horizontal="left" vertical="top" wrapText="1"/>
    </xf>
    <xf numFmtId="0" fontId="30" fillId="0" borderId="20" xfId="0" applyFont="1" applyFill="1" applyBorder="1" applyAlignment="1">
      <alignment vertical="top" wrapText="1"/>
    </xf>
    <xf numFmtId="1" fontId="7" fillId="0" borderId="0" xfId="0" applyNumberFormat="1" applyFont="1" applyAlignment="1">
      <alignment horizontal="center" vertical="top" wrapText="1"/>
    </xf>
    <xf numFmtId="0" fontId="7" fillId="0" borderId="31" xfId="0" applyFont="1" applyFill="1" applyBorder="1" applyAlignment="1">
      <alignment vertical="top" wrapText="1"/>
    </xf>
    <xf numFmtId="0" fontId="49" fillId="0" borderId="69" xfId="0" applyFont="1" applyBorder="1" applyAlignment="1">
      <alignment horizontal="left" vertical="top" wrapText="1"/>
    </xf>
    <xf numFmtId="0" fontId="7" fillId="0" borderId="20" xfId="0" applyFont="1" applyFill="1" applyBorder="1" applyAlignment="1">
      <alignment vertical="top" wrapText="1"/>
    </xf>
    <xf numFmtId="0" fontId="49" fillId="0" borderId="26" xfId="0" applyFont="1" applyFill="1" applyBorder="1" applyAlignment="1">
      <alignment horizontal="left" vertical="top" wrapText="1"/>
    </xf>
    <xf numFmtId="0" fontId="7" fillId="0" borderId="18" xfId="0" applyFont="1" applyFill="1" applyBorder="1" applyAlignment="1">
      <alignment vertical="top" wrapText="1"/>
    </xf>
    <xf numFmtId="0" fontId="49" fillId="0" borderId="26" xfId="0" applyFont="1" applyBorder="1" applyAlignment="1">
      <alignment horizontal="left" vertical="top" wrapText="1"/>
    </xf>
    <xf numFmtId="0" fontId="49" fillId="0" borderId="41" xfId="0" applyFont="1" applyBorder="1" applyAlignment="1">
      <alignment horizontal="left" vertical="top" wrapText="1"/>
    </xf>
    <xf numFmtId="0" fontId="49" fillId="0" borderId="20" xfId="0" applyFont="1" applyFill="1" applyBorder="1" applyAlignment="1">
      <alignment horizontal="left" vertical="top" wrapText="1"/>
    </xf>
    <xf numFmtId="0" fontId="7" fillId="0" borderId="0" xfId="0" applyFont="1" applyAlignment="1">
      <alignment horizontal="center" vertical="top"/>
    </xf>
    <xf numFmtId="0" fontId="49" fillId="0" borderId="26" xfId="0" applyFont="1" applyBorder="1" applyAlignment="1">
      <alignment vertical="top" wrapText="1"/>
    </xf>
    <xf numFmtId="1" fontId="7" fillId="0" borderId="0" xfId="0" applyNumberFormat="1" applyFont="1" applyBorder="1" applyAlignment="1">
      <alignment horizontal="center" vertical="top" wrapText="1"/>
    </xf>
    <xf numFmtId="0" fontId="49" fillId="0" borderId="18" xfId="0" applyFont="1" applyFill="1" applyBorder="1" applyAlignment="1">
      <alignment vertical="top" wrapText="1"/>
    </xf>
    <xf numFmtId="2" fontId="29" fillId="0" borderId="20" xfId="0" applyNumberFormat="1" applyFont="1" applyFill="1" applyBorder="1" applyAlignment="1">
      <alignment vertical="top" wrapText="1"/>
    </xf>
    <xf numFmtId="2" fontId="29" fillId="0" borderId="31" xfId="0" applyNumberFormat="1" applyFont="1" applyBorder="1" applyAlignment="1">
      <alignment horizontal="left" vertical="top" wrapText="1"/>
    </xf>
    <xf numFmtId="0" fontId="29" fillId="0" borderId="0" xfId="0" applyFont="1" applyAlignment="1">
      <alignment horizontal="center" vertical="top"/>
    </xf>
    <xf numFmtId="0" fontId="7" fillId="0" borderId="61" xfId="0" applyFont="1" applyBorder="1" applyAlignment="1">
      <alignment vertical="top" wrapText="1"/>
    </xf>
    <xf numFmtId="0" fontId="7" fillId="0" borderId="0" xfId="0" applyFont="1" applyBorder="1" applyAlignment="1">
      <alignment vertical="top" wrapText="1"/>
    </xf>
    <xf numFmtId="0" fontId="7" fillId="0" borderId="10" xfId="0" applyFont="1" applyBorder="1" applyAlignment="1">
      <alignment vertical="top" wrapText="1"/>
    </xf>
    <xf numFmtId="0" fontId="29" fillId="0" borderId="31" xfId="0" applyFont="1" applyFill="1" applyBorder="1" applyAlignment="1">
      <alignment horizontal="left" vertical="top" wrapText="1"/>
    </xf>
    <xf numFmtId="0" fontId="29" fillId="0" borderId="20" xfId="0" applyFont="1" applyFill="1" applyBorder="1" applyAlignment="1">
      <alignment horizontal="left" vertical="top" wrapText="1"/>
    </xf>
    <xf numFmtId="0" fontId="30" fillId="0" borderId="0" xfId="0" applyNumberFormat="1" applyFont="1" applyBorder="1" applyAlignment="1">
      <alignment horizontal="left" vertical="top" wrapText="1"/>
    </xf>
    <xf numFmtId="0" fontId="30" fillId="0" borderId="46" xfId="0" applyFont="1" applyBorder="1" applyAlignment="1">
      <alignment horizontal="center" vertical="top" wrapText="1"/>
    </xf>
    <xf numFmtId="1" fontId="30" fillId="2" borderId="90" xfId="0" applyNumberFormat="1" applyFont="1" applyFill="1" applyBorder="1" applyAlignment="1">
      <alignment horizontal="center" vertical="top" wrapText="1"/>
    </xf>
    <xf numFmtId="0" fontId="30" fillId="0" borderId="51" xfId="0" applyFont="1" applyBorder="1" applyAlignment="1">
      <alignment vertical="top" wrapText="1"/>
    </xf>
    <xf numFmtId="1" fontId="7" fillId="2" borderId="90" xfId="0" applyNumberFormat="1" applyFont="1" applyFill="1" applyBorder="1" applyAlignment="1">
      <alignment horizontal="center" vertical="top" wrapText="1"/>
    </xf>
    <xf numFmtId="0" fontId="29" fillId="0" borderId="93" xfId="0" applyFont="1" applyFill="1" applyBorder="1" applyAlignment="1">
      <alignment horizontal="left" vertical="top" wrapText="1"/>
    </xf>
    <xf numFmtId="0" fontId="29" fillId="0" borderId="51" xfId="0" applyFont="1" applyFill="1" applyBorder="1" applyAlignment="1">
      <alignment horizontal="left" vertical="top" wrapText="1"/>
    </xf>
    <xf numFmtId="0" fontId="29" fillId="0" borderId="46" xfId="0" applyFont="1" applyFill="1" applyBorder="1" applyAlignment="1">
      <alignment horizontal="center" vertical="top" wrapText="1"/>
    </xf>
    <xf numFmtId="2" fontId="7" fillId="10" borderId="4" xfId="0" applyNumberFormat="1" applyFont="1" applyFill="1" applyBorder="1" applyAlignment="1">
      <alignment horizontal="center" vertical="top" wrapText="1"/>
    </xf>
    <xf numFmtId="0" fontId="7" fillId="0" borderId="0" xfId="0" applyFont="1" applyBorder="1" applyAlignment="1" applyProtection="1">
      <alignment vertical="top" wrapText="1"/>
      <protection hidden="1"/>
    </xf>
    <xf numFmtId="0" fontId="30" fillId="0" borderId="79" xfId="0" applyFont="1" applyFill="1" applyBorder="1" applyAlignment="1">
      <alignment horizontal="center" vertical="top" wrapText="1"/>
    </xf>
    <xf numFmtId="0" fontId="30" fillId="0" borderId="4" xfId="0" applyFont="1" applyFill="1" applyBorder="1" applyAlignment="1">
      <alignment vertical="top" wrapText="1"/>
    </xf>
    <xf numFmtId="0" fontId="30" fillId="0" borderId="18" xfId="0" applyFont="1" applyFill="1" applyBorder="1" applyAlignment="1">
      <alignment vertical="top" wrapText="1"/>
    </xf>
    <xf numFmtId="0" fontId="49" fillId="0" borderId="69" xfId="0" applyFont="1" applyFill="1" applyBorder="1" applyAlignment="1">
      <alignment vertical="top" wrapText="1"/>
    </xf>
    <xf numFmtId="1" fontId="33" fillId="0" borderId="27" xfId="0" applyNumberFormat="1" applyFont="1" applyBorder="1" applyAlignment="1">
      <alignment horizontal="center" vertical="top" wrapText="1"/>
    </xf>
    <xf numFmtId="1" fontId="7" fillId="0" borderId="46" xfId="0" applyNumberFormat="1" applyFont="1" applyFill="1" applyBorder="1" applyAlignment="1">
      <alignment horizontal="center" vertical="top" wrapText="1"/>
    </xf>
    <xf numFmtId="1" fontId="7" fillId="0" borderId="88" xfId="0" applyNumberFormat="1" applyFont="1" applyFill="1" applyBorder="1" applyAlignment="1">
      <alignment horizontal="center" vertical="top" wrapText="1"/>
    </xf>
    <xf numFmtId="0" fontId="7" fillId="2" borderId="93" xfId="0" applyNumberFormat="1" applyFont="1" applyFill="1" applyBorder="1" applyAlignment="1">
      <alignment horizontal="center" vertical="top" wrapText="1"/>
    </xf>
    <xf numFmtId="49" fontId="7" fillId="0" borderId="6" xfId="0" applyNumberFormat="1" applyFont="1" applyBorder="1" applyAlignment="1">
      <alignment horizontal="center" vertical="top" wrapText="1"/>
    </xf>
    <xf numFmtId="49" fontId="7" fillId="0" borderId="76" xfId="0" applyNumberFormat="1" applyFont="1" applyBorder="1" applyAlignment="1">
      <alignment horizontal="center" vertical="top" wrapText="1"/>
    </xf>
    <xf numFmtId="49" fontId="7" fillId="0" borderId="44" xfId="0" applyNumberFormat="1" applyFont="1" applyBorder="1" applyAlignment="1">
      <alignment horizontal="center" vertical="top" wrapText="1"/>
    </xf>
    <xf numFmtId="0" fontId="7" fillId="0" borderId="0" xfId="0" applyFont="1" applyFill="1" applyBorder="1" applyAlignment="1" applyProtection="1">
      <alignment vertical="top" wrapText="1"/>
      <protection hidden="1"/>
    </xf>
    <xf numFmtId="0" fontId="30" fillId="0" borderId="0" xfId="0" applyNumberFormat="1" applyFont="1" applyBorder="1" applyAlignment="1">
      <alignment vertical="top" wrapText="1"/>
    </xf>
    <xf numFmtId="2" fontId="30" fillId="2" borderId="48" xfId="0" applyNumberFormat="1" applyFont="1" applyFill="1" applyBorder="1" applyAlignment="1" applyProtection="1">
      <alignment horizontal="center" vertical="top" wrapText="1"/>
    </xf>
    <xf numFmtId="2" fontId="7" fillId="4" borderId="63" xfId="0" applyNumberFormat="1" applyFont="1" applyFill="1" applyBorder="1" applyAlignment="1">
      <alignment horizontal="center" vertical="top" wrapText="1"/>
    </xf>
    <xf numFmtId="2" fontId="7" fillId="2" borderId="48" xfId="0" applyNumberFormat="1" applyFont="1" applyFill="1" applyBorder="1" applyAlignment="1" applyProtection="1">
      <alignment horizontal="center" vertical="top" wrapText="1"/>
    </xf>
    <xf numFmtId="0" fontId="29" fillId="0" borderId="61" xfId="0" applyFont="1" applyBorder="1" applyAlignment="1">
      <alignment vertical="top"/>
    </xf>
    <xf numFmtId="1" fontId="29" fillId="0" borderId="61" xfId="0" applyNumberFormat="1" applyFont="1" applyBorder="1" applyAlignment="1">
      <alignment vertical="top"/>
    </xf>
    <xf numFmtId="1" fontId="29" fillId="0" borderId="10" xfId="0" applyNumberFormat="1" applyFont="1" applyBorder="1" applyAlignment="1">
      <alignment vertical="top"/>
    </xf>
    <xf numFmtId="0" fontId="30" fillId="0" borderId="69" xfId="0" applyNumberFormat="1" applyFont="1" applyBorder="1" applyAlignment="1">
      <alignment vertical="top" wrapText="1"/>
    </xf>
    <xf numFmtId="0" fontId="30" fillId="0" borderId="61" xfId="0" applyFont="1" applyBorder="1" applyAlignment="1">
      <alignment vertical="top" wrapText="1"/>
    </xf>
    <xf numFmtId="0" fontId="30" fillId="0" borderId="0" xfId="0" applyNumberFormat="1" applyFont="1" applyFill="1" applyBorder="1" applyAlignment="1">
      <alignment vertical="top" wrapText="1"/>
    </xf>
    <xf numFmtId="2" fontId="30" fillId="0" borderId="61" xfId="0" applyNumberFormat="1" applyFont="1" applyFill="1" applyBorder="1" applyAlignment="1" applyProtection="1">
      <alignment vertical="top" wrapText="1"/>
    </xf>
    <xf numFmtId="2" fontId="30" fillId="0" borderId="10" xfId="0" applyNumberFormat="1" applyFont="1" applyFill="1" applyBorder="1" applyAlignment="1" applyProtection="1">
      <alignment vertical="top" wrapText="1"/>
    </xf>
    <xf numFmtId="1" fontId="7" fillId="0" borderId="69" xfId="0" applyNumberFormat="1" applyFont="1" applyBorder="1" applyAlignment="1">
      <alignment vertical="top" wrapText="1"/>
    </xf>
    <xf numFmtId="0" fontId="49" fillId="0" borderId="61" xfId="0" applyFont="1" applyFill="1" applyBorder="1" applyAlignment="1">
      <alignment vertical="top" wrapText="1"/>
    </xf>
    <xf numFmtId="1" fontId="27" fillId="0" borderId="10" xfId="0" applyNumberFormat="1" applyFont="1" applyBorder="1" applyAlignment="1">
      <alignment vertical="top" wrapText="1"/>
    </xf>
    <xf numFmtId="2" fontId="30" fillId="2" borderId="40" xfId="0" applyNumberFormat="1" applyFont="1" applyFill="1" applyBorder="1" applyAlignment="1" applyProtection="1">
      <alignment horizontal="center" vertical="top" wrapText="1"/>
    </xf>
    <xf numFmtId="49" fontId="29" fillId="0" borderId="61" xfId="0" applyNumberFormat="1" applyFont="1" applyBorder="1" applyAlignment="1">
      <alignment vertical="top" wrapText="1"/>
    </xf>
    <xf numFmtId="0" fontId="29" fillId="0" borderId="61" xfId="0" applyFont="1" applyBorder="1" applyAlignment="1">
      <alignment vertical="top" wrapText="1"/>
    </xf>
    <xf numFmtId="49" fontId="29" fillId="0" borderId="0" xfId="0" applyNumberFormat="1" applyFont="1" applyAlignment="1">
      <alignment vertical="top" wrapText="1"/>
    </xf>
    <xf numFmtId="0" fontId="29" fillId="0" borderId="10" xfId="0" applyFont="1" applyBorder="1" applyAlignment="1">
      <alignment vertical="top" wrapText="1"/>
    </xf>
    <xf numFmtId="0" fontId="30" fillId="0" borderId="0" xfId="0" applyNumberFormat="1" applyFont="1" applyFill="1" applyAlignment="1">
      <alignment vertical="top" wrapText="1"/>
    </xf>
    <xf numFmtId="2" fontId="30" fillId="0" borderId="0" xfId="0" applyNumberFormat="1" applyFont="1" applyFill="1" applyBorder="1" applyAlignment="1" applyProtection="1">
      <alignment vertical="top" wrapText="1"/>
    </xf>
    <xf numFmtId="2" fontId="30" fillId="0" borderId="69" xfId="0" applyNumberFormat="1" applyFont="1" applyFill="1" applyBorder="1" applyAlignment="1" applyProtection="1">
      <alignment vertical="top" wrapText="1"/>
    </xf>
    <xf numFmtId="0" fontId="49" fillId="0" borderId="0" xfId="0" applyNumberFormat="1" applyFont="1" applyFill="1" applyBorder="1" applyAlignment="1">
      <alignment vertical="top" wrapText="1"/>
    </xf>
    <xf numFmtId="2" fontId="29" fillId="0" borderId="61" xfId="0" applyNumberFormat="1" applyFont="1" applyBorder="1" applyAlignment="1">
      <alignment horizontal="left" vertical="top" wrapText="1"/>
    </xf>
    <xf numFmtId="2" fontId="29" fillId="0" borderId="54" xfId="0" applyNumberFormat="1" applyFont="1" applyBorder="1" applyAlignment="1">
      <alignment horizontal="center" vertical="top" wrapText="1"/>
    </xf>
    <xf numFmtId="1" fontId="7" fillId="2" borderId="53" xfId="0" applyNumberFormat="1" applyFont="1" applyFill="1" applyBorder="1" applyAlignment="1">
      <alignment horizontal="center" vertical="top"/>
    </xf>
    <xf numFmtId="1" fontId="29" fillId="2" borderId="53" xfId="0" applyNumberFormat="1" applyFont="1" applyFill="1" applyBorder="1" applyAlignment="1">
      <alignment horizontal="center" vertical="top" wrapText="1"/>
    </xf>
    <xf numFmtId="2" fontId="29" fillId="3" borderId="31" xfId="0" applyNumberFormat="1" applyFont="1" applyFill="1" applyBorder="1" applyAlignment="1">
      <alignment horizontal="center" vertical="top"/>
    </xf>
    <xf numFmtId="1" fontId="27" fillId="0" borderId="0" xfId="0" applyNumberFormat="1" applyFont="1" applyBorder="1" applyAlignment="1">
      <alignment vertical="top" wrapText="1"/>
    </xf>
    <xf numFmtId="2" fontId="29" fillId="0" borderId="46" xfId="0" applyNumberFormat="1" applyFont="1" applyFill="1" applyBorder="1" applyAlignment="1">
      <alignment vertical="top" wrapText="1"/>
    </xf>
    <xf numFmtId="2" fontId="29" fillId="3" borderId="44" xfId="0" applyNumberFormat="1" applyFont="1" applyFill="1" applyBorder="1" applyAlignment="1">
      <alignment horizontal="center" vertical="top"/>
    </xf>
    <xf numFmtId="0" fontId="7" fillId="0" borderId="57" xfId="0" applyFont="1" applyBorder="1" applyAlignment="1">
      <alignment vertical="top" wrapText="1"/>
    </xf>
    <xf numFmtId="0" fontId="7" fillId="0" borderId="43" xfId="0" applyFont="1" applyBorder="1" applyAlignment="1">
      <alignment vertical="top" wrapText="1"/>
    </xf>
    <xf numFmtId="1" fontId="7" fillId="2" borderId="46" xfId="0" applyNumberFormat="1" applyFont="1" applyFill="1" applyBorder="1" applyAlignment="1">
      <alignment horizontal="center" vertical="top"/>
    </xf>
    <xf numFmtId="2" fontId="29" fillId="3" borderId="31" xfId="0" applyNumberFormat="1" applyFont="1" applyFill="1" applyBorder="1" applyAlignment="1">
      <alignment horizontal="center" vertical="top" wrapText="1"/>
    </xf>
    <xf numFmtId="1" fontId="29" fillId="2" borderId="55" xfId="0" applyNumberFormat="1" applyFont="1" applyFill="1" applyBorder="1" applyAlignment="1">
      <alignment horizontal="center" vertical="top" wrapText="1"/>
    </xf>
    <xf numFmtId="0" fontId="29" fillId="0" borderId="60" xfId="0" applyFont="1" applyFill="1" applyBorder="1" applyAlignment="1">
      <alignment horizontal="left" vertical="top" wrapText="1"/>
    </xf>
    <xf numFmtId="0" fontId="29" fillId="0" borderId="53" xfId="0" applyFont="1" applyFill="1" applyBorder="1" applyAlignment="1">
      <alignment horizontal="center" vertical="top" wrapText="1"/>
    </xf>
    <xf numFmtId="0" fontId="29" fillId="0" borderId="70" xfId="0" applyFont="1" applyFill="1" applyBorder="1" applyAlignment="1">
      <alignment horizontal="center" vertical="top" wrapText="1"/>
    </xf>
    <xf numFmtId="2" fontId="29" fillId="3" borderId="4" xfId="0" applyNumberFormat="1" applyFont="1" applyFill="1" applyBorder="1" applyAlignment="1">
      <alignment horizontal="center" vertical="top" wrapText="1"/>
    </xf>
    <xf numFmtId="0" fontId="29" fillId="0" borderId="30" xfId="0" applyFont="1" applyFill="1" applyBorder="1" applyAlignment="1">
      <alignment horizontal="center" vertical="top" wrapText="1"/>
    </xf>
    <xf numFmtId="1" fontId="29" fillId="0" borderId="46" xfId="0" applyNumberFormat="1" applyFont="1" applyFill="1" applyBorder="1" applyAlignment="1">
      <alignment horizontal="center" vertical="top" wrapText="1"/>
    </xf>
    <xf numFmtId="0" fontId="49" fillId="0" borderId="87" xfId="0" applyFont="1" applyFill="1" applyBorder="1" applyAlignment="1">
      <alignment vertical="top" wrapText="1"/>
    </xf>
    <xf numFmtId="2" fontId="59" fillId="0" borderId="0" xfId="0" applyNumberFormat="1" applyFont="1" applyFill="1" applyBorder="1" applyAlignment="1" applyProtection="1">
      <alignment vertical="top"/>
      <protection hidden="1"/>
    </xf>
    <xf numFmtId="2" fontId="59" fillId="0" borderId="69" xfId="0" applyNumberFormat="1" applyFont="1" applyFill="1" applyBorder="1" applyAlignment="1" applyProtection="1">
      <alignment vertical="top"/>
      <protection hidden="1"/>
    </xf>
    <xf numFmtId="1" fontId="7" fillId="0" borderId="0" xfId="0" applyNumberFormat="1" applyFont="1" applyAlignment="1" applyProtection="1">
      <alignment vertical="top"/>
      <protection hidden="1"/>
    </xf>
    <xf numFmtId="1" fontId="7" fillId="0" borderId="69" xfId="0" applyNumberFormat="1" applyFont="1" applyBorder="1" applyAlignment="1" applyProtection="1">
      <alignment vertical="top"/>
      <protection hidden="1"/>
    </xf>
    <xf numFmtId="1" fontId="7" fillId="0" borderId="0" xfId="0" applyNumberFormat="1" applyFont="1" applyBorder="1" applyAlignment="1" applyProtection="1">
      <alignment vertical="top"/>
      <protection hidden="1"/>
    </xf>
    <xf numFmtId="2" fontId="7" fillId="0" borderId="0" xfId="0" applyNumberFormat="1" applyFont="1" applyFill="1" applyBorder="1" applyAlignment="1">
      <alignment vertical="top" wrapText="1"/>
    </xf>
    <xf numFmtId="2" fontId="7" fillId="0" borderId="69" xfId="0" applyNumberFormat="1" applyFont="1" applyFill="1" applyBorder="1" applyAlignment="1">
      <alignment vertical="top" wrapText="1"/>
    </xf>
    <xf numFmtId="0" fontId="49" fillId="0" borderId="69" xfId="0" applyNumberFormat="1" applyFont="1" applyFill="1" applyBorder="1" applyAlignment="1">
      <alignment vertical="top" wrapText="1"/>
    </xf>
    <xf numFmtId="0" fontId="67" fillId="0" borderId="18" xfId="0" applyFont="1" applyFill="1" applyBorder="1" applyAlignment="1">
      <alignment vertical="top" wrapText="1"/>
    </xf>
    <xf numFmtId="2" fontId="7" fillId="0" borderId="0" xfId="0" applyNumberFormat="1" applyFont="1" applyFill="1" applyBorder="1" applyAlignment="1">
      <alignment horizontal="right" vertical="top"/>
    </xf>
    <xf numFmtId="2" fontId="7" fillId="0" borderId="0" xfId="0" applyNumberFormat="1" applyFont="1" applyFill="1" applyAlignment="1">
      <alignment horizontal="right" vertical="top"/>
    </xf>
    <xf numFmtId="2" fontId="7" fillId="0" borderId="0" xfId="0" applyNumberFormat="1" applyFont="1" applyAlignment="1">
      <alignment horizontal="right" vertical="top"/>
    </xf>
    <xf numFmtId="2" fontId="12" fillId="0" borderId="100" xfId="0" applyNumberFormat="1" applyFont="1" applyFill="1" applyBorder="1">
      <alignment vertical="top"/>
    </xf>
    <xf numFmtId="0" fontId="12" fillId="0" borderId="100" xfId="0" applyFont="1" applyBorder="1" applyAlignment="1">
      <alignment vertical="top" wrapText="1"/>
    </xf>
    <xf numFmtId="1" fontId="12" fillId="5" borderId="102" xfId="0" applyNumberFormat="1" applyFont="1" applyFill="1" applyBorder="1" applyAlignment="1"/>
    <xf numFmtId="2" fontId="12" fillId="0" borderId="103" xfId="0" applyNumberFormat="1" applyFont="1" applyFill="1" applyBorder="1">
      <alignment vertical="top"/>
    </xf>
    <xf numFmtId="1" fontId="12" fillId="4" borderId="103" xfId="0" applyNumberFormat="1" applyFont="1" applyFill="1" applyBorder="1" applyAlignment="1"/>
    <xf numFmtId="0" fontId="0" fillId="0" borderId="98" xfId="0" applyBorder="1">
      <alignment vertical="top"/>
    </xf>
    <xf numFmtId="0" fontId="0" fillId="0" borderId="72" xfId="0" applyBorder="1">
      <alignment vertical="top"/>
    </xf>
    <xf numFmtId="0" fontId="68" fillId="27" borderId="100" xfId="0" applyFont="1" applyFill="1" applyBorder="1" applyAlignment="1">
      <alignment vertical="top" wrapText="1"/>
    </xf>
    <xf numFmtId="0" fontId="68" fillId="4" borderId="38" xfId="0" applyFont="1" applyFill="1" applyBorder="1" applyAlignment="1"/>
    <xf numFmtId="0" fontId="68" fillId="20" borderId="38" xfId="0" applyFont="1" applyFill="1" applyBorder="1" applyAlignment="1"/>
    <xf numFmtId="0" fontId="68" fillId="28" borderId="100" xfId="0" applyFont="1" applyFill="1" applyBorder="1" applyAlignment="1">
      <alignment vertical="top" wrapText="1"/>
    </xf>
    <xf numFmtId="0" fontId="68" fillId="11" borderId="100" xfId="0" applyFont="1" applyFill="1" applyBorder="1" applyAlignment="1">
      <alignment vertical="top" wrapText="1"/>
    </xf>
    <xf numFmtId="0" fontId="68" fillId="29" borderId="100" xfId="0" applyFont="1" applyFill="1" applyBorder="1" applyAlignment="1">
      <alignment vertical="top" wrapText="1"/>
    </xf>
    <xf numFmtId="0" fontId="68" fillId="20" borderId="99" xfId="0" applyNumberFormat="1" applyFont="1" applyFill="1" applyBorder="1" applyAlignment="1"/>
    <xf numFmtId="2" fontId="0" fillId="0" borderId="95" xfId="0" applyNumberFormat="1" applyBorder="1">
      <alignment vertical="top"/>
    </xf>
    <xf numFmtId="0" fontId="8" fillId="0" borderId="101" xfId="0" applyFont="1" applyFill="1" applyBorder="1" applyAlignment="1" applyProtection="1">
      <alignment horizontal="center" wrapText="1"/>
      <protection locked="0"/>
    </xf>
    <xf numFmtId="0" fontId="6" fillId="0" borderId="101" xfId="0" applyFont="1" applyFill="1" applyBorder="1" applyAlignment="1" applyProtection="1">
      <alignment horizontal="center" vertical="top" wrapText="1"/>
      <protection locked="0"/>
    </xf>
    <xf numFmtId="14" fontId="6" fillId="0" borderId="101" xfId="0" applyNumberFormat="1" applyFont="1" applyFill="1" applyBorder="1" applyAlignment="1" applyProtection="1">
      <alignment horizontal="center" vertical="top" wrapText="1"/>
      <protection locked="0"/>
    </xf>
    <xf numFmtId="164" fontId="6" fillId="0" borderId="101" xfId="0" applyNumberFormat="1" applyFont="1" applyBorder="1" applyAlignment="1" applyProtection="1">
      <alignment horizontal="center" vertical="top" wrapText="1"/>
      <protection locked="0"/>
    </xf>
    <xf numFmtId="2" fontId="6" fillId="0" borderId="101" xfId="0" applyNumberFormat="1" applyFont="1" applyBorder="1" applyAlignment="1" applyProtection="1">
      <alignment horizontal="center" vertical="top" wrapText="1"/>
      <protection locked="0"/>
    </xf>
    <xf numFmtId="9" fontId="6" fillId="0" borderId="101" xfId="0" applyNumberFormat="1" applyFont="1" applyBorder="1" applyAlignment="1" applyProtection="1">
      <alignment horizontal="center" vertical="top" wrapText="1"/>
      <protection locked="0"/>
    </xf>
    <xf numFmtId="1" fontId="6" fillId="0" borderId="101" xfId="0" applyNumberFormat="1" applyFont="1" applyFill="1" applyBorder="1" applyAlignment="1" applyProtection="1">
      <alignment horizontal="center" vertical="top" wrapText="1"/>
      <protection locked="0"/>
    </xf>
    <xf numFmtId="0" fontId="23" fillId="0" borderId="101" xfId="0" applyFont="1" applyBorder="1" applyAlignment="1" applyProtection="1">
      <alignment vertical="top" wrapText="1"/>
      <protection locked="0"/>
    </xf>
    <xf numFmtId="0" fontId="0" fillId="0" borderId="0" xfId="0" applyProtection="1">
      <alignment vertical="top"/>
      <protection locked="0"/>
    </xf>
    <xf numFmtId="2" fontId="0" fillId="0" borderId="0" xfId="0" applyNumberFormat="1" applyProtection="1">
      <alignment vertical="top"/>
      <protection locked="0"/>
    </xf>
    <xf numFmtId="0" fontId="12" fillId="0" borderId="0" xfId="0" applyFont="1" applyAlignment="1" applyProtection="1">
      <alignment vertical="top"/>
      <protection locked="0"/>
    </xf>
    <xf numFmtId="0" fontId="12" fillId="0" borderId="101" xfId="0" applyFont="1" applyBorder="1" applyProtection="1">
      <alignment vertical="top"/>
    </xf>
    <xf numFmtId="2" fontId="0" fillId="0" borderId="101" xfId="0" applyNumberFormat="1" applyBorder="1" applyProtection="1">
      <alignment vertical="top"/>
    </xf>
    <xf numFmtId="49" fontId="0" fillId="0" borderId="0" xfId="0" applyNumberFormat="1">
      <alignment vertical="top"/>
    </xf>
    <xf numFmtId="0" fontId="7" fillId="0" borderId="69" xfId="0" applyFont="1" applyBorder="1" applyAlignment="1">
      <alignment vertical="top" wrapText="1"/>
    </xf>
    <xf numFmtId="0" fontId="7" fillId="0" borderId="61" xfId="0" applyFont="1" applyBorder="1" applyAlignment="1">
      <alignment vertical="top" wrapText="1"/>
    </xf>
    <xf numFmtId="0" fontId="7" fillId="0" borderId="0" xfId="0" applyFont="1" applyBorder="1" applyAlignment="1">
      <alignment vertical="top" wrapText="1"/>
    </xf>
    <xf numFmtId="0" fontId="7" fillId="0" borderId="10" xfId="0" applyFont="1" applyBorder="1" applyAlignment="1">
      <alignment vertical="top" wrapText="1"/>
    </xf>
    <xf numFmtId="0" fontId="23" fillId="0" borderId="95" xfId="0" applyFont="1" applyFill="1" applyBorder="1" applyAlignment="1" applyProtection="1">
      <alignment vertical="top"/>
      <protection locked="0"/>
    </xf>
    <xf numFmtId="0" fontId="0" fillId="0" borderId="95" xfId="0" applyBorder="1" applyAlignment="1" applyProtection="1">
      <alignment vertical="top"/>
      <protection locked="0"/>
    </xf>
    <xf numFmtId="0" fontId="23" fillId="0" borderId="0" xfId="0" applyFont="1" applyBorder="1" applyAlignment="1" applyProtection="1">
      <alignment vertical="top"/>
      <protection locked="0"/>
    </xf>
    <xf numFmtId="0" fontId="7" fillId="0" borderId="69" xfId="0" applyFont="1" applyFill="1" applyBorder="1" applyAlignment="1">
      <alignment vertical="top" wrapText="1"/>
    </xf>
    <xf numFmtId="0" fontId="49" fillId="0" borderId="20" xfId="0" applyFont="1" applyFill="1" applyBorder="1" applyAlignment="1">
      <alignment horizontal="left" vertical="top" wrapText="1"/>
    </xf>
    <xf numFmtId="0" fontId="70" fillId="0" borderId="0" xfId="0" applyFont="1" applyBorder="1" applyAlignment="1" applyProtection="1">
      <alignment vertical="top" wrapText="1"/>
      <protection hidden="1"/>
    </xf>
    <xf numFmtId="0" fontId="71" fillId="0" borderId="0" xfId="0" applyFont="1" applyFill="1" applyBorder="1" applyAlignment="1" applyProtection="1">
      <alignment vertical="top" wrapText="1"/>
      <protection hidden="1"/>
    </xf>
    <xf numFmtId="0" fontId="72" fillId="0" borderId="0" xfId="0" applyFont="1" applyFill="1" applyBorder="1" applyAlignment="1" applyProtection="1">
      <alignment horizontal="right" vertical="top" wrapText="1"/>
      <protection hidden="1"/>
    </xf>
    <xf numFmtId="0" fontId="72" fillId="0" borderId="0" xfId="0" applyFont="1" applyFill="1" applyBorder="1" applyAlignment="1" applyProtection="1">
      <alignment vertical="top" wrapText="1"/>
      <protection hidden="1"/>
    </xf>
    <xf numFmtId="2" fontId="72" fillId="0" borderId="0" xfId="0" applyNumberFormat="1" applyFont="1" applyFill="1" applyBorder="1" applyAlignment="1" applyProtection="1">
      <alignment horizontal="center" vertical="top" wrapText="1"/>
      <protection hidden="1"/>
    </xf>
    <xf numFmtId="0" fontId="70" fillId="0" borderId="0" xfId="0" applyFont="1" applyBorder="1" applyAlignment="1" applyProtection="1">
      <alignment horizontal="center" vertical="top" wrapText="1"/>
      <protection hidden="1"/>
    </xf>
    <xf numFmtId="2" fontId="70" fillId="0" borderId="0" xfId="0" applyNumberFormat="1" applyFont="1" applyFill="1" applyBorder="1" applyAlignment="1" applyProtection="1">
      <alignment horizontal="center" vertical="top" wrapText="1"/>
      <protection hidden="1"/>
    </xf>
    <xf numFmtId="0" fontId="72" fillId="0" borderId="0" xfId="0" applyFont="1" applyFill="1" applyBorder="1" applyAlignment="1" applyProtection="1">
      <alignment wrapText="1"/>
      <protection hidden="1"/>
    </xf>
    <xf numFmtId="0" fontId="70" fillId="0" borderId="0" xfId="0" applyFont="1" applyFill="1" applyBorder="1" applyAlignment="1" applyProtection="1">
      <alignment horizontal="right" vertical="top" wrapText="1"/>
      <protection hidden="1"/>
    </xf>
    <xf numFmtId="0" fontId="72" fillId="0" borderId="0" xfId="0" applyFont="1" applyFill="1" applyBorder="1" applyAlignment="1" applyProtection="1">
      <alignment horizontal="left" vertical="top" wrapText="1"/>
      <protection hidden="1"/>
    </xf>
    <xf numFmtId="0" fontId="72" fillId="0" borderId="0" xfId="0" applyFont="1" applyFill="1" applyBorder="1" applyAlignment="1" applyProtection="1">
      <alignment horizontal="right" vertical="top"/>
      <protection hidden="1"/>
    </xf>
    <xf numFmtId="0" fontId="71" fillId="0" borderId="0" xfId="0" applyFont="1" applyFill="1" applyBorder="1" applyAlignment="1" applyProtection="1">
      <alignment horizontal="left" vertical="top" wrapText="1"/>
      <protection hidden="1"/>
    </xf>
    <xf numFmtId="0" fontId="72" fillId="0" borderId="0" xfId="0" applyFont="1" applyFill="1" applyBorder="1" applyAlignment="1" applyProtection="1">
      <alignment horizontal="center" vertical="top" wrapText="1"/>
      <protection hidden="1"/>
    </xf>
    <xf numFmtId="0" fontId="70" fillId="0" borderId="0" xfId="0" applyFont="1" applyFill="1" applyBorder="1" applyAlignment="1" applyProtection="1">
      <alignment horizontal="center" vertical="top" wrapText="1"/>
      <protection hidden="1"/>
    </xf>
    <xf numFmtId="0" fontId="70" fillId="0" borderId="0" xfId="0" applyFont="1" applyFill="1" applyBorder="1" applyAlignment="1" applyProtection="1">
      <alignment vertical="top" wrapText="1"/>
      <protection hidden="1"/>
    </xf>
    <xf numFmtId="0" fontId="7" fillId="0" borderId="10" xfId="0" applyFont="1" applyFill="1" applyBorder="1" applyAlignment="1">
      <alignment vertical="top" wrapText="1"/>
    </xf>
    <xf numFmtId="0" fontId="30" fillId="0" borderId="61" xfId="0" applyNumberFormat="1" applyFont="1" applyBorder="1" applyAlignment="1">
      <alignment vertical="top" wrapText="1"/>
    </xf>
    <xf numFmtId="0" fontId="30" fillId="0" borderId="61" xfId="0" applyFont="1" applyFill="1" applyBorder="1" applyAlignment="1">
      <alignment vertical="top" wrapText="1"/>
    </xf>
    <xf numFmtId="0" fontId="30" fillId="0" borderId="10" xfId="0" applyFont="1" applyFill="1" applyBorder="1" applyAlignment="1">
      <alignment vertical="top" wrapText="1"/>
    </xf>
    <xf numFmtId="1" fontId="30" fillId="0" borderId="61" xfId="0" applyNumberFormat="1" applyFont="1" applyBorder="1" applyAlignment="1">
      <alignment vertical="top" wrapText="1"/>
    </xf>
    <xf numFmtId="1" fontId="30" fillId="0" borderId="10" xfId="0" applyNumberFormat="1" applyFont="1" applyBorder="1" applyAlignment="1">
      <alignment vertical="top" wrapText="1"/>
    </xf>
    <xf numFmtId="0" fontId="70" fillId="0" borderId="0" xfId="0" applyNumberFormat="1" applyFont="1" applyAlignment="1" applyProtection="1">
      <alignment vertical="top" wrapText="1"/>
      <protection hidden="1"/>
    </xf>
    <xf numFmtId="0" fontId="70" fillId="0" borderId="0" xfId="0" applyFont="1" applyAlignment="1" applyProtection="1">
      <alignment vertical="top" wrapText="1"/>
      <protection hidden="1"/>
    </xf>
    <xf numFmtId="2" fontId="70" fillId="0" borderId="0" xfId="0" applyNumberFormat="1" applyFont="1" applyBorder="1" applyAlignment="1" applyProtection="1">
      <alignment horizontal="center" vertical="top" wrapText="1"/>
      <protection hidden="1"/>
    </xf>
    <xf numFmtId="0" fontId="70" fillId="0" borderId="0" xfId="0" applyFont="1" applyAlignment="1" applyProtection="1">
      <alignment horizontal="center" vertical="top" wrapText="1"/>
      <protection hidden="1"/>
    </xf>
    <xf numFmtId="2" fontId="70" fillId="0" borderId="0" xfId="0" applyNumberFormat="1" applyFont="1" applyBorder="1" applyAlignment="1" applyProtection="1">
      <alignment vertical="top" wrapText="1"/>
      <protection hidden="1"/>
    </xf>
    <xf numFmtId="0" fontId="30" fillId="0" borderId="69" xfId="0" applyFont="1" applyFill="1" applyBorder="1" applyAlignment="1">
      <alignment vertical="top" wrapText="1"/>
    </xf>
    <xf numFmtId="2" fontId="70" fillId="0" borderId="0" xfId="0" applyNumberFormat="1" applyFont="1" applyFill="1" applyBorder="1" applyAlignment="1" applyProtection="1">
      <alignment vertical="top" wrapText="1"/>
      <protection hidden="1"/>
    </xf>
    <xf numFmtId="0" fontId="73" fillId="0" borderId="0" xfId="0" applyFont="1" applyFill="1" applyBorder="1" applyAlignment="1" applyProtection="1">
      <alignment vertical="top" wrapText="1"/>
      <protection hidden="1"/>
    </xf>
    <xf numFmtId="0" fontId="69" fillId="0" borderId="0" xfId="0" applyFont="1" applyFill="1" applyBorder="1" applyAlignment="1" applyProtection="1">
      <alignment vertical="top" wrapText="1"/>
      <protection hidden="1"/>
    </xf>
    <xf numFmtId="1" fontId="30" fillId="0" borderId="61" xfId="0" applyNumberFormat="1" applyFont="1" applyFill="1" applyBorder="1" applyAlignment="1" applyProtection="1">
      <alignment vertical="top" wrapText="1"/>
    </xf>
    <xf numFmtId="1" fontId="30" fillId="0" borderId="10" xfId="0" applyNumberFormat="1" applyFont="1" applyFill="1" applyBorder="1" applyAlignment="1" applyProtection="1">
      <alignment vertical="top" wrapText="1"/>
    </xf>
    <xf numFmtId="1" fontId="30" fillId="0" borderId="0" xfId="0" applyNumberFormat="1" applyFont="1" applyAlignment="1">
      <alignment vertical="top" wrapText="1"/>
    </xf>
    <xf numFmtId="1" fontId="7" fillId="0" borderId="0" xfId="0" applyNumberFormat="1" applyFont="1" applyAlignment="1">
      <alignment vertical="top" wrapText="1"/>
    </xf>
    <xf numFmtId="1" fontId="7" fillId="0" borderId="61" xfId="0" applyNumberFormat="1" applyFont="1" applyBorder="1" applyAlignment="1">
      <alignment vertical="top" wrapText="1"/>
    </xf>
    <xf numFmtId="1" fontId="70" fillId="0" borderId="0" xfId="0" applyNumberFormat="1" applyFont="1" applyAlignment="1" applyProtection="1">
      <alignment vertical="top" wrapText="1"/>
      <protection hidden="1"/>
    </xf>
    <xf numFmtId="0" fontId="72" fillId="0" borderId="0" xfId="0" applyFont="1" applyAlignment="1" applyProtection="1">
      <alignment vertical="top" wrapText="1"/>
      <protection hidden="1"/>
    </xf>
    <xf numFmtId="0" fontId="72" fillId="0" borderId="0" xfId="0" applyFont="1" applyFill="1" applyBorder="1" applyAlignment="1" applyProtection="1">
      <alignment horizontal="left" vertical="top"/>
      <protection hidden="1"/>
    </xf>
    <xf numFmtId="1" fontId="72" fillId="0" borderId="0" xfId="0" applyNumberFormat="1" applyFont="1" applyFill="1" applyBorder="1" applyAlignment="1" applyProtection="1">
      <alignment horizontal="center" vertical="top"/>
      <protection hidden="1"/>
    </xf>
    <xf numFmtId="0" fontId="72" fillId="0" borderId="0" xfId="0" applyFont="1" applyFill="1" applyBorder="1" applyAlignment="1" applyProtection="1">
      <alignment vertical="top"/>
      <protection hidden="1"/>
    </xf>
    <xf numFmtId="1" fontId="72" fillId="0" borderId="0" xfId="0" applyNumberFormat="1" applyFont="1" applyFill="1" applyBorder="1" applyAlignment="1" applyProtection="1">
      <alignment horizontal="center" vertical="top" wrapText="1"/>
      <protection hidden="1"/>
    </xf>
    <xf numFmtId="1" fontId="70" fillId="0" borderId="0" xfId="0" applyNumberFormat="1" applyFont="1" applyFill="1" applyBorder="1" applyAlignment="1" applyProtection="1">
      <alignment vertical="top" wrapText="1"/>
      <protection hidden="1"/>
    </xf>
    <xf numFmtId="1" fontId="7" fillId="0" borderId="10" xfId="0" applyNumberFormat="1" applyFont="1" applyBorder="1" applyAlignment="1">
      <alignment vertical="top" wrapText="1"/>
    </xf>
    <xf numFmtId="0" fontId="28" fillId="0" borderId="61" xfId="0" applyFont="1" applyBorder="1" applyAlignment="1">
      <alignment vertical="top" wrapText="1"/>
    </xf>
    <xf numFmtId="0" fontId="72" fillId="0" borderId="0" xfId="0" applyFont="1" applyFill="1" applyBorder="1" applyAlignment="1" applyProtection="1">
      <alignment horizontal="right" wrapText="1"/>
      <protection hidden="1"/>
    </xf>
    <xf numFmtId="1" fontId="70" fillId="0" borderId="0" xfId="0" applyNumberFormat="1" applyFont="1" applyFill="1" applyBorder="1" applyAlignment="1" applyProtection="1">
      <alignment horizontal="center" vertical="top" wrapText="1"/>
      <protection hidden="1"/>
    </xf>
    <xf numFmtId="1" fontId="7" fillId="0" borderId="10" xfId="0" applyNumberFormat="1" applyFont="1" applyFill="1" applyBorder="1" applyAlignment="1">
      <alignment vertical="top"/>
    </xf>
    <xf numFmtId="1" fontId="7" fillId="0" borderId="61" xfId="0" applyNumberFormat="1" applyFont="1" applyBorder="1" applyAlignment="1">
      <alignment vertical="top"/>
    </xf>
    <xf numFmtId="1" fontId="7" fillId="0" borderId="10" xfId="0" applyNumberFormat="1" applyFont="1" applyBorder="1" applyAlignment="1">
      <alignment vertical="top"/>
    </xf>
    <xf numFmtId="0" fontId="7" fillId="0" borderId="61" xfId="0" applyFont="1" applyBorder="1" applyAlignment="1">
      <alignment vertical="top"/>
    </xf>
    <xf numFmtId="0" fontId="7" fillId="0" borderId="0" xfId="0" applyNumberFormat="1" applyFont="1" applyBorder="1" applyAlignment="1" applyProtection="1">
      <alignment vertical="center" wrapText="1"/>
      <protection hidden="1"/>
    </xf>
    <xf numFmtId="0" fontId="7" fillId="13" borderId="61" xfId="0" applyFont="1" applyFill="1" applyBorder="1" applyAlignment="1">
      <alignment vertical="top"/>
    </xf>
    <xf numFmtId="0" fontId="7" fillId="13" borderId="0" xfId="0" applyFont="1" applyFill="1" applyBorder="1" applyAlignment="1">
      <alignment vertical="top"/>
    </xf>
    <xf numFmtId="0" fontId="70" fillId="0" borderId="0" xfId="0" applyNumberFormat="1" applyFont="1" applyBorder="1" applyAlignment="1" applyProtection="1">
      <alignment vertical="center" wrapText="1"/>
      <protection hidden="1"/>
    </xf>
    <xf numFmtId="2" fontId="72" fillId="0" borderId="0" xfId="0" applyNumberFormat="1" applyFont="1" applyFill="1" applyBorder="1" applyAlignment="1" applyProtection="1">
      <alignment vertical="top"/>
      <protection hidden="1"/>
    </xf>
    <xf numFmtId="0" fontId="70" fillId="0" borderId="0" xfId="0" applyFont="1" applyAlignment="1" applyProtection="1">
      <alignment vertical="top"/>
      <protection hidden="1"/>
    </xf>
    <xf numFmtId="0" fontId="72" fillId="0" borderId="0" xfId="0" applyFont="1" applyFill="1" applyBorder="1" applyAlignment="1" applyProtection="1">
      <alignment horizontal="right"/>
      <protection hidden="1"/>
    </xf>
    <xf numFmtId="0" fontId="72" fillId="0" borderId="0" xfId="0" applyFont="1" applyFill="1" applyBorder="1" applyAlignment="1" applyProtection="1">
      <alignment horizontal="left"/>
      <protection hidden="1"/>
    </xf>
    <xf numFmtId="2" fontId="72" fillId="0" borderId="0" xfId="0" applyNumberFormat="1" applyFont="1" applyFill="1" applyBorder="1" applyAlignment="1" applyProtection="1">
      <alignment horizontal="center" vertical="top"/>
      <protection hidden="1"/>
    </xf>
    <xf numFmtId="2" fontId="70" fillId="0" borderId="0" xfId="0" applyNumberFormat="1" applyFont="1" applyFill="1" applyBorder="1" applyAlignment="1" applyProtection="1">
      <alignment horizontal="center" vertical="top"/>
      <protection hidden="1"/>
    </xf>
    <xf numFmtId="0" fontId="70" fillId="0" borderId="0" xfId="0" applyFont="1" applyBorder="1" applyAlignment="1" applyProtection="1">
      <alignment vertical="top"/>
      <protection hidden="1"/>
    </xf>
    <xf numFmtId="1" fontId="70" fillId="0" borderId="0" xfId="0" applyNumberFormat="1" applyFont="1" applyFill="1" applyBorder="1" applyAlignment="1" applyProtection="1">
      <alignment horizontal="center" vertical="top"/>
      <protection hidden="1"/>
    </xf>
    <xf numFmtId="0" fontId="70" fillId="0" borderId="0" xfId="0" applyFont="1" applyFill="1" applyBorder="1" applyAlignment="1" applyProtection="1">
      <alignment horizontal="left" vertical="top" wrapText="1"/>
      <protection hidden="1"/>
    </xf>
    <xf numFmtId="1" fontId="70" fillId="0" borderId="0" xfId="0" applyNumberFormat="1" applyFont="1" applyBorder="1" applyAlignment="1" applyProtection="1">
      <alignment horizontal="center" vertical="top" wrapText="1"/>
      <protection hidden="1"/>
    </xf>
    <xf numFmtId="0" fontId="69" fillId="0" borderId="0" xfId="0" applyFont="1" applyFill="1" applyBorder="1" applyAlignment="1" applyProtection="1">
      <alignment wrapText="1"/>
      <protection hidden="1"/>
    </xf>
    <xf numFmtId="0" fontId="72" fillId="0" borderId="0" xfId="0" applyFont="1" applyFill="1" applyBorder="1" applyAlignment="1" applyProtection="1">
      <alignment horizontal="left" wrapText="1"/>
      <protection hidden="1"/>
    </xf>
    <xf numFmtId="0" fontId="69" fillId="0" borderId="0" xfId="0" applyFont="1" applyFill="1" applyBorder="1" applyAlignment="1" applyProtection="1">
      <alignment horizontal="right" wrapText="1"/>
      <protection hidden="1"/>
    </xf>
    <xf numFmtId="1" fontId="7" fillId="0" borderId="61" xfId="0" applyNumberFormat="1" applyFont="1" applyFill="1" applyBorder="1" applyAlignment="1">
      <alignment vertical="top"/>
    </xf>
    <xf numFmtId="2" fontId="7" fillId="0" borderId="61" xfId="0" applyNumberFormat="1" applyFont="1" applyFill="1" applyBorder="1" applyAlignment="1" applyProtection="1">
      <alignment vertical="top" wrapText="1"/>
    </xf>
    <xf numFmtId="2" fontId="7" fillId="0" borderId="10" xfId="0" applyNumberFormat="1" applyFont="1" applyFill="1" applyBorder="1" applyAlignment="1" applyProtection="1">
      <alignment vertical="top" wrapText="1"/>
    </xf>
    <xf numFmtId="0" fontId="69" fillId="0" borderId="0" xfId="0" applyFont="1" applyFill="1" applyBorder="1" applyAlignment="1" applyProtection="1">
      <protection hidden="1"/>
    </xf>
    <xf numFmtId="0" fontId="69" fillId="0" borderId="0" xfId="0" applyFont="1" applyFill="1" applyBorder="1" applyAlignment="1" applyProtection="1">
      <alignment horizontal="right"/>
      <protection hidden="1"/>
    </xf>
    <xf numFmtId="0" fontId="72" fillId="0" borderId="0" xfId="0" applyFont="1" applyFill="1" applyBorder="1" applyAlignment="1" applyProtection="1">
      <protection hidden="1"/>
    </xf>
    <xf numFmtId="0" fontId="72" fillId="0" borderId="0" xfId="0" applyNumberFormat="1" applyFont="1" applyFill="1" applyBorder="1" applyAlignment="1" applyProtection="1">
      <alignment vertical="top" wrapText="1"/>
      <protection hidden="1"/>
    </xf>
    <xf numFmtId="0" fontId="12" fillId="8" borderId="26" xfId="1" applyFont="1" applyFill="1" applyBorder="1" applyAlignment="1" applyProtection="1">
      <alignment vertical="center"/>
      <protection locked="0"/>
    </xf>
    <xf numFmtId="49" fontId="12" fillId="8" borderId="26" xfId="1" applyNumberFormat="1" applyFont="1" applyFill="1" applyBorder="1" applyAlignment="1" applyProtection="1">
      <alignment vertical="center"/>
      <protection locked="0"/>
    </xf>
    <xf numFmtId="1" fontId="12" fillId="8" borderId="26" xfId="1" applyNumberFormat="1" applyFont="1" applyFill="1" applyBorder="1" applyAlignment="1" applyProtection="1">
      <alignment vertical="center"/>
      <protection locked="0"/>
    </xf>
    <xf numFmtId="2" fontId="12" fillId="8" borderId="41" xfId="1" applyNumberFormat="1" applyFont="1" applyFill="1" applyBorder="1" applyAlignment="1" applyProtection="1">
      <alignment vertical="center"/>
      <protection locked="0"/>
    </xf>
    <xf numFmtId="2" fontId="12" fillId="8" borderId="26" xfId="1" applyNumberFormat="1" applyFont="1" applyFill="1" applyBorder="1" applyAlignment="1" applyProtection="1">
      <alignment vertical="center"/>
      <protection locked="0"/>
    </xf>
    <xf numFmtId="1" fontId="56" fillId="31" borderId="4" xfId="0" applyNumberFormat="1" applyFont="1" applyFill="1" applyBorder="1" applyAlignment="1">
      <alignment horizontal="center" vertical="center" wrapText="1"/>
    </xf>
    <xf numFmtId="1" fontId="49" fillId="31" borderId="4" xfId="0" applyNumberFormat="1" applyFont="1" applyFill="1" applyBorder="1" applyAlignment="1">
      <alignment horizontal="center" vertical="center"/>
    </xf>
    <xf numFmtId="1" fontId="56" fillId="31" borderId="42" xfId="0" applyNumberFormat="1" applyFont="1" applyFill="1" applyBorder="1" applyAlignment="1">
      <alignment horizontal="center" vertical="center"/>
    </xf>
    <xf numFmtId="0" fontId="8" fillId="31" borderId="4" xfId="0" applyFont="1" applyFill="1" applyBorder="1" applyAlignment="1">
      <alignment horizontal="center" vertical="center" wrapText="1"/>
    </xf>
    <xf numFmtId="0" fontId="56" fillId="31" borderId="4" xfId="0" applyFont="1" applyFill="1" applyBorder="1" applyAlignment="1">
      <alignment horizontal="center" vertical="center" wrapText="1"/>
    </xf>
    <xf numFmtId="0" fontId="8" fillId="31" borderId="48" xfId="0" applyFont="1" applyFill="1" applyBorder="1" applyAlignment="1">
      <alignment horizontal="center" vertical="center" wrapText="1"/>
    </xf>
    <xf numFmtId="1" fontId="8" fillId="31" borderId="48" xfId="0" applyNumberFormat="1" applyFont="1" applyFill="1" applyBorder="1" applyAlignment="1" applyProtection="1">
      <alignment horizontal="center" vertical="center" wrapText="1"/>
      <protection hidden="1"/>
    </xf>
    <xf numFmtId="0" fontId="8" fillId="31" borderId="4" xfId="0" applyFont="1" applyFill="1" applyBorder="1" applyAlignment="1" applyProtection="1">
      <alignment horizontal="center" vertical="center" wrapText="1"/>
      <protection hidden="1"/>
    </xf>
    <xf numFmtId="2" fontId="8" fillId="31" borderId="48" xfId="0" applyNumberFormat="1" applyFont="1" applyFill="1" applyBorder="1" applyAlignment="1" applyProtection="1">
      <alignment horizontal="center" vertical="center" wrapText="1"/>
    </xf>
    <xf numFmtId="0" fontId="56" fillId="31" borderId="4" xfId="0" applyFont="1" applyFill="1" applyBorder="1" applyAlignment="1">
      <alignment horizontal="center" vertical="top" wrapText="1"/>
    </xf>
    <xf numFmtId="0" fontId="41" fillId="10" borderId="30" xfId="0" applyFont="1" applyFill="1" applyBorder="1" applyAlignment="1">
      <alignment horizontal="center" vertical="center" wrapText="1"/>
    </xf>
    <xf numFmtId="0" fontId="8" fillId="10" borderId="4" xfId="0" applyFont="1" applyFill="1" applyBorder="1" applyAlignment="1">
      <alignment horizontal="center" vertical="center" wrapText="1"/>
    </xf>
    <xf numFmtId="49" fontId="41" fillId="10" borderId="42" xfId="0" applyNumberFormat="1" applyFont="1" applyFill="1" applyBorder="1" applyAlignment="1">
      <alignment horizontal="center" vertical="center" wrapText="1"/>
    </xf>
    <xf numFmtId="0" fontId="41" fillId="10" borderId="48" xfId="0" applyFont="1" applyFill="1" applyBorder="1" applyAlignment="1">
      <alignment horizontal="center" vertical="center" wrapText="1"/>
    </xf>
    <xf numFmtId="1" fontId="41" fillId="10" borderId="4" xfId="0" applyNumberFormat="1" applyFont="1" applyFill="1" applyBorder="1" applyAlignment="1" applyProtection="1">
      <alignment horizontal="center" vertical="center" wrapText="1"/>
      <protection hidden="1"/>
    </xf>
    <xf numFmtId="0" fontId="41" fillId="10" borderId="48" xfId="0" applyFont="1" applyFill="1" applyBorder="1" applyAlignment="1" applyProtection="1">
      <alignment horizontal="center" vertical="center" wrapText="1"/>
      <protection hidden="1"/>
    </xf>
    <xf numFmtId="2" fontId="41" fillId="10" borderId="30" xfId="0" applyNumberFormat="1" applyFont="1" applyFill="1" applyBorder="1" applyAlignment="1" applyProtection="1">
      <alignment horizontal="center" vertical="center" wrapText="1"/>
    </xf>
    <xf numFmtId="0" fontId="52" fillId="10" borderId="4" xfId="0" applyFont="1" applyFill="1" applyBorder="1" applyAlignment="1">
      <alignment horizontal="center" vertical="center" wrapText="1"/>
    </xf>
    <xf numFmtId="0" fontId="7" fillId="0" borderId="26" xfId="0" applyFont="1" applyFill="1" applyBorder="1" applyAlignment="1">
      <alignment horizontal="left" vertical="top" wrapText="1"/>
    </xf>
    <xf numFmtId="0" fontId="49" fillId="0" borderId="21" xfId="0" applyFont="1" applyFill="1" applyBorder="1" applyAlignment="1">
      <alignment vertical="top" wrapText="1"/>
    </xf>
    <xf numFmtId="0" fontId="8" fillId="10" borderId="30" xfId="0" applyFont="1" applyFill="1" applyBorder="1" applyAlignment="1">
      <alignment horizontal="center" vertical="center" wrapText="1"/>
    </xf>
    <xf numFmtId="49" fontId="8" fillId="10" borderId="42" xfId="0" applyNumberFormat="1" applyFont="1" applyFill="1" applyBorder="1" applyAlignment="1">
      <alignment horizontal="center" vertical="center" wrapText="1"/>
    </xf>
    <xf numFmtId="0" fontId="8" fillId="10" borderId="48" xfId="0" applyFont="1" applyFill="1" applyBorder="1" applyAlignment="1">
      <alignment horizontal="center" vertical="center" wrapText="1"/>
    </xf>
    <xf numFmtId="1" fontId="8" fillId="10" borderId="4" xfId="0" applyNumberFormat="1" applyFont="1" applyFill="1" applyBorder="1" applyAlignment="1" applyProtection="1">
      <alignment horizontal="center" vertical="center" wrapText="1"/>
      <protection hidden="1"/>
    </xf>
    <xf numFmtId="0" fontId="8" fillId="10" borderId="48" xfId="0" applyFont="1" applyFill="1" applyBorder="1" applyAlignment="1" applyProtection="1">
      <alignment horizontal="center" vertical="center" wrapText="1"/>
      <protection hidden="1"/>
    </xf>
    <xf numFmtId="2" fontId="8" fillId="10" borderId="30" xfId="0" applyNumberFormat="1" applyFont="1" applyFill="1" applyBorder="1" applyAlignment="1" applyProtection="1">
      <alignment horizontal="center" vertical="center" wrapText="1"/>
    </xf>
    <xf numFmtId="0" fontId="56" fillId="10" borderId="4" xfId="0" applyFont="1" applyFill="1" applyBorder="1" applyAlignment="1">
      <alignment horizontal="center" vertical="center" wrapText="1"/>
    </xf>
    <xf numFmtId="0" fontId="56" fillId="10" borderId="42" xfId="0" applyFont="1" applyFill="1" applyBorder="1" applyAlignment="1">
      <alignment horizontal="center" vertical="center" wrapText="1"/>
    </xf>
    <xf numFmtId="2" fontId="30" fillId="10" borderId="30" xfId="0" applyNumberFormat="1" applyFont="1" applyFill="1" applyBorder="1" applyAlignment="1">
      <alignment horizontal="center" vertical="top" wrapText="1"/>
    </xf>
    <xf numFmtId="2" fontId="30" fillId="10" borderId="4" xfId="0" applyNumberFormat="1" applyFont="1" applyFill="1" applyBorder="1" applyAlignment="1">
      <alignment horizontal="center" vertical="top" wrapText="1"/>
    </xf>
    <xf numFmtId="2" fontId="30" fillId="32" borderId="63" xfId="0" applyNumberFormat="1" applyFont="1" applyFill="1" applyBorder="1" applyAlignment="1">
      <alignment horizontal="center" vertical="top" wrapText="1"/>
    </xf>
    <xf numFmtId="2" fontId="7" fillId="32" borderId="4" xfId="0" applyNumberFormat="1" applyFont="1" applyFill="1" applyBorder="1" applyAlignment="1">
      <alignment horizontal="center" vertical="top" wrapText="1"/>
    </xf>
    <xf numFmtId="2" fontId="30" fillId="32" borderId="4" xfId="0" applyNumberFormat="1" applyFont="1" applyFill="1" applyBorder="1" applyAlignment="1">
      <alignment horizontal="center" vertical="top" wrapText="1"/>
    </xf>
    <xf numFmtId="0" fontId="10" fillId="10" borderId="4" xfId="0" applyFont="1" applyFill="1" applyBorder="1" applyAlignment="1">
      <alignment horizontal="left" vertical="top" wrapText="1"/>
    </xf>
    <xf numFmtId="1" fontId="30" fillId="2" borderId="117" xfId="0" applyNumberFormat="1" applyFont="1" applyFill="1" applyBorder="1" applyAlignment="1">
      <alignment horizontal="center" vertical="top" wrapText="1"/>
    </xf>
    <xf numFmtId="0" fontId="30" fillId="0" borderId="117" xfId="0" applyFont="1" applyFill="1" applyBorder="1" applyAlignment="1">
      <alignment horizontal="left" vertical="top" wrapText="1"/>
    </xf>
    <xf numFmtId="0" fontId="30" fillId="0" borderId="96" xfId="0" applyFont="1" applyFill="1" applyBorder="1" applyAlignment="1">
      <alignment horizontal="left" vertical="top" wrapText="1"/>
    </xf>
    <xf numFmtId="0" fontId="30" fillId="0" borderId="48" xfId="0" applyFont="1" applyBorder="1" applyAlignment="1">
      <alignment horizontal="left" vertical="top" wrapText="1"/>
    </xf>
    <xf numFmtId="0" fontId="30" fillId="0" borderId="114" xfId="0" applyFont="1" applyBorder="1" applyAlignment="1">
      <alignment horizontal="center" vertical="top" wrapText="1"/>
    </xf>
    <xf numFmtId="0" fontId="10" fillId="10" borderId="96" xfId="0" applyFont="1" applyFill="1" applyBorder="1" applyAlignment="1">
      <alignment horizontal="left" vertical="top" wrapText="1"/>
    </xf>
    <xf numFmtId="0" fontId="8" fillId="31" borderId="96" xfId="0" applyFont="1" applyFill="1" applyBorder="1" applyAlignment="1">
      <alignment horizontal="center" vertical="center" wrapText="1"/>
    </xf>
    <xf numFmtId="2" fontId="30" fillId="4" borderId="96" xfId="0" applyNumberFormat="1" applyFont="1" applyFill="1" applyBorder="1" applyAlignment="1">
      <alignment horizontal="center" vertical="top" wrapText="1"/>
    </xf>
    <xf numFmtId="1" fontId="7" fillId="2" borderId="106" xfId="0" applyNumberFormat="1" applyFont="1" applyFill="1" applyBorder="1" applyAlignment="1">
      <alignment horizontal="center" vertical="top" wrapText="1"/>
    </xf>
    <xf numFmtId="0" fontId="7" fillId="0" borderId="117" xfId="0" applyFont="1" applyFill="1" applyBorder="1" applyAlignment="1">
      <alignment vertical="top" wrapText="1"/>
    </xf>
    <xf numFmtId="0" fontId="7" fillId="0" borderId="96" xfId="0" applyFont="1" applyFill="1" applyBorder="1" applyAlignment="1">
      <alignment vertical="top" wrapText="1"/>
    </xf>
    <xf numFmtId="0" fontId="56" fillId="31" borderId="41" xfId="0" applyFont="1" applyFill="1" applyBorder="1" applyAlignment="1">
      <alignment horizontal="center" vertical="center" wrapText="1"/>
    </xf>
    <xf numFmtId="1" fontId="39" fillId="0" borderId="96" xfId="0" applyNumberFormat="1" applyFont="1" applyBorder="1" applyAlignment="1">
      <alignment horizontal="center" vertical="top" wrapText="1"/>
    </xf>
    <xf numFmtId="0" fontId="70" fillId="0" borderId="0" xfId="0" applyFont="1" applyFill="1" applyAlignment="1" applyProtection="1">
      <alignment vertical="top" wrapText="1"/>
      <protection hidden="1"/>
    </xf>
    <xf numFmtId="0" fontId="10" fillId="10" borderId="4" xfId="0" applyFont="1" applyFill="1" applyBorder="1" applyAlignment="1">
      <alignment horizontal="center" vertical="center" wrapText="1"/>
    </xf>
    <xf numFmtId="0" fontId="56" fillId="31" borderId="4" xfId="0" applyFont="1" applyFill="1" applyBorder="1" applyAlignment="1">
      <alignment horizontal="left" vertical="top" wrapText="1"/>
    </xf>
    <xf numFmtId="1" fontId="72" fillId="0" borderId="0" xfId="0" applyNumberFormat="1" applyFont="1" applyBorder="1" applyAlignment="1" applyProtection="1">
      <alignment horizontal="center" vertical="top" wrapText="1"/>
      <protection hidden="1"/>
    </xf>
    <xf numFmtId="1" fontId="7" fillId="0" borderId="13" xfId="0" applyNumberFormat="1" applyFont="1" applyFill="1" applyBorder="1" applyAlignment="1" applyProtection="1">
      <alignment horizontal="left" vertical="top" wrapText="1"/>
      <protection hidden="1"/>
    </xf>
    <xf numFmtId="1" fontId="7" fillId="0" borderId="26" xfId="0" applyNumberFormat="1" applyFont="1" applyFill="1" applyBorder="1" applyAlignment="1" applyProtection="1">
      <alignment vertical="top" wrapText="1"/>
      <protection hidden="1"/>
    </xf>
    <xf numFmtId="1" fontId="7" fillId="0" borderId="6" xfId="0" applyNumberFormat="1" applyFont="1" applyFill="1" applyBorder="1" applyAlignment="1" applyProtection="1">
      <alignment horizontal="center" vertical="top" wrapText="1"/>
      <protection hidden="1"/>
    </xf>
    <xf numFmtId="0" fontId="7" fillId="0" borderId="6" xfId="0" applyFont="1" applyFill="1" applyBorder="1" applyAlignment="1" applyProtection="1">
      <alignment horizontal="center" vertical="top" wrapText="1"/>
      <protection hidden="1"/>
    </xf>
    <xf numFmtId="2" fontId="7" fillId="0" borderId="13" xfId="0" applyNumberFormat="1" applyFont="1" applyFill="1" applyBorder="1" applyAlignment="1">
      <alignment horizontal="center" vertical="top"/>
    </xf>
    <xf numFmtId="1" fontId="27" fillId="2" borderId="106" xfId="0" applyNumberFormat="1" applyFont="1" applyFill="1" applyBorder="1" applyAlignment="1">
      <alignment horizontal="center" vertical="top" wrapText="1"/>
    </xf>
    <xf numFmtId="0" fontId="27" fillId="0" borderId="117" xfId="0" applyFont="1" applyFill="1" applyBorder="1" applyAlignment="1">
      <alignment horizontal="left" vertical="top" wrapText="1"/>
    </xf>
    <xf numFmtId="0" fontId="27" fillId="0" borderId="96" xfId="0" applyFont="1" applyFill="1" applyBorder="1" applyAlignment="1">
      <alignment horizontal="left" vertical="top" wrapText="1"/>
    </xf>
    <xf numFmtId="1" fontId="29" fillId="2" borderId="106" xfId="0" applyNumberFormat="1" applyFont="1" applyFill="1" applyBorder="1" applyAlignment="1">
      <alignment horizontal="center" vertical="top" wrapText="1"/>
    </xf>
    <xf numFmtId="1" fontId="29" fillId="0" borderId="117" xfId="0" applyNumberFormat="1" applyFont="1" applyFill="1" applyBorder="1" applyAlignment="1">
      <alignment horizontal="left" vertical="top" wrapText="1"/>
    </xf>
    <xf numFmtId="1" fontId="29" fillId="0" borderId="96" xfId="0" applyNumberFormat="1" applyFont="1" applyFill="1" applyBorder="1" applyAlignment="1">
      <alignment horizontal="left" vertical="top" wrapText="1"/>
    </xf>
    <xf numFmtId="0" fontId="70" fillId="0" borderId="0" xfId="0" applyNumberFormat="1" applyFont="1" applyFill="1" applyAlignment="1" applyProtection="1">
      <alignment vertical="top" wrapText="1"/>
      <protection hidden="1"/>
    </xf>
    <xf numFmtId="0" fontId="70" fillId="0" borderId="0" xfId="0" applyFont="1" applyBorder="1" applyAlignment="1" applyProtection="1">
      <alignment horizontal="right" vertical="top" wrapText="1"/>
      <protection hidden="1"/>
    </xf>
    <xf numFmtId="0" fontId="73" fillId="0" borderId="0" xfId="0" applyFont="1" applyBorder="1" applyAlignment="1" applyProtection="1">
      <alignment horizontal="right" vertical="top"/>
      <protection hidden="1"/>
    </xf>
    <xf numFmtId="0" fontId="70" fillId="0" borderId="0" xfId="0" applyFont="1" applyAlignment="1" applyProtection="1">
      <alignment horizontal="left" vertical="top" wrapText="1"/>
      <protection hidden="1"/>
    </xf>
    <xf numFmtId="2" fontId="7" fillId="10" borderId="31" xfId="0" applyNumberFormat="1" applyFont="1" applyFill="1" applyBorder="1" applyAlignment="1">
      <alignment horizontal="center" vertical="top" wrapText="1"/>
    </xf>
    <xf numFmtId="2" fontId="7" fillId="10" borderId="59" xfId="0" applyNumberFormat="1" applyFont="1" applyFill="1" applyBorder="1" applyAlignment="1">
      <alignment horizontal="center" vertical="top" wrapText="1"/>
    </xf>
    <xf numFmtId="1" fontId="49" fillId="4" borderId="38" xfId="0" applyNumberFormat="1" applyFont="1" applyFill="1" applyBorder="1" applyAlignment="1">
      <alignment horizontal="center" vertical="center"/>
    </xf>
    <xf numFmtId="1" fontId="49" fillId="24" borderId="42" xfId="0" applyNumberFormat="1" applyFont="1" applyFill="1" applyBorder="1" applyAlignment="1">
      <alignment horizontal="center" vertical="center"/>
    </xf>
    <xf numFmtId="2" fontId="49" fillId="25" borderId="52" xfId="0" applyNumberFormat="1" applyFont="1" applyFill="1" applyBorder="1" applyAlignment="1">
      <alignment horizontal="right" vertical="top"/>
    </xf>
    <xf numFmtId="2" fontId="49" fillId="25" borderId="38" xfId="0" applyNumberFormat="1" applyFont="1" applyFill="1" applyBorder="1" applyAlignment="1">
      <alignment horizontal="right" vertical="top"/>
    </xf>
    <xf numFmtId="2" fontId="49" fillId="25" borderId="65" xfId="0" applyNumberFormat="1" applyFont="1" applyFill="1" applyBorder="1" applyAlignment="1">
      <alignment horizontal="right" vertical="top"/>
    </xf>
    <xf numFmtId="2" fontId="49" fillId="26" borderId="66" xfId="0" applyNumberFormat="1" applyFont="1" applyFill="1" applyBorder="1" applyAlignment="1">
      <alignment horizontal="right"/>
    </xf>
    <xf numFmtId="2" fontId="49" fillId="26" borderId="63" xfId="0" applyNumberFormat="1" applyFont="1" applyFill="1" applyBorder="1" applyAlignment="1">
      <alignment horizontal="right"/>
    </xf>
    <xf numFmtId="2" fontId="49" fillId="26" borderId="58" xfId="0" applyNumberFormat="1" applyFont="1" applyFill="1" applyBorder="1" applyAlignment="1">
      <alignment horizontal="right" vertical="top"/>
    </xf>
    <xf numFmtId="2" fontId="49" fillId="26" borderId="63" xfId="0" applyNumberFormat="1" applyFont="1" applyFill="1" applyBorder="1" applyAlignment="1">
      <alignment horizontal="right" vertical="top"/>
    </xf>
    <xf numFmtId="2" fontId="49" fillId="25" borderId="113" xfId="0" applyNumberFormat="1" applyFont="1" applyFill="1" applyBorder="1" applyAlignment="1">
      <alignment horizontal="right" vertical="top"/>
    </xf>
    <xf numFmtId="2" fontId="49" fillId="26" borderId="115" xfId="0" applyNumberFormat="1" applyFont="1" applyFill="1" applyBorder="1" applyAlignment="1">
      <alignment horizontal="right" vertical="top"/>
    </xf>
    <xf numFmtId="0" fontId="7" fillId="0" borderId="30" xfId="0" applyFont="1" applyBorder="1" applyAlignment="1">
      <alignment horizontal="left" vertical="top"/>
    </xf>
    <xf numFmtId="0" fontId="7" fillId="0" borderId="96" xfId="0" applyFont="1" applyFill="1" applyBorder="1">
      <alignment vertical="top"/>
    </xf>
    <xf numFmtId="1" fontId="7" fillId="0" borderId="48" xfId="0" applyNumberFormat="1" applyFont="1" applyFill="1" applyBorder="1" applyAlignment="1" applyProtection="1">
      <alignment horizontal="center" vertical="top"/>
      <protection locked="0"/>
    </xf>
    <xf numFmtId="0" fontId="10" fillId="10" borderId="59" xfId="0" applyFont="1" applyFill="1" applyBorder="1" applyAlignment="1" applyProtection="1">
      <alignment horizontal="center" vertical="center" wrapText="1"/>
    </xf>
    <xf numFmtId="0" fontId="10" fillId="10" borderId="2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wrapText="1"/>
    </xf>
    <xf numFmtId="0" fontId="7" fillId="0" borderId="108" xfId="0" applyFont="1" applyFill="1" applyBorder="1" applyAlignment="1" applyProtection="1">
      <alignment horizontal="left" vertical="top" wrapText="1"/>
    </xf>
    <xf numFmtId="0" fontId="7" fillId="0" borderId="97" xfId="0" applyFont="1" applyFill="1" applyBorder="1" applyAlignment="1" applyProtection="1">
      <alignment horizontal="left" vertical="top" wrapText="1"/>
    </xf>
    <xf numFmtId="0" fontId="7" fillId="0" borderId="98" xfId="0" applyFont="1" applyFill="1" applyBorder="1" applyAlignment="1" applyProtection="1">
      <alignment horizontal="left" vertical="top" wrapText="1"/>
    </xf>
    <xf numFmtId="0" fontId="7" fillId="0" borderId="0" xfId="0" applyFont="1" applyBorder="1" applyAlignment="1" applyProtection="1">
      <alignment vertical="top" wrapText="1"/>
    </xf>
    <xf numFmtId="0" fontId="7" fillId="0" borderId="10" xfId="0" applyFont="1" applyBorder="1" applyAlignment="1" applyProtection="1">
      <alignment vertical="top" wrapText="1"/>
    </xf>
    <xf numFmtId="0" fontId="7" fillId="0" borderId="30" xfId="0" applyFont="1" applyFill="1" applyBorder="1" applyAlignment="1" applyProtection="1">
      <alignment horizontal="left" vertical="top" wrapText="1"/>
    </xf>
    <xf numFmtId="0" fontId="7" fillId="0" borderId="48" xfId="0" applyFont="1" applyBorder="1" applyAlignment="1" applyProtection="1">
      <alignment vertical="top" wrapText="1"/>
    </xf>
    <xf numFmtId="1" fontId="7" fillId="0" borderId="30" xfId="0" applyNumberFormat="1" applyFont="1" applyFill="1" applyBorder="1" applyAlignment="1" applyProtection="1">
      <alignment horizontal="left" vertical="top" wrapText="1"/>
    </xf>
    <xf numFmtId="0" fontId="7" fillId="0" borderId="96" xfId="0" applyFont="1" applyBorder="1" applyAlignment="1" applyProtection="1">
      <alignment vertical="top" wrapText="1"/>
    </xf>
    <xf numFmtId="0" fontId="7" fillId="0" borderId="118" xfId="0" applyFont="1" applyFill="1" applyBorder="1" applyAlignment="1" applyProtection="1">
      <alignment horizontal="left" vertical="top" wrapText="1"/>
    </xf>
    <xf numFmtId="0" fontId="7" fillId="0" borderId="36" xfId="0" applyFont="1" applyFill="1" applyBorder="1" applyAlignment="1" applyProtection="1">
      <alignment horizontal="left" vertical="top" wrapText="1"/>
    </xf>
    <xf numFmtId="0" fontId="7" fillId="0" borderId="96" xfId="0" applyFont="1" applyFill="1" applyBorder="1" applyAlignment="1" applyProtection="1">
      <alignment horizontal="left" vertical="top" wrapText="1"/>
    </xf>
    <xf numFmtId="0" fontId="7" fillId="0" borderId="48" xfId="0" applyFont="1" applyFill="1" applyBorder="1" applyAlignment="1" applyProtection="1">
      <alignment horizontal="left" vertical="top" wrapText="1"/>
    </xf>
    <xf numFmtId="49" fontId="7" fillId="0" borderId="118" xfId="0" applyNumberFormat="1" applyFont="1" applyFill="1" applyBorder="1" applyAlignment="1" applyProtection="1">
      <alignment horizontal="left" vertical="top" wrapText="1"/>
    </xf>
    <xf numFmtId="0" fontId="7" fillId="0" borderId="36" xfId="0" applyFont="1" applyBorder="1" applyAlignment="1" applyProtection="1">
      <alignment vertical="top" wrapText="1"/>
    </xf>
    <xf numFmtId="0" fontId="7" fillId="0" borderId="0" xfId="0" applyFont="1" applyFill="1" applyBorder="1" applyAlignment="1" applyProtection="1">
      <alignment horizontal="left" vertical="top"/>
    </xf>
    <xf numFmtId="0" fontId="7" fillId="0" borderId="0" xfId="0" applyFont="1" applyFill="1" applyBorder="1" applyAlignment="1" applyProtection="1">
      <alignment horizontal="left" vertical="top" wrapText="1"/>
    </xf>
    <xf numFmtId="0" fontId="7" fillId="0" borderId="10" xfId="0" applyFont="1" applyFill="1" applyBorder="1" applyAlignment="1" applyProtection="1">
      <alignment horizontal="left" vertical="top" wrapText="1"/>
    </xf>
    <xf numFmtId="0" fontId="7" fillId="0" borderId="111" xfId="0" applyFont="1" applyFill="1" applyBorder="1" applyAlignment="1" applyProtection="1">
      <alignment horizontal="left" vertical="top" wrapText="1"/>
    </xf>
    <xf numFmtId="0" fontId="7" fillId="0" borderId="61" xfId="0" applyFont="1" applyFill="1" applyBorder="1" applyAlignment="1" applyProtection="1">
      <alignment horizontal="left" vertical="top" wrapText="1"/>
    </xf>
    <xf numFmtId="0" fontId="7" fillId="0" borderId="118" xfId="0" applyFont="1" applyBorder="1" applyAlignment="1" applyProtection="1">
      <alignment vertical="top" wrapText="1"/>
    </xf>
    <xf numFmtId="16" fontId="7" fillId="0" borderId="111" xfId="0" applyNumberFormat="1" applyFont="1" applyFill="1" applyBorder="1" applyAlignment="1" applyProtection="1">
      <alignment horizontal="left" vertical="top" wrapText="1"/>
    </xf>
    <xf numFmtId="17" fontId="7" fillId="0" borderId="111" xfId="0" applyNumberFormat="1" applyFont="1" applyFill="1" applyBorder="1" applyAlignment="1" applyProtection="1">
      <alignment horizontal="left" vertical="top" wrapText="1"/>
    </xf>
    <xf numFmtId="0" fontId="7" fillId="0" borderId="0" xfId="0" applyFont="1" applyBorder="1" applyAlignment="1" applyProtection="1">
      <alignment horizontal="left" vertical="top" wrapText="1"/>
    </xf>
    <xf numFmtId="0" fontId="7" fillId="0" borderId="30" xfId="0" applyFont="1" applyFill="1" applyBorder="1" applyAlignment="1" applyProtection="1">
      <alignment horizontal="left" vertical="top"/>
    </xf>
    <xf numFmtId="0" fontId="7" fillId="0" borderId="48" xfId="0" applyFont="1" applyBorder="1" applyAlignment="1" applyProtection="1">
      <alignment horizontal="left" vertical="top" wrapText="1"/>
    </xf>
    <xf numFmtId="0" fontId="7" fillId="0" borderId="61" xfId="0" applyFont="1" applyBorder="1" applyAlignment="1" applyProtection="1">
      <alignment vertical="top" wrapText="1"/>
    </xf>
    <xf numFmtId="0" fontId="7" fillId="0" borderId="111" xfId="0" applyFont="1" applyFill="1" applyBorder="1" applyAlignment="1" applyProtection="1">
      <alignment vertical="top" wrapText="1"/>
    </xf>
    <xf numFmtId="0" fontId="7" fillId="0" borderId="36" xfId="0" applyFont="1" applyFill="1" applyBorder="1" applyAlignment="1" applyProtection="1">
      <alignment vertical="top" wrapText="1"/>
    </xf>
    <xf numFmtId="1" fontId="7" fillId="0" borderId="40" xfId="0" applyNumberFormat="1" applyFont="1" applyFill="1" applyBorder="1" applyAlignment="1" applyProtection="1">
      <alignment horizontal="left" vertical="top" wrapText="1"/>
    </xf>
    <xf numFmtId="0" fontId="7" fillId="12" borderId="59" xfId="0" applyFont="1" applyFill="1" applyBorder="1" applyAlignment="1" applyProtection="1">
      <alignment vertical="top"/>
      <protection locked="0"/>
    </xf>
    <xf numFmtId="0" fontId="7" fillId="12" borderId="19" xfId="0" applyFont="1" applyFill="1" applyBorder="1" applyAlignment="1" applyProtection="1">
      <alignment vertical="top"/>
      <protection locked="0"/>
    </xf>
    <xf numFmtId="0" fontId="13" fillId="0" borderId="32" xfId="0" applyFont="1" applyBorder="1" applyAlignment="1" applyProtection="1">
      <alignment horizontal="left" vertical="top" wrapText="1"/>
      <protection locked="0"/>
    </xf>
    <xf numFmtId="0" fontId="7" fillId="0" borderId="0" xfId="0" applyFont="1" applyAlignment="1" applyProtection="1">
      <alignment horizontal="center" vertical="top" wrapText="1"/>
      <protection locked="0"/>
    </xf>
    <xf numFmtId="0" fontId="64" fillId="0" borderId="0" xfId="0" applyFont="1" applyFill="1" applyBorder="1" applyAlignment="1">
      <alignment horizontal="right" vertical="center"/>
    </xf>
    <xf numFmtId="2" fontId="6" fillId="0" borderId="0" xfId="0" applyNumberFormat="1" applyFont="1" applyFill="1" applyBorder="1" applyAlignment="1">
      <alignment horizontal="center"/>
    </xf>
    <xf numFmtId="2" fontId="76" fillId="0" borderId="0" xfId="0" applyNumberFormat="1" applyFont="1" applyFill="1" applyBorder="1" applyAlignment="1" applyProtection="1">
      <alignment horizontal="center" wrapText="1"/>
      <protection hidden="1"/>
    </xf>
    <xf numFmtId="2" fontId="76" fillId="0" borderId="0" xfId="0" applyNumberFormat="1" applyFont="1" applyFill="1" applyBorder="1" applyAlignment="1" applyProtection="1">
      <alignment horizontal="center" vertical="top"/>
      <protection hidden="1"/>
    </xf>
    <xf numFmtId="0" fontId="79" fillId="0" borderId="0" xfId="0" applyFont="1" applyFill="1" applyBorder="1" applyProtection="1">
      <alignment vertical="top"/>
      <protection hidden="1"/>
    </xf>
    <xf numFmtId="2" fontId="81" fillId="0" borderId="0" xfId="0" applyNumberFormat="1" applyFont="1" applyFill="1" applyBorder="1" applyAlignment="1" applyProtection="1">
      <alignment horizontal="center" wrapText="1"/>
      <protection hidden="1"/>
    </xf>
    <xf numFmtId="0" fontId="69" fillId="0" borderId="0" xfId="3" applyFont="1" applyFill="1" applyBorder="1" applyProtection="1">
      <protection hidden="1"/>
    </xf>
    <xf numFmtId="1" fontId="75" fillId="0" borderId="0" xfId="3" applyNumberFormat="1" applyFont="1" applyFill="1" applyBorder="1" applyProtection="1">
      <protection hidden="1"/>
    </xf>
    <xf numFmtId="0" fontId="82" fillId="0" borderId="0" xfId="3" applyFont="1" applyFill="1" applyBorder="1" applyProtection="1">
      <protection hidden="1"/>
    </xf>
    <xf numFmtId="2" fontId="69" fillId="0" borderId="0" xfId="3" applyNumberFormat="1" applyFont="1" applyFill="1" applyBorder="1" applyProtection="1">
      <protection hidden="1"/>
    </xf>
    <xf numFmtId="0" fontId="76" fillId="0" borderId="0" xfId="0" applyFont="1" applyFill="1" applyBorder="1" applyProtection="1">
      <alignment vertical="top"/>
      <protection hidden="1"/>
    </xf>
    <xf numFmtId="0" fontId="75" fillId="0" borderId="0" xfId="0" applyFont="1" applyFill="1" applyBorder="1" applyAlignment="1" applyProtection="1">
      <alignment wrapText="1"/>
      <protection hidden="1"/>
    </xf>
    <xf numFmtId="0" fontId="75" fillId="0" borderId="0" xfId="0" applyFont="1" applyFill="1" applyBorder="1" applyAlignment="1" applyProtection="1">
      <alignment horizontal="center"/>
      <protection hidden="1"/>
    </xf>
    <xf numFmtId="0" fontId="73" fillId="0" borderId="0" xfId="0" applyFont="1" applyFill="1" applyBorder="1" applyAlignment="1" applyProtection="1">
      <protection hidden="1"/>
    </xf>
    <xf numFmtId="0" fontId="83" fillId="0" borderId="0" xfId="0" applyFont="1" applyFill="1" applyBorder="1" applyAlignment="1" applyProtection="1">
      <protection hidden="1"/>
    </xf>
    <xf numFmtId="2" fontId="76" fillId="0" borderId="0" xfId="0" applyNumberFormat="1" applyFont="1" applyFill="1" applyBorder="1" applyAlignment="1" applyProtection="1">
      <alignment horizontal="center"/>
      <protection hidden="1"/>
    </xf>
    <xf numFmtId="2" fontId="79" fillId="0" borderId="0" xfId="0" applyNumberFormat="1" applyFont="1" applyFill="1" applyBorder="1" applyProtection="1">
      <alignment vertical="top"/>
      <protection hidden="1"/>
    </xf>
    <xf numFmtId="0" fontId="84" fillId="0" borderId="0" xfId="0" applyFont="1" applyFill="1" applyBorder="1" applyAlignment="1" applyProtection="1">
      <alignment vertical="center" wrapText="1"/>
      <protection hidden="1"/>
    </xf>
    <xf numFmtId="2" fontId="76" fillId="0" borderId="0" xfId="0" applyNumberFormat="1" applyFont="1" applyFill="1" applyBorder="1" applyProtection="1">
      <alignment vertical="top"/>
      <protection hidden="1"/>
    </xf>
    <xf numFmtId="0" fontId="83" fillId="0" borderId="0" xfId="0" applyFont="1" applyFill="1" applyBorder="1" applyProtection="1">
      <alignment vertical="top"/>
      <protection hidden="1"/>
    </xf>
    <xf numFmtId="2" fontId="83" fillId="0" borderId="0" xfId="0" applyNumberFormat="1" applyFont="1" applyFill="1" applyBorder="1" applyProtection="1">
      <alignment vertical="top"/>
      <protection hidden="1"/>
    </xf>
    <xf numFmtId="166" fontId="83" fillId="0" borderId="0" xfId="0" applyNumberFormat="1" applyFont="1" applyFill="1" applyBorder="1" applyProtection="1">
      <alignment vertical="top"/>
      <protection hidden="1"/>
    </xf>
    <xf numFmtId="0" fontId="24" fillId="0" borderId="124" xfId="0" applyFont="1" applyFill="1" applyBorder="1" applyAlignment="1">
      <alignment horizontal="center" vertical="top" wrapText="1"/>
    </xf>
    <xf numFmtId="2" fontId="31" fillId="0" borderId="125" xfId="0" applyNumberFormat="1" applyFont="1" applyFill="1" applyBorder="1" applyAlignment="1">
      <alignment vertical="top" wrapText="1"/>
    </xf>
    <xf numFmtId="2" fontId="77" fillId="0" borderId="125" xfId="0" applyNumberFormat="1" applyFont="1" applyFill="1" applyBorder="1" applyAlignment="1" applyProtection="1">
      <alignment vertical="top" wrapText="1"/>
      <protection hidden="1"/>
    </xf>
    <xf numFmtId="0" fontId="78" fillId="0" borderId="125" xfId="0" applyFont="1" applyFill="1" applyBorder="1" applyAlignment="1" applyProtection="1">
      <alignment vertical="top" wrapText="1"/>
      <protection hidden="1"/>
    </xf>
    <xf numFmtId="0" fontId="79" fillId="0" borderId="125" xfId="0" applyFont="1" applyFill="1" applyBorder="1" applyProtection="1">
      <alignment vertical="top"/>
      <protection hidden="1"/>
    </xf>
    <xf numFmtId="0" fontId="80" fillId="0" borderId="125" xfId="0" applyFont="1" applyFill="1" applyBorder="1" applyAlignment="1" applyProtection="1">
      <alignment vertical="top" wrapText="1"/>
      <protection hidden="1"/>
    </xf>
    <xf numFmtId="0" fontId="79" fillId="0" borderId="126" xfId="0" applyFont="1" applyFill="1" applyBorder="1" applyProtection="1">
      <alignment vertical="top"/>
      <protection hidden="1"/>
    </xf>
    <xf numFmtId="1" fontId="75" fillId="0" borderId="12" xfId="3" applyNumberFormat="1" applyFont="1" applyFill="1" applyBorder="1" applyProtection="1">
      <protection hidden="1"/>
    </xf>
    <xf numFmtId="2" fontId="69" fillId="0" borderId="12" xfId="3" applyNumberFormat="1" applyFont="1" applyFill="1" applyBorder="1" applyProtection="1">
      <protection hidden="1"/>
    </xf>
    <xf numFmtId="0" fontId="76" fillId="0" borderId="12" xfId="0" applyFont="1" applyFill="1" applyBorder="1" applyProtection="1">
      <alignment vertical="top"/>
      <protection hidden="1"/>
    </xf>
    <xf numFmtId="2" fontId="6" fillId="0" borderId="13" xfId="0" applyNumberFormat="1" applyFont="1" applyFill="1" applyBorder="1" applyAlignment="1">
      <alignment horizontal="center"/>
    </xf>
    <xf numFmtId="0" fontId="79" fillId="0" borderId="12" xfId="0" applyFont="1" applyFill="1" applyBorder="1" applyProtection="1">
      <alignment vertical="top"/>
      <protection hidden="1"/>
    </xf>
    <xf numFmtId="2" fontId="6" fillId="0" borderId="8" xfId="0" applyNumberFormat="1" applyFont="1" applyFill="1" applyBorder="1" applyAlignment="1">
      <alignment horizontal="center"/>
    </xf>
    <xf numFmtId="2" fontId="6" fillId="0" borderId="118" xfId="0" applyNumberFormat="1" applyFont="1" applyFill="1" applyBorder="1" applyAlignment="1">
      <alignment horizontal="center"/>
    </xf>
    <xf numFmtId="2" fontId="79" fillId="0" borderId="118" xfId="0" applyNumberFormat="1" applyFont="1" applyFill="1" applyBorder="1" applyProtection="1">
      <alignment vertical="top"/>
      <protection hidden="1"/>
    </xf>
    <xf numFmtId="0" fontId="79" fillId="0" borderId="118" xfId="0" applyFont="1" applyFill="1" applyBorder="1" applyProtection="1">
      <alignment vertical="top"/>
      <protection hidden="1"/>
    </xf>
    <xf numFmtId="0" fontId="79" fillId="0" borderId="117" xfId="0" applyFont="1" applyFill="1" applyBorder="1" applyProtection="1">
      <alignment vertical="top"/>
      <protection hidden="1"/>
    </xf>
    <xf numFmtId="0" fontId="69" fillId="0" borderId="12" xfId="3" applyFont="1" applyFill="1" applyBorder="1" applyProtection="1">
      <protection hidden="1"/>
    </xf>
    <xf numFmtId="0" fontId="7" fillId="0" borderId="96" xfId="0" applyFont="1" applyFill="1" applyBorder="1" applyAlignment="1" applyProtection="1">
      <alignment horizontal="left" vertical="top" wrapText="1"/>
      <protection hidden="1"/>
    </xf>
    <xf numFmtId="0" fontId="48" fillId="0" borderId="116" xfId="0" applyFont="1" applyFill="1" applyBorder="1" applyAlignment="1">
      <alignment vertical="top" wrapText="1"/>
    </xf>
    <xf numFmtId="0" fontId="23" fillId="0" borderId="0" xfId="0" applyFont="1" applyBorder="1" applyAlignment="1">
      <alignment vertical="top" wrapText="1"/>
    </xf>
    <xf numFmtId="0" fontId="6" fillId="0" borderId="30" xfId="0" applyFont="1" applyFill="1" applyBorder="1" applyAlignment="1"/>
    <xf numFmtId="2" fontId="6" fillId="0" borderId="96" xfId="0" applyNumberFormat="1" applyFont="1" applyFill="1" applyBorder="1" applyAlignment="1">
      <alignment horizontal="center" wrapText="1"/>
    </xf>
    <xf numFmtId="0" fontId="6" fillId="0" borderId="31" xfId="0" applyFont="1" applyFill="1" applyBorder="1">
      <alignment vertical="top"/>
    </xf>
    <xf numFmtId="0" fontId="6" fillId="0" borderId="24" xfId="0" applyFont="1" applyFill="1" applyBorder="1">
      <alignment vertical="top"/>
    </xf>
    <xf numFmtId="0" fontId="6" fillId="0" borderId="108" xfId="0" applyFont="1" applyFill="1" applyBorder="1">
      <alignment vertical="top"/>
    </xf>
    <xf numFmtId="0" fontId="6" fillId="0" borderId="97" xfId="0" applyFont="1" applyFill="1" applyBorder="1">
      <alignment vertical="top"/>
    </xf>
    <xf numFmtId="0" fontId="6" fillId="0" borderId="30" xfId="0" applyFont="1" applyFill="1" applyBorder="1">
      <alignment vertical="top"/>
    </xf>
    <xf numFmtId="2" fontId="0" fillId="0" borderId="0" xfId="0" applyNumberFormat="1" applyAlignment="1">
      <alignment horizontal="center" vertical="top"/>
    </xf>
    <xf numFmtId="1" fontId="0" fillId="0" borderId="0" xfId="0" applyNumberFormat="1" applyAlignment="1">
      <alignment horizontal="center" vertical="top"/>
    </xf>
    <xf numFmtId="0" fontId="12" fillId="0" borderId="100" xfId="0" applyFont="1" applyBorder="1" applyAlignment="1">
      <alignment horizontal="left" vertical="top" wrapText="1"/>
    </xf>
    <xf numFmtId="0" fontId="12" fillId="0" borderId="0" xfId="1" applyFont="1" applyAlignment="1" applyProtection="1">
      <alignment vertical="top"/>
      <protection locked="0"/>
    </xf>
    <xf numFmtId="0" fontId="12" fillId="0" borderId="0" xfId="1" applyFont="1" applyFill="1" applyAlignment="1" applyProtection="1">
      <alignment vertical="top"/>
      <protection locked="0"/>
    </xf>
    <xf numFmtId="0" fontId="8" fillId="0" borderId="0" xfId="0" applyFont="1" applyBorder="1" applyAlignment="1" applyProtection="1">
      <alignment vertical="top"/>
      <protection locked="0"/>
    </xf>
    <xf numFmtId="1" fontId="56" fillId="31" borderId="128" xfId="0" applyNumberFormat="1" applyFont="1" applyFill="1" applyBorder="1" applyAlignment="1">
      <alignment horizontal="center" vertical="center" wrapText="1"/>
    </xf>
    <xf numFmtId="0" fontId="49" fillId="0" borderId="128" xfId="0" applyFont="1" applyBorder="1" applyAlignment="1">
      <alignment horizontal="left" vertical="top" wrapText="1"/>
    </xf>
    <xf numFmtId="0" fontId="49" fillId="0" borderId="128" xfId="0" applyFont="1" applyFill="1" applyBorder="1" applyAlignment="1">
      <alignment horizontal="left" vertical="top" wrapText="1"/>
    </xf>
    <xf numFmtId="0" fontId="7" fillId="0" borderId="129" xfId="0" applyFont="1" applyFill="1" applyBorder="1" applyAlignment="1">
      <alignment vertical="top" wrapText="1"/>
    </xf>
    <xf numFmtId="0" fontId="8" fillId="0" borderId="131" xfId="0" applyFont="1" applyBorder="1" applyAlignment="1" applyProtection="1">
      <alignment vertical="top" wrapText="1"/>
      <protection locked="0"/>
    </xf>
    <xf numFmtId="0" fontId="50" fillId="0" borderId="134" xfId="0" applyFont="1" applyBorder="1" applyAlignment="1" applyProtection="1">
      <alignment horizontal="center" vertical="top" wrapText="1"/>
    </xf>
    <xf numFmtId="0" fontId="50" fillId="0" borderId="135" xfId="0" applyFont="1" applyBorder="1" applyAlignment="1" applyProtection="1">
      <alignment horizontal="center" vertical="top" wrapText="1"/>
    </xf>
    <xf numFmtId="49" fontId="4" fillId="0" borderId="134" xfId="1" applyNumberFormat="1" applyFont="1" applyBorder="1" applyAlignment="1" applyProtection="1">
      <alignment horizontal="center" vertical="top" wrapText="1"/>
    </xf>
    <xf numFmtId="49" fontId="4" fillId="0" borderId="135" xfId="1" applyNumberFormat="1" applyFont="1" applyBorder="1" applyAlignment="1" applyProtection="1">
      <alignment horizontal="center" vertical="top" wrapText="1"/>
    </xf>
    <xf numFmtId="0" fontId="7" fillId="0" borderId="41" xfId="0" applyFont="1" applyBorder="1" applyAlignment="1" applyProtection="1">
      <alignment vertical="top" wrapText="1"/>
    </xf>
    <xf numFmtId="0" fontId="7" fillId="0" borderId="26" xfId="0" applyFont="1" applyFill="1" applyBorder="1" applyAlignment="1" applyProtection="1">
      <alignment horizontal="left" vertical="top"/>
    </xf>
    <xf numFmtId="0" fontId="7" fillId="0" borderId="59" xfId="0" applyFont="1" applyFill="1" applyBorder="1" applyAlignment="1" applyProtection="1">
      <alignment horizontal="left" vertical="top"/>
    </xf>
    <xf numFmtId="2" fontId="79" fillId="13" borderId="107" xfId="0" applyNumberFormat="1" applyFont="1" applyFill="1" applyBorder="1" applyAlignment="1" applyProtection="1">
      <alignment horizontal="center" vertical="top"/>
      <protection hidden="1"/>
    </xf>
    <xf numFmtId="2" fontId="79" fillId="13" borderId="21" xfId="0" applyNumberFormat="1" applyFont="1" applyFill="1" applyBorder="1" applyAlignment="1" applyProtection="1">
      <alignment horizontal="center" vertical="top"/>
      <protection hidden="1"/>
    </xf>
    <xf numFmtId="2" fontId="79" fillId="13" borderId="18" xfId="0" applyNumberFormat="1" applyFont="1" applyFill="1" applyBorder="1" applyAlignment="1" applyProtection="1">
      <alignment horizontal="center" vertical="top"/>
      <protection hidden="1"/>
    </xf>
    <xf numFmtId="2" fontId="79" fillId="13" borderId="96" xfId="0" applyNumberFormat="1" applyFont="1" applyFill="1" applyBorder="1" applyAlignment="1" applyProtection="1">
      <alignment horizontal="center" vertical="top"/>
      <protection hidden="1"/>
    </xf>
    <xf numFmtId="2" fontId="73" fillId="0" borderId="94" xfId="0" applyNumberFormat="1" applyFont="1" applyBorder="1">
      <alignment vertical="top"/>
    </xf>
    <xf numFmtId="2" fontId="73" fillId="0" borderId="0" xfId="0" applyNumberFormat="1" applyFont="1">
      <alignment vertical="top"/>
    </xf>
    <xf numFmtId="49" fontId="73" fillId="0" borderId="0" xfId="0" applyNumberFormat="1" applyFont="1">
      <alignment vertical="top"/>
    </xf>
    <xf numFmtId="2" fontId="73" fillId="0" borderId="100" xfId="0" applyNumberFormat="1" applyFont="1" applyFill="1" applyBorder="1">
      <alignment vertical="top"/>
    </xf>
    <xf numFmtId="2" fontId="73" fillId="0" borderId="95" xfId="0" applyNumberFormat="1" applyFont="1" applyBorder="1">
      <alignment vertical="top"/>
    </xf>
    <xf numFmtId="0" fontId="85" fillId="10" borderId="100" xfId="0" applyFont="1" applyFill="1" applyBorder="1" applyAlignment="1">
      <alignment vertical="top" wrapText="1"/>
    </xf>
    <xf numFmtId="0" fontId="73" fillId="0" borderId="100" xfId="0" applyFont="1" applyBorder="1" applyAlignment="1">
      <alignment vertical="top" wrapText="1"/>
    </xf>
    <xf numFmtId="1" fontId="73" fillId="0" borderId="0" xfId="0" applyNumberFormat="1" applyFont="1">
      <alignment vertical="top"/>
    </xf>
    <xf numFmtId="0" fontId="85" fillId="13" borderId="100" xfId="0" applyNumberFormat="1" applyFont="1" applyFill="1" applyBorder="1" applyAlignment="1"/>
    <xf numFmtId="0" fontId="89" fillId="33" borderId="141" xfId="1" applyFont="1" applyFill="1" applyBorder="1" applyAlignment="1" applyProtection="1">
      <alignment horizontal="center" vertical="top" wrapText="1"/>
      <protection locked="0"/>
    </xf>
    <xf numFmtId="0" fontId="89" fillId="13" borderId="141" xfId="1" applyFont="1" applyFill="1" applyBorder="1" applyAlignment="1" applyProtection="1">
      <alignment horizontal="center" vertical="top" wrapText="1"/>
      <protection locked="0"/>
    </xf>
    <xf numFmtId="0" fontId="89" fillId="13" borderId="141" xfId="1" applyFont="1" applyFill="1" applyBorder="1" applyAlignment="1" applyProtection="1">
      <alignment horizontal="center" vertical="top"/>
      <protection locked="0"/>
    </xf>
    <xf numFmtId="0" fontId="87" fillId="0" borderId="142" xfId="0" applyFont="1" applyFill="1" applyBorder="1" applyAlignment="1" applyProtection="1">
      <alignment horizontal="center" vertical="center" wrapText="1"/>
      <protection locked="0"/>
    </xf>
    <xf numFmtId="49" fontId="90" fillId="19" borderId="141" xfId="2" applyNumberFormat="1" applyFont="1" applyFill="1" applyBorder="1" applyAlignment="1" applyProtection="1">
      <alignment horizontal="center" vertical="center" wrapText="1"/>
      <protection locked="0"/>
    </xf>
    <xf numFmtId="49" fontId="90" fillId="0" borderId="141" xfId="2" applyNumberFormat="1" applyFont="1" applyBorder="1" applyAlignment="1" applyProtection="1">
      <alignment horizontal="center" vertical="center" wrapText="1"/>
      <protection locked="0"/>
    </xf>
    <xf numFmtId="0" fontId="90" fillId="19" borderId="141" xfId="2" applyFont="1" applyFill="1" applyBorder="1" applyAlignment="1" applyProtection="1">
      <alignment horizontal="center" vertical="center" wrapText="1"/>
      <protection locked="0"/>
    </xf>
    <xf numFmtId="1" fontId="90" fillId="0" borderId="141" xfId="2" applyNumberFormat="1" applyFont="1" applyBorder="1" applyAlignment="1" applyProtection="1">
      <alignment horizontal="center" vertical="center"/>
      <protection locked="0"/>
    </xf>
    <xf numFmtId="1" fontId="90" fillId="19" borderId="141" xfId="2" applyNumberFormat="1" applyFont="1" applyFill="1" applyBorder="1" applyAlignment="1" applyProtection="1">
      <alignment horizontal="center" vertical="center"/>
      <protection locked="0"/>
    </xf>
    <xf numFmtId="1" fontId="90" fillId="0" borderId="142" xfId="2" applyNumberFormat="1" applyFont="1" applyBorder="1" applyAlignment="1" applyProtection="1">
      <alignment horizontal="center" vertical="center"/>
      <protection locked="0"/>
    </xf>
    <xf numFmtId="0" fontId="7" fillId="0" borderId="139" xfId="0" applyFont="1" applyFill="1" applyBorder="1" applyAlignment="1" applyProtection="1">
      <alignment horizontal="left" vertical="center" wrapText="1"/>
    </xf>
    <xf numFmtId="0" fontId="7" fillId="0" borderId="143" xfId="0" applyFont="1" applyFill="1" applyBorder="1" applyAlignment="1" applyProtection="1">
      <alignment horizontal="left" vertical="center" wrapText="1"/>
    </xf>
    <xf numFmtId="0" fontId="7" fillId="0" borderId="111" xfId="0" applyFont="1" applyFill="1" applyBorder="1" applyAlignment="1" applyProtection="1">
      <alignment horizontal="left" vertical="center" wrapText="1"/>
    </xf>
    <xf numFmtId="0" fontId="7" fillId="0" borderId="36" xfId="0" applyFont="1" applyFill="1" applyBorder="1" applyAlignment="1" applyProtection="1">
      <alignment horizontal="left" vertical="top"/>
    </xf>
    <xf numFmtId="0" fontId="7" fillId="0" borderId="139" xfId="0" applyFont="1" applyBorder="1" applyAlignment="1" applyProtection="1">
      <alignment vertical="top" wrapText="1"/>
    </xf>
    <xf numFmtId="0" fontId="8" fillId="0" borderId="10" xfId="0" applyFont="1" applyBorder="1" applyAlignment="1" applyProtection="1">
      <alignment vertical="top" wrapText="1"/>
    </xf>
    <xf numFmtId="0" fontId="7" fillId="0" borderId="139" xfId="0" applyFont="1" applyFill="1" applyBorder="1" applyAlignment="1" applyProtection="1">
      <alignment horizontal="left" vertical="top" wrapText="1"/>
    </xf>
    <xf numFmtId="0" fontId="8" fillId="0" borderId="139" xfId="0" applyFont="1" applyFill="1" applyBorder="1" applyAlignment="1" applyProtection="1">
      <alignment horizontal="left" vertical="top" wrapText="1"/>
    </xf>
    <xf numFmtId="49" fontId="7" fillId="0" borderId="139" xfId="0" applyNumberFormat="1" applyFont="1" applyFill="1" applyBorder="1" applyAlignment="1" applyProtection="1">
      <alignment horizontal="left" vertical="top" wrapText="1"/>
    </xf>
    <xf numFmtId="0" fontId="7" fillId="0" borderId="143" xfId="0" applyFont="1" applyBorder="1" applyAlignment="1" applyProtection="1">
      <alignment vertical="top" wrapText="1"/>
    </xf>
    <xf numFmtId="0" fontId="7" fillId="0" borderId="143" xfId="0" applyFont="1" applyFill="1" applyBorder="1" applyAlignment="1" applyProtection="1">
      <alignment horizontal="left" vertical="top" wrapText="1"/>
    </xf>
    <xf numFmtId="0" fontId="51" fillId="0" borderId="118" xfId="0" applyFont="1" applyBorder="1" applyAlignment="1" applyProtection="1">
      <alignment vertical="top" wrapText="1"/>
    </xf>
    <xf numFmtId="0" fontId="51" fillId="0" borderId="139" xfId="0" applyFont="1" applyBorder="1" applyAlignment="1" applyProtection="1">
      <alignment vertical="top" wrapText="1"/>
    </xf>
    <xf numFmtId="0" fontId="60" fillId="0" borderId="139" xfId="0" applyFont="1" applyFill="1" applyBorder="1" applyAlignment="1" applyProtection="1">
      <alignment horizontal="left" vertical="top" wrapText="1"/>
    </xf>
    <xf numFmtId="16" fontId="7" fillId="0" borderId="139" xfId="0" applyNumberFormat="1" applyFont="1" applyFill="1" applyBorder="1" applyAlignment="1" applyProtection="1">
      <alignment horizontal="left" vertical="top" wrapText="1"/>
    </xf>
    <xf numFmtId="49" fontId="29" fillId="0" borderId="139" xfId="0" applyNumberFormat="1" applyFont="1" applyFill="1" applyBorder="1" applyAlignment="1" applyProtection="1">
      <alignment horizontal="left" vertical="top" wrapText="1"/>
    </xf>
    <xf numFmtId="49" fontId="29" fillId="0" borderId="143" xfId="0" applyNumberFormat="1" applyFont="1" applyFill="1" applyBorder="1" applyAlignment="1" applyProtection="1">
      <alignment horizontal="left" vertical="top" wrapText="1"/>
    </xf>
    <xf numFmtId="0" fontId="7" fillId="13" borderId="48" xfId="0" applyFont="1" applyFill="1" applyBorder="1" applyAlignment="1" applyProtection="1">
      <alignment horizontal="left" vertical="top" wrapText="1"/>
    </xf>
    <xf numFmtId="17" fontId="7" fillId="0" borderId="139" xfId="0" applyNumberFormat="1" applyFont="1" applyFill="1" applyBorder="1" applyAlignment="1" applyProtection="1">
      <alignment horizontal="left" vertical="top" wrapText="1"/>
    </xf>
    <xf numFmtId="17" fontId="7" fillId="0" borderId="143" xfId="0" applyNumberFormat="1" applyFont="1" applyFill="1" applyBorder="1" applyAlignment="1" applyProtection="1">
      <alignment horizontal="left" vertical="top" wrapText="1"/>
    </xf>
    <xf numFmtId="0" fontId="7" fillId="0" borderId="48" xfId="0" applyFont="1" applyFill="1" applyBorder="1" applyAlignment="1" applyProtection="1">
      <alignment vertical="top" wrapText="1"/>
    </xf>
    <xf numFmtId="0" fontId="7" fillId="0" borderId="139" xfId="0" applyFont="1" applyFill="1" applyBorder="1" applyAlignment="1" applyProtection="1">
      <alignment vertical="top" wrapText="1"/>
    </xf>
    <xf numFmtId="0" fontId="7" fillId="0" borderId="10" xfId="0" applyFont="1" applyFill="1" applyBorder="1" applyAlignment="1" applyProtection="1">
      <alignment vertical="top" wrapText="1"/>
    </xf>
    <xf numFmtId="0" fontId="60" fillId="0" borderId="143" xfId="0" applyFont="1" applyFill="1" applyBorder="1" applyAlignment="1" applyProtection="1">
      <alignment vertical="top" wrapText="1"/>
    </xf>
    <xf numFmtId="0" fontId="89" fillId="33" borderId="140" xfId="1" applyFont="1" applyFill="1" applyBorder="1" applyAlignment="1" applyProtection="1">
      <alignment horizontal="center" vertical="top" wrapText="1"/>
      <protection locked="0"/>
    </xf>
    <xf numFmtId="0" fontId="89" fillId="13" borderId="140" xfId="1" applyFont="1" applyFill="1" applyBorder="1" applyAlignment="1" applyProtection="1">
      <alignment horizontal="center" vertical="top" wrapText="1"/>
      <protection locked="0"/>
    </xf>
    <xf numFmtId="0" fontId="89" fillId="13" borderId="140" xfId="1" applyFont="1" applyFill="1" applyBorder="1" applyAlignment="1" applyProtection="1">
      <alignment horizontal="center" vertical="top"/>
      <protection locked="0"/>
    </xf>
    <xf numFmtId="0" fontId="87" fillId="0" borderId="141" xfId="0" applyFont="1" applyFill="1" applyBorder="1" applyAlignment="1" applyProtection="1">
      <alignment horizontal="center" vertical="center" wrapText="1"/>
      <protection locked="0"/>
    </xf>
    <xf numFmtId="0" fontId="10" fillId="12" borderId="141" xfId="0" applyFont="1" applyFill="1" applyBorder="1" applyAlignment="1" applyProtection="1">
      <alignment horizontal="center" vertical="center" wrapText="1"/>
      <protection locked="0"/>
    </xf>
    <xf numFmtId="0" fontId="7" fillId="12" borderId="141" xfId="0" applyFont="1" applyFill="1" applyBorder="1" applyAlignment="1" applyProtection="1">
      <alignment vertical="top" wrapText="1"/>
      <protection locked="0"/>
    </xf>
    <xf numFmtId="0" fontId="51" fillId="12" borderId="141" xfId="0" applyFont="1" applyFill="1" applyBorder="1" applyAlignment="1" applyProtection="1">
      <alignment vertical="top" wrapText="1"/>
      <protection locked="0"/>
    </xf>
    <xf numFmtId="0" fontId="7" fillId="12" borderId="141" xfId="0" applyFont="1" applyFill="1" applyBorder="1" applyAlignment="1" applyProtection="1">
      <alignment horizontal="left" vertical="top" wrapText="1"/>
      <protection locked="0"/>
    </xf>
    <xf numFmtId="0" fontId="8" fillId="12" borderId="141" xfId="0" applyFont="1" applyFill="1" applyBorder="1" applyAlignment="1" applyProtection="1">
      <alignment vertical="top" wrapText="1"/>
      <protection locked="0"/>
    </xf>
    <xf numFmtId="0" fontId="7" fillId="12" borderId="141" xfId="0" applyFont="1" applyFill="1" applyBorder="1" applyAlignment="1" applyProtection="1">
      <alignment horizontal="left" vertical="top"/>
      <protection locked="0"/>
    </xf>
    <xf numFmtId="0" fontId="7" fillId="0" borderId="0" xfId="0" applyFont="1" applyBorder="1" applyAlignment="1" applyProtection="1">
      <alignment vertical="top" wrapText="1"/>
      <protection locked="0"/>
    </xf>
    <xf numFmtId="0" fontId="7" fillId="0" borderId="0" xfId="0" applyFont="1" applyAlignment="1" applyProtection="1">
      <alignment vertical="top" wrapText="1"/>
      <protection locked="0"/>
    </xf>
    <xf numFmtId="0" fontId="6" fillId="0" borderId="0" xfId="0" applyFont="1" applyFill="1" applyBorder="1" applyAlignment="1" applyProtection="1">
      <alignment vertical="top" wrapText="1"/>
      <protection locked="0"/>
    </xf>
    <xf numFmtId="0" fontId="12" fillId="0" borderId="0" xfId="0" applyFont="1" applyFill="1" applyBorder="1" applyProtection="1">
      <alignment vertical="top"/>
      <protection locked="0"/>
    </xf>
    <xf numFmtId="0" fontId="17" fillId="0" borderId="0" xfId="0" applyFont="1" applyFill="1" applyBorder="1" applyAlignment="1" applyProtection="1">
      <alignment vertical="top" wrapText="1"/>
      <protection locked="0"/>
    </xf>
    <xf numFmtId="0" fontId="6" fillId="0" borderId="0" xfId="0" applyFont="1" applyFill="1" applyBorder="1" applyProtection="1">
      <alignment vertical="top"/>
      <protection locked="0"/>
    </xf>
    <xf numFmtId="0" fontId="6" fillId="0" borderId="0" xfId="0" applyFont="1" applyFill="1" applyProtection="1">
      <alignment vertical="top"/>
      <protection locked="0"/>
    </xf>
    <xf numFmtId="0" fontId="14" fillId="6" borderId="31" xfId="0" applyFont="1" applyFill="1" applyBorder="1" applyAlignment="1" applyProtection="1">
      <alignment vertical="top" wrapText="1"/>
    </xf>
    <xf numFmtId="0" fontId="23" fillId="0" borderId="101" xfId="0" applyFont="1" applyBorder="1" applyAlignment="1" applyProtection="1">
      <alignment vertical="top" wrapText="1"/>
    </xf>
    <xf numFmtId="0" fontId="23" fillId="0" borderId="101" xfId="0" applyFont="1" applyFill="1" applyBorder="1" applyAlignment="1" applyProtection="1">
      <alignment vertical="top" wrapText="1"/>
    </xf>
    <xf numFmtId="0" fontId="74" fillId="0" borderId="0" xfId="0" applyFont="1" applyFill="1" applyBorder="1" applyAlignment="1" applyProtection="1">
      <alignment vertical="center" wrapText="1"/>
      <protection locked="0"/>
    </xf>
    <xf numFmtId="0" fontId="32" fillId="0" borderId="0" xfId="0" applyFont="1" applyFill="1" applyBorder="1" applyAlignment="1" applyProtection="1">
      <alignment horizontal="left" vertical="top"/>
      <protection locked="0"/>
    </xf>
    <xf numFmtId="0" fontId="32" fillId="0" borderId="0" xfId="0" applyFont="1" applyFill="1" applyAlignment="1" applyProtection="1">
      <alignment horizontal="left" vertical="top"/>
      <protection locked="0"/>
    </xf>
    <xf numFmtId="0" fontId="10" fillId="0" borderId="0" xfId="0" applyFont="1" applyFill="1" applyBorder="1" applyAlignment="1" applyProtection="1">
      <alignment horizontal="left" vertical="top"/>
      <protection locked="0"/>
    </xf>
    <xf numFmtId="0" fontId="10" fillId="0" borderId="0" xfId="0" applyFont="1" applyFill="1" applyAlignment="1" applyProtection="1">
      <alignment horizontal="left" vertical="top"/>
      <protection locked="0"/>
    </xf>
    <xf numFmtId="0" fontId="74" fillId="0" borderId="141" xfId="0" applyFont="1" applyFill="1" applyBorder="1" applyAlignment="1" applyProtection="1">
      <alignment horizontal="center" vertical="center" wrapText="1"/>
      <protection locked="0"/>
    </xf>
    <xf numFmtId="0" fontId="44" fillId="0" borderId="0" xfId="0" applyFont="1" applyFill="1" applyAlignment="1" applyProtection="1">
      <alignment horizontal="left" vertical="top"/>
      <protection locked="0"/>
    </xf>
    <xf numFmtId="0" fontId="87" fillId="0" borderId="140" xfId="0" applyFont="1" applyFill="1" applyBorder="1" applyAlignment="1" applyProtection="1">
      <alignment horizontal="center" vertical="center" wrapText="1"/>
      <protection locked="0"/>
    </xf>
    <xf numFmtId="0" fontId="7" fillId="0" borderId="0" xfId="0" applyFont="1" applyFill="1" applyAlignment="1" applyProtection="1">
      <alignment horizontal="left" vertical="top"/>
      <protection locked="0"/>
    </xf>
    <xf numFmtId="0" fontId="88" fillId="12" borderId="140" xfId="1" applyFont="1" applyFill="1" applyBorder="1" applyAlignment="1" applyProtection="1">
      <alignment horizontal="center" vertical="center"/>
      <protection locked="0"/>
    </xf>
    <xf numFmtId="0" fontId="88" fillId="12" borderId="141" xfId="1" applyFont="1" applyFill="1" applyBorder="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7" fillId="0" borderId="0" xfId="0" applyFont="1" applyFill="1" applyBorder="1" applyAlignment="1" applyProtection="1">
      <alignment horizontal="left" vertical="top"/>
      <protection locked="0"/>
    </xf>
    <xf numFmtId="0" fontId="7" fillId="0" borderId="1" xfId="0" applyFont="1" applyFill="1" applyBorder="1" applyAlignment="1" applyProtection="1">
      <alignment horizontal="left" vertical="top"/>
      <protection locked="0"/>
    </xf>
    <xf numFmtId="0" fontId="7" fillId="0" borderId="48" xfId="0" applyFont="1" applyFill="1" applyBorder="1" applyAlignment="1" applyProtection="1">
      <alignment horizontal="left" vertical="top"/>
      <protection locked="0"/>
    </xf>
    <xf numFmtId="0" fontId="7" fillId="0" borderId="0" xfId="0" applyFont="1" applyFill="1" applyBorder="1" applyAlignment="1" applyProtection="1">
      <alignment horizontal="left" vertical="top" wrapText="1"/>
      <protection locked="0"/>
    </xf>
    <xf numFmtId="0" fontId="7" fillId="0" borderId="0" xfId="0" applyFont="1" applyProtection="1">
      <alignment vertical="top"/>
      <protection locked="0"/>
    </xf>
    <xf numFmtId="1" fontId="7" fillId="0" borderId="0" xfId="0" applyNumberFormat="1" applyFont="1" applyFill="1" applyAlignment="1" applyProtection="1">
      <alignment horizontal="center" vertical="top"/>
      <protection locked="0"/>
    </xf>
    <xf numFmtId="0" fontId="7" fillId="0" borderId="0" xfId="0" applyFont="1" applyFill="1" applyAlignment="1" applyProtection="1">
      <alignment horizontal="center" vertical="top"/>
      <protection locked="0"/>
    </xf>
    <xf numFmtId="0" fontId="7" fillId="0" borderId="0" xfId="0" applyFont="1" applyFill="1" applyAlignment="1" applyProtection="1">
      <alignment horizontal="left" vertical="top" wrapText="1"/>
      <protection locked="0"/>
    </xf>
    <xf numFmtId="0" fontId="74" fillId="0" borderId="0" xfId="0" applyFont="1" applyFill="1" applyBorder="1" applyAlignment="1" applyProtection="1">
      <alignment vertical="center" wrapText="1"/>
    </xf>
    <xf numFmtId="0" fontId="74" fillId="0" borderId="141" xfId="0" applyFont="1" applyFill="1" applyBorder="1" applyAlignment="1" applyProtection="1">
      <alignment horizontal="center" vertical="center" wrapText="1"/>
    </xf>
    <xf numFmtId="0" fontId="87" fillId="0" borderId="141" xfId="0" applyFont="1" applyFill="1" applyBorder="1" applyAlignment="1" applyProtection="1">
      <alignment horizontal="center" vertical="center" wrapText="1"/>
    </xf>
    <xf numFmtId="0" fontId="32" fillId="0" borderId="141" xfId="0" applyFont="1" applyFill="1" applyBorder="1" applyAlignment="1" applyProtection="1">
      <alignment horizontal="center" vertical="center"/>
    </xf>
    <xf numFmtId="0" fontId="7" fillId="18" borderId="141" xfId="0" applyFont="1" applyFill="1" applyBorder="1" applyAlignment="1" applyProtection="1">
      <alignment horizontal="center" vertical="top" wrapText="1"/>
    </xf>
    <xf numFmtId="0" fontId="7" fillId="0" borderId="141" xfId="0" applyFont="1" applyBorder="1" applyAlignment="1" applyProtection="1">
      <alignment horizontal="center" vertical="top"/>
    </xf>
    <xf numFmtId="0" fontId="7" fillId="0" borderId="141" xfId="0" applyFont="1" applyBorder="1" applyAlignment="1" applyProtection="1">
      <alignment horizontal="center" vertical="top" wrapText="1"/>
    </xf>
    <xf numFmtId="1" fontId="7" fillId="0" borderId="141" xfId="0" applyNumberFormat="1" applyFont="1" applyBorder="1" applyAlignment="1" applyProtection="1">
      <alignment horizontal="center" vertical="top" wrapText="1"/>
    </xf>
    <xf numFmtId="0" fontId="10" fillId="0" borderId="141" xfId="0" applyFont="1" applyFill="1" applyBorder="1" applyAlignment="1" applyProtection="1">
      <alignment vertical="top" wrapText="1"/>
    </xf>
    <xf numFmtId="1" fontId="7" fillId="0" borderId="141" xfId="0" applyNumberFormat="1" applyFont="1" applyFill="1" applyBorder="1" applyAlignment="1" applyProtection="1">
      <alignment horizontal="center" vertical="top" wrapText="1"/>
    </xf>
    <xf numFmtId="0" fontId="7" fillId="0" borderId="141" xfId="0" applyFont="1" applyFill="1" applyBorder="1" applyAlignment="1" applyProtection="1">
      <alignment horizontal="center" vertical="top"/>
    </xf>
    <xf numFmtId="1" fontId="7" fillId="0" borderId="141" xfId="0" applyNumberFormat="1" applyFont="1" applyBorder="1" applyAlignment="1" applyProtection="1">
      <alignment horizontal="center" vertical="top"/>
    </xf>
    <xf numFmtId="0" fontId="7" fillId="0" borderId="141" xfId="0" applyFont="1" applyFill="1" applyBorder="1" applyAlignment="1" applyProtection="1">
      <alignment horizontal="center" vertical="top" wrapText="1"/>
    </xf>
    <xf numFmtId="0" fontId="7" fillId="13" borderId="141" xfId="0" applyFont="1" applyFill="1" applyBorder="1" applyAlignment="1" applyProtection="1">
      <alignment horizontal="center" vertical="top"/>
    </xf>
    <xf numFmtId="0" fontId="8" fillId="0" borderId="132" xfId="1" applyFont="1" applyBorder="1" applyAlignment="1" applyProtection="1">
      <alignment vertical="top"/>
      <protection locked="0"/>
    </xf>
    <xf numFmtId="0" fontId="7" fillId="0" borderId="0" xfId="1" applyFont="1" applyAlignment="1" applyProtection="1">
      <alignment vertical="top"/>
      <protection locked="0"/>
    </xf>
    <xf numFmtId="0" fontId="36" fillId="0" borderId="0" xfId="1" applyFont="1" applyAlignment="1" applyProtection="1">
      <alignment vertical="top"/>
      <protection locked="0"/>
    </xf>
    <xf numFmtId="0" fontId="12" fillId="0" borderId="0" xfId="1" applyFont="1" applyAlignment="1" applyProtection="1">
      <alignment vertical="center"/>
      <protection locked="0"/>
    </xf>
    <xf numFmtId="0" fontId="7" fillId="0" borderId="0" xfId="1" applyFont="1" applyAlignment="1" applyProtection="1">
      <alignment vertical="center"/>
      <protection locked="0"/>
    </xf>
    <xf numFmtId="0" fontId="12" fillId="0" borderId="0" xfId="1" applyFont="1" applyBorder="1" applyAlignment="1" applyProtection="1">
      <alignment vertical="top"/>
      <protection locked="0"/>
    </xf>
    <xf numFmtId="49" fontId="62" fillId="19" borderId="127" xfId="2" applyNumberFormat="1" applyFont="1" applyFill="1" applyBorder="1" applyAlignment="1" applyProtection="1">
      <alignment horizontal="center" vertical="center" wrapText="1"/>
    </xf>
    <xf numFmtId="49" fontId="62" fillId="19" borderId="120" xfId="2" applyNumberFormat="1" applyFont="1" applyFill="1" applyBorder="1" applyAlignment="1" applyProtection="1">
      <alignment horizontal="center" vertical="center" wrapText="1"/>
    </xf>
    <xf numFmtId="49" fontId="62" fillId="0" borderId="120" xfId="2" applyNumberFormat="1" applyFont="1" applyBorder="1" applyAlignment="1" applyProtection="1">
      <alignment horizontal="center" vertical="center" wrapText="1"/>
    </xf>
    <xf numFmtId="0" fontId="62" fillId="19" borderId="120" xfId="2" applyFont="1" applyFill="1" applyBorder="1" applyAlignment="1" applyProtection="1">
      <alignment horizontal="center" vertical="center" wrapText="1"/>
    </xf>
    <xf numFmtId="49" fontId="4" fillId="0" borderId="134" xfId="1" applyNumberFormat="1" applyFont="1" applyBorder="1" applyAlignment="1" applyProtection="1">
      <alignment vertical="center" wrapText="1"/>
    </xf>
    <xf numFmtId="49" fontId="25" fillId="7" borderId="134" xfId="1" applyNumberFormat="1" applyFont="1" applyFill="1" applyBorder="1" applyAlignment="1" applyProtection="1">
      <alignment horizontal="center" vertical="center" wrapText="1"/>
    </xf>
    <xf numFmtId="49" fontId="4" fillId="7" borderId="134" xfId="1" applyNumberFormat="1" applyFont="1" applyFill="1" applyBorder="1" applyAlignment="1" applyProtection="1">
      <alignment horizontal="center" vertical="center" wrapText="1"/>
    </xf>
    <xf numFmtId="49" fontId="4" fillId="7" borderId="135" xfId="1" applyNumberFormat="1" applyFont="1" applyFill="1" applyBorder="1" applyAlignment="1" applyProtection="1">
      <alignment horizontal="center" vertical="center" wrapText="1"/>
    </xf>
    <xf numFmtId="49" fontId="4" fillId="7" borderId="134" xfId="1" applyNumberFormat="1" applyFont="1" applyFill="1" applyBorder="1" applyAlignment="1" applyProtection="1">
      <alignment vertical="center" wrapText="1"/>
    </xf>
    <xf numFmtId="49" fontId="4" fillId="0" borderId="134" xfId="1" applyNumberFormat="1" applyFont="1" applyBorder="1" applyAlignment="1" applyProtection="1">
      <alignment horizontal="center" vertical="center" wrapText="1"/>
    </xf>
    <xf numFmtId="49" fontId="4" fillId="0" borderId="135" xfId="1" applyNumberFormat="1" applyFont="1" applyBorder="1" applyAlignment="1" applyProtection="1">
      <alignment horizontal="center" vertical="center" wrapText="1"/>
    </xf>
    <xf numFmtId="1" fontId="63" fillId="0" borderId="120" xfId="2" applyNumberFormat="1" applyFont="1" applyBorder="1" applyAlignment="1" applyProtection="1">
      <alignment horizontal="center" vertical="center"/>
    </xf>
    <xf numFmtId="1" fontId="63" fillId="19" borderId="120" xfId="2" applyNumberFormat="1" applyFont="1" applyFill="1" applyBorder="1" applyAlignment="1" applyProtection="1">
      <alignment horizontal="center" vertical="center"/>
    </xf>
    <xf numFmtId="49" fontId="25" fillId="0" borderId="134" xfId="1" applyNumberFormat="1" applyFont="1" applyBorder="1" applyAlignment="1" applyProtection="1">
      <alignment horizontal="center" vertical="center" wrapText="1"/>
    </xf>
    <xf numFmtId="49" fontId="25" fillId="0" borderId="135" xfId="1" applyNumberFormat="1" applyFont="1" applyBorder="1" applyAlignment="1" applyProtection="1">
      <alignment horizontal="center" vertical="center" wrapText="1"/>
    </xf>
    <xf numFmtId="1" fontId="12" fillId="8" borderId="42" xfId="1" applyNumberFormat="1" applyFont="1" applyFill="1" applyBorder="1" applyAlignment="1" applyProtection="1">
      <alignment horizontal="center" vertical="center"/>
    </xf>
    <xf numFmtId="49" fontId="25" fillId="9" borderId="135" xfId="1" applyNumberFormat="1" applyFont="1" applyFill="1" applyBorder="1" applyAlignment="1" applyProtection="1">
      <alignment horizontal="right" vertical="center" wrapText="1"/>
    </xf>
    <xf numFmtId="2" fontId="19" fillId="9" borderId="42" xfId="1" applyNumberFormat="1" applyFont="1" applyFill="1" applyBorder="1" applyAlignment="1" applyProtection="1">
      <alignment horizontal="center" vertical="center"/>
    </xf>
    <xf numFmtId="0" fontId="62" fillId="19" borderId="127" xfId="2" applyFont="1" applyFill="1" applyBorder="1" applyAlignment="1" applyProtection="1">
      <alignment horizontal="center" vertical="center" wrapText="1"/>
    </xf>
    <xf numFmtId="49" fontId="7" fillId="0" borderId="134" xfId="1" applyNumberFormat="1" applyFont="1" applyBorder="1" applyAlignment="1" applyProtection="1">
      <alignment vertical="center"/>
    </xf>
    <xf numFmtId="1" fontId="62" fillId="0" borderId="120" xfId="2" applyNumberFormat="1" applyFont="1" applyBorder="1" applyAlignment="1" applyProtection="1">
      <alignment horizontal="center" vertical="center"/>
    </xf>
    <xf numFmtId="1" fontId="7" fillId="8" borderId="42" xfId="1" applyNumberFormat="1" applyFont="1" applyFill="1" applyBorder="1" applyAlignment="1" applyProtection="1">
      <alignment horizontal="center" vertical="center"/>
    </xf>
    <xf numFmtId="2" fontId="12" fillId="9" borderId="42" xfId="1" applyNumberFormat="1" applyFont="1" applyFill="1" applyBorder="1" applyAlignment="1" applyProtection="1">
      <alignment horizontal="center" vertical="center"/>
    </xf>
    <xf numFmtId="49" fontId="12" fillId="0" borderId="134" xfId="1" applyNumberFormat="1" applyFont="1" applyBorder="1" applyAlignment="1" applyProtection="1">
      <alignment vertical="center"/>
    </xf>
    <xf numFmtId="49" fontId="25" fillId="0" borderId="135" xfId="1" applyNumberFormat="1" applyFont="1" applyBorder="1" applyAlignment="1" applyProtection="1">
      <alignment horizontal="right" vertical="center" wrapText="1"/>
    </xf>
    <xf numFmtId="0" fontId="62" fillId="19" borderId="117" xfId="2" applyFont="1" applyFill="1" applyBorder="1" applyAlignment="1" applyProtection="1">
      <alignment horizontal="center" vertical="center" wrapText="1"/>
    </xf>
    <xf numFmtId="49" fontId="62" fillId="19" borderId="87" xfId="2" applyNumberFormat="1" applyFont="1" applyFill="1" applyBorder="1" applyAlignment="1" applyProtection="1">
      <alignment horizontal="center" vertical="center" wrapText="1"/>
    </xf>
    <xf numFmtId="49" fontId="62" fillId="0" borderId="87" xfId="2" applyNumberFormat="1" applyFont="1" applyBorder="1" applyAlignment="1" applyProtection="1">
      <alignment horizontal="center" vertical="center" wrapText="1"/>
    </xf>
    <xf numFmtId="0" fontId="62" fillId="19" borderId="87" xfId="2" applyFont="1" applyFill="1" applyBorder="1" applyAlignment="1" applyProtection="1">
      <alignment horizontal="center" vertical="center" wrapText="1"/>
    </xf>
    <xf numFmtId="49" fontId="12" fillId="0" borderId="27" xfId="1" applyNumberFormat="1" applyFont="1" applyBorder="1" applyAlignment="1" applyProtection="1">
      <alignment vertical="center"/>
    </xf>
    <xf numFmtId="49" fontId="4" fillId="7" borderId="4" xfId="1" applyNumberFormat="1" applyFont="1" applyFill="1" applyBorder="1" applyAlignment="1" applyProtection="1">
      <alignment horizontal="center" vertical="center" wrapText="1"/>
    </xf>
    <xf numFmtId="49" fontId="4" fillId="7" borderId="123" xfId="1" applyNumberFormat="1" applyFont="1" applyFill="1" applyBorder="1" applyAlignment="1" applyProtection="1">
      <alignment vertical="center" wrapText="1"/>
    </xf>
    <xf numFmtId="49" fontId="4" fillId="0" borderId="18" xfId="1" applyNumberFormat="1" applyFont="1" applyBorder="1" applyAlignment="1" applyProtection="1">
      <alignment horizontal="center" vertical="center" wrapText="1"/>
    </xf>
    <xf numFmtId="49" fontId="4" fillId="0" borderId="112" xfId="1" applyNumberFormat="1" applyFont="1" applyBorder="1" applyAlignment="1" applyProtection="1">
      <alignment horizontal="center" vertical="center" wrapText="1"/>
    </xf>
    <xf numFmtId="49" fontId="4" fillId="0" borderId="119" xfId="1" applyNumberFormat="1" applyFont="1" applyBorder="1" applyAlignment="1" applyProtection="1">
      <alignment horizontal="center" vertical="center" wrapText="1"/>
    </xf>
    <xf numFmtId="49" fontId="4" fillId="7" borderId="28" xfId="1" applyNumberFormat="1" applyFont="1" applyFill="1" applyBorder="1" applyAlignment="1" applyProtection="1">
      <alignment vertical="center" wrapText="1"/>
    </xf>
    <xf numFmtId="49" fontId="4" fillId="0" borderId="21" xfId="1" applyNumberFormat="1" applyFont="1" applyBorder="1" applyAlignment="1" applyProtection="1">
      <alignment horizontal="center" vertical="center" wrapText="1"/>
    </xf>
    <xf numFmtId="49" fontId="4" fillId="0" borderId="34" xfId="1" applyNumberFormat="1" applyFont="1" applyBorder="1" applyAlignment="1" applyProtection="1">
      <alignment horizontal="center" vertical="center" wrapText="1"/>
    </xf>
    <xf numFmtId="1" fontId="12" fillId="8" borderId="4" xfId="1" applyNumberFormat="1" applyFont="1" applyFill="1" applyBorder="1" applyAlignment="1" applyProtection="1">
      <alignment horizontal="center" vertical="center"/>
    </xf>
    <xf numFmtId="49" fontId="25" fillId="9" borderId="4" xfId="1" applyNumberFormat="1" applyFont="1" applyFill="1" applyBorder="1" applyAlignment="1" applyProtection="1">
      <alignment horizontal="right" vertical="center" wrapText="1"/>
    </xf>
    <xf numFmtId="2" fontId="19" fillId="9" borderId="4" xfId="1" applyNumberFormat="1" applyFont="1" applyFill="1" applyBorder="1" applyAlignment="1" applyProtection="1">
      <alignment horizontal="center" vertical="center"/>
    </xf>
    <xf numFmtId="0" fontId="7" fillId="0" borderId="138" xfId="0" applyFont="1" applyFill="1" applyBorder="1" applyAlignment="1" applyProtection="1">
      <alignment horizontal="center" vertical="top"/>
      <protection locked="0"/>
    </xf>
    <xf numFmtId="1" fontId="89" fillId="8" borderId="141" xfId="1" applyNumberFormat="1" applyFont="1" applyFill="1" applyBorder="1" applyAlignment="1" applyProtection="1">
      <alignment horizontal="center" vertical="center"/>
    </xf>
    <xf numFmtId="2" fontId="90" fillId="9" borderId="3" xfId="1" applyNumberFormat="1" applyFont="1" applyFill="1" applyBorder="1" applyAlignment="1" applyProtection="1">
      <alignment horizontal="center" vertical="center"/>
    </xf>
    <xf numFmtId="1" fontId="90" fillId="8" borderId="141" xfId="1" applyNumberFormat="1" applyFont="1" applyFill="1" applyBorder="1" applyAlignment="1" applyProtection="1">
      <alignment horizontal="center" vertical="center"/>
    </xf>
    <xf numFmtId="2" fontId="90" fillId="9" borderId="141" xfId="1" applyNumberFormat="1" applyFont="1" applyFill="1" applyBorder="1" applyAlignment="1" applyProtection="1">
      <alignment horizontal="center" vertical="center"/>
    </xf>
    <xf numFmtId="167" fontId="7" fillId="8" borderId="140" xfId="1" applyNumberFormat="1" applyFont="1" applyFill="1" applyBorder="1" applyAlignment="1">
      <alignment horizontal="center" vertical="top"/>
    </xf>
    <xf numFmtId="167" fontId="7" fillId="8" borderId="141" xfId="1" applyNumberFormat="1" applyFont="1" applyFill="1" applyBorder="1" applyAlignment="1">
      <alignment horizontal="center" vertical="top"/>
    </xf>
    <xf numFmtId="0" fontId="7" fillId="8" borderId="140" xfId="1" applyFont="1" applyFill="1" applyBorder="1" applyAlignment="1">
      <alignment horizontal="center" vertical="top"/>
    </xf>
    <xf numFmtId="0" fontId="7" fillId="8" borderId="141" xfId="1" applyFont="1" applyFill="1" applyBorder="1" applyAlignment="1">
      <alignment horizontal="center" vertical="top"/>
    </xf>
    <xf numFmtId="0" fontId="86" fillId="0" borderId="139" xfId="0" applyFont="1" applyFill="1" applyBorder="1" applyAlignment="1" applyProtection="1">
      <alignment horizontal="left" vertical="top"/>
      <protection locked="0"/>
    </xf>
    <xf numFmtId="0" fontId="0" fillId="0" borderId="139" xfId="0" applyBorder="1" applyAlignment="1" applyProtection="1">
      <alignment vertical="top"/>
      <protection locked="0"/>
    </xf>
    <xf numFmtId="0" fontId="0" fillId="0" borderId="140" xfId="0" applyBorder="1" applyAlignment="1" applyProtection="1">
      <alignment vertical="top"/>
      <protection locked="0"/>
    </xf>
    <xf numFmtId="0" fontId="7" fillId="0" borderId="31" xfId="0" applyFont="1" applyFill="1" applyBorder="1" applyAlignment="1" applyProtection="1">
      <alignment horizontal="left" vertical="top"/>
    </xf>
    <xf numFmtId="0" fontId="7" fillId="0" borderId="19" xfId="0" applyFont="1" applyFill="1" applyBorder="1" applyAlignment="1" applyProtection="1">
      <alignment horizontal="left" vertical="top"/>
    </xf>
    <xf numFmtId="0" fontId="7" fillId="0" borderId="20" xfId="0" applyFont="1" applyFill="1" applyBorder="1" applyAlignment="1" applyProtection="1">
      <alignment horizontal="left" vertical="top"/>
    </xf>
    <xf numFmtId="0" fontId="7" fillId="0" borderId="41" xfId="0" applyFont="1" applyFill="1" applyBorder="1" applyAlignment="1" applyProtection="1">
      <alignment horizontal="left" vertical="top"/>
    </xf>
    <xf numFmtId="0" fontId="10" fillId="0" borderId="30" xfId="0" applyFont="1" applyFill="1" applyBorder="1" applyAlignment="1" applyProtection="1">
      <alignment horizontal="left" vertical="top" wrapText="1"/>
      <protection locked="0"/>
    </xf>
    <xf numFmtId="0" fontId="10" fillId="0" borderId="48" xfId="0" applyFont="1" applyFill="1" applyBorder="1" applyAlignment="1" applyProtection="1">
      <alignment horizontal="left" vertical="top" wrapText="1"/>
      <protection locked="0"/>
    </xf>
    <xf numFmtId="0" fontId="10" fillId="0" borderId="42" xfId="0" applyFont="1" applyFill="1" applyBorder="1" applyAlignment="1" applyProtection="1">
      <alignment horizontal="left" vertical="top" wrapText="1"/>
      <protection locked="0"/>
    </xf>
    <xf numFmtId="0" fontId="16" fillId="10" borderId="30" xfId="1" applyFont="1" applyFill="1" applyBorder="1" applyAlignment="1" applyProtection="1">
      <alignment horizontal="left" vertical="center" wrapText="1"/>
    </xf>
    <xf numFmtId="0" fontId="16" fillId="10" borderId="48" xfId="1" applyFont="1" applyFill="1" applyBorder="1" applyAlignment="1" applyProtection="1">
      <alignment horizontal="left" vertical="center" wrapText="1"/>
    </xf>
    <xf numFmtId="0" fontId="10" fillId="0" borderId="30" xfId="0" applyFont="1" applyFill="1" applyBorder="1" applyAlignment="1" applyProtection="1">
      <alignment horizontal="left" vertical="top"/>
      <protection locked="0"/>
    </xf>
    <xf numFmtId="0" fontId="10" fillId="0" borderId="48" xfId="0" applyFont="1" applyFill="1" applyBorder="1" applyAlignment="1" applyProtection="1">
      <alignment horizontal="left" vertical="top"/>
      <protection locked="0"/>
    </xf>
    <xf numFmtId="0" fontId="10" fillId="0" borderId="42" xfId="0" applyFont="1" applyFill="1" applyBorder="1" applyAlignment="1" applyProtection="1">
      <alignment horizontal="left" vertical="top"/>
      <protection locked="0"/>
    </xf>
    <xf numFmtId="0" fontId="10" fillId="0" borderId="30" xfId="1" applyFont="1" applyFill="1" applyBorder="1" applyAlignment="1" applyProtection="1">
      <alignment horizontal="left" vertical="top" wrapText="1"/>
    </xf>
    <xf numFmtId="0" fontId="10" fillId="0" borderId="48" xfId="1" applyFont="1" applyFill="1" applyBorder="1" applyAlignment="1" applyProtection="1">
      <alignment horizontal="left" vertical="top" wrapText="1"/>
    </xf>
    <xf numFmtId="0" fontId="7" fillId="0" borderId="31" xfId="0" applyFont="1" applyFill="1" applyBorder="1" applyAlignment="1" applyProtection="1">
      <alignment horizontal="left" vertical="top" wrapText="1"/>
    </xf>
    <xf numFmtId="0" fontId="7" fillId="0" borderId="59" xfId="0" applyFont="1" applyFill="1" applyBorder="1" applyAlignment="1" applyProtection="1">
      <alignment horizontal="left" vertical="top" wrapText="1"/>
    </xf>
    <xf numFmtId="0" fontId="7" fillId="0" borderId="19" xfId="0" applyFont="1" applyFill="1" applyBorder="1" applyAlignment="1" applyProtection="1">
      <alignment horizontal="left" vertical="top" wrapText="1"/>
    </xf>
    <xf numFmtId="1" fontId="7" fillId="0" borderId="59" xfId="0" applyNumberFormat="1" applyFont="1" applyFill="1" applyBorder="1" applyAlignment="1" applyProtection="1">
      <alignment horizontal="left" vertical="top" wrapText="1"/>
    </xf>
    <xf numFmtId="1" fontId="7" fillId="0" borderId="19" xfId="0" applyNumberFormat="1" applyFont="1" applyFill="1" applyBorder="1" applyAlignment="1" applyProtection="1">
      <alignment horizontal="left" vertical="top" wrapText="1"/>
    </xf>
    <xf numFmtId="1" fontId="7" fillId="0" borderId="31" xfId="0" applyNumberFormat="1" applyFont="1" applyFill="1" applyBorder="1" applyAlignment="1" applyProtection="1">
      <alignment horizontal="left" vertical="top" wrapText="1"/>
    </xf>
    <xf numFmtId="0" fontId="7" fillId="0" borderId="20" xfId="0" applyFont="1" applyBorder="1" applyAlignment="1" applyProtection="1">
      <alignment vertical="top" wrapText="1"/>
    </xf>
    <xf numFmtId="0" fontId="7" fillId="0" borderId="26" xfId="0" applyFont="1" applyBorder="1" applyAlignment="1" applyProtection="1">
      <alignment vertical="top" wrapText="1"/>
    </xf>
    <xf numFmtId="0" fontId="7" fillId="0" borderId="41" xfId="0" applyFont="1" applyBorder="1" applyAlignment="1" applyProtection="1">
      <alignment vertical="top" wrapText="1"/>
    </xf>
    <xf numFmtId="0" fontId="7" fillId="0" borderId="109" xfId="0" applyFont="1" applyBorder="1" applyAlignment="1" applyProtection="1">
      <alignment vertical="top" wrapText="1"/>
    </xf>
    <xf numFmtId="0" fontId="7" fillId="0" borderId="59" xfId="0" applyFont="1" applyBorder="1" applyAlignment="1" applyProtection="1">
      <alignment vertical="top" wrapText="1"/>
    </xf>
    <xf numFmtId="0" fontId="7" fillId="0" borderId="19" xfId="0" applyFont="1" applyBorder="1" applyAlignment="1" applyProtection="1">
      <alignment vertical="top" wrapText="1"/>
    </xf>
    <xf numFmtId="1" fontId="7" fillId="0" borderId="20" xfId="0" applyNumberFormat="1" applyFont="1" applyFill="1" applyBorder="1" applyAlignment="1" applyProtection="1">
      <alignment horizontal="left" vertical="top" wrapText="1"/>
    </xf>
    <xf numFmtId="1" fontId="7" fillId="0" borderId="26" xfId="0" applyNumberFormat="1" applyFont="1" applyFill="1" applyBorder="1" applyAlignment="1" applyProtection="1">
      <alignment horizontal="left" vertical="top" wrapText="1"/>
    </xf>
    <xf numFmtId="1" fontId="7" fillId="0" borderId="41" xfId="0" applyNumberFormat="1" applyFont="1" applyFill="1" applyBorder="1" applyAlignment="1" applyProtection="1">
      <alignment horizontal="left" vertical="top" wrapText="1"/>
    </xf>
    <xf numFmtId="1" fontId="7" fillId="0" borderId="31" xfId="0" applyNumberFormat="1" applyFont="1" applyFill="1" applyBorder="1" applyAlignment="1" applyProtection="1">
      <alignment horizontal="left" vertical="top"/>
    </xf>
    <xf numFmtId="1" fontId="7" fillId="0" borderId="59" xfId="0" applyNumberFormat="1" applyFont="1" applyFill="1" applyBorder="1" applyAlignment="1" applyProtection="1">
      <alignment horizontal="left" vertical="top"/>
    </xf>
    <xf numFmtId="1" fontId="7" fillId="0" borderId="19" xfId="0" applyNumberFormat="1" applyFont="1" applyFill="1" applyBorder="1" applyAlignment="1" applyProtection="1">
      <alignment horizontal="left" vertical="top"/>
    </xf>
    <xf numFmtId="0" fontId="10" fillId="10" borderId="30" xfId="0" applyFont="1" applyFill="1" applyBorder="1" applyAlignment="1" applyProtection="1">
      <alignment horizontal="left" vertical="top" wrapText="1"/>
    </xf>
    <xf numFmtId="0" fontId="10" fillId="10" borderId="48" xfId="0" applyFont="1" applyFill="1" applyBorder="1" applyAlignment="1" applyProtection="1">
      <alignment horizontal="left" vertical="top" wrapText="1"/>
    </xf>
    <xf numFmtId="0" fontId="7" fillId="12" borderId="141" xfId="0" applyFont="1" applyFill="1" applyBorder="1" applyAlignment="1" applyProtection="1">
      <alignment vertical="top" wrapText="1"/>
      <protection locked="0"/>
    </xf>
    <xf numFmtId="0" fontId="7" fillId="12" borderId="141" xfId="0" applyFont="1" applyFill="1" applyBorder="1" applyAlignment="1" applyProtection="1">
      <alignment horizontal="left" vertical="top" wrapText="1"/>
      <protection locked="0"/>
    </xf>
    <xf numFmtId="0" fontId="7" fillId="0" borderId="104" xfId="0" applyFont="1" applyBorder="1" applyAlignment="1" applyProtection="1">
      <alignment horizontal="left" vertical="top" wrapText="1"/>
    </xf>
    <xf numFmtId="0" fontId="7" fillId="0" borderId="26" xfId="0" applyFont="1" applyBorder="1" applyAlignment="1" applyProtection="1">
      <alignment horizontal="left" vertical="top" wrapText="1"/>
    </xf>
    <xf numFmtId="0" fontId="7" fillId="0" borderId="41" xfId="0" applyFont="1" applyBorder="1" applyAlignment="1" applyProtection="1">
      <alignment horizontal="left" vertical="top" wrapText="1"/>
    </xf>
    <xf numFmtId="0" fontId="7" fillId="0" borderId="20" xfId="0" applyFont="1" applyFill="1" applyBorder="1" applyAlignment="1" applyProtection="1">
      <alignment horizontal="left" vertical="top" wrapText="1"/>
    </xf>
    <xf numFmtId="0" fontId="7" fillId="0" borderId="26" xfId="0" applyFont="1" applyFill="1" applyBorder="1" applyAlignment="1" applyProtection="1">
      <alignment horizontal="left" vertical="top" wrapText="1"/>
    </xf>
    <xf numFmtId="0" fontId="7" fillId="0" borderId="105" xfId="0" applyFont="1" applyBorder="1" applyAlignment="1" applyProtection="1">
      <alignment vertical="top" wrapText="1"/>
    </xf>
    <xf numFmtId="0" fontId="7" fillId="0" borderId="41" xfId="0" applyFont="1" applyFill="1" applyBorder="1" applyAlignment="1" applyProtection="1">
      <alignment horizontal="left" vertical="top" wrapText="1"/>
    </xf>
    <xf numFmtId="0" fontId="7" fillId="0" borderId="31" xfId="0" applyFont="1" applyBorder="1" applyAlignment="1" applyProtection="1">
      <alignment vertical="top" wrapText="1"/>
    </xf>
    <xf numFmtId="0" fontId="7" fillId="0" borderId="110" xfId="0" applyFont="1" applyBorder="1" applyAlignment="1" applyProtection="1">
      <alignment vertical="top" wrapText="1"/>
    </xf>
    <xf numFmtId="0" fontId="7" fillId="0" borderId="26" xfId="0" applyFont="1" applyFill="1" applyBorder="1" applyAlignment="1" applyProtection="1">
      <alignment horizontal="left" vertical="top"/>
    </xf>
    <xf numFmtId="0" fontId="7" fillId="0" borderId="59" xfId="0" applyFont="1" applyFill="1" applyBorder="1" applyAlignment="1" applyProtection="1">
      <alignment horizontal="left" vertical="top"/>
    </xf>
    <xf numFmtId="0" fontId="7" fillId="12" borderId="141" xfId="0" applyFont="1" applyFill="1" applyBorder="1" applyAlignment="1" applyProtection="1">
      <alignment horizontal="left" vertical="top"/>
      <protection locked="0"/>
    </xf>
    <xf numFmtId="0" fontId="15" fillId="12" borderId="141" xfId="0" applyFont="1" applyFill="1" applyBorder="1" applyAlignment="1" applyProtection="1">
      <alignment horizontal="left" vertical="top" wrapText="1"/>
      <protection locked="0"/>
    </xf>
    <xf numFmtId="0" fontId="7" fillId="0" borderId="107" xfId="0" applyFont="1" applyFill="1" applyBorder="1" applyAlignment="1" applyProtection="1">
      <alignment horizontal="left" vertical="top" wrapText="1"/>
    </xf>
    <xf numFmtId="0" fontId="7" fillId="0" borderId="18" xfId="0" applyFont="1" applyFill="1" applyBorder="1" applyAlignment="1" applyProtection="1">
      <alignment horizontal="left" vertical="top" wrapText="1"/>
    </xf>
    <xf numFmtId="0" fontId="7" fillId="0" borderId="21" xfId="0" applyFont="1" applyFill="1" applyBorder="1" applyAlignment="1" applyProtection="1">
      <alignment horizontal="left" vertical="top" wrapText="1"/>
    </xf>
    <xf numFmtId="0" fontId="7" fillId="0" borderId="17" xfId="0" applyFont="1" applyFill="1" applyBorder="1" applyAlignment="1" applyProtection="1">
      <alignment horizontal="left" vertical="top" wrapText="1"/>
    </xf>
    <xf numFmtId="0" fontId="7" fillId="0" borderId="122" xfId="0" applyFont="1" applyFill="1" applyBorder="1" applyAlignment="1" applyProtection="1">
      <alignment horizontal="left" vertical="top" wrapText="1"/>
    </xf>
    <xf numFmtId="0" fontId="15" fillId="0" borderId="26" xfId="0" applyFont="1" applyFill="1" applyBorder="1" applyAlignment="1" applyProtection="1">
      <alignment horizontal="left" vertical="top"/>
    </xf>
    <xf numFmtId="0" fontId="15" fillId="0" borderId="41" xfId="0" applyFont="1" applyFill="1" applyBorder="1" applyAlignment="1" applyProtection="1">
      <alignment horizontal="left" vertical="top"/>
    </xf>
    <xf numFmtId="0" fontId="15" fillId="0" borderId="18" xfId="0" applyFont="1" applyFill="1" applyBorder="1" applyAlignment="1" applyProtection="1">
      <alignment horizontal="left" vertical="top" wrapText="1"/>
    </xf>
    <xf numFmtId="0" fontId="15" fillId="0" borderId="21" xfId="0" applyFont="1" applyFill="1" applyBorder="1" applyAlignment="1" applyProtection="1">
      <alignment horizontal="left" vertical="top" wrapText="1"/>
    </xf>
    <xf numFmtId="0" fontId="15" fillId="12" borderId="141" xfId="0" applyFont="1" applyFill="1" applyBorder="1" applyAlignment="1" applyProtection="1">
      <alignment horizontal="left" vertical="top"/>
      <protection locked="0"/>
    </xf>
    <xf numFmtId="49" fontId="29" fillId="0" borderId="26" xfId="0" applyNumberFormat="1" applyFont="1" applyFill="1" applyBorder="1" applyAlignment="1" applyProtection="1">
      <alignment horizontal="left" vertical="top" wrapText="1"/>
    </xf>
    <xf numFmtId="0" fontId="7" fillId="0" borderId="18" xfId="0" applyFont="1" applyFill="1" applyBorder="1" applyAlignment="1" applyProtection="1">
      <alignment horizontal="left" vertical="top"/>
    </xf>
    <xf numFmtId="0" fontId="7" fillId="0" borderId="21" xfId="0" applyFont="1" applyFill="1" applyBorder="1" applyAlignment="1" applyProtection="1">
      <alignment horizontal="left" vertical="top"/>
    </xf>
    <xf numFmtId="0" fontId="15" fillId="0" borderId="26" xfId="0" applyFont="1" applyFill="1" applyBorder="1" applyAlignment="1" applyProtection="1">
      <alignment horizontal="left" vertical="top" wrapText="1"/>
    </xf>
    <xf numFmtId="0" fontId="15" fillId="0" borderId="41" xfId="0" applyFont="1" applyFill="1" applyBorder="1" applyAlignment="1" applyProtection="1">
      <alignment horizontal="left" vertical="top" wrapText="1"/>
    </xf>
    <xf numFmtId="0" fontId="7" fillId="0" borderId="134" xfId="1" applyFont="1" applyBorder="1" applyAlignment="1" applyProtection="1">
      <alignment vertical="center" wrapText="1"/>
    </xf>
    <xf numFmtId="0" fontId="0" fillId="0" borderId="134" xfId="0" applyBorder="1" applyAlignment="1" applyProtection="1">
      <alignment vertical="center" wrapText="1"/>
    </xf>
    <xf numFmtId="0" fontId="0" fillId="0" borderId="135" xfId="0" applyBorder="1" applyAlignment="1" applyProtection="1">
      <alignment vertical="center" wrapText="1"/>
    </xf>
    <xf numFmtId="0" fontId="7" fillId="0" borderId="136" xfId="1" applyFont="1" applyBorder="1" applyAlignment="1" applyProtection="1">
      <alignment vertical="top" wrapText="1"/>
    </xf>
    <xf numFmtId="0" fontId="0" fillId="0" borderId="26" xfId="0" applyBorder="1" applyAlignment="1" applyProtection="1">
      <alignment vertical="top" wrapText="1"/>
    </xf>
    <xf numFmtId="0" fontId="0" fillId="0" borderId="41" xfId="0" applyBorder="1" applyAlignment="1" applyProtection="1">
      <alignment vertical="top" wrapText="1"/>
    </xf>
    <xf numFmtId="0" fontId="8" fillId="0" borderId="130" xfId="1" applyFont="1" applyBorder="1" applyAlignment="1" applyProtection="1">
      <alignment horizontal="left" vertical="top" wrapText="1"/>
      <protection locked="0"/>
    </xf>
    <xf numFmtId="0" fontId="8" fillId="0" borderId="131" xfId="1" applyFont="1" applyBorder="1" applyAlignment="1" applyProtection="1">
      <alignment horizontal="left" vertical="top" wrapText="1"/>
      <protection locked="0"/>
    </xf>
    <xf numFmtId="49" fontId="25" fillId="0" borderId="134" xfId="1" applyNumberFormat="1" applyFont="1" applyBorder="1" applyAlignment="1" applyProtection="1">
      <alignment horizontal="right" vertical="center" wrapText="1"/>
    </xf>
    <xf numFmtId="49" fontId="25" fillId="0" borderId="135" xfId="1" applyNumberFormat="1" applyFont="1" applyBorder="1" applyAlignment="1" applyProtection="1">
      <alignment horizontal="right" vertical="center" wrapText="1"/>
    </xf>
    <xf numFmtId="0" fontId="7" fillId="0" borderId="121" xfId="1" applyFont="1" applyBorder="1" applyAlignment="1" applyProtection="1">
      <alignment vertical="center" wrapText="1"/>
    </xf>
    <xf numFmtId="0" fontId="0" fillId="0" borderId="15" xfId="0" applyBorder="1" applyAlignment="1" applyProtection="1">
      <alignment vertical="center" wrapText="1"/>
    </xf>
    <xf numFmtId="49" fontId="4" fillId="0" borderId="134" xfId="1" applyNumberFormat="1" applyFont="1" applyFill="1" applyBorder="1" applyAlignment="1" applyProtection="1">
      <alignment horizontal="right" vertical="center" wrapText="1"/>
    </xf>
    <xf numFmtId="0" fontId="0" fillId="0" borderId="134" xfId="0" applyBorder="1" applyAlignment="1" applyProtection="1">
      <alignment horizontal="right" vertical="center" wrapText="1"/>
    </xf>
    <xf numFmtId="0" fontId="7" fillId="0" borderId="133" xfId="1" applyFont="1" applyBorder="1" applyAlignment="1" applyProtection="1">
      <alignment vertical="top" wrapText="1"/>
    </xf>
    <xf numFmtId="0" fontId="0" fillId="0" borderId="133" xfId="0" applyBorder="1" applyAlignment="1" applyProtection="1">
      <alignment vertical="top" wrapText="1"/>
    </xf>
    <xf numFmtId="0" fontId="15" fillId="0" borderId="134" xfId="1" applyFont="1" applyFill="1" applyBorder="1" applyAlignment="1" applyProtection="1">
      <alignment vertical="center" wrapText="1"/>
    </xf>
    <xf numFmtId="0" fontId="38" fillId="0" borderId="134" xfId="0" applyFont="1" applyFill="1" applyBorder="1" applyAlignment="1" applyProtection="1">
      <alignment vertical="center" wrapText="1"/>
    </xf>
    <xf numFmtId="0" fontId="38" fillId="0" borderId="135" xfId="0" applyFont="1" applyFill="1" applyBorder="1" applyAlignment="1" applyProtection="1">
      <alignment vertical="center" wrapText="1"/>
    </xf>
    <xf numFmtId="0" fontId="0" fillId="0" borderId="134" xfId="0" applyFill="1" applyBorder="1" applyAlignment="1" applyProtection="1">
      <alignment vertical="center" wrapText="1"/>
    </xf>
    <xf numFmtId="0" fontId="0" fillId="0" borderId="135" xfId="0" applyFill="1" applyBorder="1" applyAlignment="1" applyProtection="1">
      <alignment vertical="center" wrapText="1"/>
    </xf>
    <xf numFmtId="0" fontId="18" fillId="0" borderId="134" xfId="1" applyFont="1" applyBorder="1" applyAlignment="1" applyProtection="1">
      <alignment vertical="center" wrapText="1"/>
    </xf>
    <xf numFmtId="0" fontId="6" fillId="0" borderId="134" xfId="0" applyFont="1" applyBorder="1" applyAlignment="1" applyProtection="1">
      <alignment vertical="center" wrapText="1"/>
    </xf>
    <xf numFmtId="0" fontId="6" fillId="0" borderId="135" xfId="0" applyFont="1" applyBorder="1" applyAlignment="1" applyProtection="1">
      <alignment vertical="center" wrapText="1"/>
    </xf>
    <xf numFmtId="49" fontId="25" fillId="0" borderId="118" xfId="1" applyNumberFormat="1" applyFont="1" applyBorder="1" applyAlignment="1" applyProtection="1">
      <alignment horizontal="right" vertical="center" wrapText="1"/>
    </xf>
    <xf numFmtId="49" fontId="25" fillId="0" borderId="14" xfId="1" applyNumberFormat="1" applyFont="1" applyBorder="1" applyAlignment="1" applyProtection="1">
      <alignment horizontal="right" vertical="center" wrapText="1"/>
    </xf>
    <xf numFmtId="49" fontId="25" fillId="0" borderId="0" xfId="1" applyNumberFormat="1" applyFont="1" applyBorder="1" applyAlignment="1" applyProtection="1">
      <alignment horizontal="right" vertical="center" wrapText="1"/>
    </xf>
    <xf numFmtId="0" fontId="7" fillId="0" borderId="111" xfId="1" applyFont="1" applyBorder="1" applyAlignment="1" applyProtection="1">
      <alignment vertical="center" wrapText="1"/>
    </xf>
    <xf numFmtId="0" fontId="0" fillId="0" borderId="91" xfId="0" applyBorder="1" applyAlignment="1" applyProtection="1">
      <alignment vertical="center" wrapText="1"/>
    </xf>
    <xf numFmtId="0" fontId="15" fillId="0" borderId="48" xfId="1" applyFont="1" applyFill="1" applyBorder="1" applyAlignment="1" applyProtection="1">
      <alignment vertical="center" wrapText="1"/>
    </xf>
    <xf numFmtId="0" fontId="38" fillId="0" borderId="48" xfId="0" applyFont="1" applyFill="1" applyBorder="1" applyAlignment="1" applyProtection="1">
      <alignment vertical="center" wrapText="1"/>
    </xf>
    <xf numFmtId="0" fontId="38" fillId="0" borderId="42" xfId="0" applyFont="1" applyFill="1" applyBorder="1" applyAlignment="1" applyProtection="1">
      <alignment vertical="center" wrapText="1"/>
    </xf>
    <xf numFmtId="0" fontId="18" fillId="0" borderId="137" xfId="1" applyFont="1" applyBorder="1" applyAlignment="1" applyProtection="1">
      <alignment vertical="center" wrapText="1"/>
    </xf>
    <xf numFmtId="0" fontId="0" fillId="0" borderId="137" xfId="0" applyBorder="1" applyAlignment="1" applyProtection="1">
      <alignment vertical="center" wrapText="1"/>
    </xf>
    <xf numFmtId="0" fontId="0" fillId="0" borderId="138" xfId="0" applyBorder="1" applyAlignment="1" applyProtection="1">
      <alignment vertical="center" wrapText="1"/>
    </xf>
    <xf numFmtId="0" fontId="15" fillId="0" borderId="10" xfId="1" applyFont="1" applyFill="1" applyBorder="1" applyAlignment="1" applyProtection="1">
      <alignment vertical="center" wrapText="1"/>
    </xf>
    <xf numFmtId="0" fontId="38" fillId="0" borderId="10" xfId="0" applyFont="1" applyFill="1" applyBorder="1" applyAlignment="1" applyProtection="1">
      <alignment vertical="center" wrapText="1"/>
    </xf>
    <xf numFmtId="0" fontId="38" fillId="0" borderId="70" xfId="0" applyFont="1" applyFill="1" applyBorder="1" applyAlignment="1" applyProtection="1">
      <alignment vertical="center" wrapText="1"/>
    </xf>
    <xf numFmtId="49" fontId="12" fillId="8" borderId="26" xfId="1" applyNumberFormat="1" applyFont="1" applyFill="1" applyBorder="1" applyAlignment="1" applyProtection="1">
      <alignment horizontal="center" vertical="center"/>
      <protection locked="0"/>
    </xf>
    <xf numFmtId="0" fontId="12" fillId="8" borderId="26" xfId="1" applyFont="1" applyFill="1" applyBorder="1" applyAlignment="1" applyProtection="1">
      <alignment horizontal="center" vertical="center"/>
      <protection locked="0"/>
    </xf>
    <xf numFmtId="1" fontId="12" fillId="8" borderId="26" xfId="1" applyNumberFormat="1" applyFont="1" applyFill="1" applyBorder="1" applyAlignment="1" applyProtection="1">
      <alignment horizontal="center" vertical="center"/>
      <protection locked="0"/>
    </xf>
    <xf numFmtId="2" fontId="12" fillId="8" borderId="26" xfId="1" applyNumberFormat="1" applyFont="1" applyFill="1" applyBorder="1" applyAlignment="1" applyProtection="1">
      <alignment horizontal="center" vertical="center"/>
      <protection locked="0"/>
    </xf>
    <xf numFmtId="49" fontId="4" fillId="0" borderId="10" xfId="1" applyNumberFormat="1" applyFont="1" applyFill="1" applyBorder="1" applyAlignment="1" applyProtection="1">
      <alignment horizontal="right" vertical="center" wrapText="1"/>
    </xf>
    <xf numFmtId="0" fontId="0" fillId="0" borderId="10" xfId="0" applyBorder="1" applyAlignment="1" applyProtection="1">
      <alignment horizontal="right" vertical="center" wrapText="1"/>
    </xf>
    <xf numFmtId="0" fontId="7" fillId="0" borderId="133" xfId="1" applyFont="1" applyBorder="1" applyAlignment="1" applyProtection="1">
      <alignment horizontal="center" vertical="top" wrapText="1"/>
    </xf>
    <xf numFmtId="0" fontId="38" fillId="0" borderId="134" xfId="1" applyFont="1" applyFill="1" applyBorder="1" applyAlignment="1" applyProtection="1">
      <alignment vertical="center" wrapText="1"/>
    </xf>
    <xf numFmtId="0" fontId="38" fillId="0" borderId="135" xfId="1" applyFont="1" applyFill="1" applyBorder="1" applyAlignment="1" applyProtection="1">
      <alignment vertical="center" wrapText="1"/>
    </xf>
    <xf numFmtId="0" fontId="7" fillId="0" borderId="121" xfId="1" applyFont="1" applyFill="1" applyBorder="1" applyAlignment="1" applyProtection="1">
      <alignment vertical="center" wrapText="1"/>
    </xf>
    <xf numFmtId="0" fontId="0" fillId="0" borderId="15" xfId="0" applyFill="1" applyBorder="1" applyAlignment="1" applyProtection="1">
      <alignment vertical="center" wrapText="1"/>
    </xf>
    <xf numFmtId="0" fontId="7" fillId="0" borderId="134" xfId="1" applyFont="1" applyBorder="1" applyAlignment="1" applyProtection="1">
      <alignment vertical="top" wrapText="1"/>
    </xf>
    <xf numFmtId="0" fontId="0" fillId="0" borderId="134" xfId="0" applyBorder="1" applyAlignment="1" applyProtection="1">
      <alignment vertical="top" wrapText="1"/>
    </xf>
    <xf numFmtId="0" fontId="0" fillId="0" borderId="135" xfId="0" applyBorder="1" applyAlignment="1" applyProtection="1">
      <alignment vertical="top" wrapText="1"/>
    </xf>
    <xf numFmtId="0" fontId="64" fillId="30" borderId="133" xfId="1" applyFont="1" applyFill="1" applyBorder="1" applyAlignment="1" applyProtection="1">
      <alignment horizontal="center" vertical="center" wrapText="1"/>
    </xf>
    <xf numFmtId="0" fontId="64" fillId="30" borderId="134" xfId="1" applyFont="1" applyFill="1" applyBorder="1" applyAlignment="1" applyProtection="1">
      <alignment horizontal="center" vertical="center" wrapText="1"/>
    </xf>
    <xf numFmtId="0" fontId="64" fillId="30" borderId="135" xfId="1" applyFont="1" applyFill="1" applyBorder="1" applyAlignment="1" applyProtection="1">
      <alignment horizontal="center" vertical="center" wrapText="1"/>
    </xf>
    <xf numFmtId="49" fontId="15" fillId="30" borderId="134" xfId="1" applyNumberFormat="1" applyFont="1" applyFill="1" applyBorder="1" applyAlignment="1" applyProtection="1">
      <alignment horizontal="center" vertical="center" wrapText="1"/>
    </xf>
    <xf numFmtId="49" fontId="15" fillId="30" borderId="135" xfId="1" applyNumberFormat="1" applyFont="1" applyFill="1" applyBorder="1" applyAlignment="1" applyProtection="1">
      <alignment horizontal="center" vertical="center" wrapText="1"/>
    </xf>
    <xf numFmtId="0" fontId="18" fillId="0" borderId="134" xfId="1" applyFont="1" applyBorder="1" applyAlignment="1" applyProtection="1">
      <alignment horizontal="left" vertical="center" wrapText="1"/>
    </xf>
    <xf numFmtId="0" fontId="18" fillId="0" borderId="135" xfId="1" applyFont="1" applyBorder="1" applyAlignment="1" applyProtection="1">
      <alignment horizontal="left" vertical="center" wrapText="1"/>
    </xf>
    <xf numFmtId="0" fontId="7" fillId="0" borderId="134" xfId="1" applyFont="1" applyBorder="1" applyAlignment="1" applyProtection="1">
      <alignment horizontal="left" vertical="center" wrapText="1"/>
    </xf>
    <xf numFmtId="0" fontId="7" fillId="0" borderId="135" xfId="1" applyFont="1" applyBorder="1" applyAlignment="1" applyProtection="1">
      <alignment horizontal="left" vertical="center" wrapText="1"/>
    </xf>
    <xf numFmtId="0" fontId="15" fillId="30" borderId="134" xfId="1" applyFont="1" applyFill="1" applyBorder="1" applyAlignment="1" applyProtection="1">
      <alignment vertical="center" wrapText="1"/>
    </xf>
    <xf numFmtId="0" fontId="38" fillId="30" borderId="134" xfId="0" applyFont="1" applyFill="1" applyBorder="1" applyAlignment="1" applyProtection="1">
      <alignment vertical="center" wrapText="1"/>
    </xf>
    <xf numFmtId="0" fontId="38" fillId="30" borderId="135" xfId="0" applyFont="1" applyFill="1" applyBorder="1" applyAlignment="1" applyProtection="1">
      <alignment vertical="center" wrapText="1"/>
    </xf>
    <xf numFmtId="0" fontId="7" fillId="0" borderId="20" xfId="0" applyFont="1" applyBorder="1" applyAlignment="1">
      <alignment horizontal="left" vertical="top" wrapText="1"/>
    </xf>
    <xf numFmtId="0" fontId="7" fillId="0" borderId="26" xfId="0" applyFont="1" applyBorder="1" applyAlignment="1">
      <alignment horizontal="left" vertical="top" wrapText="1"/>
    </xf>
    <xf numFmtId="0" fontId="7" fillId="0" borderId="41" xfId="0" applyFont="1" applyBorder="1" applyAlignment="1">
      <alignment horizontal="left" vertical="top" wrapText="1"/>
    </xf>
    <xf numFmtId="0" fontId="7" fillId="0" borderId="17" xfId="0" applyFont="1" applyBorder="1" applyAlignment="1">
      <alignment horizontal="left" vertical="top" wrapText="1"/>
    </xf>
    <xf numFmtId="0" fontId="7" fillId="0" borderId="61" xfId="0" applyFont="1" applyBorder="1" applyAlignment="1">
      <alignment horizontal="center" vertical="top" wrapText="1"/>
    </xf>
    <xf numFmtId="0" fontId="70" fillId="0" borderId="0" xfId="0" applyFont="1" applyBorder="1" applyAlignment="1" applyProtection="1">
      <alignment horizontal="center" vertical="top" wrapText="1"/>
      <protection hidden="1"/>
    </xf>
    <xf numFmtId="0" fontId="7" fillId="0" borderId="26" xfId="0" applyFont="1" applyFill="1" applyBorder="1" applyAlignment="1">
      <alignment horizontal="left" vertical="top" wrapText="1"/>
    </xf>
    <xf numFmtId="1" fontId="7" fillId="0" borderId="26" xfId="0" applyNumberFormat="1" applyFont="1" applyFill="1" applyBorder="1" applyAlignment="1">
      <alignment horizontal="left" vertical="top" wrapText="1"/>
    </xf>
    <xf numFmtId="1" fontId="7" fillId="0" borderId="41" xfId="0" applyNumberFormat="1" applyFont="1" applyFill="1" applyBorder="1" applyAlignment="1">
      <alignment horizontal="left" vertical="top" wrapText="1"/>
    </xf>
    <xf numFmtId="1" fontId="7" fillId="0" borderId="20" xfId="0" applyNumberFormat="1" applyFont="1" applyFill="1" applyBorder="1" applyAlignment="1">
      <alignment horizontal="left" vertical="top" wrapText="1"/>
    </xf>
    <xf numFmtId="0" fontId="7" fillId="0" borderId="20" xfId="0" applyFont="1" applyFill="1" applyBorder="1" applyAlignment="1">
      <alignment horizontal="left" vertical="top" wrapText="1"/>
    </xf>
    <xf numFmtId="0" fontId="7" fillId="0" borderId="41" xfId="0" applyFont="1" applyFill="1" applyBorder="1" applyAlignment="1">
      <alignment horizontal="left" vertical="top" wrapText="1"/>
    </xf>
    <xf numFmtId="0" fontId="30" fillId="0" borderId="31" xfId="0" applyFont="1" applyFill="1" applyBorder="1" applyAlignment="1">
      <alignment horizontal="left" vertical="top" wrapText="1"/>
    </xf>
    <xf numFmtId="0" fontId="30" fillId="0" borderId="59" xfId="0" applyFont="1" applyFill="1" applyBorder="1" applyAlignment="1">
      <alignment horizontal="left" vertical="top" wrapText="1"/>
    </xf>
    <xf numFmtId="0" fontId="30" fillId="0" borderId="19" xfId="0" applyFont="1" applyFill="1" applyBorder="1" applyAlignment="1">
      <alignment horizontal="left" vertical="top" wrapText="1"/>
    </xf>
    <xf numFmtId="0" fontId="49" fillId="0" borderId="89" xfId="0" applyFont="1" applyFill="1" applyBorder="1" applyAlignment="1">
      <alignment vertical="top" wrapText="1"/>
    </xf>
    <xf numFmtId="0" fontId="49" fillId="0" borderId="82" xfId="0" applyFont="1" applyFill="1" applyBorder="1" applyAlignment="1">
      <alignment vertical="top" wrapText="1"/>
    </xf>
    <xf numFmtId="0" fontId="49" fillId="0" borderId="28" xfId="0" applyFont="1" applyFill="1" applyBorder="1" applyAlignment="1">
      <alignment vertical="top" wrapText="1"/>
    </xf>
    <xf numFmtId="0" fontId="54" fillId="0" borderId="89" xfId="0" applyFont="1" applyFill="1" applyBorder="1" applyAlignment="1">
      <alignment horizontal="left" vertical="top" wrapText="1"/>
    </xf>
    <xf numFmtId="0" fontId="49" fillId="0" borderId="82" xfId="0" applyFont="1" applyFill="1" applyBorder="1" applyAlignment="1">
      <alignment horizontal="left" vertical="top" wrapText="1"/>
    </xf>
    <xf numFmtId="0" fontId="49" fillId="0" borderId="28" xfId="0" applyFont="1" applyFill="1" applyBorder="1" applyAlignment="1">
      <alignment horizontal="left" vertical="top" wrapText="1"/>
    </xf>
    <xf numFmtId="0" fontId="49" fillId="0" borderId="29" xfId="0" applyFont="1" applyFill="1" applyBorder="1" applyAlignment="1">
      <alignment vertical="top" wrapText="1"/>
    </xf>
    <xf numFmtId="0" fontId="49" fillId="0" borderId="37" xfId="0" applyFont="1" applyFill="1" applyBorder="1" applyAlignment="1">
      <alignment vertical="top" wrapText="1"/>
    </xf>
    <xf numFmtId="0" fontId="49" fillId="0" borderId="28" xfId="0" applyFont="1" applyBorder="1" applyAlignment="1">
      <alignment vertical="top" wrapText="1"/>
    </xf>
    <xf numFmtId="0" fontId="49" fillId="0" borderId="89" xfId="0" applyFont="1" applyBorder="1" applyAlignment="1">
      <alignment horizontal="left" vertical="top" wrapText="1"/>
    </xf>
    <xf numFmtId="0" fontId="49" fillId="0" borderId="82" xfId="0" applyFont="1" applyBorder="1" applyAlignment="1">
      <alignment horizontal="left" vertical="top" wrapText="1"/>
    </xf>
    <xf numFmtId="0" fontId="49" fillId="0" borderId="28" xfId="0" applyFont="1" applyBorder="1" applyAlignment="1">
      <alignment horizontal="left" vertical="top" wrapText="1"/>
    </xf>
    <xf numFmtId="0" fontId="49" fillId="0" borderId="27" xfId="0" applyFont="1" applyFill="1" applyBorder="1" applyAlignment="1">
      <alignment horizontal="left" vertical="top" wrapText="1"/>
    </xf>
    <xf numFmtId="0" fontId="49" fillId="0" borderId="69" xfId="0" applyFont="1" applyFill="1" applyBorder="1" applyAlignment="1">
      <alignment horizontal="left" vertical="top" wrapText="1"/>
    </xf>
    <xf numFmtId="0" fontId="49" fillId="0" borderId="70" xfId="0" applyFont="1" applyFill="1" applyBorder="1" applyAlignment="1">
      <alignment horizontal="left" vertical="top" wrapText="1"/>
    </xf>
    <xf numFmtId="1" fontId="30" fillId="0" borderId="31" xfId="0" applyNumberFormat="1" applyFont="1" applyFill="1" applyBorder="1" applyAlignment="1">
      <alignment horizontal="left" vertical="top" wrapText="1"/>
    </xf>
    <xf numFmtId="1" fontId="30" fillId="0" borderId="59" xfId="0" applyNumberFormat="1" applyFont="1" applyFill="1" applyBorder="1" applyAlignment="1">
      <alignment horizontal="left" vertical="top" wrapText="1"/>
    </xf>
    <xf numFmtId="1" fontId="30" fillId="0" borderId="19" xfId="0" applyNumberFormat="1" applyFont="1" applyFill="1" applyBorder="1" applyAlignment="1">
      <alignment horizontal="left" vertical="top" wrapText="1"/>
    </xf>
    <xf numFmtId="0" fontId="49" fillId="0" borderId="29" xfId="0" applyFont="1" applyFill="1" applyBorder="1" applyAlignment="1">
      <alignment horizontal="left" vertical="top" wrapText="1"/>
    </xf>
    <xf numFmtId="1" fontId="30" fillId="0" borderId="59" xfId="0" applyNumberFormat="1" applyFont="1" applyBorder="1" applyAlignment="1" applyProtection="1">
      <alignment horizontal="center" vertical="top" wrapText="1"/>
      <protection hidden="1"/>
    </xf>
    <xf numFmtId="1" fontId="30" fillId="0" borderId="0" xfId="0" applyNumberFormat="1" applyFont="1" applyBorder="1" applyAlignment="1" applyProtection="1">
      <alignment horizontal="center" vertical="top" wrapText="1"/>
      <protection hidden="1"/>
    </xf>
    <xf numFmtId="0" fontId="42" fillId="4" borderId="30" xfId="0" applyFont="1" applyFill="1" applyBorder="1" applyAlignment="1">
      <alignment horizontal="center" vertical="top" wrapText="1"/>
    </xf>
    <xf numFmtId="0" fontId="42" fillId="4" borderId="42" xfId="0" applyFont="1" applyFill="1" applyBorder="1" applyAlignment="1">
      <alignment horizontal="center" vertical="top" wrapText="1"/>
    </xf>
    <xf numFmtId="1" fontId="30" fillId="0" borderId="20" xfId="0" applyNumberFormat="1" applyFont="1" applyFill="1" applyBorder="1" applyAlignment="1">
      <alignment horizontal="left" vertical="top" wrapText="1"/>
    </xf>
    <xf numFmtId="0" fontId="30" fillId="0" borderId="26" xfId="0" applyFont="1" applyFill="1" applyBorder="1" applyAlignment="1">
      <alignment horizontal="left" vertical="top" wrapText="1"/>
    </xf>
    <xf numFmtId="0" fontId="30" fillId="0" borderId="41" xfId="0" applyFont="1" applyFill="1" applyBorder="1" applyAlignment="1">
      <alignment horizontal="left" vertical="top" wrapText="1"/>
    </xf>
    <xf numFmtId="0" fontId="7" fillId="0" borderId="13" xfId="0" applyFont="1" applyBorder="1" applyAlignment="1">
      <alignment horizontal="left" vertical="top" wrapText="1"/>
    </xf>
    <xf numFmtId="0" fontId="7" fillId="0" borderId="31" xfId="0" applyFont="1" applyBorder="1" applyAlignment="1">
      <alignment horizontal="left" vertical="top" wrapText="1"/>
    </xf>
    <xf numFmtId="0" fontId="7" fillId="0" borderId="59" xfId="0" applyFont="1" applyBorder="1" applyAlignment="1">
      <alignment horizontal="left" vertical="top" wrapText="1"/>
    </xf>
    <xf numFmtId="0" fontId="7" fillId="0" borderId="19" xfId="0" applyFont="1" applyBorder="1" applyAlignment="1">
      <alignment horizontal="left" vertical="top" wrapText="1"/>
    </xf>
    <xf numFmtId="0" fontId="7" fillId="0" borderId="19" xfId="0" applyFont="1" applyBorder="1" applyAlignment="1">
      <alignment horizontal="center" vertical="top" wrapText="1"/>
    </xf>
    <xf numFmtId="0" fontId="7" fillId="0" borderId="10" xfId="0" applyFont="1" applyBorder="1" applyAlignment="1">
      <alignment horizontal="center" vertical="top" wrapText="1"/>
    </xf>
    <xf numFmtId="0" fontId="7" fillId="0" borderId="70" xfId="0" applyFont="1" applyBorder="1" applyAlignment="1">
      <alignment horizontal="center" vertical="top" wrapText="1"/>
    </xf>
    <xf numFmtId="0" fontId="42" fillId="4" borderId="75" xfId="0" applyFont="1" applyFill="1" applyBorder="1" applyAlignment="1">
      <alignment horizontal="center" vertical="top" wrapText="1"/>
    </xf>
    <xf numFmtId="0" fontId="42" fillId="4" borderId="37" xfId="0" applyFont="1" applyFill="1" applyBorder="1" applyAlignment="1">
      <alignment horizontal="center" vertical="top" wrapText="1"/>
    </xf>
    <xf numFmtId="0" fontId="7" fillId="0" borderId="12" xfId="0" applyFont="1" applyBorder="1" applyAlignment="1">
      <alignment vertical="top" wrapText="1"/>
    </xf>
    <xf numFmtId="0" fontId="7" fillId="0" borderId="51" xfId="0" applyFont="1" applyBorder="1" applyAlignment="1">
      <alignment vertical="top" wrapText="1"/>
    </xf>
    <xf numFmtId="0" fontId="7" fillId="0" borderId="27" xfId="0" applyFont="1" applyFill="1" applyBorder="1" applyAlignment="1">
      <alignment vertical="top" wrapText="1"/>
    </xf>
    <xf numFmtId="0" fontId="7" fillId="0" borderId="69" xfId="0" applyFont="1" applyFill="1" applyBorder="1" applyAlignment="1">
      <alignment vertical="top" wrapText="1"/>
    </xf>
    <xf numFmtId="0" fontId="7" fillId="0" borderId="70" xfId="0" applyFont="1" applyFill="1" applyBorder="1" applyAlignment="1">
      <alignment vertical="top" wrapText="1"/>
    </xf>
    <xf numFmtId="0" fontId="7" fillId="0" borderId="27" xfId="0" applyFont="1" applyBorder="1" applyAlignment="1">
      <alignment vertical="top" wrapText="1"/>
    </xf>
    <xf numFmtId="0" fontId="7" fillId="0" borderId="69" xfId="0" applyFont="1" applyBorder="1" applyAlignment="1">
      <alignment vertical="top" wrapText="1"/>
    </xf>
    <xf numFmtId="0" fontId="7" fillId="0" borderId="70" xfId="0" applyFont="1" applyBorder="1" applyAlignment="1">
      <alignment vertical="top" wrapText="1"/>
    </xf>
    <xf numFmtId="0" fontId="7" fillId="0" borderId="27" xfId="0" applyFont="1" applyFill="1" applyBorder="1" applyAlignment="1">
      <alignment horizontal="left" vertical="top" wrapText="1"/>
    </xf>
    <xf numFmtId="0" fontId="7" fillId="0" borderId="69" xfId="0" applyFont="1" applyFill="1" applyBorder="1" applyAlignment="1">
      <alignment horizontal="left" vertical="top" wrapText="1"/>
    </xf>
    <xf numFmtId="0" fontId="7" fillId="0" borderId="70" xfId="0" applyFont="1" applyFill="1" applyBorder="1" applyAlignment="1">
      <alignment horizontal="left" vertical="top" wrapText="1"/>
    </xf>
    <xf numFmtId="0" fontId="7" fillId="0" borderId="70" xfId="0" applyFont="1" applyBorder="1" applyAlignment="1">
      <alignment horizontal="left" vertical="top" wrapText="1"/>
    </xf>
    <xf numFmtId="0" fontId="7" fillId="0" borderId="20" xfId="0" applyFont="1" applyFill="1" applyBorder="1" applyAlignment="1">
      <alignment horizontal="left" vertical="top"/>
    </xf>
    <xf numFmtId="0" fontId="7" fillId="0" borderId="26" xfId="0" applyFont="1" applyFill="1" applyBorder="1" applyAlignment="1">
      <alignment horizontal="left" vertical="top"/>
    </xf>
    <xf numFmtId="0" fontId="7" fillId="0" borderId="41" xfId="0" applyFont="1" applyFill="1" applyBorder="1" applyAlignment="1">
      <alignment horizontal="left" vertical="top"/>
    </xf>
    <xf numFmtId="0" fontId="7" fillId="0" borderId="31" xfId="0" applyFont="1" applyFill="1" applyBorder="1" applyAlignment="1">
      <alignment horizontal="left" vertical="top" wrapText="1"/>
    </xf>
    <xf numFmtId="0" fontId="7" fillId="0" borderId="59" xfId="0" applyFont="1" applyFill="1" applyBorder="1" applyAlignment="1">
      <alignment horizontal="left" vertical="top" wrapText="1"/>
    </xf>
    <xf numFmtId="0" fontId="7" fillId="0" borderId="19" xfId="0" applyFont="1" applyFill="1" applyBorder="1" applyAlignment="1">
      <alignment horizontal="left" vertical="top" wrapText="1"/>
    </xf>
    <xf numFmtId="1" fontId="7" fillId="0" borderId="19" xfId="0" applyNumberFormat="1" applyFont="1" applyBorder="1" applyAlignment="1">
      <alignment horizontal="center" vertical="top"/>
    </xf>
    <xf numFmtId="1" fontId="7" fillId="0" borderId="10" xfId="0" applyNumberFormat="1" applyFont="1" applyBorder="1" applyAlignment="1">
      <alignment horizontal="center" vertical="top"/>
    </xf>
    <xf numFmtId="1" fontId="7" fillId="0" borderId="70" xfId="0" applyNumberFormat="1" applyFont="1" applyBorder="1" applyAlignment="1">
      <alignment horizontal="center" vertical="top"/>
    </xf>
    <xf numFmtId="0" fontId="30" fillId="0" borderId="61" xfId="0" applyFont="1" applyBorder="1" applyAlignment="1">
      <alignment horizontal="center" vertical="top" wrapText="1"/>
    </xf>
    <xf numFmtId="0" fontId="30" fillId="0" borderId="10" xfId="0" applyFont="1" applyBorder="1" applyAlignment="1">
      <alignment horizontal="center" vertical="top" wrapText="1"/>
    </xf>
    <xf numFmtId="0" fontId="15" fillId="0" borderId="69" xfId="0" applyFont="1" applyFill="1" applyBorder="1" applyAlignment="1">
      <alignment horizontal="left" vertical="top" wrapText="1"/>
    </xf>
    <xf numFmtId="1" fontId="7" fillId="0" borderId="59" xfId="0" applyNumberFormat="1" applyFont="1" applyBorder="1" applyAlignment="1">
      <alignment horizontal="left" vertical="top" wrapText="1"/>
    </xf>
    <xf numFmtId="1" fontId="7" fillId="0" borderId="59" xfId="0" applyNumberFormat="1" applyFont="1" applyFill="1" applyBorder="1" applyAlignment="1">
      <alignment horizontal="left" vertical="top" wrapText="1"/>
    </xf>
    <xf numFmtId="0" fontId="70" fillId="0" borderId="0" xfId="0" applyFont="1" applyAlignment="1" applyProtection="1">
      <alignment horizontal="center" vertical="top" wrapText="1"/>
      <protection hidden="1"/>
    </xf>
    <xf numFmtId="0" fontId="42" fillId="4" borderId="31" xfId="0" applyFont="1" applyFill="1" applyBorder="1" applyAlignment="1">
      <alignment horizontal="center" vertical="top" wrapText="1"/>
    </xf>
    <xf numFmtId="0" fontId="42" fillId="4" borderId="27" xfId="0" applyFont="1" applyFill="1" applyBorder="1" applyAlignment="1">
      <alignment horizontal="center" vertical="top" wrapText="1"/>
    </xf>
    <xf numFmtId="0" fontId="30" fillId="0" borderId="26" xfId="0" applyFont="1" applyFill="1" applyBorder="1" applyAlignment="1">
      <alignment vertical="top" wrapText="1"/>
    </xf>
    <xf numFmtId="1" fontId="30" fillId="0" borderId="31" xfId="0" applyNumberFormat="1" applyFont="1" applyBorder="1" applyAlignment="1">
      <alignment horizontal="left" vertical="top" wrapText="1"/>
    </xf>
    <xf numFmtId="1" fontId="30" fillId="0" borderId="59" xfId="0" applyNumberFormat="1" applyFont="1" applyBorder="1" applyAlignment="1">
      <alignment horizontal="left" vertical="top" wrapText="1"/>
    </xf>
    <xf numFmtId="1" fontId="30" fillId="0" borderId="19" xfId="0" applyNumberFormat="1" applyFont="1" applyBorder="1" applyAlignment="1">
      <alignment horizontal="left" vertical="top" wrapText="1"/>
    </xf>
    <xf numFmtId="1" fontId="30" fillId="0" borderId="20" xfId="0" applyNumberFormat="1" applyFont="1" applyBorder="1" applyAlignment="1">
      <alignment horizontal="left" vertical="top" wrapText="1"/>
    </xf>
    <xf numFmtId="1" fontId="30" fillId="0" borderId="26" xfId="0" applyNumberFormat="1" applyFont="1" applyBorder="1" applyAlignment="1">
      <alignment horizontal="left" vertical="top" wrapText="1"/>
    </xf>
    <xf numFmtId="1" fontId="30" fillId="0" borderId="41" xfId="0" applyNumberFormat="1" applyFont="1" applyBorder="1" applyAlignment="1">
      <alignment horizontal="left" vertical="top" wrapText="1"/>
    </xf>
    <xf numFmtId="0" fontId="30" fillId="0" borderId="13" xfId="0" applyFont="1" applyFill="1" applyBorder="1" applyAlignment="1">
      <alignment horizontal="left" vertical="top" wrapText="1"/>
    </xf>
    <xf numFmtId="1" fontId="32" fillId="0" borderId="19" xfId="0" applyNumberFormat="1" applyFont="1" applyBorder="1" applyAlignment="1">
      <alignment horizontal="center" vertical="top" wrapText="1"/>
    </xf>
    <xf numFmtId="1" fontId="32" fillId="0" borderId="10" xfId="0" applyNumberFormat="1" applyFont="1" applyBorder="1" applyAlignment="1">
      <alignment horizontal="center" vertical="top" wrapText="1"/>
    </xf>
    <xf numFmtId="1" fontId="32" fillId="0" borderId="70" xfId="0" applyNumberFormat="1" applyFont="1" applyBorder="1" applyAlignment="1">
      <alignment horizontal="center" vertical="top" wrapText="1"/>
    </xf>
    <xf numFmtId="0" fontId="7" fillId="0" borderId="69" xfId="0" applyFont="1" applyBorder="1" applyAlignment="1">
      <alignment horizontal="left" vertical="top" wrapText="1"/>
    </xf>
    <xf numFmtId="1" fontId="7" fillId="0" borderId="25" xfId="0" applyNumberFormat="1" applyFont="1" applyFill="1" applyBorder="1" applyAlignment="1">
      <alignment horizontal="left" vertical="top" wrapText="1"/>
    </xf>
    <xf numFmtId="1" fontId="7" fillId="0" borderId="18" xfId="0" applyNumberFormat="1" applyFont="1" applyFill="1" applyBorder="1" applyAlignment="1">
      <alignment horizontal="left" vertical="top" wrapText="1"/>
    </xf>
    <xf numFmtId="1" fontId="7" fillId="0" borderId="21" xfId="0" applyNumberFormat="1" applyFont="1" applyFill="1" applyBorder="1" applyAlignment="1">
      <alignment horizontal="left" vertical="top" wrapText="1"/>
    </xf>
    <xf numFmtId="1" fontId="30" fillId="0" borderId="26" xfId="0" applyNumberFormat="1" applyFont="1" applyFill="1" applyBorder="1" applyAlignment="1">
      <alignment horizontal="left" vertical="top" wrapText="1"/>
    </xf>
    <xf numFmtId="0" fontId="30" fillId="0" borderId="26" xfId="0" applyFont="1" applyBorder="1" applyAlignment="1">
      <alignment horizontal="left" vertical="top" wrapText="1"/>
    </xf>
    <xf numFmtId="0" fontId="30" fillId="0" borderId="41" xfId="0" applyFont="1" applyBorder="1" applyAlignment="1">
      <alignment horizontal="left" vertical="top" wrapText="1"/>
    </xf>
    <xf numFmtId="0" fontId="30" fillId="0" borderId="20" xfId="0" applyFont="1" applyFill="1" applyBorder="1" applyAlignment="1">
      <alignment horizontal="left" vertical="top" wrapText="1"/>
    </xf>
    <xf numFmtId="1" fontId="7" fillId="0" borderId="22" xfId="0" applyNumberFormat="1" applyFont="1" applyFill="1" applyBorder="1" applyAlignment="1">
      <alignment horizontal="left" vertical="top" wrapText="1"/>
    </xf>
    <xf numFmtId="1" fontId="7" fillId="0" borderId="23" xfId="0" applyNumberFormat="1" applyFont="1" applyFill="1" applyBorder="1" applyAlignment="1">
      <alignment horizontal="left" vertical="top" wrapText="1"/>
    </xf>
    <xf numFmtId="1" fontId="7" fillId="0" borderId="24" xfId="0" applyNumberFormat="1" applyFont="1" applyFill="1" applyBorder="1" applyAlignment="1">
      <alignment horizontal="left" vertical="top" wrapText="1"/>
    </xf>
    <xf numFmtId="0" fontId="30" fillId="0" borderId="59" xfId="0" applyFont="1" applyBorder="1" applyAlignment="1">
      <alignment horizontal="left" vertical="top" wrapText="1"/>
    </xf>
    <xf numFmtId="0" fontId="30" fillId="0" borderId="19" xfId="0" applyFont="1" applyBorder="1" applyAlignment="1">
      <alignment horizontal="left" vertical="top" wrapText="1"/>
    </xf>
    <xf numFmtId="1" fontId="30" fillId="0" borderId="8" xfId="0" applyNumberFormat="1" applyFont="1" applyFill="1" applyBorder="1" applyAlignment="1">
      <alignment horizontal="left" vertical="top" wrapText="1"/>
    </xf>
    <xf numFmtId="0" fontId="30" fillId="0" borderId="7" xfId="0" applyFont="1" applyFill="1" applyBorder="1" applyAlignment="1">
      <alignment horizontal="left" vertical="top" wrapText="1"/>
    </xf>
    <xf numFmtId="0" fontId="30" fillId="0" borderId="75" xfId="0" applyFont="1" applyFill="1" applyBorder="1" applyAlignment="1">
      <alignment horizontal="left" vertical="top" wrapText="1"/>
    </xf>
    <xf numFmtId="1" fontId="30" fillId="0" borderId="17" xfId="0" applyNumberFormat="1" applyFont="1" applyFill="1" applyBorder="1" applyAlignment="1">
      <alignment horizontal="left" vertical="top" wrapText="1"/>
    </xf>
    <xf numFmtId="0" fontId="30" fillId="0" borderId="18" xfId="0" applyFont="1" applyFill="1" applyBorder="1" applyAlignment="1">
      <alignment horizontal="left" vertical="top" wrapText="1"/>
    </xf>
    <xf numFmtId="0" fontId="30" fillId="0" borderId="86" xfId="0" applyFont="1" applyFill="1" applyBorder="1" applyAlignment="1">
      <alignment horizontal="left" vertical="top" wrapText="1"/>
    </xf>
    <xf numFmtId="1" fontId="30" fillId="0" borderId="13" xfId="0" applyNumberFormat="1" applyFont="1" applyFill="1" applyBorder="1" applyAlignment="1">
      <alignment horizontal="left" vertical="top" wrapText="1"/>
    </xf>
    <xf numFmtId="0" fontId="7" fillId="0" borderId="93" xfId="0" applyFont="1" applyFill="1" applyBorder="1" applyAlignment="1">
      <alignment horizontal="left" vertical="top" wrapText="1"/>
    </xf>
    <xf numFmtId="0" fontId="7" fillId="0" borderId="88" xfId="0" applyFont="1" applyFill="1" applyBorder="1" applyAlignment="1">
      <alignment horizontal="left" vertical="top" wrapText="1"/>
    </xf>
    <xf numFmtId="0" fontId="7" fillId="0" borderId="79" xfId="0" applyFont="1" applyFill="1" applyBorder="1" applyAlignment="1">
      <alignment horizontal="left" vertical="top" wrapText="1"/>
    </xf>
    <xf numFmtId="0" fontId="30" fillId="0" borderId="25" xfId="0" applyFont="1" applyFill="1" applyBorder="1" applyAlignment="1">
      <alignment vertical="top" wrapText="1"/>
    </xf>
    <xf numFmtId="0" fontId="30" fillId="0" borderId="18" xfId="0" applyFont="1" applyBorder="1" applyAlignment="1">
      <alignment vertical="top" wrapText="1"/>
    </xf>
    <xf numFmtId="0" fontId="30" fillId="0" borderId="21" xfId="0" applyFont="1" applyBorder="1" applyAlignment="1">
      <alignment vertical="top" wrapText="1"/>
    </xf>
    <xf numFmtId="0" fontId="30" fillId="0" borderId="8" xfId="0" applyFont="1" applyFill="1" applyBorder="1" applyAlignment="1">
      <alignment horizontal="left" vertical="top" wrapText="1"/>
    </xf>
    <xf numFmtId="0" fontId="30" fillId="0" borderId="7" xfId="0" applyFont="1" applyBorder="1" applyAlignment="1">
      <alignment horizontal="left" vertical="top" wrapText="1"/>
    </xf>
    <xf numFmtId="0" fontId="30" fillId="0" borderId="75" xfId="0" applyFont="1" applyBorder="1" applyAlignment="1">
      <alignment horizontal="left" vertical="top" wrapText="1"/>
    </xf>
    <xf numFmtId="0" fontId="30" fillId="0" borderId="13" xfId="0" applyFont="1" applyFill="1" applyBorder="1" applyAlignment="1">
      <alignment vertical="top" wrapText="1"/>
    </xf>
    <xf numFmtId="0" fontId="30" fillId="0" borderId="20" xfId="0" applyFont="1" applyFill="1" applyBorder="1" applyAlignment="1">
      <alignment vertical="top" wrapText="1"/>
    </xf>
    <xf numFmtId="0" fontId="30" fillId="0" borderId="41" xfId="0" applyFont="1" applyFill="1" applyBorder="1" applyAlignment="1">
      <alignment vertical="top" wrapText="1"/>
    </xf>
    <xf numFmtId="0" fontId="30" fillId="0" borderId="20" xfId="0" applyFont="1" applyBorder="1" applyAlignment="1">
      <alignment vertical="top" wrapText="1"/>
    </xf>
    <xf numFmtId="0" fontId="30" fillId="0" borderId="26" xfId="0" applyFont="1" applyBorder="1" applyAlignment="1">
      <alignment vertical="top" wrapText="1"/>
    </xf>
    <xf numFmtId="0" fontId="30" fillId="0" borderId="41" xfId="0" applyFont="1" applyBorder="1" applyAlignment="1">
      <alignment vertical="top" wrapText="1"/>
    </xf>
    <xf numFmtId="0" fontId="30" fillId="0" borderId="13" xfId="0" applyFont="1" applyBorder="1" applyAlignment="1">
      <alignment horizontal="left" vertical="top" wrapText="1"/>
    </xf>
    <xf numFmtId="0" fontId="30" fillId="0" borderId="31" xfId="0" applyFont="1" applyBorder="1" applyAlignment="1">
      <alignment horizontal="left" vertical="top" wrapText="1"/>
    </xf>
    <xf numFmtId="1" fontId="30" fillId="0" borderId="41" xfId="0" applyNumberFormat="1" applyFont="1" applyFill="1" applyBorder="1" applyAlignment="1">
      <alignment horizontal="left" vertical="top" wrapText="1"/>
    </xf>
    <xf numFmtId="0" fontId="30" fillId="0" borderId="31" xfId="0" applyFont="1" applyBorder="1" applyAlignment="1">
      <alignment vertical="top" wrapText="1"/>
    </xf>
    <xf numFmtId="0" fontId="30" fillId="0" borderId="59" xfId="0" applyFont="1" applyBorder="1" applyAlignment="1">
      <alignment vertical="top" wrapText="1"/>
    </xf>
    <xf numFmtId="0" fontId="30" fillId="0" borderId="19" xfId="0" applyFont="1" applyBorder="1" applyAlignment="1">
      <alignment vertical="top" wrapText="1"/>
    </xf>
    <xf numFmtId="0" fontId="30" fillId="0" borderId="20" xfId="0" applyFont="1" applyBorder="1" applyAlignment="1">
      <alignment horizontal="left" vertical="top" wrapText="1"/>
    </xf>
    <xf numFmtId="0" fontId="30" fillId="0" borderId="22" xfId="0" applyFont="1" applyBorder="1" applyAlignment="1">
      <alignment horizontal="left" vertical="top" wrapText="1"/>
    </xf>
    <xf numFmtId="0" fontId="30" fillId="0" borderId="23" xfId="0" applyFont="1" applyBorder="1" applyAlignment="1">
      <alignment horizontal="left" vertical="top" wrapText="1"/>
    </xf>
    <xf numFmtId="0" fontId="30" fillId="0" borderId="24" xfId="0" applyFont="1" applyBorder="1" applyAlignment="1">
      <alignment horizontal="left" vertical="top" wrapText="1"/>
    </xf>
    <xf numFmtId="0" fontId="30" fillId="0" borderId="25" xfId="0" applyFont="1" applyBorder="1" applyAlignment="1">
      <alignment horizontal="left" vertical="top" wrapText="1"/>
    </xf>
    <xf numFmtId="0" fontId="30" fillId="0" borderId="18" xfId="0" applyFont="1" applyBorder="1" applyAlignment="1">
      <alignment horizontal="left" vertical="top" wrapText="1"/>
    </xf>
    <xf numFmtId="0" fontId="30" fillId="0" borderId="21" xfId="0" applyFont="1" applyBorder="1" applyAlignment="1">
      <alignment horizontal="left" vertical="top" wrapText="1"/>
    </xf>
    <xf numFmtId="0" fontId="42" fillId="4" borderId="81" xfId="0" applyFont="1" applyFill="1" applyBorder="1" applyAlignment="1">
      <alignment horizontal="center" vertical="top" wrapText="1"/>
    </xf>
    <xf numFmtId="0" fontId="30" fillId="0" borderId="31" xfId="0" applyFont="1" applyFill="1" applyBorder="1" applyAlignment="1">
      <alignment vertical="top" wrapText="1"/>
    </xf>
    <xf numFmtId="0" fontId="30" fillId="0" borderId="59" xfId="0" applyFont="1" applyFill="1" applyBorder="1" applyAlignment="1">
      <alignment vertical="top" wrapText="1"/>
    </xf>
    <xf numFmtId="0" fontId="30" fillId="0" borderId="19" xfId="0" applyFont="1" applyFill="1" applyBorder="1" applyAlignment="1">
      <alignment vertical="top" wrapText="1"/>
    </xf>
    <xf numFmtId="1" fontId="30" fillId="0" borderId="13" xfId="0" applyNumberFormat="1" applyFont="1" applyBorder="1" applyAlignment="1">
      <alignment horizontal="left" vertical="top" wrapText="1"/>
    </xf>
    <xf numFmtId="1" fontId="30" fillId="0" borderId="20" xfId="0" applyNumberFormat="1" applyFont="1" applyFill="1" applyBorder="1" applyAlignment="1">
      <alignment vertical="top" wrapText="1"/>
    </xf>
    <xf numFmtId="0" fontId="30" fillId="0" borderId="27" xfId="0" applyFont="1" applyBorder="1" applyAlignment="1">
      <alignment horizontal="left" vertical="top" wrapText="1"/>
    </xf>
    <xf numFmtId="0" fontId="30" fillId="0" borderId="69" xfId="0" applyFont="1" applyBorder="1" applyAlignment="1">
      <alignment horizontal="left" vertical="top" wrapText="1"/>
    </xf>
    <xf numFmtId="0" fontId="30" fillId="0" borderId="70" xfId="0" applyFont="1" applyBorder="1" applyAlignment="1">
      <alignment horizontal="left" vertical="top" wrapText="1"/>
    </xf>
    <xf numFmtId="0" fontId="70" fillId="0" borderId="0" xfId="0" applyFont="1" applyFill="1" applyBorder="1" applyAlignment="1" applyProtection="1">
      <alignment horizontal="center" vertical="top" wrapText="1"/>
      <protection hidden="1"/>
    </xf>
    <xf numFmtId="0" fontId="7" fillId="0" borderId="59" xfId="0" applyNumberFormat="1" applyFont="1" applyBorder="1" applyAlignment="1">
      <alignment horizontal="left" vertical="top" wrapText="1"/>
    </xf>
    <xf numFmtId="0" fontId="7" fillId="0" borderId="72" xfId="0" applyFont="1" applyBorder="1" applyAlignment="1">
      <alignment horizontal="left" vertical="top" wrapText="1"/>
    </xf>
    <xf numFmtId="0" fontId="7" fillId="0" borderId="23" xfId="0" applyFont="1" applyBorder="1" applyAlignment="1">
      <alignment horizontal="left" vertical="top" wrapText="1"/>
    </xf>
    <xf numFmtId="0" fontId="7" fillId="0" borderId="67" xfId="0" applyFont="1" applyBorder="1" applyAlignment="1">
      <alignment horizontal="left" vertical="top" wrapText="1"/>
    </xf>
    <xf numFmtId="0" fontId="7" fillId="0" borderId="18" xfId="0" applyFont="1" applyBorder="1" applyAlignment="1">
      <alignment horizontal="left" vertical="top" wrapText="1"/>
    </xf>
    <xf numFmtId="0" fontId="7" fillId="0" borderId="86" xfId="0" applyFont="1" applyBorder="1" applyAlignment="1">
      <alignment horizontal="left" vertical="top" wrapText="1"/>
    </xf>
    <xf numFmtId="0" fontId="49" fillId="0" borderId="69" xfId="0" applyFont="1" applyBorder="1" applyAlignment="1">
      <alignment horizontal="left" vertical="top" wrapText="1"/>
    </xf>
    <xf numFmtId="0" fontId="7" fillId="0" borderId="26" xfId="0" applyNumberFormat="1" applyFont="1" applyBorder="1" applyAlignment="1">
      <alignment horizontal="left" vertical="top" wrapText="1"/>
    </xf>
    <xf numFmtId="49" fontId="7" fillId="0" borderId="20" xfId="0" applyNumberFormat="1" applyFont="1" applyFill="1" applyBorder="1" applyAlignment="1">
      <alignment horizontal="left" vertical="top" wrapText="1"/>
    </xf>
    <xf numFmtId="49" fontId="7" fillId="0" borderId="26" xfId="0" applyNumberFormat="1" applyFont="1" applyFill="1" applyBorder="1" applyAlignment="1">
      <alignment horizontal="left" vertical="top" wrapText="1"/>
    </xf>
    <xf numFmtId="49" fontId="7" fillId="0" borderId="41" xfId="0" applyNumberFormat="1" applyFont="1" applyFill="1" applyBorder="1" applyAlignment="1">
      <alignment horizontal="left" vertical="top" wrapText="1"/>
    </xf>
    <xf numFmtId="0" fontId="49" fillId="0" borderId="70" xfId="0" applyFont="1" applyBorder="1" applyAlignment="1">
      <alignment horizontal="left" vertical="top" wrapText="1"/>
    </xf>
    <xf numFmtId="0" fontId="7" fillId="0" borderId="20" xfId="0" applyFont="1" applyBorder="1" applyAlignment="1">
      <alignment vertical="top" wrapText="1"/>
    </xf>
    <xf numFmtId="0" fontId="7" fillId="0" borderId="26" xfId="0" applyFont="1" applyBorder="1" applyAlignment="1">
      <alignment vertical="top" wrapText="1"/>
    </xf>
    <xf numFmtId="0" fontId="7" fillId="0" borderId="41" xfId="0" applyFont="1" applyBorder="1" applyAlignment="1">
      <alignment vertical="top" wrapText="1"/>
    </xf>
    <xf numFmtId="0" fontId="7" fillId="0" borderId="31" xfId="0" applyFont="1" applyFill="1" applyBorder="1" applyAlignment="1">
      <alignment vertical="top" wrapText="1"/>
    </xf>
    <xf numFmtId="0" fontId="7" fillId="0" borderId="59" xfId="0" applyFont="1" applyBorder="1" applyAlignment="1">
      <alignment vertical="top" wrapText="1"/>
    </xf>
    <xf numFmtId="0" fontId="7" fillId="0" borderId="19" xfId="0" applyFont="1" applyBorder="1" applyAlignment="1">
      <alignment vertical="top" wrapText="1"/>
    </xf>
    <xf numFmtId="1" fontId="7" fillId="0" borderId="20" xfId="0" applyNumberFormat="1" applyFont="1" applyBorder="1" applyAlignment="1">
      <alignment horizontal="left" vertical="top" wrapText="1"/>
    </xf>
    <xf numFmtId="1" fontId="7" fillId="0" borderId="26" xfId="0" applyNumberFormat="1" applyFont="1" applyBorder="1" applyAlignment="1">
      <alignment horizontal="left" vertical="top" wrapText="1"/>
    </xf>
    <xf numFmtId="1" fontId="7" fillId="0" borderId="41" xfId="0" applyNumberFormat="1" applyFont="1" applyBorder="1" applyAlignment="1">
      <alignment horizontal="left" vertical="top" wrapText="1"/>
    </xf>
    <xf numFmtId="0" fontId="49" fillId="0" borderId="89" xfId="0" applyFont="1" applyFill="1" applyBorder="1" applyAlignment="1">
      <alignment horizontal="left" vertical="top" wrapText="1"/>
    </xf>
    <xf numFmtId="0" fontId="49" fillId="0" borderId="37" xfId="0" applyFont="1" applyFill="1" applyBorder="1" applyAlignment="1">
      <alignment horizontal="left" vertical="top" wrapText="1"/>
    </xf>
    <xf numFmtId="0" fontId="7" fillId="0" borderId="20" xfId="0" applyFont="1" applyFill="1" applyBorder="1" applyAlignment="1">
      <alignment vertical="top" wrapText="1"/>
    </xf>
    <xf numFmtId="49" fontId="7" fillId="0" borderId="31" xfId="0" applyNumberFormat="1" applyFont="1" applyFill="1" applyBorder="1" applyAlignment="1">
      <alignment horizontal="left" vertical="top" wrapText="1"/>
    </xf>
    <xf numFmtId="49" fontId="7" fillId="0" borderId="59" xfId="0" applyNumberFormat="1" applyFont="1" applyFill="1" applyBorder="1" applyAlignment="1">
      <alignment horizontal="left" vertical="top" wrapText="1"/>
    </xf>
    <xf numFmtId="49" fontId="7" fillId="0" borderId="19" xfId="0" applyNumberFormat="1" applyFont="1" applyFill="1" applyBorder="1" applyAlignment="1">
      <alignment horizontal="left" vertical="top" wrapText="1"/>
    </xf>
    <xf numFmtId="0" fontId="49" fillId="0" borderId="27" xfId="0" applyFont="1" applyBorder="1" applyAlignment="1">
      <alignment horizontal="left" vertical="top" wrapText="1"/>
    </xf>
    <xf numFmtId="1" fontId="7" fillId="0" borderId="31" xfId="0" applyNumberFormat="1" applyFont="1" applyBorder="1" applyAlignment="1">
      <alignment horizontal="left" vertical="top" wrapText="1"/>
    </xf>
    <xf numFmtId="1" fontId="7" fillId="0" borderId="19" xfId="0" applyNumberFormat="1" applyFont="1" applyBorder="1" applyAlignment="1">
      <alignment horizontal="left" vertical="top" wrapText="1"/>
    </xf>
    <xf numFmtId="1" fontId="32" fillId="0" borderId="59" xfId="0" applyNumberFormat="1" applyFont="1" applyBorder="1" applyAlignment="1">
      <alignment horizontal="center" vertical="top" wrapText="1"/>
    </xf>
    <xf numFmtId="1" fontId="32" fillId="0" borderId="0" xfId="0" applyNumberFormat="1" applyFont="1" applyBorder="1" applyAlignment="1">
      <alignment horizontal="center" vertical="top" wrapText="1"/>
    </xf>
    <xf numFmtId="1" fontId="7" fillId="0" borderId="31" xfId="0" applyNumberFormat="1" applyFont="1" applyFill="1" applyBorder="1" applyAlignment="1">
      <alignment horizontal="left" vertical="top" wrapText="1"/>
    </xf>
    <xf numFmtId="0" fontId="7" fillId="0" borderId="31" xfId="0" applyFont="1" applyBorder="1" applyAlignment="1">
      <alignment vertical="top" wrapText="1"/>
    </xf>
    <xf numFmtId="0" fontId="49" fillId="0" borderId="20" xfId="0" applyFont="1" applyFill="1" applyBorder="1" applyAlignment="1">
      <alignment vertical="top" wrapText="1"/>
    </xf>
    <xf numFmtId="0" fontId="0" fillId="0" borderId="26" xfId="0" applyBorder="1">
      <alignment vertical="top"/>
    </xf>
    <xf numFmtId="0" fontId="0" fillId="0" borderId="41" xfId="0" applyBorder="1">
      <alignment vertical="top"/>
    </xf>
    <xf numFmtId="0" fontId="49" fillId="0" borderId="20" xfId="0" applyFont="1" applyFill="1" applyBorder="1" applyAlignment="1">
      <alignment horizontal="left" vertical="top" wrapText="1"/>
    </xf>
    <xf numFmtId="0" fontId="49" fillId="0" borderId="26" xfId="0" applyFont="1" applyFill="1" applyBorder="1" applyAlignment="1">
      <alignment horizontal="left" vertical="top" wrapText="1"/>
    </xf>
    <xf numFmtId="0" fontId="49" fillId="0" borderId="41" xfId="0" applyFont="1" applyFill="1" applyBorder="1" applyAlignment="1">
      <alignment horizontal="left" vertical="top" wrapText="1"/>
    </xf>
    <xf numFmtId="0" fontId="7" fillId="0" borderId="26" xfId="0" applyFont="1" applyFill="1" applyBorder="1" applyAlignment="1">
      <alignment vertical="top" wrapText="1"/>
    </xf>
    <xf numFmtId="0" fontId="7" fillId="0" borderId="41" xfId="0" applyFont="1" applyFill="1" applyBorder="1" applyAlignment="1">
      <alignment vertical="top" wrapText="1"/>
    </xf>
    <xf numFmtId="1" fontId="7" fillId="0" borderId="19" xfId="0" applyNumberFormat="1" applyFont="1" applyBorder="1" applyAlignment="1">
      <alignment horizontal="center" vertical="top" wrapText="1"/>
    </xf>
    <xf numFmtId="1" fontId="7" fillId="0" borderId="10" xfId="0" applyNumberFormat="1" applyFont="1" applyBorder="1" applyAlignment="1">
      <alignment horizontal="center" vertical="top" wrapText="1"/>
    </xf>
    <xf numFmtId="1" fontId="7" fillId="0" borderId="70" xfId="0" applyNumberFormat="1" applyFont="1" applyBorder="1" applyAlignment="1">
      <alignment horizontal="center" vertical="top" wrapText="1"/>
    </xf>
    <xf numFmtId="0" fontId="49" fillId="0" borderId="20" xfId="0" applyFont="1" applyBorder="1" applyAlignment="1">
      <alignment horizontal="left" vertical="top" wrapText="1"/>
    </xf>
    <xf numFmtId="1" fontId="40" fillId="0" borderId="19" xfId="0" applyNumberFormat="1" applyFont="1" applyBorder="1" applyAlignment="1">
      <alignment horizontal="center" vertical="top"/>
    </xf>
    <xf numFmtId="1" fontId="40" fillId="0" borderId="10" xfId="0" applyNumberFormat="1" applyFont="1" applyBorder="1" applyAlignment="1">
      <alignment horizontal="center" vertical="top"/>
    </xf>
    <xf numFmtId="1" fontId="40" fillId="0" borderId="70" xfId="0" applyNumberFormat="1" applyFont="1" applyBorder="1" applyAlignment="1">
      <alignment horizontal="center" vertical="top"/>
    </xf>
    <xf numFmtId="0" fontId="7" fillId="0" borderId="20" xfId="0" applyFont="1" applyBorder="1" applyAlignment="1">
      <alignment horizontal="left" vertical="top"/>
    </xf>
    <xf numFmtId="0" fontId="7" fillId="0" borderId="26" xfId="0" applyFont="1" applyBorder="1" applyAlignment="1">
      <alignment horizontal="left" vertical="top"/>
    </xf>
    <xf numFmtId="0" fontId="7" fillId="0" borderId="41" xfId="0" applyFont="1" applyBorder="1" applyAlignment="1">
      <alignment horizontal="left" vertical="top"/>
    </xf>
    <xf numFmtId="0" fontId="29" fillId="0" borderId="20" xfId="0" applyFont="1" applyFill="1" applyBorder="1" applyAlignment="1">
      <alignment horizontal="left" vertical="top" wrapText="1"/>
    </xf>
    <xf numFmtId="0" fontId="29" fillId="0" borderId="41" xfId="0" applyFont="1" applyFill="1" applyBorder="1" applyAlignment="1">
      <alignment horizontal="left" vertical="top" wrapText="1"/>
    </xf>
    <xf numFmtId="0" fontId="7" fillId="0" borderId="13" xfId="0" applyFont="1" applyFill="1" applyBorder="1" applyAlignment="1">
      <alignment vertical="top" wrapText="1"/>
    </xf>
    <xf numFmtId="1" fontId="7" fillId="0" borderId="19" xfId="0" applyNumberFormat="1" applyFont="1" applyFill="1" applyBorder="1" applyAlignment="1">
      <alignment horizontal="left" vertical="top" wrapText="1"/>
    </xf>
    <xf numFmtId="0" fontId="49" fillId="0" borderId="26" xfId="0" applyFont="1" applyBorder="1" applyAlignment="1">
      <alignment horizontal="left" vertical="top" wrapText="1"/>
    </xf>
    <xf numFmtId="0" fontId="49" fillId="0" borderId="41" xfId="0" applyFont="1" applyBorder="1" applyAlignment="1">
      <alignment horizontal="left" vertical="top" wrapText="1"/>
    </xf>
    <xf numFmtId="1" fontId="49" fillId="0" borderId="20" xfId="0" applyNumberFormat="1" applyFont="1" applyFill="1" applyBorder="1" applyAlignment="1">
      <alignment horizontal="left" vertical="top" wrapText="1"/>
    </xf>
    <xf numFmtId="1" fontId="49" fillId="0" borderId="26" xfId="0" applyNumberFormat="1" applyFont="1" applyFill="1" applyBorder="1" applyAlignment="1">
      <alignment horizontal="left" vertical="top" wrapText="1"/>
    </xf>
    <xf numFmtId="1" fontId="49" fillId="0" borderId="41" xfId="0" applyNumberFormat="1" applyFont="1" applyFill="1" applyBorder="1" applyAlignment="1">
      <alignment horizontal="left" vertical="top" wrapText="1"/>
    </xf>
    <xf numFmtId="0" fontId="49" fillId="0" borderId="17" xfId="0" applyFont="1" applyFill="1" applyBorder="1" applyAlignment="1">
      <alignment horizontal="left" vertical="top" wrapText="1"/>
    </xf>
    <xf numFmtId="0" fontId="49" fillId="0" borderId="18" xfId="0" applyFont="1" applyFill="1" applyBorder="1" applyAlignment="1">
      <alignment horizontal="left" vertical="top" wrapText="1"/>
    </xf>
    <xf numFmtId="0" fontId="49" fillId="0" borderId="86" xfId="0" applyFont="1" applyFill="1" applyBorder="1" applyAlignment="1">
      <alignment horizontal="left" vertical="top" wrapText="1"/>
    </xf>
    <xf numFmtId="0" fontId="7" fillId="0" borderId="59" xfId="0" applyFont="1" applyFill="1" applyBorder="1" applyAlignment="1">
      <alignment vertical="top" wrapText="1"/>
    </xf>
    <xf numFmtId="0" fontId="7" fillId="0" borderId="19" xfId="0" applyFont="1" applyFill="1" applyBorder="1" applyAlignment="1">
      <alignment vertical="top" wrapText="1"/>
    </xf>
    <xf numFmtId="1" fontId="7" fillId="0" borderId="31" xfId="0" applyNumberFormat="1" applyFont="1" applyFill="1" applyBorder="1" applyAlignment="1">
      <alignment vertical="top" wrapText="1"/>
    </xf>
    <xf numFmtId="0" fontId="32" fillId="0" borderId="20" xfId="0" applyFont="1" applyFill="1" applyBorder="1" applyAlignment="1">
      <alignment horizontal="left" vertical="top" wrapText="1"/>
    </xf>
    <xf numFmtId="0" fontId="32" fillId="0" borderId="26" xfId="0" applyFont="1" applyFill="1" applyBorder="1" applyAlignment="1">
      <alignment horizontal="left" vertical="top" wrapText="1"/>
    </xf>
    <xf numFmtId="0" fontId="32" fillId="0" borderId="41" xfId="0" applyFont="1" applyFill="1" applyBorder="1" applyAlignment="1">
      <alignment horizontal="left" vertical="top" wrapText="1"/>
    </xf>
    <xf numFmtId="0" fontId="30" fillId="0" borderId="69" xfId="0" applyNumberFormat="1" applyFont="1" applyBorder="1" applyAlignment="1">
      <alignment horizontal="center" vertical="top" wrapText="1"/>
    </xf>
    <xf numFmtId="0" fontId="49" fillId="0" borderId="26" xfId="0" applyFont="1" applyFill="1" applyBorder="1" applyAlignment="1">
      <alignment vertical="top" wrapText="1"/>
    </xf>
    <xf numFmtId="0" fontId="54" fillId="0" borderId="20" xfId="0" applyFont="1" applyFill="1" applyBorder="1" applyAlignment="1">
      <alignment vertical="top" wrapText="1"/>
    </xf>
    <xf numFmtId="0" fontId="49" fillId="0" borderId="41" xfId="0" applyFont="1" applyFill="1" applyBorder="1" applyAlignment="1">
      <alignment vertical="top" wrapText="1"/>
    </xf>
    <xf numFmtId="0" fontId="49" fillId="0" borderId="20" xfId="0" applyFont="1" applyBorder="1" applyAlignment="1">
      <alignment vertical="top" wrapText="1"/>
    </xf>
    <xf numFmtId="0" fontId="49" fillId="0" borderId="26" xfId="0" applyFont="1" applyBorder="1" applyAlignment="1">
      <alignment vertical="top" wrapText="1"/>
    </xf>
    <xf numFmtId="0" fontId="49" fillId="0" borderId="41" xfId="0" applyFont="1" applyBorder="1" applyAlignment="1">
      <alignment vertical="top" wrapText="1"/>
    </xf>
    <xf numFmtId="0" fontId="7" fillId="0" borderId="13" xfId="0" applyFont="1" applyFill="1" applyBorder="1" applyAlignment="1">
      <alignment horizontal="left" vertical="top" wrapText="1"/>
    </xf>
    <xf numFmtId="0" fontId="7" fillId="0" borderId="86" xfId="0" applyFont="1" applyFill="1" applyBorder="1" applyAlignment="1">
      <alignment horizontal="left" vertical="top" wrapText="1"/>
    </xf>
    <xf numFmtId="1" fontId="7" fillId="0" borderId="19" xfId="0" applyNumberFormat="1" applyFont="1" applyFill="1" applyBorder="1" applyAlignment="1">
      <alignment horizontal="center" vertical="top"/>
    </xf>
    <xf numFmtId="1" fontId="7" fillId="0" borderId="10" xfId="0" applyNumberFormat="1" applyFont="1" applyFill="1" applyBorder="1" applyAlignment="1">
      <alignment horizontal="center" vertical="top"/>
    </xf>
    <xf numFmtId="1" fontId="7" fillId="0" borderId="70" xfId="0" applyNumberFormat="1" applyFont="1" applyFill="1" applyBorder="1" applyAlignment="1">
      <alignment horizontal="center" vertical="top"/>
    </xf>
    <xf numFmtId="0" fontId="42" fillId="4" borderId="9" xfId="0" applyFont="1" applyFill="1" applyBorder="1" applyAlignment="1">
      <alignment horizontal="center" vertical="top" wrapText="1"/>
    </xf>
    <xf numFmtId="0" fontId="49" fillId="0" borderId="17" xfId="0" applyFont="1" applyFill="1" applyBorder="1" applyAlignment="1">
      <alignment vertical="top" wrapText="1"/>
    </xf>
    <xf numFmtId="0" fontId="49" fillId="0" borderId="18" xfId="0" applyFont="1" applyFill="1" applyBorder="1" applyAlignment="1">
      <alignment vertical="top" wrapText="1"/>
    </xf>
    <xf numFmtId="0" fontId="49" fillId="0" borderId="86" xfId="0" applyFont="1" applyFill="1" applyBorder="1" applyAlignment="1">
      <alignment vertical="top" wrapText="1"/>
    </xf>
    <xf numFmtId="0" fontId="49" fillId="0" borderId="25" xfId="0" applyFont="1" applyFill="1" applyBorder="1" applyAlignment="1">
      <alignment vertical="top" wrapText="1"/>
    </xf>
    <xf numFmtId="0" fontId="49" fillId="0" borderId="21" xfId="0" applyFont="1" applyBorder="1" applyAlignment="1">
      <alignment vertical="top" wrapText="1"/>
    </xf>
    <xf numFmtId="1" fontId="49" fillId="0" borderId="26" xfId="0" applyNumberFormat="1" applyFont="1" applyFill="1" applyBorder="1" applyAlignment="1">
      <alignment vertical="top" wrapText="1"/>
    </xf>
    <xf numFmtId="0" fontId="49" fillId="0" borderId="20" xfId="0" applyFont="1" applyFill="1" applyBorder="1" applyAlignment="1">
      <alignment horizontal="center" vertical="top" wrapText="1"/>
    </xf>
    <xf numFmtId="0" fontId="49" fillId="0" borderId="26" xfId="0" applyFont="1" applyFill="1" applyBorder="1" applyAlignment="1">
      <alignment horizontal="center" vertical="top" wrapText="1"/>
    </xf>
    <xf numFmtId="0" fontId="49" fillId="0" borderId="41" xfId="0" applyFont="1" applyFill="1" applyBorder="1" applyAlignment="1">
      <alignment horizontal="center" vertical="top" wrapText="1"/>
    </xf>
    <xf numFmtId="0" fontId="49" fillId="0" borderId="25" xfId="0" applyFont="1" applyFill="1" applyBorder="1" applyAlignment="1">
      <alignment horizontal="left" vertical="top" wrapText="1"/>
    </xf>
    <xf numFmtId="0" fontId="49" fillId="0" borderId="21" xfId="0" applyFont="1" applyFill="1" applyBorder="1" applyAlignment="1">
      <alignment horizontal="left" vertical="top" wrapText="1"/>
    </xf>
    <xf numFmtId="0" fontId="49" fillId="0" borderId="21" xfId="0" applyFont="1" applyFill="1" applyBorder="1" applyAlignment="1">
      <alignment vertical="top" wrapText="1"/>
    </xf>
    <xf numFmtId="0" fontId="7" fillId="0" borderId="22" xfId="0" applyFont="1" applyFill="1" applyBorder="1" applyAlignment="1">
      <alignment horizontal="left" vertical="top" wrapText="1"/>
    </xf>
    <xf numFmtId="0" fontId="7" fillId="0" borderId="23" xfId="0" applyFont="1" applyFill="1" applyBorder="1" applyAlignment="1">
      <alignment horizontal="left" vertical="top" wrapText="1"/>
    </xf>
    <xf numFmtId="0" fontId="7" fillId="0" borderId="24" xfId="0" applyFont="1" applyFill="1" applyBorder="1" applyAlignment="1">
      <alignment horizontal="left" vertical="top" wrapText="1"/>
    </xf>
    <xf numFmtId="0" fontId="7" fillId="0" borderId="20" xfId="0" applyFont="1" applyFill="1" applyBorder="1" applyAlignment="1">
      <alignment horizontal="center" vertical="top"/>
    </xf>
    <xf numFmtId="0" fontId="7" fillId="0" borderId="26" xfId="0" applyFont="1" applyFill="1" applyBorder="1" applyAlignment="1">
      <alignment horizontal="center" vertical="top"/>
    </xf>
    <xf numFmtId="0" fontId="7" fillId="0" borderId="41" xfId="0" applyFont="1" applyFill="1" applyBorder="1" applyAlignment="1">
      <alignment horizontal="center" vertical="top"/>
    </xf>
    <xf numFmtId="2" fontId="29" fillId="13" borderId="20" xfId="0" applyNumberFormat="1" applyFont="1" applyFill="1" applyBorder="1" applyAlignment="1">
      <alignment horizontal="left" vertical="top" wrapText="1"/>
    </xf>
    <xf numFmtId="2" fontId="29" fillId="13" borderId="41" xfId="0" applyNumberFormat="1" applyFont="1" applyFill="1" applyBorder="1" applyAlignment="1">
      <alignment horizontal="left" vertical="top" wrapText="1"/>
    </xf>
    <xf numFmtId="2" fontId="29" fillId="0" borderId="59" xfId="0" applyNumberFormat="1" applyFont="1" applyFill="1" applyBorder="1" applyAlignment="1">
      <alignment vertical="top" wrapText="1"/>
    </xf>
    <xf numFmtId="2" fontId="29" fillId="13" borderId="31" xfId="0" applyNumberFormat="1" applyFont="1" applyFill="1" applyBorder="1" applyAlignment="1">
      <alignment horizontal="left" vertical="top" wrapText="1"/>
    </xf>
    <xf numFmtId="2" fontId="29" fillId="13" borderId="59" xfId="0" applyNumberFormat="1" applyFont="1" applyFill="1" applyBorder="1" applyAlignment="1">
      <alignment horizontal="left" vertical="top" wrapText="1"/>
    </xf>
    <xf numFmtId="2" fontId="29" fillId="13" borderId="19" xfId="0" applyNumberFormat="1" applyFont="1" applyFill="1" applyBorder="1" applyAlignment="1">
      <alignment horizontal="left" vertical="top" wrapText="1"/>
    </xf>
    <xf numFmtId="2" fontId="29" fillId="0" borderId="20" xfId="0" applyNumberFormat="1" applyFont="1" applyFill="1" applyBorder="1" applyAlignment="1">
      <alignment vertical="top" wrapText="1"/>
    </xf>
    <xf numFmtId="2" fontId="29" fillId="0" borderId="26" xfId="0" applyNumberFormat="1" applyFont="1" applyFill="1" applyBorder="1" applyAlignment="1">
      <alignment vertical="top" wrapText="1"/>
    </xf>
    <xf numFmtId="2" fontId="29" fillId="0" borderId="41" xfId="0" applyNumberFormat="1" applyFont="1" applyFill="1" applyBorder="1" applyAlignment="1">
      <alignment vertical="top" wrapText="1"/>
    </xf>
    <xf numFmtId="2" fontId="29" fillId="13" borderId="26" xfId="0" applyNumberFormat="1" applyFont="1" applyFill="1" applyBorder="1" applyAlignment="1">
      <alignment horizontal="left" vertical="top" wrapText="1"/>
    </xf>
    <xf numFmtId="2" fontId="29" fillId="0" borderId="31" xfId="0" applyNumberFormat="1" applyFont="1" applyFill="1" applyBorder="1" applyAlignment="1">
      <alignment vertical="top" wrapText="1"/>
    </xf>
    <xf numFmtId="2" fontId="29" fillId="0" borderId="19" xfId="0" applyNumberFormat="1" applyFont="1" applyFill="1" applyBorder="1" applyAlignment="1">
      <alignment vertical="top" wrapText="1"/>
    </xf>
    <xf numFmtId="2" fontId="29" fillId="0" borderId="26" xfId="0" applyNumberFormat="1" applyFont="1" applyFill="1" applyBorder="1" applyAlignment="1">
      <alignment horizontal="left" vertical="top" wrapText="1"/>
    </xf>
    <xf numFmtId="0" fontId="29" fillId="0" borderId="26" xfId="0" applyFont="1" applyBorder="1" applyAlignment="1">
      <alignment horizontal="left" vertical="top" wrapText="1"/>
    </xf>
    <xf numFmtId="0" fontId="29" fillId="0" borderId="59" xfId="0" applyFont="1" applyBorder="1" applyAlignment="1">
      <alignment horizontal="left" vertical="top" wrapText="1"/>
    </xf>
    <xf numFmtId="2" fontId="29" fillId="0" borderId="59" xfId="0" applyNumberFormat="1" applyFont="1" applyFill="1" applyBorder="1" applyAlignment="1">
      <alignment horizontal="left" vertical="top" wrapText="1"/>
    </xf>
    <xf numFmtId="2" fontId="29" fillId="0" borderId="13" xfId="0" applyNumberFormat="1" applyFont="1" applyFill="1" applyBorder="1" applyAlignment="1">
      <alignment horizontal="left" vertical="top" wrapText="1"/>
    </xf>
    <xf numFmtId="2" fontId="29" fillId="0" borderId="31" xfId="0" applyNumberFormat="1" applyFont="1" applyBorder="1" applyAlignment="1">
      <alignment vertical="top" wrapText="1"/>
    </xf>
    <xf numFmtId="0" fontId="29" fillId="0" borderId="59" xfId="0" applyFont="1" applyBorder="1" applyAlignment="1">
      <alignment vertical="top" wrapText="1"/>
    </xf>
    <xf numFmtId="0" fontId="29" fillId="0" borderId="19" xfId="0" applyFont="1" applyBorder="1" applyAlignment="1">
      <alignment vertical="top" wrapText="1"/>
    </xf>
    <xf numFmtId="2" fontId="29" fillId="0" borderId="13" xfId="0" applyNumberFormat="1" applyFont="1" applyFill="1" applyBorder="1" applyAlignment="1">
      <alignment vertical="top" wrapText="1"/>
    </xf>
    <xf numFmtId="2" fontId="29" fillId="0" borderId="31" xfId="0" applyNumberFormat="1" applyFont="1" applyFill="1" applyBorder="1" applyAlignment="1">
      <alignment horizontal="left" vertical="top" wrapText="1"/>
    </xf>
    <xf numFmtId="2" fontId="29" fillId="0" borderId="19" xfId="0" applyNumberFormat="1" applyFont="1" applyFill="1" applyBorder="1" applyAlignment="1">
      <alignment horizontal="left" vertical="top" wrapText="1"/>
    </xf>
    <xf numFmtId="2" fontId="29" fillId="0" borderId="20" xfId="0" applyNumberFormat="1" applyFont="1" applyFill="1" applyBorder="1" applyAlignment="1">
      <alignment horizontal="left" vertical="top" wrapText="1"/>
    </xf>
    <xf numFmtId="2" fontId="29" fillId="0" borderId="41" xfId="0" applyNumberFormat="1" applyFont="1" applyFill="1" applyBorder="1" applyAlignment="1">
      <alignment horizontal="left" vertical="top" wrapText="1"/>
    </xf>
    <xf numFmtId="2" fontId="29" fillId="0" borderId="20" xfId="0" applyNumberFormat="1" applyFont="1" applyBorder="1" applyAlignment="1">
      <alignment vertical="top" wrapText="1"/>
    </xf>
    <xf numFmtId="0" fontId="29" fillId="0" borderId="26" xfId="0" applyFont="1" applyBorder="1" applyAlignment="1">
      <alignment vertical="top" wrapText="1"/>
    </xf>
    <xf numFmtId="0" fontId="29" fillId="0" borderId="41" xfId="0" applyFont="1" applyBorder="1" applyAlignment="1">
      <alignment vertical="top" wrapText="1"/>
    </xf>
    <xf numFmtId="0" fontId="42" fillId="4" borderId="81" xfId="0" applyFont="1" applyFill="1" applyBorder="1" applyAlignment="1">
      <alignment vertical="top" wrapText="1"/>
    </xf>
    <xf numFmtId="2" fontId="29" fillId="0" borderId="31" xfId="0" applyNumberFormat="1" applyFont="1" applyBorder="1" applyAlignment="1">
      <alignment horizontal="left" vertical="top" wrapText="1"/>
    </xf>
    <xf numFmtId="2" fontId="29" fillId="0" borderId="59" xfId="0" applyNumberFormat="1" applyFont="1" applyBorder="1" applyAlignment="1">
      <alignment horizontal="left" vertical="top" wrapText="1"/>
    </xf>
    <xf numFmtId="2" fontId="29" fillId="0" borderId="19" xfId="0" applyNumberFormat="1" applyFont="1" applyBorder="1" applyAlignment="1">
      <alignment horizontal="left" vertical="top" wrapText="1"/>
    </xf>
    <xf numFmtId="2" fontId="29" fillId="0" borderId="17" xfId="0" applyNumberFormat="1" applyFont="1" applyFill="1" applyBorder="1" applyAlignment="1">
      <alignment horizontal="left" vertical="top" wrapText="1"/>
    </xf>
    <xf numFmtId="2" fontId="29" fillId="0" borderId="18" xfId="0" applyNumberFormat="1" applyFont="1" applyFill="1" applyBorder="1" applyAlignment="1">
      <alignment horizontal="left" vertical="top" wrapText="1"/>
    </xf>
    <xf numFmtId="2" fontId="29" fillId="0" borderId="86" xfId="0" applyNumberFormat="1" applyFont="1" applyFill="1" applyBorder="1" applyAlignment="1">
      <alignment horizontal="left" vertical="top" wrapText="1"/>
    </xf>
    <xf numFmtId="1" fontId="29" fillId="0" borderId="19" xfId="0" applyNumberFormat="1" applyFont="1" applyFill="1" applyBorder="1" applyAlignment="1">
      <alignment horizontal="center" vertical="top"/>
    </xf>
    <xf numFmtId="1" fontId="29" fillId="0" borderId="10" xfId="0" applyNumberFormat="1" applyFont="1" applyFill="1" applyBorder="1" applyAlignment="1">
      <alignment horizontal="center" vertical="top"/>
    </xf>
    <xf numFmtId="1" fontId="29" fillId="0" borderId="70" xfId="0" applyNumberFormat="1" applyFont="1" applyFill="1" applyBorder="1" applyAlignment="1">
      <alignment horizontal="center" vertical="top"/>
    </xf>
    <xf numFmtId="1" fontId="29" fillId="0" borderId="59" xfId="0" applyNumberFormat="1" applyFont="1" applyBorder="1" applyAlignment="1">
      <alignment horizontal="left" vertical="top" wrapText="1"/>
    </xf>
    <xf numFmtId="1" fontId="29" fillId="0" borderId="26" xfId="0" applyNumberFormat="1" applyFont="1" applyBorder="1" applyAlignment="1">
      <alignment horizontal="left" vertical="top" wrapText="1"/>
    </xf>
    <xf numFmtId="0" fontId="7" fillId="0" borderId="89" xfId="0" applyFont="1" applyFill="1" applyBorder="1" applyAlignment="1">
      <alignment horizontal="left" vertical="top" wrapText="1"/>
    </xf>
    <xf numFmtId="0" fontId="7" fillId="0" borderId="82" xfId="0" applyFont="1" applyFill="1" applyBorder="1" applyAlignment="1">
      <alignment horizontal="left" vertical="top" wrapText="1"/>
    </xf>
    <xf numFmtId="0" fontId="7" fillId="0" borderId="28" xfId="0" applyFont="1" applyFill="1" applyBorder="1" applyAlignment="1">
      <alignment horizontal="left" vertical="top" wrapText="1"/>
    </xf>
    <xf numFmtId="0" fontId="34" fillId="0" borderId="69" xfId="0" applyFont="1" applyFill="1" applyBorder="1" applyAlignment="1">
      <alignment horizontal="left" vertical="top" wrapText="1"/>
    </xf>
    <xf numFmtId="1" fontId="27" fillId="0" borderId="19" xfId="0" applyNumberFormat="1" applyFont="1" applyBorder="1" applyAlignment="1">
      <alignment horizontal="center" vertical="top" wrapText="1"/>
    </xf>
    <xf numFmtId="1" fontId="27" fillId="0" borderId="10" xfId="0" applyNumberFormat="1" applyFont="1" applyBorder="1" applyAlignment="1">
      <alignment horizontal="center" vertical="top" wrapText="1"/>
    </xf>
    <xf numFmtId="1" fontId="27" fillId="0" borderId="70" xfId="0" applyNumberFormat="1" applyFont="1" applyBorder="1" applyAlignment="1">
      <alignment horizontal="center" vertical="top" wrapText="1"/>
    </xf>
    <xf numFmtId="2" fontId="29" fillId="0" borderId="54" xfId="0" applyNumberFormat="1" applyFont="1" applyFill="1" applyBorder="1" applyAlignment="1">
      <alignment horizontal="left" vertical="top" wrapText="1"/>
    </xf>
    <xf numFmtId="2" fontId="29" fillId="0" borderId="46" xfId="0" applyNumberFormat="1" applyFont="1" applyFill="1" applyBorder="1" applyAlignment="1">
      <alignment horizontal="left" vertical="top" wrapText="1"/>
    </xf>
    <xf numFmtId="2" fontId="29" fillId="0" borderId="52" xfId="0" applyNumberFormat="1" applyFont="1" applyFill="1" applyBorder="1" applyAlignment="1">
      <alignment horizontal="left" vertical="top" wrapText="1"/>
    </xf>
    <xf numFmtId="2" fontId="29" fillId="0" borderId="62" xfId="0" applyNumberFormat="1" applyFont="1" applyFill="1" applyBorder="1" applyAlignment="1">
      <alignment horizontal="left" vertical="top" wrapText="1"/>
    </xf>
    <xf numFmtId="0" fontId="27" fillId="0" borderId="20" xfId="0" applyFont="1" applyBorder="1" applyAlignment="1">
      <alignment vertical="top" wrapText="1"/>
    </xf>
    <xf numFmtId="0" fontId="0" fillId="0" borderId="26" xfId="0" applyBorder="1" applyAlignment="1">
      <alignment vertical="top"/>
    </xf>
    <xf numFmtId="0" fontId="0" fillId="0" borderId="41" xfId="0" applyBorder="1" applyAlignment="1">
      <alignment vertical="top"/>
    </xf>
    <xf numFmtId="0" fontId="27" fillId="0" borderId="59" xfId="0" applyFont="1" applyFill="1" applyBorder="1" applyAlignment="1">
      <alignment horizontal="left" vertical="top" wrapText="1"/>
    </xf>
    <xf numFmtId="0" fontId="0" fillId="0" borderId="59" xfId="0" applyBorder="1" applyAlignment="1">
      <alignment horizontal="left" vertical="top"/>
    </xf>
    <xf numFmtId="0" fontId="27" fillId="0" borderId="31" xfId="0" applyFont="1" applyFill="1" applyBorder="1" applyAlignment="1">
      <alignment horizontal="left" vertical="top" wrapText="1"/>
    </xf>
    <xf numFmtId="0" fontId="0" fillId="0" borderId="19" xfId="0" applyBorder="1" applyAlignment="1">
      <alignment horizontal="left" vertical="top"/>
    </xf>
    <xf numFmtId="0" fontId="27" fillId="0" borderId="19" xfId="0" applyFont="1" applyFill="1" applyBorder="1" applyAlignment="1">
      <alignment horizontal="left" vertical="top" wrapText="1"/>
    </xf>
    <xf numFmtId="0" fontId="0" fillId="0" borderId="42" xfId="0" applyBorder="1">
      <alignment vertical="top"/>
    </xf>
    <xf numFmtId="0" fontId="49" fillId="0" borderId="13" xfId="0" applyFont="1" applyBorder="1" applyAlignment="1">
      <alignment horizontal="left" vertical="top" wrapText="1"/>
    </xf>
    <xf numFmtId="0" fontId="7" fillId="0" borderId="61" xfId="0" applyFont="1" applyBorder="1" applyAlignment="1">
      <alignment vertical="top" wrapText="1"/>
    </xf>
    <xf numFmtId="0" fontId="7" fillId="0" borderId="0" xfId="0" applyFont="1" applyBorder="1" applyAlignment="1">
      <alignment vertical="top" wrapText="1"/>
    </xf>
    <xf numFmtId="0" fontId="7" fillId="0" borderId="10" xfId="0" applyFont="1" applyBorder="1" applyAlignment="1">
      <alignment vertical="top" wrapText="1"/>
    </xf>
    <xf numFmtId="0" fontId="27" fillId="0" borderId="13" xfId="0" applyFont="1" applyFill="1" applyBorder="1" applyAlignment="1">
      <alignment horizontal="left" vertical="top" wrapText="1"/>
    </xf>
    <xf numFmtId="0" fontId="0" fillId="0" borderId="13" xfId="0" applyBorder="1" applyAlignment="1">
      <alignment horizontal="left" vertical="top"/>
    </xf>
    <xf numFmtId="1" fontId="27" fillId="0" borderId="13" xfId="0" applyNumberFormat="1" applyFont="1" applyBorder="1" applyAlignment="1">
      <alignment horizontal="left" vertical="top" wrapText="1"/>
    </xf>
    <xf numFmtId="0" fontId="27" fillId="0" borderId="26" xfId="0" applyFont="1" applyFill="1" applyBorder="1" applyAlignment="1">
      <alignment vertical="top" wrapText="1"/>
    </xf>
    <xf numFmtId="0" fontId="7" fillId="0" borderId="54" xfId="0" applyFont="1" applyFill="1" applyBorder="1" applyAlignment="1">
      <alignment horizontal="left" vertical="top" wrapText="1"/>
    </xf>
    <xf numFmtId="0" fontId="27" fillId="0" borderId="31" xfId="0" applyFont="1" applyBorder="1" applyAlignment="1">
      <alignment horizontal="left" vertical="top" wrapText="1"/>
    </xf>
    <xf numFmtId="0" fontId="27" fillId="0" borderId="26" xfId="0" applyFont="1" applyBorder="1" applyAlignment="1">
      <alignment vertical="top" wrapText="1"/>
    </xf>
    <xf numFmtId="0" fontId="27" fillId="0" borderId="20" xfId="0" applyFont="1" applyFill="1" applyBorder="1" applyAlignment="1">
      <alignment vertical="top" wrapText="1"/>
    </xf>
    <xf numFmtId="0" fontId="0" fillId="0" borderId="26" xfId="0" applyFill="1" applyBorder="1" applyAlignment="1">
      <alignment vertical="top"/>
    </xf>
    <xf numFmtId="0" fontId="0" fillId="0" borderId="41" xfId="0" applyFill="1" applyBorder="1" applyAlignment="1">
      <alignment vertical="top"/>
    </xf>
    <xf numFmtId="0" fontId="27" fillId="0" borderId="41" xfId="0" applyFont="1" applyFill="1" applyBorder="1" applyAlignment="1">
      <alignment vertical="top" wrapText="1"/>
    </xf>
    <xf numFmtId="0" fontId="27" fillId="0" borderId="59" xfId="0" applyFont="1" applyBorder="1" applyAlignment="1">
      <alignment horizontal="left" vertical="top" wrapText="1"/>
    </xf>
    <xf numFmtId="0" fontId="27" fillId="0" borderId="19" xfId="0" applyFont="1" applyBorder="1" applyAlignment="1">
      <alignment horizontal="left" vertical="top" wrapText="1"/>
    </xf>
    <xf numFmtId="0" fontId="29" fillId="0" borderId="59" xfId="0" applyFont="1" applyFill="1" applyBorder="1" applyAlignment="1">
      <alignment horizontal="left" vertical="top" wrapText="1"/>
    </xf>
    <xf numFmtId="0" fontId="29" fillId="0" borderId="26" xfId="0" applyFont="1" applyFill="1" applyBorder="1" applyAlignment="1">
      <alignment horizontal="left" vertical="top" wrapText="1"/>
    </xf>
    <xf numFmtId="0" fontId="29" fillId="0" borderId="41" xfId="0" applyFont="1" applyBorder="1" applyAlignment="1">
      <alignment horizontal="left" vertical="top" wrapText="1"/>
    </xf>
    <xf numFmtId="0" fontId="29" fillId="0" borderId="31" xfId="0" applyFont="1" applyFill="1" applyBorder="1" applyAlignment="1">
      <alignment horizontal="left" vertical="top" wrapText="1"/>
    </xf>
    <xf numFmtId="0" fontId="29" fillId="0" borderId="19" xfId="0" applyFont="1" applyFill="1" applyBorder="1" applyAlignment="1">
      <alignment horizontal="left" vertical="top" wrapText="1"/>
    </xf>
    <xf numFmtId="0" fontId="29" fillId="13" borderId="26" xfId="0" applyFont="1" applyFill="1" applyBorder="1" applyAlignment="1">
      <alignment horizontal="left" vertical="top" wrapText="1"/>
    </xf>
    <xf numFmtId="1" fontId="29" fillId="0" borderId="31" xfId="0" applyNumberFormat="1" applyFont="1" applyFill="1" applyBorder="1" applyAlignment="1">
      <alignment horizontal="left" vertical="top" wrapText="1"/>
    </xf>
    <xf numFmtId="1" fontId="29" fillId="0" borderId="59" xfId="0" applyNumberFormat="1" applyFont="1" applyFill="1" applyBorder="1" applyAlignment="1">
      <alignment horizontal="left" vertical="top" wrapText="1"/>
    </xf>
    <xf numFmtId="1" fontId="29" fillId="0" borderId="19" xfId="0" applyNumberFormat="1" applyFont="1" applyFill="1" applyBorder="1" applyAlignment="1">
      <alignment horizontal="left" vertical="top" wrapText="1"/>
    </xf>
    <xf numFmtId="0" fontId="29" fillId="0" borderId="0" xfId="0" applyFont="1" applyFill="1" applyBorder="1" applyAlignment="1">
      <alignment horizontal="left" vertical="top" wrapText="1"/>
    </xf>
    <xf numFmtId="1" fontId="29" fillId="0" borderId="20" xfId="0" applyNumberFormat="1" applyFont="1" applyFill="1" applyBorder="1" applyAlignment="1">
      <alignment horizontal="left" vertical="top" wrapText="1"/>
    </xf>
    <xf numFmtId="1" fontId="29" fillId="0" borderId="26" xfId="0" applyNumberFormat="1" applyFont="1" applyFill="1" applyBorder="1" applyAlignment="1">
      <alignment horizontal="left" vertical="top" wrapText="1"/>
    </xf>
    <xf numFmtId="1" fontId="29" fillId="0" borderId="41" xfId="0" applyNumberFormat="1" applyFont="1" applyFill="1" applyBorder="1" applyAlignment="1">
      <alignment horizontal="left" vertical="top" wrapText="1"/>
    </xf>
    <xf numFmtId="0" fontId="29" fillId="0" borderId="19" xfId="0" applyFont="1" applyBorder="1" applyAlignment="1">
      <alignment horizontal="left" vertical="top" wrapText="1"/>
    </xf>
    <xf numFmtId="49" fontId="29" fillId="0" borderId="26" xfId="0" applyNumberFormat="1" applyFont="1" applyFill="1" applyBorder="1" applyAlignment="1">
      <alignment horizontal="left" vertical="top" wrapText="1"/>
    </xf>
    <xf numFmtId="0" fontId="29" fillId="0" borderId="13" xfId="0" applyFont="1" applyFill="1" applyBorder="1" applyAlignment="1">
      <alignment horizontal="left" vertical="top" wrapText="1"/>
    </xf>
    <xf numFmtId="49" fontId="42" fillId="4" borderId="75" xfId="0" applyNumberFormat="1" applyFont="1" applyFill="1" applyBorder="1" applyAlignment="1">
      <alignment horizontal="center" vertical="top" wrapText="1"/>
    </xf>
    <xf numFmtId="49" fontId="42" fillId="4" borderId="81" xfId="0" applyNumberFormat="1" applyFont="1" applyFill="1" applyBorder="1" applyAlignment="1">
      <alignment horizontal="center" vertical="top" wrapText="1"/>
    </xf>
    <xf numFmtId="49" fontId="29" fillId="0" borderId="13" xfId="0" applyNumberFormat="1" applyFont="1" applyFill="1" applyBorder="1" applyAlignment="1">
      <alignment horizontal="left" vertical="top" wrapText="1"/>
    </xf>
    <xf numFmtId="1" fontId="29" fillId="0" borderId="13" xfId="0" applyNumberFormat="1" applyFont="1" applyFill="1" applyBorder="1" applyAlignment="1">
      <alignment horizontal="left" vertical="top" wrapText="1"/>
    </xf>
    <xf numFmtId="0" fontId="29" fillId="13" borderId="59" xfId="0" applyFont="1" applyFill="1" applyBorder="1" applyAlignment="1">
      <alignment horizontal="left" vertical="top" wrapText="1"/>
    </xf>
    <xf numFmtId="0" fontId="29" fillId="13" borderId="20" xfId="0" applyFont="1" applyFill="1" applyBorder="1" applyAlignment="1">
      <alignment horizontal="left" vertical="top" wrapText="1"/>
    </xf>
    <xf numFmtId="0" fontId="29" fillId="13" borderId="41" xfId="0" applyFont="1" applyFill="1" applyBorder="1" applyAlignment="1">
      <alignment horizontal="left" vertical="top" wrapText="1"/>
    </xf>
    <xf numFmtId="0" fontId="7" fillId="13" borderId="20" xfId="0" applyFont="1" applyFill="1" applyBorder="1" applyAlignment="1">
      <alignment horizontal="left" vertical="top" wrapText="1"/>
    </xf>
    <xf numFmtId="0" fontId="7" fillId="13" borderId="26" xfId="0" applyFont="1" applyFill="1" applyBorder="1" applyAlignment="1">
      <alignment horizontal="left" vertical="top" wrapText="1"/>
    </xf>
    <xf numFmtId="0" fontId="7" fillId="13" borderId="41" xfId="0" applyFont="1" applyFill="1" applyBorder="1" applyAlignment="1">
      <alignment horizontal="left" vertical="top" wrapText="1"/>
    </xf>
    <xf numFmtId="0" fontId="7" fillId="0" borderId="8" xfId="0" applyFont="1" applyBorder="1" applyAlignment="1">
      <alignment horizontal="left" vertical="top" wrapText="1"/>
    </xf>
    <xf numFmtId="0" fontId="7" fillId="0" borderId="7" xfId="0" applyFont="1" applyBorder="1" applyAlignment="1">
      <alignment horizontal="left" vertical="top" wrapText="1"/>
    </xf>
    <xf numFmtId="0" fontId="7" fillId="0" borderId="75" xfId="0" applyFont="1" applyBorder="1" applyAlignment="1">
      <alignment horizontal="left" vertical="top" wrapText="1"/>
    </xf>
    <xf numFmtId="0" fontId="42" fillId="4" borderId="27" xfId="0" applyFont="1" applyFill="1" applyBorder="1" applyAlignment="1">
      <alignment horizontal="left" vertical="top" wrapText="1"/>
    </xf>
    <xf numFmtId="0" fontId="32" fillId="0" borderId="19" xfId="0" applyFont="1" applyBorder="1" applyAlignment="1">
      <alignment horizontal="center" wrapText="1"/>
    </xf>
    <xf numFmtId="0" fontId="32" fillId="0" borderId="10" xfId="0" applyFont="1" applyBorder="1" applyAlignment="1">
      <alignment horizontal="center" wrapText="1"/>
    </xf>
    <xf numFmtId="0" fontId="32" fillId="0" borderId="70" xfId="0" applyFont="1" applyBorder="1" applyAlignment="1">
      <alignment horizontal="center" wrapText="1"/>
    </xf>
    <xf numFmtId="0" fontId="7" fillId="0" borderId="25" xfId="0" applyFont="1" applyFill="1" applyBorder="1" applyAlignment="1">
      <alignment horizontal="left" vertical="top" wrapText="1"/>
    </xf>
    <xf numFmtId="0" fontId="7" fillId="0" borderId="18" xfId="0" applyFont="1" applyFill="1" applyBorder="1" applyAlignment="1">
      <alignment horizontal="left" vertical="top" wrapText="1"/>
    </xf>
    <xf numFmtId="0" fontId="7" fillId="0" borderId="21" xfId="0" applyFont="1" applyFill="1" applyBorder="1" applyAlignment="1">
      <alignment horizontal="left" vertical="top" wrapText="1"/>
    </xf>
    <xf numFmtId="0" fontId="75" fillId="0" borderId="0" xfId="3" applyFont="1" applyFill="1" applyBorder="1" applyAlignment="1" applyProtection="1">
      <alignment horizontal="center" vertical="center" wrapText="1"/>
      <protection hidden="1"/>
    </xf>
    <xf numFmtId="2" fontId="6" fillId="0" borderId="0" xfId="0" applyNumberFormat="1" applyFont="1" applyFill="1" applyBorder="1" applyAlignment="1" applyProtection="1">
      <alignment horizontal="center" vertical="top" wrapText="1"/>
      <protection locked="0"/>
    </xf>
    <xf numFmtId="0" fontId="37" fillId="0" borderId="52" xfId="0" applyFont="1" applyFill="1" applyBorder="1" applyAlignment="1">
      <alignment horizontal="center" vertical="top" wrapText="1"/>
    </xf>
    <xf numFmtId="0" fontId="37" fillId="0" borderId="54" xfId="0" applyFont="1" applyFill="1" applyBorder="1" applyAlignment="1">
      <alignment horizontal="center" vertical="top" wrapText="1"/>
    </xf>
    <xf numFmtId="0" fontId="31" fillId="0" borderId="1" xfId="0" applyFont="1" applyBorder="1" applyAlignment="1">
      <alignment horizontal="left" vertical="center" wrapText="1"/>
    </xf>
  </cellXfs>
  <cellStyles count="7">
    <cellStyle name="Normal" xfId="0" builtinId="0"/>
    <cellStyle name="Normal 2" xfId="1"/>
    <cellStyle name="Normal 3" xfId="2"/>
    <cellStyle name="Normal 4" xfId="3"/>
    <cellStyle name="Normal 4 2" xfId="4"/>
    <cellStyle name="Normal 4 2 2" xfId="6"/>
    <cellStyle name="Normal 4 3" xfId="5"/>
  </cellStyles>
  <dxfs count="22">
    <dxf>
      <fill>
        <patternFill>
          <fgColor theme="0"/>
          <bgColor theme="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patternType="solid">
          <fgColor rgb="FFDA9694"/>
          <bgColor rgb="FF000000"/>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indexed="46"/>
        </patternFill>
      </fill>
    </dxf>
  </dxfs>
  <tableStyles count="0" defaultTableStyle="TableStyleMedium9" defaultPivotStyle="PivotStyleLight16"/>
  <colors>
    <mruColors>
      <color rgb="FFDA96FF"/>
      <color rgb="FFDA9694"/>
      <color rgb="FF00FFFF"/>
      <color rgb="FF000000"/>
      <color rgb="FF00FF00"/>
      <color rgb="FF72A2DC"/>
      <color rgb="FFFFFF53"/>
      <color rgb="FFFFFF99"/>
      <color rgb="FF6699FF"/>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7</xdr:col>
      <xdr:colOff>144780</xdr:colOff>
      <xdr:row>119</xdr:row>
      <xdr:rowOff>335280</xdr:rowOff>
    </xdr:from>
    <xdr:to>
      <xdr:col>16</xdr:col>
      <xdr:colOff>0</xdr:colOff>
      <xdr:row>120</xdr:row>
      <xdr:rowOff>0</xdr:rowOff>
    </xdr:to>
    <xdr:sp macro="" textlink="">
      <xdr:nvSpPr>
        <xdr:cNvPr id="29" name="CustomShape 1"/>
        <xdr:cNvSpPr>
          <a:spLocks noChangeArrowheads="1"/>
        </xdr:cNvSpPr>
      </xdr:nvSpPr>
      <xdr:spPr bwMode="auto">
        <a:xfrm>
          <a:off x="6116955" y="33863280"/>
          <a:ext cx="4579620" cy="207645"/>
        </a:xfrm>
        <a:prstGeom prst="rect">
          <a:avLst/>
        </a:prstGeom>
        <a:noFill/>
        <a:ln w="9525">
          <a:noFill/>
          <a:round/>
          <a:headEnd/>
          <a:tailEnd/>
        </a:ln>
      </xdr:spPr>
    </xdr:sp>
    <xdr:clientData/>
  </xdr:twoCellAnchor>
  <xdr:twoCellAnchor>
    <xdr:from>
      <xdr:col>7</xdr:col>
      <xdr:colOff>144780</xdr:colOff>
      <xdr:row>119</xdr:row>
      <xdr:rowOff>335280</xdr:rowOff>
    </xdr:from>
    <xdr:to>
      <xdr:col>16</xdr:col>
      <xdr:colOff>0</xdr:colOff>
      <xdr:row>120</xdr:row>
      <xdr:rowOff>0</xdr:rowOff>
    </xdr:to>
    <xdr:sp macro="" textlink="">
      <xdr:nvSpPr>
        <xdr:cNvPr id="33" name="CustomShape 1"/>
        <xdr:cNvSpPr>
          <a:spLocks noChangeArrowheads="1"/>
        </xdr:cNvSpPr>
      </xdr:nvSpPr>
      <xdr:spPr bwMode="auto">
        <a:xfrm>
          <a:off x="12336780" y="28291155"/>
          <a:ext cx="3284220" cy="0"/>
        </a:xfrm>
        <a:prstGeom prst="rect">
          <a:avLst/>
        </a:prstGeom>
        <a:noFill/>
        <a:ln w="9525">
          <a:no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rol\Desktop\Paul_work\Alaska\Documents%20and%20Settings\Paul\Application%20Data\Microsoft\Excel\ORWAPv1.5_Explanation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rol\Desktop\Paul_work\Alaska\Documents%20and%20Settings\Paul\Application%20Data\Microsoft\Excel\ORWAP_08\Macro2\ORWAP_Macro\ORWAP_Macro\ORWAP%20RK%20bat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Scores"/>
      <sheetName val="CoverPg"/>
      <sheetName val="Sketch"/>
      <sheetName val="OF"/>
      <sheetName val="FieldF"/>
      <sheetName val="FieldS"/>
      <sheetName val="Matrix"/>
      <sheetName val="WS"/>
      <sheetName val="SR"/>
      <sheetName val="PR"/>
      <sheetName val="NR"/>
      <sheetName val="T"/>
      <sheetName val="CS"/>
      <sheetName val="OE"/>
      <sheetName val="INV"/>
      <sheetName val="FA"/>
      <sheetName val="FR"/>
      <sheetName val="AM"/>
      <sheetName val="WBF"/>
      <sheetName val="WBN"/>
      <sheetName val="SBM"/>
      <sheetName val="POL"/>
      <sheetName val="PD"/>
      <sheetName val="STR"/>
      <sheetName val="Sen"/>
      <sheetName val="CQ"/>
      <sheetName val="PU"/>
      <sheetName val="PS"/>
      <sheetName val="HGM"/>
      <sheetName val="Plants"/>
      <sheetName val="Verts"/>
      <sheetName val="InvertsNonNativ"/>
      <sheetName val="InvertsRare"/>
      <sheetName val="IBAs"/>
      <sheetName val="WQprob"/>
      <sheetName val="NWIstats"/>
      <sheetName val="HydricTab"/>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D2">
            <v>0</v>
          </cell>
        </row>
        <row r="3">
          <cell r="G3">
            <v>0</v>
          </cell>
        </row>
        <row r="5">
          <cell r="D5">
            <v>0</v>
          </cell>
        </row>
        <row r="6">
          <cell r="D6">
            <v>1</v>
          </cell>
        </row>
        <row r="8">
          <cell r="G8" t="str">
            <v/>
          </cell>
        </row>
        <row r="9">
          <cell r="D9">
            <v>0</v>
          </cell>
        </row>
        <row r="10">
          <cell r="D10">
            <v>0</v>
          </cell>
        </row>
        <row r="15">
          <cell r="G15">
            <v>0</v>
          </cell>
        </row>
        <row r="22">
          <cell r="G22">
            <v>0.3</v>
          </cell>
        </row>
        <row r="29">
          <cell r="G29">
            <v>1</v>
          </cell>
        </row>
        <row r="36">
          <cell r="G36">
            <v>0.25</v>
          </cell>
        </row>
        <row r="42">
          <cell r="G42">
            <v>0.6</v>
          </cell>
        </row>
        <row r="48">
          <cell r="G48">
            <v>0</v>
          </cell>
        </row>
        <row r="52">
          <cell r="D52">
            <v>0</v>
          </cell>
        </row>
        <row r="53">
          <cell r="G53">
            <v>1</v>
          </cell>
        </row>
        <row r="56">
          <cell r="G56" t="str">
            <v/>
          </cell>
        </row>
        <row r="62">
          <cell r="G62">
            <v>1</v>
          </cell>
        </row>
        <row r="63">
          <cell r="G63">
            <v>0.5</v>
          </cell>
        </row>
        <row r="67">
          <cell r="G67">
            <v>1</v>
          </cell>
        </row>
        <row r="72">
          <cell r="G72">
            <v>1</v>
          </cell>
        </row>
        <row r="75">
          <cell r="G75">
            <v>0</v>
          </cell>
        </row>
        <row r="79">
          <cell r="G79">
            <v>1</v>
          </cell>
        </row>
        <row r="84">
          <cell r="G84">
            <v>1</v>
          </cell>
        </row>
        <row r="88">
          <cell r="G88">
            <v>0</v>
          </cell>
        </row>
        <row r="92">
          <cell r="G92">
            <v>1</v>
          </cell>
        </row>
        <row r="96">
          <cell r="G96">
            <v>0</v>
          </cell>
        </row>
        <row r="102">
          <cell r="G102">
            <v>0</v>
          </cell>
        </row>
        <row r="106">
          <cell r="G106">
            <v>1</v>
          </cell>
        </row>
      </sheetData>
      <sheetData sheetId="8">
        <row r="2">
          <cell r="D2">
            <v>0</v>
          </cell>
        </row>
        <row r="3">
          <cell r="G3" t="str">
            <v/>
          </cell>
        </row>
        <row r="9">
          <cell r="D9">
            <v>0</v>
          </cell>
        </row>
        <row r="17">
          <cell r="G17">
            <v>1</v>
          </cell>
        </row>
        <row r="24">
          <cell r="G24" t="str">
            <v/>
          </cell>
        </row>
        <row r="30">
          <cell r="G30">
            <v>0.75</v>
          </cell>
        </row>
        <row r="36">
          <cell r="G36">
            <v>0</v>
          </cell>
        </row>
        <row r="40">
          <cell r="D40">
            <v>0</v>
          </cell>
        </row>
        <row r="41">
          <cell r="G41">
            <v>1</v>
          </cell>
        </row>
        <row r="44">
          <cell r="G44" t="str">
            <v/>
          </cell>
        </row>
        <row r="50">
          <cell r="G50" t="str">
            <v/>
          </cell>
        </row>
        <row r="56">
          <cell r="G56">
            <v>1</v>
          </cell>
        </row>
        <row r="61">
          <cell r="G61">
            <v>0.5</v>
          </cell>
        </row>
        <row r="65">
          <cell r="G65">
            <v>1</v>
          </cell>
        </row>
        <row r="70">
          <cell r="G70">
            <v>1</v>
          </cell>
        </row>
        <row r="75">
          <cell r="G75">
            <v>0</v>
          </cell>
        </row>
        <row r="81">
          <cell r="G81">
            <v>1</v>
          </cell>
        </row>
        <row r="85">
          <cell r="G85">
            <v>1</v>
          </cell>
        </row>
        <row r="90">
          <cell r="G90">
            <v>0</v>
          </cell>
        </row>
        <row r="94">
          <cell r="G94">
            <v>0</v>
          </cell>
        </row>
        <row r="98">
          <cell r="G98">
            <v>1</v>
          </cell>
        </row>
        <row r="102">
          <cell r="G102">
            <v>0</v>
          </cell>
        </row>
        <row r="109">
          <cell r="D109">
            <v>0</v>
          </cell>
        </row>
        <row r="112">
          <cell r="G112" t="str">
            <v/>
          </cell>
        </row>
        <row r="116">
          <cell r="G116">
            <v>0</v>
          </cell>
        </row>
        <row r="117">
          <cell r="G117" t="str">
            <v/>
          </cell>
        </row>
        <row r="123">
          <cell r="G123">
            <v>0.83333333333333337</v>
          </cell>
        </row>
        <row r="130">
          <cell r="G130">
            <v>0.75</v>
          </cell>
        </row>
        <row r="136">
          <cell r="G136" t="str">
            <v/>
          </cell>
        </row>
        <row r="139">
          <cell r="G139" t="str">
            <v/>
          </cell>
        </row>
        <row r="146">
          <cell r="G146">
            <v>0</v>
          </cell>
        </row>
        <row r="150">
          <cell r="G150">
            <v>0</v>
          </cell>
        </row>
        <row r="154">
          <cell r="G154">
            <v>0.5</v>
          </cell>
        </row>
        <row r="160">
          <cell r="G160">
            <v>1</v>
          </cell>
        </row>
      </sheetData>
      <sheetData sheetId="9">
        <row r="2">
          <cell r="D2">
            <v>0</v>
          </cell>
        </row>
        <row r="4">
          <cell r="G4" t="str">
            <v/>
          </cell>
        </row>
        <row r="10">
          <cell r="G10" t="str">
            <v/>
          </cell>
        </row>
        <row r="14">
          <cell r="G14">
            <v>1</v>
          </cell>
        </row>
        <row r="19">
          <cell r="D19">
            <v>0</v>
          </cell>
        </row>
        <row r="27">
          <cell r="G27">
            <v>0.75</v>
          </cell>
        </row>
        <row r="34">
          <cell r="G34">
            <v>1</v>
          </cell>
        </row>
        <row r="41">
          <cell r="G41">
            <v>0.2</v>
          </cell>
        </row>
        <row r="47">
          <cell r="G47">
            <v>0.66666666666666663</v>
          </cell>
        </row>
        <row r="53">
          <cell r="G53">
            <v>0</v>
          </cell>
        </row>
        <row r="57">
          <cell r="D57">
            <v>0</v>
          </cell>
        </row>
        <row r="58">
          <cell r="G58">
            <v>1</v>
          </cell>
        </row>
        <row r="61">
          <cell r="G61" t="str">
            <v/>
          </cell>
        </row>
        <row r="67">
          <cell r="G67" t="str">
            <v/>
          </cell>
        </row>
        <row r="73">
          <cell r="G73">
            <v>1</v>
          </cell>
        </row>
        <row r="74">
          <cell r="G74">
            <v>1</v>
          </cell>
        </row>
        <row r="75">
          <cell r="G75">
            <v>1</v>
          </cell>
        </row>
        <row r="81">
          <cell r="G81">
            <v>1</v>
          </cell>
        </row>
        <row r="86">
          <cell r="G86">
            <v>0</v>
          </cell>
        </row>
        <row r="91">
          <cell r="G91">
            <v>0.5</v>
          </cell>
        </row>
        <row r="95">
          <cell r="G95">
            <v>1</v>
          </cell>
        </row>
        <row r="105">
          <cell r="G105">
            <v>1</v>
          </cell>
        </row>
        <row r="107">
          <cell r="G107">
            <v>1</v>
          </cell>
        </row>
        <row r="111">
          <cell r="G111">
            <v>1</v>
          </cell>
        </row>
        <row r="116">
          <cell r="G116">
            <v>1</v>
          </cell>
        </row>
        <row r="120">
          <cell r="G120">
            <v>0</v>
          </cell>
        </row>
        <row r="124">
          <cell r="G124">
            <v>1</v>
          </cell>
        </row>
        <row r="128">
          <cell r="G128">
            <v>0</v>
          </cell>
        </row>
        <row r="134">
          <cell r="D134">
            <v>0</v>
          </cell>
        </row>
        <row r="137">
          <cell r="G137" t="str">
            <v/>
          </cell>
        </row>
        <row r="141">
          <cell r="G141">
            <v>0.33333333333333331</v>
          </cell>
        </row>
        <row r="146">
          <cell r="G146">
            <v>0</v>
          </cell>
        </row>
        <row r="147">
          <cell r="G147" t="str">
            <v/>
          </cell>
        </row>
        <row r="150">
          <cell r="G150">
            <v>0.5</v>
          </cell>
        </row>
        <row r="156">
          <cell r="G156">
            <v>1</v>
          </cell>
        </row>
      </sheetData>
      <sheetData sheetId="10">
        <row r="2">
          <cell r="D2">
            <v>0</v>
          </cell>
        </row>
        <row r="4">
          <cell r="G4">
            <v>1</v>
          </cell>
        </row>
        <row r="9">
          <cell r="D9">
            <v>0</v>
          </cell>
        </row>
        <row r="10">
          <cell r="G10">
            <v>0</v>
          </cell>
        </row>
        <row r="17">
          <cell r="G17">
            <v>0.5</v>
          </cell>
        </row>
        <row r="24">
          <cell r="G24">
            <v>1</v>
          </cell>
        </row>
        <row r="31">
          <cell r="G31">
            <v>0.25</v>
          </cell>
        </row>
        <row r="37">
          <cell r="G37">
            <v>0.8</v>
          </cell>
        </row>
        <row r="43">
          <cell r="G43">
            <v>0.45</v>
          </cell>
        </row>
        <row r="44">
          <cell r="G44">
            <v>0</v>
          </cell>
        </row>
        <row r="49">
          <cell r="G49">
            <v>0</v>
          </cell>
        </row>
        <row r="53">
          <cell r="D53">
            <v>0</v>
          </cell>
        </row>
        <row r="54">
          <cell r="G54">
            <v>1</v>
          </cell>
        </row>
        <row r="57">
          <cell r="G57" t="str">
            <v/>
          </cell>
        </row>
        <row r="63">
          <cell r="G63" t="str">
            <v/>
          </cell>
        </row>
        <row r="75">
          <cell r="G75">
            <v>1</v>
          </cell>
        </row>
        <row r="80">
          <cell r="G80">
            <v>0</v>
          </cell>
        </row>
        <row r="84">
          <cell r="G84">
            <v>0</v>
          </cell>
        </row>
        <row r="87">
          <cell r="G87">
            <v>0.25</v>
          </cell>
        </row>
        <row r="92">
          <cell r="G92">
            <v>0.66666666666666663</v>
          </cell>
        </row>
        <row r="96">
          <cell r="G96">
            <v>1</v>
          </cell>
        </row>
        <row r="101">
          <cell r="G101">
            <v>1</v>
          </cell>
        </row>
        <row r="102">
          <cell r="G102">
            <v>0</v>
          </cell>
        </row>
        <row r="103">
          <cell r="G103">
            <v>1</v>
          </cell>
        </row>
        <row r="104">
          <cell r="G104">
            <v>1</v>
          </cell>
        </row>
        <row r="107">
          <cell r="G107">
            <v>0</v>
          </cell>
        </row>
        <row r="111">
          <cell r="G111">
            <v>1</v>
          </cell>
        </row>
        <row r="116">
          <cell r="G116">
            <v>0</v>
          </cell>
        </row>
        <row r="120">
          <cell r="G120">
            <v>0</v>
          </cell>
        </row>
        <row r="124">
          <cell r="G124">
            <v>1</v>
          </cell>
        </row>
        <row r="129">
          <cell r="D129">
            <v>0</v>
          </cell>
        </row>
        <row r="132">
          <cell r="G132" t="str">
            <v/>
          </cell>
        </row>
        <row r="136">
          <cell r="G136">
            <v>0.5</v>
          </cell>
        </row>
        <row r="139">
          <cell r="G139">
            <v>0</v>
          </cell>
        </row>
        <row r="142">
          <cell r="G142">
            <v>0.66666666666666663</v>
          </cell>
        </row>
        <row r="147">
          <cell r="G147">
            <v>0</v>
          </cell>
        </row>
        <row r="148">
          <cell r="G148" t="str">
            <v/>
          </cell>
        </row>
        <row r="151">
          <cell r="G151">
            <v>0</v>
          </cell>
        </row>
        <row r="155">
          <cell r="G155">
            <v>0.5</v>
          </cell>
        </row>
        <row r="161">
          <cell r="G161">
            <v>1</v>
          </cell>
        </row>
        <row r="168">
          <cell r="G168">
            <v>0.7055555555555556</v>
          </cell>
        </row>
      </sheetData>
      <sheetData sheetId="11">
        <row r="2">
          <cell r="D2">
            <v>0</v>
          </cell>
        </row>
        <row r="4">
          <cell r="D4">
            <v>0</v>
          </cell>
        </row>
        <row r="5">
          <cell r="D5">
            <v>0</v>
          </cell>
        </row>
        <row r="6">
          <cell r="G6">
            <v>0</v>
          </cell>
        </row>
        <row r="13">
          <cell r="G13">
            <v>0.66666666666666663</v>
          </cell>
        </row>
        <row r="19">
          <cell r="G19">
            <v>0</v>
          </cell>
        </row>
        <row r="24">
          <cell r="G24">
            <v>1</v>
          </cell>
        </row>
        <row r="28">
          <cell r="D28">
            <v>0</v>
          </cell>
        </row>
        <row r="29">
          <cell r="G29">
            <v>0</v>
          </cell>
        </row>
        <row r="37">
          <cell r="G37">
            <v>1</v>
          </cell>
        </row>
        <row r="39">
          <cell r="D39">
            <v>0</v>
          </cell>
        </row>
        <row r="42">
          <cell r="G42">
            <v>0</v>
          </cell>
        </row>
      </sheetData>
      <sheetData sheetId="12">
        <row r="3">
          <cell r="D3">
            <v>0</v>
          </cell>
        </row>
        <row r="4">
          <cell r="D4">
            <v>0</v>
          </cell>
        </row>
        <row r="15">
          <cell r="G15">
            <v>1</v>
          </cell>
        </row>
        <row r="21">
          <cell r="G21">
            <v>1</v>
          </cell>
        </row>
        <row r="28">
          <cell r="G28" t="str">
            <v/>
          </cell>
        </row>
        <row r="35">
          <cell r="G35">
            <v>0.75</v>
          </cell>
        </row>
        <row r="41">
          <cell r="G41">
            <v>0.25</v>
          </cell>
        </row>
        <row r="47">
          <cell r="G47">
            <v>0.25</v>
          </cell>
        </row>
        <row r="53">
          <cell r="G53">
            <v>0</v>
          </cell>
        </row>
        <row r="58">
          <cell r="G58">
            <v>0</v>
          </cell>
        </row>
        <row r="63">
          <cell r="G63">
            <v>1</v>
          </cell>
        </row>
        <row r="66">
          <cell r="G66" t="str">
            <v/>
          </cell>
        </row>
        <row r="72">
          <cell r="G72" t="str">
            <v/>
          </cell>
        </row>
        <row r="75">
          <cell r="G75" t="str">
            <v/>
          </cell>
        </row>
        <row r="81">
          <cell r="G81">
            <v>1</v>
          </cell>
        </row>
        <row r="82">
          <cell r="G82">
            <v>0</v>
          </cell>
        </row>
        <row r="88">
          <cell r="G88">
            <v>0.18181818181818182</v>
          </cell>
        </row>
        <row r="101">
          <cell r="G101">
            <v>1</v>
          </cell>
        </row>
        <row r="107">
          <cell r="G107">
            <v>1</v>
          </cell>
        </row>
        <row r="112">
          <cell r="G112">
            <v>0</v>
          </cell>
        </row>
        <row r="117">
          <cell r="G117">
            <v>0.5</v>
          </cell>
        </row>
        <row r="121">
          <cell r="G121">
            <v>1</v>
          </cell>
        </row>
        <row r="126">
          <cell r="G126">
            <v>1</v>
          </cell>
        </row>
        <row r="131">
          <cell r="G131">
            <v>0</v>
          </cell>
        </row>
        <row r="135">
          <cell r="G135">
            <v>1</v>
          </cell>
        </row>
        <row r="136">
          <cell r="G136">
            <v>1</v>
          </cell>
        </row>
      </sheetData>
      <sheetData sheetId="13">
        <row r="2">
          <cell r="D2">
            <v>0</v>
          </cell>
        </row>
        <row r="4">
          <cell r="G4" t="str">
            <v/>
          </cell>
        </row>
        <row r="10">
          <cell r="G10" t="str">
            <v/>
          </cell>
        </row>
        <row r="16">
          <cell r="G16">
            <v>0</v>
          </cell>
        </row>
        <row r="21">
          <cell r="D21">
            <v>0</v>
          </cell>
        </row>
        <row r="22">
          <cell r="G22">
            <v>1</v>
          </cell>
        </row>
        <row r="29">
          <cell r="G29">
            <v>0</v>
          </cell>
        </row>
        <row r="36">
          <cell r="G36">
            <v>0.25</v>
          </cell>
        </row>
        <row r="42">
          <cell r="G42">
            <v>1</v>
          </cell>
        </row>
        <row r="48">
          <cell r="G48">
            <v>0.2</v>
          </cell>
        </row>
        <row r="54">
          <cell r="G54">
            <v>0.45</v>
          </cell>
        </row>
        <row r="55">
          <cell r="G55">
            <v>1</v>
          </cell>
        </row>
        <row r="59">
          <cell r="D59">
            <v>0</v>
          </cell>
        </row>
        <row r="60">
          <cell r="G60">
            <v>0</v>
          </cell>
        </row>
        <row r="63">
          <cell r="G63" t="str">
            <v/>
          </cell>
        </row>
        <row r="69">
          <cell r="G69" t="str">
            <v/>
          </cell>
        </row>
        <row r="72">
          <cell r="G72" t="str">
            <v/>
          </cell>
        </row>
        <row r="78">
          <cell r="G78">
            <v>1</v>
          </cell>
        </row>
        <row r="79">
          <cell r="G79">
            <v>0</v>
          </cell>
        </row>
        <row r="85">
          <cell r="G85">
            <v>1</v>
          </cell>
        </row>
        <row r="91">
          <cell r="G91">
            <v>1</v>
          </cell>
        </row>
        <row r="101">
          <cell r="G101">
            <v>0.5</v>
          </cell>
        </row>
        <row r="105">
          <cell r="G105">
            <v>1</v>
          </cell>
        </row>
        <row r="110">
          <cell r="G110">
            <v>1</v>
          </cell>
        </row>
        <row r="115">
          <cell r="G115">
            <v>1</v>
          </cell>
        </row>
        <row r="116">
          <cell r="G116">
            <v>1</v>
          </cell>
        </row>
        <row r="117">
          <cell r="G117">
            <v>1</v>
          </cell>
        </row>
      </sheetData>
      <sheetData sheetId="14">
        <row r="2">
          <cell r="D2">
            <v>0</v>
          </cell>
        </row>
        <row r="3">
          <cell r="D3">
            <v>0</v>
          </cell>
        </row>
        <row r="4">
          <cell r="G4" t="str">
            <v/>
          </cell>
        </row>
        <row r="10">
          <cell r="G10">
            <v>0</v>
          </cell>
        </row>
        <row r="15">
          <cell r="D15">
            <v>0</v>
          </cell>
        </row>
        <row r="16">
          <cell r="G16">
            <v>0</v>
          </cell>
        </row>
        <row r="23">
          <cell r="G23">
            <v>0.5</v>
          </cell>
        </row>
        <row r="30">
          <cell r="G30">
            <v>0.33333333333333331</v>
          </cell>
        </row>
        <row r="37">
          <cell r="G37" t="str">
            <v/>
          </cell>
        </row>
        <row r="43">
          <cell r="G43">
            <v>1</v>
          </cell>
        </row>
        <row r="47">
          <cell r="G47">
            <v>0.33333333333333331</v>
          </cell>
        </row>
        <row r="53">
          <cell r="G53">
            <v>0.4</v>
          </cell>
        </row>
        <row r="59">
          <cell r="G59">
            <v>0.5</v>
          </cell>
        </row>
        <row r="63">
          <cell r="G63">
            <v>0.45</v>
          </cell>
        </row>
        <row r="64">
          <cell r="G64">
            <v>0</v>
          </cell>
        </row>
        <row r="69">
          <cell r="G69" t="str">
            <v/>
          </cell>
        </row>
        <row r="75">
          <cell r="G75">
            <v>0</v>
          </cell>
        </row>
        <row r="76">
          <cell r="G76">
            <v>0.75</v>
          </cell>
        </row>
        <row r="88">
          <cell r="G88">
            <v>0.75</v>
          </cell>
        </row>
        <row r="94">
          <cell r="G94">
            <v>0</v>
          </cell>
        </row>
        <row r="100">
          <cell r="G100">
            <v>1</v>
          </cell>
        </row>
        <row r="103">
          <cell r="G103">
            <v>1</v>
          </cell>
        </row>
        <row r="108">
          <cell r="G108">
            <v>0</v>
          </cell>
        </row>
        <row r="111">
          <cell r="G111">
            <v>0.5</v>
          </cell>
        </row>
        <row r="115">
          <cell r="G115">
            <v>1</v>
          </cell>
        </row>
        <row r="116">
          <cell r="G116">
            <v>1</v>
          </cell>
        </row>
        <row r="122">
          <cell r="G122">
            <v>0.5</v>
          </cell>
        </row>
        <row r="128">
          <cell r="G128">
            <v>0</v>
          </cell>
        </row>
        <row r="136">
          <cell r="G136">
            <v>1</v>
          </cell>
        </row>
        <row r="139">
          <cell r="G139">
            <v>1</v>
          </cell>
        </row>
        <row r="140">
          <cell r="G140">
            <v>1</v>
          </cell>
        </row>
        <row r="141">
          <cell r="G141">
            <v>1</v>
          </cell>
        </row>
        <row r="144">
          <cell r="G144">
            <v>0</v>
          </cell>
        </row>
        <row r="155">
          <cell r="G155">
            <v>1</v>
          </cell>
        </row>
        <row r="159">
          <cell r="G159">
            <v>0.70972222222222225</v>
          </cell>
        </row>
        <row r="160">
          <cell r="G160">
            <v>0.82874999999999999</v>
          </cell>
        </row>
        <row r="161">
          <cell r="G161">
            <v>0.56278499278499283</v>
          </cell>
        </row>
        <row r="162">
          <cell r="G162" t="e">
            <v>#REF!</v>
          </cell>
        </row>
        <row r="163">
          <cell r="G163">
            <v>0.54677777777777781</v>
          </cell>
        </row>
        <row r="164">
          <cell r="G164">
            <v>0.37724747474747478</v>
          </cell>
        </row>
      </sheetData>
      <sheetData sheetId="15">
        <row r="2">
          <cell r="D2">
            <v>0</v>
          </cell>
        </row>
        <row r="4">
          <cell r="D4">
            <v>0</v>
          </cell>
        </row>
        <row r="5">
          <cell r="D5">
            <v>0</v>
          </cell>
        </row>
        <row r="6">
          <cell r="D6">
            <v>1</v>
          </cell>
        </row>
        <row r="7">
          <cell r="D7">
            <v>1</v>
          </cell>
        </row>
        <row r="8">
          <cell r="G8" t="str">
            <v/>
          </cell>
        </row>
        <row r="14">
          <cell r="G14" t="str">
            <v/>
          </cell>
        </row>
        <row r="20">
          <cell r="D20">
            <v>0</v>
          </cell>
        </row>
        <row r="21">
          <cell r="G21">
            <v>1</v>
          </cell>
        </row>
        <row r="28">
          <cell r="G28" t="str">
            <v/>
          </cell>
        </row>
        <row r="38">
          <cell r="G38">
            <v>1</v>
          </cell>
        </row>
        <row r="44">
          <cell r="G44">
            <v>0.45</v>
          </cell>
        </row>
        <row r="45">
          <cell r="G45">
            <v>0</v>
          </cell>
        </row>
        <row r="50">
          <cell r="G50">
            <v>1</v>
          </cell>
        </row>
        <row r="58">
          <cell r="G58" t="str">
            <v/>
          </cell>
        </row>
        <row r="64">
          <cell r="G64" t="str">
            <v/>
          </cell>
        </row>
        <row r="70">
          <cell r="G70">
            <v>0</v>
          </cell>
        </row>
        <row r="76">
          <cell r="G76">
            <v>1</v>
          </cell>
        </row>
        <row r="79">
          <cell r="G79">
            <v>1</v>
          </cell>
        </row>
        <row r="82">
          <cell r="G82">
            <v>0.5</v>
          </cell>
        </row>
        <row r="91">
          <cell r="G91">
            <v>0</v>
          </cell>
        </row>
        <row r="93">
          <cell r="G93">
            <v>0.5</v>
          </cell>
        </row>
        <row r="99">
          <cell r="G99">
            <v>0</v>
          </cell>
        </row>
        <row r="107">
          <cell r="G107">
            <v>1</v>
          </cell>
        </row>
        <row r="115">
          <cell r="G115">
            <v>0</v>
          </cell>
        </row>
        <row r="118">
          <cell r="G118">
            <v>1</v>
          </cell>
        </row>
        <row r="119">
          <cell r="G119">
            <v>1</v>
          </cell>
        </row>
        <row r="123">
          <cell r="G123">
            <v>1</v>
          </cell>
        </row>
        <row r="124">
          <cell r="G124" t="e">
            <v>#REF!</v>
          </cell>
        </row>
      </sheetData>
      <sheetData sheetId="16">
        <row r="2">
          <cell r="D2">
            <v>0</v>
          </cell>
        </row>
        <row r="3">
          <cell r="D3">
            <v>1</v>
          </cell>
        </row>
        <row r="4">
          <cell r="D4">
            <v>0</v>
          </cell>
        </row>
        <row r="22">
          <cell r="D22">
            <v>0</v>
          </cell>
        </row>
        <row r="23">
          <cell r="G23">
            <v>1</v>
          </cell>
        </row>
        <row r="35">
          <cell r="D35">
            <v>0</v>
          </cell>
        </row>
        <row r="37">
          <cell r="G37">
            <v>0</v>
          </cell>
        </row>
        <row r="44">
          <cell r="G44">
            <v>1</v>
          </cell>
        </row>
        <row r="48">
          <cell r="G48">
            <v>0.75</v>
          </cell>
        </row>
        <row r="54">
          <cell r="G54">
            <v>0</v>
          </cell>
        </row>
        <row r="58">
          <cell r="G58">
            <v>0.45</v>
          </cell>
        </row>
        <row r="59">
          <cell r="G59">
            <v>1</v>
          </cell>
        </row>
        <row r="63">
          <cell r="D63">
            <v>0</v>
          </cell>
        </row>
        <row r="64">
          <cell r="G64" t="str">
            <v/>
          </cell>
        </row>
        <row r="67">
          <cell r="G67" t="str">
            <v/>
          </cell>
        </row>
        <row r="73">
          <cell r="G73" t="str">
            <v/>
          </cell>
        </row>
        <row r="79">
          <cell r="G79">
            <v>1</v>
          </cell>
        </row>
        <row r="82">
          <cell r="G82">
            <v>1</v>
          </cell>
        </row>
        <row r="85">
          <cell r="G85">
            <v>0</v>
          </cell>
        </row>
        <row r="88">
          <cell r="G88">
            <v>1</v>
          </cell>
        </row>
        <row r="96">
          <cell r="D96">
            <v>1</v>
          </cell>
        </row>
        <row r="97">
          <cell r="G97">
            <v>0.75</v>
          </cell>
        </row>
        <row r="106">
          <cell r="G106">
            <v>0</v>
          </cell>
        </row>
        <row r="111">
          <cell r="D111">
            <v>1</v>
          </cell>
        </row>
        <row r="112">
          <cell r="D112" t="e">
            <v>#REF!</v>
          </cell>
        </row>
      </sheetData>
      <sheetData sheetId="17">
        <row r="2">
          <cell r="D2">
            <v>0</v>
          </cell>
        </row>
        <row r="3">
          <cell r="D3">
            <v>0</v>
          </cell>
        </row>
        <row r="4">
          <cell r="D4">
            <v>1</v>
          </cell>
        </row>
        <row r="5">
          <cell r="D5">
            <v>0</v>
          </cell>
        </row>
        <row r="6">
          <cell r="G6">
            <v>0</v>
          </cell>
        </row>
        <row r="13">
          <cell r="G13">
            <v>1</v>
          </cell>
        </row>
        <row r="20">
          <cell r="G20">
            <v>1</v>
          </cell>
        </row>
        <row r="27">
          <cell r="G27" t="str">
            <v/>
          </cell>
        </row>
        <row r="33">
          <cell r="G33">
            <v>1</v>
          </cell>
        </row>
        <row r="37">
          <cell r="G37">
            <v>0.25</v>
          </cell>
        </row>
        <row r="43">
          <cell r="G43">
            <v>1</v>
          </cell>
        </row>
        <row r="48">
          <cell r="G48">
            <v>0.5</v>
          </cell>
        </row>
        <row r="49">
          <cell r="G49">
            <v>0</v>
          </cell>
        </row>
        <row r="54">
          <cell r="G54" t="str">
            <v/>
          </cell>
        </row>
        <row r="60">
          <cell r="G60">
            <v>0.25</v>
          </cell>
        </row>
        <row r="67">
          <cell r="G67">
            <v>1</v>
          </cell>
        </row>
        <row r="70">
          <cell r="G70">
            <v>0</v>
          </cell>
        </row>
        <row r="80">
          <cell r="G80">
            <v>0.18181818181818182</v>
          </cell>
        </row>
        <row r="93">
          <cell r="G93">
            <v>0.66666666666666663</v>
          </cell>
        </row>
        <row r="98">
          <cell r="B98" t="str">
            <v>Upland Inclusions</v>
          </cell>
        </row>
        <row r="101">
          <cell r="G101">
            <v>0</v>
          </cell>
        </row>
        <row r="104">
          <cell r="G104">
            <v>0.5</v>
          </cell>
        </row>
        <row r="108">
          <cell r="G108">
            <v>1</v>
          </cell>
        </row>
        <row r="113">
          <cell r="G113">
            <v>1</v>
          </cell>
        </row>
        <row r="118">
          <cell r="G118">
            <v>1</v>
          </cell>
        </row>
        <row r="121">
          <cell r="G121">
            <v>0</v>
          </cell>
        </row>
        <row r="125">
          <cell r="G125">
            <v>0</v>
          </cell>
        </row>
        <row r="130">
          <cell r="G130">
            <v>0.33333333333333331</v>
          </cell>
        </row>
        <row r="135">
          <cell r="G135">
            <v>0</v>
          </cell>
        </row>
        <row r="141">
          <cell r="G141">
            <v>0</v>
          </cell>
        </row>
        <row r="146">
          <cell r="G146">
            <v>0.25</v>
          </cell>
        </row>
        <row r="152">
          <cell r="G152">
            <v>0.4</v>
          </cell>
        </row>
        <row r="158">
          <cell r="G158">
            <v>0</v>
          </cell>
        </row>
        <row r="166">
          <cell r="G166">
            <v>0</v>
          </cell>
        </row>
        <row r="167">
          <cell r="G167">
            <v>0.4</v>
          </cell>
        </row>
        <row r="180">
          <cell r="G180">
            <v>0</v>
          </cell>
        </row>
        <row r="188">
          <cell r="G188">
            <v>0</v>
          </cell>
        </row>
        <row r="194">
          <cell r="G194">
            <v>0.5</v>
          </cell>
        </row>
        <row r="200">
          <cell r="G200">
            <v>0.2</v>
          </cell>
        </row>
        <row r="207">
          <cell r="G207">
            <v>1</v>
          </cell>
        </row>
        <row r="214">
          <cell r="G214" t="str">
            <v/>
          </cell>
        </row>
        <row r="220">
          <cell r="G220">
            <v>0</v>
          </cell>
        </row>
        <row r="224">
          <cell r="G224">
            <v>1</v>
          </cell>
        </row>
        <row r="228">
          <cell r="G228">
            <v>0</v>
          </cell>
        </row>
        <row r="232">
          <cell r="G232">
            <v>0</v>
          </cell>
        </row>
        <row r="237">
          <cell r="G237">
            <v>0.66666666666666663</v>
          </cell>
        </row>
        <row r="244">
          <cell r="G244">
            <v>1</v>
          </cell>
        </row>
      </sheetData>
      <sheetData sheetId="18">
        <row r="2">
          <cell r="D2">
            <v>0</v>
          </cell>
        </row>
        <row r="3">
          <cell r="D3">
            <v>1</v>
          </cell>
        </row>
        <row r="4">
          <cell r="D4">
            <v>0</v>
          </cell>
        </row>
        <row r="6">
          <cell r="G6" t="str">
            <v/>
          </cell>
        </row>
        <row r="12">
          <cell r="G12" t="str">
            <v/>
          </cell>
        </row>
        <row r="18">
          <cell r="G18">
            <v>0</v>
          </cell>
        </row>
        <row r="23">
          <cell r="D23">
            <v>0</v>
          </cell>
        </row>
        <row r="24">
          <cell r="G24">
            <v>0.3</v>
          </cell>
        </row>
        <row r="30">
          <cell r="G30">
            <v>0.75</v>
          </cell>
        </row>
        <row r="37">
          <cell r="G37">
            <v>0</v>
          </cell>
        </row>
        <row r="44">
          <cell r="G44">
            <v>0.16666666666666666</v>
          </cell>
        </row>
        <row r="50">
          <cell r="G50">
            <v>0.5</v>
          </cell>
        </row>
        <row r="54">
          <cell r="G54">
            <v>0.45</v>
          </cell>
        </row>
        <row r="55">
          <cell r="G55" t="str">
            <v/>
          </cell>
        </row>
        <row r="65">
          <cell r="G65">
            <v>1</v>
          </cell>
        </row>
        <row r="71">
          <cell r="D71">
            <v>1</v>
          </cell>
        </row>
        <row r="72">
          <cell r="G72">
            <v>1</v>
          </cell>
        </row>
        <row r="78">
          <cell r="G78">
            <v>0.75</v>
          </cell>
        </row>
        <row r="84">
          <cell r="G84">
            <v>0.3</v>
          </cell>
        </row>
        <row r="90">
          <cell r="G90">
            <v>0</v>
          </cell>
        </row>
        <row r="96">
          <cell r="G96">
            <v>1</v>
          </cell>
        </row>
        <row r="97">
          <cell r="D97">
            <v>0</v>
          </cell>
        </row>
        <row r="101">
          <cell r="G101">
            <v>1</v>
          </cell>
        </row>
        <row r="102">
          <cell r="G102">
            <v>0</v>
          </cell>
        </row>
        <row r="107">
          <cell r="G107">
            <v>0.33333333333333331</v>
          </cell>
        </row>
        <row r="112">
          <cell r="G112">
            <v>0</v>
          </cell>
        </row>
        <row r="118">
          <cell r="G118">
            <v>0</v>
          </cell>
        </row>
        <row r="123">
          <cell r="G123">
            <v>0.2</v>
          </cell>
        </row>
        <row r="130">
          <cell r="G130">
            <v>1</v>
          </cell>
        </row>
        <row r="137">
          <cell r="G137">
            <v>0.5</v>
          </cell>
        </row>
        <row r="141">
          <cell r="G141">
            <v>0</v>
          </cell>
        </row>
        <row r="145">
          <cell r="G145">
            <v>0.9</v>
          </cell>
        </row>
        <row r="152">
          <cell r="G152" t="str">
            <v/>
          </cell>
        </row>
        <row r="159">
          <cell r="D159">
            <v>0</v>
          </cell>
        </row>
        <row r="164">
          <cell r="G164" t="str">
            <v/>
          </cell>
        </row>
        <row r="170">
          <cell r="G170">
            <v>0</v>
          </cell>
        </row>
        <row r="174">
          <cell r="G174">
            <v>0.4</v>
          </cell>
        </row>
        <row r="181">
          <cell r="G181">
            <v>1</v>
          </cell>
        </row>
      </sheetData>
      <sheetData sheetId="19">
        <row r="2">
          <cell r="D2">
            <v>0</v>
          </cell>
        </row>
        <row r="3">
          <cell r="D3">
            <v>0</v>
          </cell>
        </row>
        <row r="10">
          <cell r="G10">
            <v>0</v>
          </cell>
        </row>
        <row r="16">
          <cell r="G16">
            <v>0.8</v>
          </cell>
        </row>
        <row r="23">
          <cell r="G23">
            <v>1</v>
          </cell>
        </row>
        <row r="30">
          <cell r="G30">
            <v>0.25</v>
          </cell>
        </row>
        <row r="36">
          <cell r="G36">
            <v>0.33333333333333331</v>
          </cell>
        </row>
        <row r="42">
          <cell r="G42">
            <v>0.5</v>
          </cell>
        </row>
        <row r="49">
          <cell r="G49">
            <v>0.45</v>
          </cell>
        </row>
        <row r="50">
          <cell r="G50" t="str">
            <v/>
          </cell>
        </row>
        <row r="56">
          <cell r="G56" t="str">
            <v/>
          </cell>
        </row>
        <row r="69">
          <cell r="G69">
            <v>0</v>
          </cell>
        </row>
        <row r="73">
          <cell r="D73">
            <v>1</v>
          </cell>
        </row>
        <row r="74">
          <cell r="G74">
            <v>0.75</v>
          </cell>
        </row>
        <row r="93">
          <cell r="G93">
            <v>0.5</v>
          </cell>
        </row>
        <row r="99">
          <cell r="G99">
            <v>0.25</v>
          </cell>
        </row>
        <row r="105">
          <cell r="G105">
            <v>1</v>
          </cell>
        </row>
        <row r="108">
          <cell r="G108">
            <v>1</v>
          </cell>
        </row>
        <row r="109">
          <cell r="D109">
            <v>0</v>
          </cell>
        </row>
        <row r="113">
          <cell r="G113">
            <v>1</v>
          </cell>
        </row>
        <row r="118">
          <cell r="G118">
            <v>0</v>
          </cell>
        </row>
        <row r="123">
          <cell r="G123">
            <v>0.33333333333333331</v>
          </cell>
        </row>
        <row r="128">
          <cell r="G128">
            <v>0.5</v>
          </cell>
        </row>
        <row r="134">
          <cell r="G134">
            <v>0</v>
          </cell>
        </row>
        <row r="142">
          <cell r="G142">
            <v>0.5</v>
          </cell>
        </row>
        <row r="148">
          <cell r="G148">
            <v>0.2</v>
          </cell>
        </row>
        <row r="155">
          <cell r="G155">
            <v>1</v>
          </cell>
        </row>
        <row r="162">
          <cell r="G162">
            <v>0.5</v>
          </cell>
        </row>
        <row r="163">
          <cell r="D163">
            <v>0</v>
          </cell>
        </row>
        <row r="166">
          <cell r="G166">
            <v>0.9</v>
          </cell>
        </row>
        <row r="179">
          <cell r="G179">
            <v>0.4</v>
          </cell>
        </row>
        <row r="186">
          <cell r="G186">
            <v>1</v>
          </cell>
        </row>
        <row r="192">
          <cell r="G192" t="str">
            <v/>
          </cell>
        </row>
        <row r="199">
          <cell r="G199">
            <v>0</v>
          </cell>
        </row>
        <row r="211">
          <cell r="G211">
            <v>1</v>
          </cell>
        </row>
      </sheetData>
      <sheetData sheetId="20">
        <row r="2">
          <cell r="D2">
            <v>0</v>
          </cell>
        </row>
        <row r="3">
          <cell r="G3" t="str">
            <v/>
          </cell>
        </row>
        <row r="4">
          <cell r="D4">
            <v>0</v>
          </cell>
        </row>
        <row r="9">
          <cell r="G9" t="str">
            <v/>
          </cell>
        </row>
        <row r="16">
          <cell r="D16">
            <v>0</v>
          </cell>
        </row>
        <row r="22">
          <cell r="G22">
            <v>1</v>
          </cell>
        </row>
        <row r="25">
          <cell r="G25">
            <v>0</v>
          </cell>
        </row>
        <row r="31">
          <cell r="G31">
            <v>0</v>
          </cell>
        </row>
        <row r="37">
          <cell r="G37" t="str">
            <v/>
          </cell>
        </row>
        <row r="41">
          <cell r="G41">
            <v>0.22727272727272727</v>
          </cell>
        </row>
        <row r="54">
          <cell r="G54">
            <v>1</v>
          </cell>
        </row>
        <row r="57">
          <cell r="G57">
            <v>1.6666666666666667</v>
          </cell>
        </row>
        <row r="62">
          <cell r="G62">
            <v>0</v>
          </cell>
        </row>
        <row r="66">
          <cell r="G66">
            <v>1</v>
          </cell>
        </row>
        <row r="69">
          <cell r="G69">
            <v>0</v>
          </cell>
        </row>
        <row r="72">
          <cell r="G72">
            <v>0.5</v>
          </cell>
        </row>
        <row r="77">
          <cell r="D77">
            <v>1</v>
          </cell>
        </row>
        <row r="78">
          <cell r="G78">
            <v>0</v>
          </cell>
        </row>
        <row r="79">
          <cell r="G79">
            <v>1</v>
          </cell>
        </row>
        <row r="84">
          <cell r="G84">
            <v>0</v>
          </cell>
        </row>
        <row r="89">
          <cell r="G89">
            <v>0.33333333333333331</v>
          </cell>
        </row>
        <row r="94">
          <cell r="G94">
            <v>0.4</v>
          </cell>
        </row>
        <row r="100">
          <cell r="G100">
            <v>0</v>
          </cell>
        </row>
        <row r="108">
          <cell r="G108">
            <v>0</v>
          </cell>
        </row>
        <row r="109">
          <cell r="G109">
            <v>0.4</v>
          </cell>
        </row>
        <row r="116">
          <cell r="G116">
            <v>0</v>
          </cell>
        </row>
        <row r="122">
          <cell r="G122">
            <v>0</v>
          </cell>
        </row>
        <row r="127">
          <cell r="G127">
            <v>0.25</v>
          </cell>
        </row>
        <row r="133">
          <cell r="G133">
            <v>0.25</v>
          </cell>
        </row>
        <row r="139">
          <cell r="G139">
            <v>0</v>
          </cell>
        </row>
        <row r="147">
          <cell r="G147">
            <v>0</v>
          </cell>
        </row>
        <row r="153">
          <cell r="G153">
            <v>0.5</v>
          </cell>
        </row>
        <row r="159">
          <cell r="G159">
            <v>0</v>
          </cell>
        </row>
        <row r="166">
          <cell r="G166">
            <v>1</v>
          </cell>
        </row>
        <row r="173">
          <cell r="G173">
            <v>0.83333333333333337</v>
          </cell>
        </row>
        <row r="180">
          <cell r="G180" t="str">
            <v/>
          </cell>
        </row>
        <row r="199">
          <cell r="G199">
            <v>0</v>
          </cell>
        </row>
        <row r="211">
          <cell r="G211">
            <v>1</v>
          </cell>
        </row>
      </sheetData>
      <sheetData sheetId="21">
        <row r="3">
          <cell r="G3" t="str">
            <v/>
          </cell>
        </row>
        <row r="9">
          <cell r="G9">
            <v>0.25</v>
          </cell>
        </row>
        <row r="18">
          <cell r="G18">
            <v>0</v>
          </cell>
        </row>
        <row r="22">
          <cell r="G22">
            <v>0</v>
          </cell>
        </row>
        <row r="31">
          <cell r="G31">
            <v>0</v>
          </cell>
        </row>
        <row r="36">
          <cell r="G36" t="str">
            <v/>
          </cell>
        </row>
        <row r="42">
          <cell r="G42">
            <v>0.24090909090909091</v>
          </cell>
        </row>
        <row r="61">
          <cell r="G61">
            <v>0</v>
          </cell>
        </row>
        <row r="64">
          <cell r="G64">
            <v>0.33333333333333331</v>
          </cell>
        </row>
        <row r="69">
          <cell r="G69">
            <v>0</v>
          </cell>
        </row>
        <row r="72">
          <cell r="G72">
            <v>0</v>
          </cell>
        </row>
        <row r="76">
          <cell r="G76">
            <v>0</v>
          </cell>
        </row>
        <row r="77">
          <cell r="G77">
            <v>0.5</v>
          </cell>
        </row>
        <row r="83">
          <cell r="G83">
            <v>0</v>
          </cell>
        </row>
        <row r="89">
          <cell r="G89">
            <v>0.5</v>
          </cell>
        </row>
        <row r="95">
          <cell r="G95">
            <v>0.9</v>
          </cell>
        </row>
        <row r="102">
          <cell r="G102">
            <v>1</v>
          </cell>
        </row>
        <row r="105">
          <cell r="G105">
            <v>0</v>
          </cell>
        </row>
        <row r="107">
          <cell r="G107">
            <v>0</v>
          </cell>
        </row>
        <row r="113">
          <cell r="G113">
            <v>0</v>
          </cell>
        </row>
        <row r="118">
          <cell r="G118">
            <v>0</v>
          </cell>
        </row>
        <row r="122">
          <cell r="G122">
            <v>0</v>
          </cell>
        </row>
        <row r="123">
          <cell r="G123" t="e">
            <v>#REF!</v>
          </cell>
        </row>
      </sheetData>
      <sheetData sheetId="22">
        <row r="2">
          <cell r="D2">
            <v>0</v>
          </cell>
        </row>
        <row r="3">
          <cell r="G3" t="str">
            <v/>
          </cell>
        </row>
        <row r="9">
          <cell r="G9" t="str">
            <v/>
          </cell>
        </row>
        <row r="15">
          <cell r="G15" t="str">
            <v/>
          </cell>
        </row>
        <row r="21">
          <cell r="G21" t="str">
            <v/>
          </cell>
        </row>
        <row r="28">
          <cell r="G28">
            <v>0</v>
          </cell>
        </row>
        <row r="33">
          <cell r="G33">
            <v>1</v>
          </cell>
        </row>
        <row r="37">
          <cell r="G37">
            <v>0.25</v>
          </cell>
        </row>
        <row r="43">
          <cell r="G43">
            <v>0</v>
          </cell>
        </row>
        <row r="46">
          <cell r="G46" t="str">
            <v/>
          </cell>
        </row>
        <row r="50">
          <cell r="G50">
            <v>0</v>
          </cell>
        </row>
        <row r="69">
          <cell r="G69">
            <v>0</v>
          </cell>
        </row>
        <row r="74">
          <cell r="G74" t="str">
            <v/>
          </cell>
        </row>
        <row r="80">
          <cell r="G80" t="str">
            <v/>
          </cell>
        </row>
        <row r="86">
          <cell r="G86" t="str">
            <v/>
          </cell>
        </row>
        <row r="92">
          <cell r="G92">
            <v>1</v>
          </cell>
        </row>
        <row r="95">
          <cell r="G95">
            <v>0</v>
          </cell>
        </row>
        <row r="100">
          <cell r="G100">
            <v>0.5</v>
          </cell>
        </row>
        <row r="105">
          <cell r="G105">
            <v>1</v>
          </cell>
        </row>
        <row r="109">
          <cell r="G109">
            <v>1</v>
          </cell>
        </row>
        <row r="114">
          <cell r="G114">
            <v>0.75</v>
          </cell>
        </row>
        <row r="120">
          <cell r="G120">
            <v>0</v>
          </cell>
        </row>
        <row r="125">
          <cell r="G125">
            <v>0.66666666666666663</v>
          </cell>
        </row>
        <row r="130">
          <cell r="G130">
            <v>1</v>
          </cell>
        </row>
        <row r="135">
          <cell r="G135">
            <v>0.5</v>
          </cell>
        </row>
        <row r="141">
          <cell r="G141">
            <v>0</v>
          </cell>
        </row>
        <row r="149">
          <cell r="G149">
            <v>0.2</v>
          </cell>
        </row>
        <row r="156">
          <cell r="G156">
            <v>1</v>
          </cell>
        </row>
        <row r="163">
          <cell r="G163">
            <v>0.4</v>
          </cell>
        </row>
        <row r="170">
          <cell r="D170">
            <v>0</v>
          </cell>
        </row>
        <row r="171">
          <cell r="D171">
            <v>0</v>
          </cell>
        </row>
        <row r="174">
          <cell r="G174">
            <v>0</v>
          </cell>
        </row>
        <row r="178">
          <cell r="G178">
            <v>0</v>
          </cell>
        </row>
        <row r="183">
          <cell r="G183" t="e">
            <v>#REF!</v>
          </cell>
        </row>
        <row r="188">
          <cell r="G188">
            <v>0.4</v>
          </cell>
        </row>
        <row r="195">
          <cell r="G195">
            <v>1</v>
          </cell>
        </row>
        <row r="199">
          <cell r="G199">
            <v>0.48498737373737372</v>
          </cell>
        </row>
        <row r="200">
          <cell r="G200" t="e">
            <v>#REF!</v>
          </cell>
        </row>
        <row r="201">
          <cell r="G201">
            <v>0.37724747474747478</v>
          </cell>
        </row>
      </sheetData>
      <sheetData sheetId="23">
        <row r="2">
          <cell r="G2">
            <v>0.2</v>
          </cell>
        </row>
        <row r="3">
          <cell r="G3">
            <v>0</v>
          </cell>
        </row>
        <row r="4">
          <cell r="G4">
            <v>0</v>
          </cell>
        </row>
        <row r="5">
          <cell r="G5">
            <v>0</v>
          </cell>
        </row>
        <row r="6">
          <cell r="G6">
            <v>0.6</v>
          </cell>
        </row>
        <row r="7">
          <cell r="G7">
            <v>0</v>
          </cell>
        </row>
        <row r="8">
          <cell r="G8">
            <v>0.2</v>
          </cell>
        </row>
        <row r="9">
          <cell r="G9">
            <v>0</v>
          </cell>
        </row>
        <row r="10">
          <cell r="G10">
            <v>0</v>
          </cell>
        </row>
        <row r="15">
          <cell r="G15">
            <v>0</v>
          </cell>
        </row>
        <row r="19">
          <cell r="G19">
            <v>0.25</v>
          </cell>
        </row>
        <row r="25">
          <cell r="G25">
            <v>0</v>
          </cell>
        </row>
        <row r="30">
          <cell r="G30">
            <v>0.66666666666666663</v>
          </cell>
        </row>
        <row r="35">
          <cell r="G35">
            <v>1</v>
          </cell>
        </row>
        <row r="40">
          <cell r="G40">
            <v>0.5</v>
          </cell>
        </row>
        <row r="46">
          <cell r="G46">
            <v>1</v>
          </cell>
        </row>
        <row r="61">
          <cell r="G61">
            <v>1</v>
          </cell>
        </row>
        <row r="62">
          <cell r="G62">
            <v>0</v>
          </cell>
        </row>
      </sheetData>
      <sheetData sheetId="24">
        <row r="3">
          <cell r="D3">
            <v>0</v>
          </cell>
        </row>
        <row r="4">
          <cell r="D4">
            <v>0</v>
          </cell>
        </row>
        <row r="5">
          <cell r="G5">
            <v>1</v>
          </cell>
        </row>
        <row r="12">
          <cell r="G12">
            <v>0.25</v>
          </cell>
        </row>
        <row r="18">
          <cell r="G18">
            <v>0.25</v>
          </cell>
        </row>
        <row r="29">
          <cell r="G29">
            <v>0</v>
          </cell>
        </row>
        <row r="33">
          <cell r="D33">
            <v>0</v>
          </cell>
        </row>
        <row r="34">
          <cell r="G34">
            <v>1</v>
          </cell>
        </row>
        <row r="37">
          <cell r="G37" t="str">
            <v/>
          </cell>
        </row>
        <row r="40">
          <cell r="G40" t="str">
            <v/>
          </cell>
        </row>
        <row r="48">
          <cell r="G48" t="str">
            <v/>
          </cell>
        </row>
        <row r="52">
          <cell r="G52" t="str">
            <v/>
          </cell>
        </row>
        <row r="56">
          <cell r="G56" t="str">
            <v/>
          </cell>
        </row>
        <row r="62">
          <cell r="G62">
            <v>1</v>
          </cell>
        </row>
        <row r="68">
          <cell r="G68">
            <v>0</v>
          </cell>
        </row>
        <row r="71">
          <cell r="G71">
            <v>0</v>
          </cell>
        </row>
        <row r="80">
          <cell r="G80" t="str">
            <v/>
          </cell>
        </row>
        <row r="86">
          <cell r="G86" t="str">
            <v/>
          </cell>
        </row>
        <row r="89">
          <cell r="G89" t="str">
            <v/>
          </cell>
        </row>
        <row r="105">
          <cell r="G105">
            <v>0</v>
          </cell>
        </row>
        <row r="110">
          <cell r="G110">
            <v>0</v>
          </cell>
        </row>
        <row r="115">
          <cell r="G115">
            <v>0</v>
          </cell>
        </row>
        <row r="116">
          <cell r="G116" t="str">
            <v/>
          </cell>
        </row>
        <row r="122">
          <cell r="G122" t="str">
            <v/>
          </cell>
        </row>
        <row r="127">
          <cell r="G127">
            <v>1</v>
          </cell>
        </row>
        <row r="133">
          <cell r="G133">
            <v>0.5</v>
          </cell>
        </row>
        <row r="139">
          <cell r="G139">
            <v>0.8</v>
          </cell>
        </row>
        <row r="146">
          <cell r="G146">
            <v>0</v>
          </cell>
        </row>
        <row r="153">
          <cell r="G153">
            <v>0.5</v>
          </cell>
        </row>
        <row r="157">
          <cell r="G157">
            <v>0</v>
          </cell>
        </row>
        <row r="163">
          <cell r="G163">
            <v>0.9</v>
          </cell>
        </row>
        <row r="170">
          <cell r="G170">
            <v>0</v>
          </cell>
        </row>
        <row r="174">
          <cell r="G174">
            <v>0</v>
          </cell>
        </row>
        <row r="179">
          <cell r="G179">
            <v>0.6</v>
          </cell>
        </row>
        <row r="186">
          <cell r="G186" t="b">
            <v>0</v>
          </cell>
        </row>
        <row r="187">
          <cell r="G187">
            <v>0.25</v>
          </cell>
        </row>
        <row r="188">
          <cell r="G188">
            <v>0.33333333333333331</v>
          </cell>
        </row>
        <row r="189">
          <cell r="G189">
            <v>0.55999999999999994</v>
          </cell>
        </row>
      </sheetData>
      <sheetData sheetId="25">
        <row r="3">
          <cell r="G3">
            <v>0</v>
          </cell>
        </row>
        <row r="13">
          <cell r="G13">
            <v>0.6</v>
          </cell>
        </row>
        <row r="20">
          <cell r="G20">
            <v>1</v>
          </cell>
        </row>
        <row r="23">
          <cell r="G23" t="str">
            <v/>
          </cell>
        </row>
        <row r="27">
          <cell r="G27" t="str">
            <v/>
          </cell>
        </row>
        <row r="37">
          <cell r="G37">
            <v>1</v>
          </cell>
        </row>
        <row r="46">
          <cell r="G46">
            <v>0</v>
          </cell>
        </row>
        <row r="49">
          <cell r="G49">
            <v>1</v>
          </cell>
        </row>
        <row r="55">
          <cell r="G55" t="str">
            <v/>
          </cell>
        </row>
        <row r="65">
          <cell r="G65" t="str">
            <v/>
          </cell>
        </row>
        <row r="76">
          <cell r="G76" t="e">
            <v>#REF!</v>
          </cell>
        </row>
      </sheetData>
      <sheetData sheetId="26">
        <row r="2">
          <cell r="G2">
            <v>1</v>
          </cell>
        </row>
        <row r="6">
          <cell r="G6">
            <v>-1</v>
          </cell>
        </row>
        <row r="9">
          <cell r="G9">
            <v>1</v>
          </cell>
        </row>
        <row r="16">
          <cell r="G16">
            <v>0.66666666666666663</v>
          </cell>
        </row>
        <row r="20">
          <cell r="G20" t="str">
            <v/>
          </cell>
        </row>
        <row r="22">
          <cell r="G22" t="str">
            <v/>
          </cell>
        </row>
        <row r="24">
          <cell r="G24" t="str">
            <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
      <sheetName val="FieldF"/>
      <sheetName val="FieldS"/>
      <sheetName val="FinalScores"/>
      <sheetName val="AllSites"/>
      <sheetName val="WS"/>
      <sheetName val="SR"/>
      <sheetName val="PR"/>
      <sheetName val="NR"/>
      <sheetName val="T"/>
      <sheetName val="CS"/>
      <sheetName val="OE"/>
      <sheetName val="INV"/>
      <sheetName val="FA"/>
      <sheetName val="FR"/>
      <sheetName val="AM"/>
      <sheetName val="WBF"/>
      <sheetName val="WBN"/>
      <sheetName val="SBM"/>
      <sheetName val="POL"/>
      <sheetName val="PD"/>
      <sheetName val="STR"/>
      <sheetName val="Sen"/>
      <sheetName val="CQ"/>
      <sheetName val="PU"/>
      <sheetName val="PS"/>
      <sheetName val="Matrix"/>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06">
          <cell r="G206">
            <v>1</v>
          </cell>
        </row>
      </sheetData>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Narrow">
      <a:majorFont>
        <a:latin typeface="Arial Narrow"/>
        <a:ea typeface=""/>
        <a:cs typeface=""/>
      </a:majorFont>
      <a:minorFont>
        <a:latin typeface="Arial Narrow"/>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16"/>
  <sheetViews>
    <sheetView tabSelected="1" view="pageLayout" zoomScaleNormal="100" workbookViewId="0">
      <selection activeCell="B2" sqref="B2"/>
    </sheetView>
  </sheetViews>
  <sheetFormatPr defaultColWidth="9.33203125" defaultRowHeight="12.75" x14ac:dyDescent="0.2"/>
  <cols>
    <col min="1" max="1" width="76.1640625" style="1847" customWidth="1"/>
    <col min="2" max="2" width="28.83203125" style="1720" customWidth="1"/>
    <col min="3" max="3" width="43.1640625" style="1846" customWidth="1"/>
    <col min="4" max="4" width="9.6640625" style="1846" customWidth="1"/>
    <col min="5" max="5" width="9.33203125" style="1846"/>
    <col min="6" max="6" width="9.6640625" style="1846" customWidth="1"/>
    <col min="7" max="7" width="9" style="1846" customWidth="1"/>
    <col min="8" max="23" width="9.33203125" style="1846"/>
    <col min="24" max="16384" width="9.33203125" style="1847"/>
  </cols>
  <sheetData>
    <row r="1" spans="1:19" ht="23.25" customHeight="1" x14ac:dyDescent="0.2">
      <c r="A1" s="1853" t="s">
        <v>2267</v>
      </c>
      <c r="B1" s="1719"/>
    </row>
    <row r="2" spans="1:19" ht="23.25" customHeight="1" x14ac:dyDescent="0.2">
      <c r="A2" s="1854" t="s">
        <v>28</v>
      </c>
      <c r="B2" s="1500"/>
    </row>
    <row r="3" spans="1:19" ht="20.25" customHeight="1" x14ac:dyDescent="0.2">
      <c r="A3" s="1854" t="s">
        <v>51</v>
      </c>
      <c r="B3" s="1501"/>
    </row>
    <row r="4" spans="1:19" ht="14.25" x14ac:dyDescent="0.2">
      <c r="A4" s="1854" t="s">
        <v>52</v>
      </c>
      <c r="B4" s="1502"/>
      <c r="C4" s="1847"/>
    </row>
    <row r="5" spans="1:19" ht="14.25" x14ac:dyDescent="0.2">
      <c r="A5" s="1854" t="s">
        <v>3</v>
      </c>
      <c r="B5" s="1501"/>
    </row>
    <row r="6" spans="1:19" ht="14.25" x14ac:dyDescent="0.2">
      <c r="A6" s="1854" t="s">
        <v>307</v>
      </c>
      <c r="B6" s="1503"/>
    </row>
    <row r="7" spans="1:19" ht="14.25" x14ac:dyDescent="0.2">
      <c r="A7" s="1854" t="s">
        <v>308</v>
      </c>
      <c r="B7" s="1503"/>
    </row>
    <row r="8" spans="1:19" ht="14.25" x14ac:dyDescent="0.2">
      <c r="A8" s="1854" t="s">
        <v>40</v>
      </c>
      <c r="B8" s="1504"/>
    </row>
    <row r="9" spans="1:19" ht="14.25" x14ac:dyDescent="0.2">
      <c r="A9" s="1854" t="s">
        <v>53</v>
      </c>
      <c r="B9" s="1505"/>
    </row>
    <row r="10" spans="1:19" ht="15" x14ac:dyDescent="0.2">
      <c r="A10" s="1855" t="s">
        <v>305</v>
      </c>
      <c r="B10" s="1506"/>
    </row>
    <row r="11" spans="1:19" ht="15" x14ac:dyDescent="0.2">
      <c r="A11" s="1855" t="s">
        <v>306</v>
      </c>
      <c r="B11" s="1506"/>
    </row>
    <row r="12" spans="1:19" s="1852" customFormat="1" ht="28.5" x14ac:dyDescent="0.2">
      <c r="A12" s="1855" t="s">
        <v>298</v>
      </c>
      <c r="B12" s="1501"/>
      <c r="C12" s="1848"/>
      <c r="D12" s="1848"/>
      <c r="E12" s="1848"/>
      <c r="F12" s="1848"/>
      <c r="G12" s="1849"/>
      <c r="H12" s="1849"/>
      <c r="I12" s="1850"/>
      <c r="J12" s="1851"/>
      <c r="K12" s="1851"/>
      <c r="L12" s="1851"/>
      <c r="M12" s="1851"/>
      <c r="N12" s="1851"/>
      <c r="O12" s="1851"/>
      <c r="P12" s="1851"/>
      <c r="Q12" s="1851"/>
      <c r="R12" s="1851"/>
      <c r="S12" s="1851"/>
    </row>
    <row r="13" spans="1:19" s="1852" customFormat="1" ht="28.5" x14ac:dyDescent="0.2">
      <c r="A13" s="1855" t="s">
        <v>21</v>
      </c>
      <c r="B13" s="1501"/>
      <c r="C13" s="1848"/>
      <c r="D13" s="1848"/>
      <c r="E13" s="1848"/>
      <c r="F13" s="1848"/>
      <c r="G13" s="1849"/>
      <c r="H13" s="1849"/>
      <c r="I13" s="1850"/>
      <c r="J13" s="1851"/>
      <c r="K13" s="1851"/>
      <c r="L13" s="1851"/>
      <c r="M13" s="1851"/>
      <c r="N13" s="1851"/>
      <c r="O13" s="1851"/>
      <c r="P13" s="1851"/>
      <c r="Q13" s="1851"/>
      <c r="R13" s="1851"/>
      <c r="S13" s="1851"/>
    </row>
    <row r="14" spans="1:19" s="1852" customFormat="1" ht="28.5" x14ac:dyDescent="0.2">
      <c r="A14" s="1854" t="s">
        <v>7</v>
      </c>
      <c r="B14" s="1507"/>
      <c r="C14" s="1848"/>
      <c r="D14" s="1848"/>
      <c r="E14" s="1848"/>
      <c r="F14" s="1848"/>
      <c r="G14" s="1849"/>
      <c r="H14" s="1849"/>
      <c r="I14" s="1849"/>
      <c r="J14" s="1851"/>
      <c r="K14" s="1851"/>
      <c r="L14" s="1851"/>
      <c r="M14" s="1851"/>
      <c r="N14" s="1851"/>
      <c r="O14" s="1851"/>
      <c r="P14" s="1851"/>
      <c r="Q14" s="1851"/>
      <c r="R14" s="1851"/>
      <c r="S14" s="1851"/>
    </row>
    <row r="15" spans="1:19" s="1851" customFormat="1" ht="14.25" x14ac:dyDescent="0.2">
      <c r="A15" s="1518"/>
      <c r="B15" s="1519"/>
      <c r="C15" s="1848"/>
      <c r="D15" s="1848"/>
      <c r="E15" s="1848"/>
      <c r="F15" s="1848"/>
      <c r="G15" s="1849"/>
      <c r="H15" s="1849"/>
      <c r="I15" s="1849"/>
    </row>
    <row r="16" spans="1:19" ht="19.5" customHeight="1" x14ac:dyDescent="0.2">
      <c r="A16" s="1520"/>
      <c r="B16" s="1520"/>
    </row>
  </sheetData>
  <sheetProtection password="C4B9" sheet="1" objects="1" scenarios="1"/>
  <customSheetViews>
    <customSheetView guid="{B8E02330-2419-4DE6-AD01-7ACC7A5D18DD}" topLeftCell="A15">
      <selection activeCell="A33" sqref="A33"/>
      <pageMargins left="0.25" right="0.25" top="0.75" bottom="0.75" header="0.3" footer="0.3"/>
      <printOptions horizontalCentered="1"/>
      <pageSetup orientation="portrait" horizontalDpi="4294967294" verticalDpi="300" r:id="rId1"/>
      <headerFooter alignWithMargins="0">
        <oddFooter>&amp;LWESPUS beta v1.  by Dr. Paul Adamus&amp;R&amp;D</oddFooter>
      </headerFooter>
    </customSheetView>
  </customSheetViews>
  <phoneticPr fontId="5" type="noConversion"/>
  <printOptions horizontalCentered="1"/>
  <pageMargins left="0.25" right="0.25" top="0.75" bottom="0.75" header="0.3" footer="0.3"/>
  <pageSetup orientation="portrait" horizontalDpi="4294967294" verticalDpi="300" r:id="rId2"/>
  <headerFooter alignWithMargins="0">
    <oddHeader>&amp;L&amp;G&amp;R&amp;G</oddHeader>
    <oddFooter>&amp;L&amp;"Arial,Regular"&amp;8Version 1.0
Jun 1, 2015&amp;C&amp;"Arial,Regular"&amp;8Alberta Wetland Rapid Evaluation Tool - Actual Forms
© 2015 Government of Alberta&amp;R&amp;"Arial,Regular"&amp;8Page 1 of 1</oddFooter>
  </headerFooter>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FF00"/>
  </sheetPr>
  <dimension ref="A1:AWQ339"/>
  <sheetViews>
    <sheetView zoomScaleNormal="100" workbookViewId="0">
      <pane xSplit="5" topLeftCell="F1" activePane="topRight" state="frozen"/>
      <selection pane="topRight" activeCell="F1" sqref="F1:F1048576"/>
    </sheetView>
  </sheetViews>
  <sheetFormatPr defaultColWidth="9.33203125" defaultRowHeight="15" customHeight="1" x14ac:dyDescent="0.2"/>
  <cols>
    <col min="1" max="1" width="6.5" style="1864" customWidth="1"/>
    <col min="2" max="2" width="18.83203125" style="1864" customWidth="1"/>
    <col min="3" max="3" width="157.83203125" style="1875" customWidth="1"/>
    <col min="4" max="4" width="7.83203125" style="1702" customWidth="1"/>
    <col min="5" max="5" width="7.83203125" style="1868" customWidth="1"/>
    <col min="6" max="57" width="6.6640625" style="1868" customWidth="1"/>
    <col min="58" max="213" width="6.6640625" style="1864" customWidth="1"/>
    <col min="214" max="16384" width="9.33203125" style="1864"/>
  </cols>
  <sheetData>
    <row r="1" spans="1:1291" s="1858" customFormat="1" ht="21" customHeight="1" thickBot="1" x14ac:dyDescent="0.25">
      <c r="A1" s="1953" t="s">
        <v>2390</v>
      </c>
      <c r="B1" s="1954"/>
      <c r="C1" s="1955"/>
      <c r="D1" s="1876"/>
      <c r="E1" s="1856"/>
      <c r="F1" s="1856"/>
      <c r="G1" s="1856"/>
      <c r="H1" s="1856"/>
      <c r="I1" s="1856"/>
      <c r="J1" s="1856"/>
      <c r="K1" s="1856"/>
      <c r="L1" s="1856"/>
      <c r="M1" s="1856"/>
      <c r="N1" s="1856"/>
      <c r="O1" s="1856"/>
      <c r="P1" s="1856"/>
      <c r="Q1" s="1857"/>
      <c r="R1" s="1857"/>
      <c r="S1" s="1857"/>
      <c r="T1" s="1857"/>
      <c r="U1" s="1857"/>
      <c r="V1" s="1857"/>
      <c r="W1" s="1857"/>
      <c r="X1" s="1857"/>
      <c r="Y1" s="1857"/>
      <c r="Z1" s="1857"/>
      <c r="AA1" s="1857"/>
      <c r="AB1" s="1857"/>
      <c r="AC1" s="1857"/>
      <c r="AD1" s="1857"/>
      <c r="AE1" s="1857"/>
      <c r="AF1" s="1857"/>
      <c r="AG1" s="1857"/>
      <c r="AH1" s="1857"/>
      <c r="AI1" s="1857"/>
      <c r="AJ1" s="1857"/>
    </row>
    <row r="2" spans="1:1291" s="1860" customFormat="1" ht="21" customHeight="1" thickBot="1" x14ac:dyDescent="0.25">
      <c r="A2" s="1958" t="s">
        <v>2391</v>
      </c>
      <c r="B2" s="1959"/>
      <c r="C2" s="1960"/>
      <c r="D2" s="1876"/>
      <c r="E2" s="1856"/>
      <c r="F2" s="1856"/>
      <c r="G2" s="1856"/>
      <c r="H2" s="1856"/>
      <c r="I2" s="1856"/>
      <c r="J2" s="1856"/>
      <c r="K2" s="1856"/>
      <c r="L2" s="1856"/>
      <c r="M2" s="1856"/>
      <c r="N2" s="1856"/>
      <c r="O2" s="1856"/>
      <c r="P2" s="1856"/>
      <c r="Q2" s="1859"/>
      <c r="R2" s="1859"/>
      <c r="S2" s="1859"/>
      <c r="T2" s="1859"/>
      <c r="U2" s="1859"/>
      <c r="V2" s="1859"/>
      <c r="W2" s="1859"/>
      <c r="X2" s="1859"/>
      <c r="Y2" s="1859"/>
      <c r="Z2" s="1859"/>
      <c r="AA2" s="1859"/>
      <c r="AB2" s="1859"/>
      <c r="AC2" s="1859"/>
      <c r="AD2" s="1859"/>
      <c r="AE2" s="1859"/>
      <c r="AF2" s="1859"/>
      <c r="AG2" s="1859"/>
      <c r="AH2" s="1859"/>
      <c r="AI2" s="1859"/>
      <c r="AJ2" s="1859"/>
    </row>
    <row r="3" spans="1:1291" s="1862" customFormat="1" ht="42" customHeight="1" thickBot="1" x14ac:dyDescent="0.25">
      <c r="A3" s="1956" t="s">
        <v>2415</v>
      </c>
      <c r="B3" s="1957"/>
      <c r="C3" s="1957"/>
      <c r="D3" s="1877"/>
      <c r="E3" s="1861"/>
      <c r="F3" s="1946" t="s">
        <v>2417</v>
      </c>
      <c r="G3" s="1947"/>
      <c r="H3" s="1947"/>
      <c r="I3" s="1947"/>
      <c r="J3" s="1947"/>
      <c r="K3" s="1947"/>
      <c r="L3" s="1947"/>
      <c r="M3" s="1947"/>
      <c r="N3" s="1947"/>
      <c r="O3" s="1947"/>
      <c r="P3" s="1947"/>
      <c r="Q3" s="1947"/>
      <c r="R3" s="1947"/>
      <c r="S3" s="1947"/>
      <c r="T3" s="1947"/>
      <c r="U3" s="1947"/>
      <c r="V3" s="1947"/>
      <c r="W3" s="1947"/>
      <c r="X3" s="1947"/>
      <c r="Y3" s="1947"/>
      <c r="Z3" s="1947"/>
      <c r="AA3" s="1947"/>
      <c r="AB3" s="1947"/>
      <c r="AC3" s="1947"/>
      <c r="AD3" s="1947"/>
      <c r="AE3" s="1947"/>
      <c r="AF3" s="1947"/>
      <c r="AG3" s="1947"/>
      <c r="AH3" s="1947"/>
      <c r="AI3" s="1947"/>
      <c r="AJ3" s="1947"/>
      <c r="AK3" s="1947"/>
      <c r="AL3" s="1947"/>
      <c r="AM3" s="1947"/>
      <c r="AN3" s="1947"/>
      <c r="AO3" s="1947"/>
      <c r="AP3" s="1947"/>
      <c r="AQ3" s="1947"/>
      <c r="AR3" s="1947"/>
      <c r="AS3" s="1947"/>
      <c r="AT3" s="1947"/>
      <c r="AU3" s="1947"/>
      <c r="AV3" s="1947"/>
      <c r="AW3" s="1947"/>
      <c r="AX3" s="1947"/>
      <c r="AY3" s="1947"/>
      <c r="AZ3" s="1947"/>
      <c r="BA3" s="1947"/>
      <c r="BB3" s="1947"/>
      <c r="BC3" s="1947"/>
      <c r="BD3" s="1947"/>
      <c r="BE3" s="1947"/>
      <c r="BF3" s="1947"/>
      <c r="BG3" s="1947"/>
      <c r="BH3" s="1947"/>
      <c r="BI3" s="1947"/>
      <c r="BJ3" s="1947"/>
      <c r="BK3" s="1947"/>
      <c r="BL3" s="1947"/>
      <c r="BM3" s="1947"/>
      <c r="BN3" s="1947"/>
      <c r="BO3" s="1947"/>
      <c r="BP3" s="1947"/>
      <c r="BQ3" s="1947"/>
      <c r="BR3" s="1947"/>
      <c r="BS3" s="1947"/>
      <c r="BT3" s="1947"/>
      <c r="BU3" s="1947"/>
      <c r="BV3" s="1947"/>
      <c r="BW3" s="1947"/>
      <c r="BX3" s="1947"/>
      <c r="BY3" s="1947"/>
      <c r="BZ3" s="1947"/>
      <c r="CA3" s="1947"/>
      <c r="CB3" s="1947"/>
      <c r="CC3" s="1947"/>
      <c r="CD3" s="1947"/>
      <c r="CE3" s="1947"/>
      <c r="CF3" s="1947"/>
      <c r="CG3" s="1947"/>
      <c r="CH3" s="1947"/>
      <c r="CI3" s="1947"/>
      <c r="CJ3" s="1947"/>
      <c r="CK3" s="1947"/>
      <c r="CL3" s="1947"/>
      <c r="CM3" s="1947"/>
      <c r="CN3" s="1947"/>
      <c r="CO3" s="1947"/>
      <c r="CP3" s="1947"/>
      <c r="CQ3" s="1947"/>
      <c r="CR3" s="1947"/>
      <c r="CS3" s="1947"/>
      <c r="CT3" s="1947"/>
      <c r="CU3" s="1947"/>
      <c r="CV3" s="1947"/>
      <c r="CW3" s="1947"/>
      <c r="CX3" s="1947"/>
      <c r="CY3" s="1947"/>
      <c r="CZ3" s="1947"/>
      <c r="DA3" s="1947"/>
      <c r="DB3" s="1947"/>
      <c r="DC3" s="1947"/>
      <c r="DD3" s="1947"/>
      <c r="DE3" s="1947"/>
      <c r="DF3" s="1947"/>
      <c r="DG3" s="1947"/>
      <c r="DH3" s="1947"/>
      <c r="DI3" s="1947"/>
      <c r="DJ3" s="1947"/>
      <c r="DK3" s="1947"/>
      <c r="DL3" s="1947"/>
      <c r="DM3" s="1947"/>
      <c r="DN3" s="1947"/>
      <c r="DO3" s="1947"/>
      <c r="DP3" s="1947"/>
      <c r="DQ3" s="1947"/>
      <c r="DR3" s="1947"/>
      <c r="DS3" s="1947"/>
      <c r="DT3" s="1947"/>
      <c r="DU3" s="1947"/>
      <c r="DV3" s="1947"/>
      <c r="DW3" s="1947"/>
      <c r="DX3" s="1947"/>
      <c r="DY3" s="1947"/>
      <c r="DZ3" s="1947"/>
      <c r="EA3" s="1947"/>
      <c r="EB3" s="1947"/>
      <c r="EC3" s="1947"/>
      <c r="ED3" s="1947"/>
      <c r="EE3" s="1947"/>
      <c r="EF3" s="1947"/>
      <c r="EG3" s="1947"/>
      <c r="EH3" s="1947"/>
      <c r="EI3" s="1947"/>
      <c r="EJ3" s="1947"/>
      <c r="EK3" s="1947"/>
      <c r="EL3" s="1947"/>
      <c r="EM3" s="1947"/>
      <c r="EN3" s="1947"/>
      <c r="EO3" s="1947"/>
      <c r="EP3" s="1947"/>
      <c r="EQ3" s="1947"/>
      <c r="ER3" s="1947"/>
      <c r="ES3" s="1947"/>
      <c r="ET3" s="1947"/>
      <c r="EU3" s="1947"/>
      <c r="EV3" s="1947"/>
      <c r="EW3" s="1947"/>
      <c r="EX3" s="1947"/>
      <c r="EY3" s="1947"/>
      <c r="EZ3" s="1947"/>
      <c r="FA3" s="1947"/>
      <c r="FB3" s="1947"/>
      <c r="FC3" s="1947"/>
      <c r="FD3" s="1947"/>
      <c r="FE3" s="1947"/>
      <c r="FF3" s="1947"/>
      <c r="FG3" s="1947"/>
      <c r="FH3" s="1947"/>
      <c r="FI3" s="1947"/>
      <c r="FJ3" s="1947"/>
      <c r="FK3" s="1947"/>
      <c r="FL3" s="1947"/>
      <c r="FM3" s="1947"/>
      <c r="FN3" s="1947"/>
      <c r="FO3" s="1947"/>
      <c r="FP3" s="1947"/>
      <c r="FQ3" s="1947"/>
      <c r="FR3" s="1947"/>
      <c r="FS3" s="1947"/>
      <c r="FT3" s="1947"/>
      <c r="FU3" s="1947"/>
      <c r="FV3" s="1947"/>
      <c r="FW3" s="1947"/>
      <c r="FX3" s="1947"/>
      <c r="FY3" s="1947"/>
      <c r="FZ3" s="1947"/>
      <c r="GA3" s="1947"/>
      <c r="GB3" s="1947"/>
      <c r="GC3" s="1947"/>
      <c r="GD3" s="1947"/>
      <c r="GE3" s="1947"/>
      <c r="GF3" s="1947"/>
      <c r="GG3" s="1947"/>
      <c r="GH3" s="1947"/>
      <c r="GI3" s="1947"/>
      <c r="GJ3" s="1947"/>
      <c r="GK3" s="1947"/>
      <c r="GL3" s="1947"/>
      <c r="GM3" s="1947"/>
      <c r="GN3" s="1947"/>
      <c r="GO3" s="1947"/>
      <c r="GP3" s="1947"/>
      <c r="GQ3" s="1947"/>
      <c r="GR3" s="1947"/>
      <c r="GS3" s="1947"/>
      <c r="GT3" s="1947"/>
      <c r="GU3" s="1947"/>
      <c r="GV3" s="1947"/>
      <c r="GW3" s="1947"/>
      <c r="GX3" s="1947"/>
      <c r="GY3" s="1947"/>
      <c r="GZ3" s="1947"/>
      <c r="HA3" s="1947"/>
      <c r="HB3" s="1947"/>
      <c r="HC3" s="1947"/>
      <c r="HD3" s="1947"/>
      <c r="HE3" s="1948"/>
    </row>
    <row r="4" spans="1:1291" ht="66" customHeight="1" thickBot="1" x14ac:dyDescent="0.25">
      <c r="A4" s="1961" t="s">
        <v>2389</v>
      </c>
      <c r="B4" s="1962"/>
      <c r="C4" s="1962"/>
      <c r="D4" s="1878" t="s">
        <v>2014</v>
      </c>
      <c r="E4" s="1839" t="s">
        <v>2014</v>
      </c>
      <c r="F4" s="1863" t="s">
        <v>2418</v>
      </c>
      <c r="G4" s="1839" t="s">
        <v>2418</v>
      </c>
      <c r="H4" s="1839" t="s">
        <v>2418</v>
      </c>
      <c r="I4" s="1839" t="s">
        <v>2418</v>
      </c>
      <c r="J4" s="1839" t="s">
        <v>2418</v>
      </c>
      <c r="K4" s="1839" t="s">
        <v>2418</v>
      </c>
      <c r="L4" s="1839" t="s">
        <v>2418</v>
      </c>
      <c r="M4" s="1839" t="s">
        <v>2418</v>
      </c>
      <c r="N4" s="1839" t="s">
        <v>2418</v>
      </c>
      <c r="O4" s="1839" t="s">
        <v>2418</v>
      </c>
      <c r="P4" s="1839" t="s">
        <v>2418</v>
      </c>
      <c r="Q4" s="1839" t="s">
        <v>2418</v>
      </c>
      <c r="R4" s="1839" t="s">
        <v>2418</v>
      </c>
      <c r="S4" s="1839" t="s">
        <v>2418</v>
      </c>
      <c r="T4" s="1839" t="s">
        <v>2418</v>
      </c>
      <c r="U4" s="1839" t="s">
        <v>2418</v>
      </c>
      <c r="V4" s="1839" t="s">
        <v>2418</v>
      </c>
      <c r="W4" s="1839" t="s">
        <v>2418</v>
      </c>
      <c r="X4" s="1839" t="s">
        <v>2418</v>
      </c>
      <c r="Y4" s="1839" t="s">
        <v>2418</v>
      </c>
      <c r="Z4" s="1839" t="s">
        <v>2418</v>
      </c>
      <c r="AA4" s="1839" t="s">
        <v>2418</v>
      </c>
      <c r="AB4" s="1839" t="s">
        <v>2418</v>
      </c>
      <c r="AC4" s="1839" t="s">
        <v>2418</v>
      </c>
      <c r="AD4" s="1839" t="s">
        <v>2418</v>
      </c>
      <c r="AE4" s="1839" t="s">
        <v>2418</v>
      </c>
      <c r="AF4" s="1839" t="s">
        <v>2418</v>
      </c>
      <c r="AG4" s="1839" t="s">
        <v>2418</v>
      </c>
      <c r="AH4" s="1839" t="s">
        <v>2418</v>
      </c>
      <c r="AI4" s="1839" t="s">
        <v>2418</v>
      </c>
      <c r="AJ4" s="1839" t="s">
        <v>2418</v>
      </c>
      <c r="AK4" s="1839" t="s">
        <v>2418</v>
      </c>
      <c r="AL4" s="1839" t="s">
        <v>2418</v>
      </c>
      <c r="AM4" s="1839" t="s">
        <v>2418</v>
      </c>
      <c r="AN4" s="1839" t="s">
        <v>2418</v>
      </c>
      <c r="AO4" s="1839" t="s">
        <v>2418</v>
      </c>
      <c r="AP4" s="1839" t="s">
        <v>2418</v>
      </c>
      <c r="AQ4" s="1839" t="s">
        <v>2418</v>
      </c>
      <c r="AR4" s="1839" t="s">
        <v>2418</v>
      </c>
      <c r="AS4" s="1839" t="s">
        <v>2418</v>
      </c>
      <c r="AT4" s="1839" t="s">
        <v>2418</v>
      </c>
      <c r="AU4" s="1839" t="s">
        <v>2418</v>
      </c>
      <c r="AV4" s="1839" t="s">
        <v>2418</v>
      </c>
      <c r="AW4" s="1839" t="s">
        <v>2418</v>
      </c>
      <c r="AX4" s="1839" t="s">
        <v>2418</v>
      </c>
      <c r="AY4" s="1839" t="s">
        <v>2418</v>
      </c>
      <c r="AZ4" s="1839" t="s">
        <v>2418</v>
      </c>
      <c r="BA4" s="1839" t="s">
        <v>2418</v>
      </c>
      <c r="BB4" s="1839" t="s">
        <v>2418</v>
      </c>
      <c r="BC4" s="1839" t="s">
        <v>2418</v>
      </c>
      <c r="BD4" s="1839" t="s">
        <v>2418</v>
      </c>
      <c r="BE4" s="1839" t="s">
        <v>2418</v>
      </c>
      <c r="BF4" s="1839" t="s">
        <v>2418</v>
      </c>
      <c r="BG4" s="1839" t="s">
        <v>2418</v>
      </c>
      <c r="BH4" s="1839" t="s">
        <v>2418</v>
      </c>
      <c r="BI4" s="1839" t="s">
        <v>2418</v>
      </c>
      <c r="BJ4" s="1839" t="s">
        <v>2418</v>
      </c>
      <c r="BK4" s="1839" t="s">
        <v>2418</v>
      </c>
      <c r="BL4" s="1839" t="s">
        <v>2418</v>
      </c>
      <c r="BM4" s="1839" t="s">
        <v>2418</v>
      </c>
      <c r="BN4" s="1839" t="s">
        <v>2418</v>
      </c>
      <c r="BO4" s="1839" t="s">
        <v>2418</v>
      </c>
      <c r="BP4" s="1839" t="s">
        <v>2418</v>
      </c>
      <c r="BQ4" s="1839" t="s">
        <v>2418</v>
      </c>
      <c r="BR4" s="1839" t="s">
        <v>2418</v>
      </c>
      <c r="BS4" s="1839" t="s">
        <v>2418</v>
      </c>
      <c r="BT4" s="1839" t="s">
        <v>2418</v>
      </c>
      <c r="BU4" s="1839" t="s">
        <v>2418</v>
      </c>
      <c r="BV4" s="1839" t="s">
        <v>2418</v>
      </c>
      <c r="BW4" s="1839" t="s">
        <v>2418</v>
      </c>
      <c r="BX4" s="1839" t="s">
        <v>2418</v>
      </c>
      <c r="BY4" s="1839" t="s">
        <v>2418</v>
      </c>
      <c r="BZ4" s="1839" t="s">
        <v>2418</v>
      </c>
      <c r="CA4" s="1839" t="s">
        <v>2418</v>
      </c>
      <c r="CB4" s="1839" t="s">
        <v>2418</v>
      </c>
      <c r="CC4" s="1839" t="s">
        <v>2418</v>
      </c>
      <c r="CD4" s="1839" t="s">
        <v>2418</v>
      </c>
      <c r="CE4" s="1839" t="s">
        <v>2418</v>
      </c>
      <c r="CF4" s="1839" t="s">
        <v>2418</v>
      </c>
      <c r="CG4" s="1839" t="s">
        <v>2418</v>
      </c>
      <c r="CH4" s="1839" t="s">
        <v>2418</v>
      </c>
      <c r="CI4" s="1839" t="s">
        <v>2418</v>
      </c>
      <c r="CJ4" s="1839" t="s">
        <v>2418</v>
      </c>
      <c r="CK4" s="1839" t="s">
        <v>2418</v>
      </c>
      <c r="CL4" s="1839" t="s">
        <v>2418</v>
      </c>
      <c r="CM4" s="1839" t="s">
        <v>2418</v>
      </c>
      <c r="CN4" s="1839" t="s">
        <v>2418</v>
      </c>
      <c r="CO4" s="1839" t="s">
        <v>2418</v>
      </c>
      <c r="CP4" s="1839" t="s">
        <v>2418</v>
      </c>
      <c r="CQ4" s="1839" t="s">
        <v>2418</v>
      </c>
      <c r="CR4" s="1839" t="s">
        <v>2418</v>
      </c>
      <c r="CS4" s="1839" t="s">
        <v>2418</v>
      </c>
      <c r="CT4" s="1839" t="s">
        <v>2418</v>
      </c>
      <c r="CU4" s="1839" t="s">
        <v>2418</v>
      </c>
      <c r="CV4" s="1839" t="s">
        <v>2418</v>
      </c>
      <c r="CW4" s="1839" t="s">
        <v>2418</v>
      </c>
      <c r="CX4" s="1839" t="s">
        <v>2418</v>
      </c>
      <c r="CY4" s="1839" t="s">
        <v>2418</v>
      </c>
      <c r="CZ4" s="1839" t="s">
        <v>2418</v>
      </c>
      <c r="DA4" s="1839" t="s">
        <v>2418</v>
      </c>
      <c r="DB4" s="1839" t="s">
        <v>2418</v>
      </c>
      <c r="DC4" s="1839" t="s">
        <v>2418</v>
      </c>
      <c r="DD4" s="1839" t="s">
        <v>2418</v>
      </c>
      <c r="DE4" s="1839" t="s">
        <v>2418</v>
      </c>
      <c r="DF4" s="1839" t="s">
        <v>2418</v>
      </c>
      <c r="DG4" s="1839" t="s">
        <v>2418</v>
      </c>
      <c r="DH4" s="1839" t="s">
        <v>2418</v>
      </c>
      <c r="DI4" s="1839" t="s">
        <v>2418</v>
      </c>
      <c r="DJ4" s="1839" t="s">
        <v>2418</v>
      </c>
      <c r="DK4" s="1839" t="s">
        <v>2418</v>
      </c>
      <c r="DL4" s="1839" t="s">
        <v>2418</v>
      </c>
      <c r="DM4" s="1839" t="s">
        <v>2418</v>
      </c>
      <c r="DN4" s="1839" t="s">
        <v>2418</v>
      </c>
      <c r="DO4" s="1839" t="s">
        <v>2418</v>
      </c>
      <c r="DP4" s="1839" t="s">
        <v>2418</v>
      </c>
      <c r="DQ4" s="1839" t="s">
        <v>2418</v>
      </c>
      <c r="DR4" s="1839" t="s">
        <v>2418</v>
      </c>
      <c r="DS4" s="1839" t="s">
        <v>2418</v>
      </c>
      <c r="DT4" s="1839" t="s">
        <v>2418</v>
      </c>
      <c r="DU4" s="1839" t="s">
        <v>2418</v>
      </c>
      <c r="DV4" s="1839" t="s">
        <v>2418</v>
      </c>
      <c r="DW4" s="1839" t="s">
        <v>2418</v>
      </c>
      <c r="DX4" s="1839" t="s">
        <v>2418</v>
      </c>
      <c r="DY4" s="1839" t="s">
        <v>2418</v>
      </c>
      <c r="DZ4" s="1839" t="s">
        <v>2418</v>
      </c>
      <c r="EA4" s="1839" t="s">
        <v>2418</v>
      </c>
      <c r="EB4" s="1839" t="s">
        <v>2418</v>
      </c>
      <c r="EC4" s="1839" t="s">
        <v>2418</v>
      </c>
      <c r="ED4" s="1839" t="s">
        <v>2418</v>
      </c>
      <c r="EE4" s="1839" t="s">
        <v>2418</v>
      </c>
      <c r="EF4" s="1839" t="s">
        <v>2418</v>
      </c>
      <c r="EG4" s="1839" t="s">
        <v>2418</v>
      </c>
      <c r="EH4" s="1839" t="s">
        <v>2418</v>
      </c>
      <c r="EI4" s="1839" t="s">
        <v>2418</v>
      </c>
      <c r="EJ4" s="1839" t="s">
        <v>2418</v>
      </c>
      <c r="EK4" s="1839" t="s">
        <v>2418</v>
      </c>
      <c r="EL4" s="1839" t="s">
        <v>2418</v>
      </c>
      <c r="EM4" s="1839" t="s">
        <v>2418</v>
      </c>
      <c r="EN4" s="1839" t="s">
        <v>2418</v>
      </c>
      <c r="EO4" s="1839" t="s">
        <v>2418</v>
      </c>
      <c r="EP4" s="1839" t="s">
        <v>2418</v>
      </c>
      <c r="EQ4" s="1839" t="s">
        <v>2418</v>
      </c>
      <c r="ER4" s="1839" t="s">
        <v>2418</v>
      </c>
      <c r="ES4" s="1839" t="s">
        <v>2418</v>
      </c>
      <c r="ET4" s="1839" t="s">
        <v>2418</v>
      </c>
      <c r="EU4" s="1839" t="s">
        <v>2418</v>
      </c>
      <c r="EV4" s="1839" t="s">
        <v>2418</v>
      </c>
      <c r="EW4" s="1839" t="s">
        <v>2418</v>
      </c>
      <c r="EX4" s="1839" t="s">
        <v>2418</v>
      </c>
      <c r="EY4" s="1839" t="s">
        <v>2418</v>
      </c>
      <c r="EZ4" s="1839" t="s">
        <v>2418</v>
      </c>
      <c r="FA4" s="1839" t="s">
        <v>2418</v>
      </c>
      <c r="FB4" s="1839" t="s">
        <v>2418</v>
      </c>
      <c r="FC4" s="1839" t="s">
        <v>2418</v>
      </c>
      <c r="FD4" s="1839" t="s">
        <v>2418</v>
      </c>
      <c r="FE4" s="1839" t="s">
        <v>2418</v>
      </c>
      <c r="FF4" s="1839" t="s">
        <v>2418</v>
      </c>
      <c r="FG4" s="1839" t="s">
        <v>2418</v>
      </c>
      <c r="FH4" s="1839" t="s">
        <v>2418</v>
      </c>
      <c r="FI4" s="1839" t="s">
        <v>2418</v>
      </c>
      <c r="FJ4" s="1839" t="s">
        <v>2418</v>
      </c>
      <c r="FK4" s="1839" t="s">
        <v>2418</v>
      </c>
      <c r="FL4" s="1839" t="s">
        <v>2418</v>
      </c>
      <c r="FM4" s="1839" t="s">
        <v>2418</v>
      </c>
      <c r="FN4" s="1839" t="s">
        <v>2418</v>
      </c>
      <c r="FO4" s="1839" t="s">
        <v>2418</v>
      </c>
      <c r="FP4" s="1839" t="s">
        <v>2418</v>
      </c>
      <c r="FQ4" s="1839" t="s">
        <v>2418</v>
      </c>
      <c r="FR4" s="1839" t="s">
        <v>2418</v>
      </c>
      <c r="FS4" s="1839" t="s">
        <v>2418</v>
      </c>
      <c r="FT4" s="1839" t="s">
        <v>2418</v>
      </c>
      <c r="FU4" s="1839" t="s">
        <v>2418</v>
      </c>
      <c r="FV4" s="1839" t="s">
        <v>2418</v>
      </c>
      <c r="FW4" s="1839" t="s">
        <v>2418</v>
      </c>
      <c r="FX4" s="1839" t="s">
        <v>2418</v>
      </c>
      <c r="FY4" s="1839" t="s">
        <v>2418</v>
      </c>
      <c r="FZ4" s="1839" t="s">
        <v>2418</v>
      </c>
      <c r="GA4" s="1839" t="s">
        <v>2418</v>
      </c>
      <c r="GB4" s="1839" t="s">
        <v>2418</v>
      </c>
      <c r="GC4" s="1839" t="s">
        <v>2418</v>
      </c>
      <c r="GD4" s="1839" t="s">
        <v>2418</v>
      </c>
      <c r="GE4" s="1839" t="s">
        <v>2418</v>
      </c>
      <c r="GF4" s="1839" t="s">
        <v>2418</v>
      </c>
      <c r="GG4" s="1839" t="s">
        <v>2418</v>
      </c>
      <c r="GH4" s="1839" t="s">
        <v>2418</v>
      </c>
      <c r="GI4" s="1839" t="s">
        <v>2418</v>
      </c>
      <c r="GJ4" s="1839" t="s">
        <v>2418</v>
      </c>
      <c r="GK4" s="1839" t="s">
        <v>2418</v>
      </c>
      <c r="GL4" s="1839" t="s">
        <v>2418</v>
      </c>
      <c r="GM4" s="1839" t="s">
        <v>2418</v>
      </c>
      <c r="GN4" s="1839" t="s">
        <v>2418</v>
      </c>
      <c r="GO4" s="1839" t="s">
        <v>2418</v>
      </c>
      <c r="GP4" s="1839" t="s">
        <v>2418</v>
      </c>
      <c r="GQ4" s="1839" t="s">
        <v>2418</v>
      </c>
      <c r="GR4" s="1839" t="s">
        <v>2418</v>
      </c>
      <c r="GS4" s="1839" t="s">
        <v>2418</v>
      </c>
      <c r="GT4" s="1839" t="s">
        <v>2418</v>
      </c>
      <c r="GU4" s="1839" t="s">
        <v>2418</v>
      </c>
      <c r="GV4" s="1839" t="s">
        <v>2418</v>
      </c>
      <c r="GW4" s="1839" t="s">
        <v>2418</v>
      </c>
      <c r="GX4" s="1839" t="s">
        <v>2418</v>
      </c>
      <c r="GY4" s="1839" t="s">
        <v>2418</v>
      </c>
      <c r="GZ4" s="1839" t="s">
        <v>2418</v>
      </c>
      <c r="HA4" s="1839" t="s">
        <v>2418</v>
      </c>
      <c r="HB4" s="1839" t="s">
        <v>2418</v>
      </c>
      <c r="HC4" s="1839" t="s">
        <v>2418</v>
      </c>
      <c r="HD4" s="1839" t="s">
        <v>2418</v>
      </c>
      <c r="HE4" s="1839" t="s">
        <v>2418</v>
      </c>
    </row>
    <row r="5" spans="1:1291" s="1867" customFormat="1" ht="30" customHeight="1" thickBot="1" x14ac:dyDescent="0.25">
      <c r="A5" s="1684" t="s">
        <v>2388</v>
      </c>
      <c r="B5" s="1685" t="s">
        <v>109</v>
      </c>
      <c r="C5" s="1686" t="s">
        <v>576</v>
      </c>
      <c r="D5" s="1879"/>
      <c r="E5" s="1840"/>
      <c r="F5" s="1865"/>
      <c r="G5" s="1866"/>
      <c r="H5" s="1866"/>
      <c r="I5" s="1866"/>
      <c r="J5" s="1866"/>
      <c r="K5" s="1866"/>
      <c r="L5" s="1866"/>
      <c r="M5" s="1866"/>
      <c r="N5" s="1866"/>
      <c r="O5" s="1866"/>
      <c r="P5" s="1866"/>
      <c r="Q5" s="1866"/>
      <c r="R5" s="1866"/>
      <c r="S5" s="1866"/>
      <c r="T5" s="1866"/>
      <c r="U5" s="1866"/>
      <c r="V5" s="1866"/>
      <c r="W5" s="1866"/>
      <c r="X5" s="1866"/>
      <c r="Y5" s="1866"/>
      <c r="Z5" s="1866"/>
      <c r="AA5" s="1866"/>
      <c r="AB5" s="1866"/>
      <c r="AC5" s="1866"/>
      <c r="AD5" s="1866"/>
      <c r="AE5" s="1866"/>
      <c r="AF5" s="1866"/>
      <c r="AG5" s="1866"/>
      <c r="AH5" s="1866"/>
      <c r="AI5" s="1866"/>
      <c r="AJ5" s="1866"/>
      <c r="AK5" s="1866"/>
      <c r="AL5" s="1866"/>
      <c r="AM5" s="1866"/>
      <c r="AN5" s="1866"/>
      <c r="AO5" s="1866"/>
      <c r="AP5" s="1866"/>
      <c r="AQ5" s="1866"/>
      <c r="AR5" s="1866"/>
      <c r="AS5" s="1866"/>
      <c r="AT5" s="1866"/>
      <c r="AU5" s="1866"/>
      <c r="AV5" s="1866"/>
      <c r="AW5" s="1866"/>
      <c r="AX5" s="1866"/>
      <c r="AY5" s="1866"/>
      <c r="AZ5" s="1866"/>
      <c r="BA5" s="1866"/>
      <c r="BB5" s="1866"/>
      <c r="BC5" s="1866"/>
      <c r="BD5" s="1866"/>
      <c r="BE5" s="1866"/>
      <c r="BF5" s="1866"/>
      <c r="BG5" s="1866"/>
      <c r="BH5" s="1866"/>
      <c r="BI5" s="1866"/>
      <c r="BJ5" s="1866"/>
      <c r="BK5" s="1866"/>
      <c r="BL5" s="1866"/>
      <c r="BM5" s="1866"/>
      <c r="BN5" s="1866"/>
      <c r="BO5" s="1866"/>
      <c r="BP5" s="1866"/>
      <c r="BQ5" s="1866"/>
      <c r="BR5" s="1866"/>
      <c r="BS5" s="1866"/>
      <c r="BT5" s="1866"/>
      <c r="BU5" s="1866"/>
      <c r="BV5" s="1866"/>
      <c r="BW5" s="1866"/>
      <c r="BX5" s="1866"/>
      <c r="BY5" s="1866"/>
      <c r="BZ5" s="1866"/>
      <c r="CA5" s="1866"/>
      <c r="CB5" s="1866"/>
      <c r="CC5" s="1866"/>
      <c r="CD5" s="1866"/>
      <c r="CE5" s="1866"/>
      <c r="CF5" s="1866"/>
      <c r="CG5" s="1866"/>
      <c r="CH5" s="1866"/>
      <c r="CI5" s="1866"/>
      <c r="CJ5" s="1866"/>
      <c r="CK5" s="1866"/>
      <c r="CL5" s="1866"/>
      <c r="CM5" s="1866"/>
      <c r="CN5" s="1866"/>
      <c r="CO5" s="1866"/>
      <c r="CP5" s="1866"/>
      <c r="CQ5" s="1866"/>
      <c r="CR5" s="1866"/>
      <c r="CS5" s="1866"/>
      <c r="CT5" s="1866"/>
      <c r="CU5" s="1866"/>
      <c r="CV5" s="1866"/>
      <c r="CW5" s="1866"/>
      <c r="CX5" s="1866"/>
      <c r="CY5" s="1866"/>
      <c r="CZ5" s="1866"/>
      <c r="DA5" s="1866"/>
      <c r="DB5" s="1866"/>
      <c r="DC5" s="1866"/>
      <c r="DD5" s="1866"/>
      <c r="DE5" s="1866"/>
      <c r="DF5" s="1866"/>
      <c r="DG5" s="1866"/>
      <c r="DH5" s="1866"/>
      <c r="DI5" s="1866"/>
      <c r="DJ5" s="1866"/>
      <c r="DK5" s="1866"/>
      <c r="DL5" s="1866"/>
      <c r="DM5" s="1866"/>
      <c r="DN5" s="1866"/>
      <c r="DO5" s="1866"/>
      <c r="DP5" s="1866"/>
      <c r="DQ5" s="1866"/>
      <c r="DR5" s="1866"/>
      <c r="DS5" s="1866"/>
      <c r="DT5" s="1866"/>
      <c r="DU5" s="1866"/>
      <c r="DV5" s="1866"/>
      <c r="DW5" s="1866"/>
      <c r="DX5" s="1866"/>
      <c r="DY5" s="1866"/>
      <c r="DZ5" s="1866"/>
      <c r="EA5" s="1866"/>
      <c r="EB5" s="1866"/>
      <c r="EC5" s="1866"/>
      <c r="ED5" s="1866"/>
      <c r="EE5" s="1866"/>
      <c r="EF5" s="1866"/>
      <c r="EG5" s="1866"/>
      <c r="EH5" s="1866"/>
      <c r="EI5" s="1866"/>
      <c r="EJ5" s="1866"/>
      <c r="EK5" s="1866"/>
      <c r="EL5" s="1866"/>
      <c r="EM5" s="1866"/>
      <c r="EN5" s="1866"/>
      <c r="EO5" s="1866"/>
      <c r="EP5" s="1866"/>
      <c r="EQ5" s="1866"/>
      <c r="ER5" s="1866"/>
      <c r="ES5" s="1866"/>
      <c r="ET5" s="1866"/>
      <c r="EU5" s="1866"/>
      <c r="EV5" s="1866"/>
      <c r="EW5" s="1866"/>
      <c r="EX5" s="1866"/>
      <c r="EY5" s="1866"/>
      <c r="EZ5" s="1866"/>
      <c r="FA5" s="1866"/>
      <c r="FB5" s="1866"/>
      <c r="FC5" s="1866"/>
      <c r="FD5" s="1866"/>
      <c r="FE5" s="1866"/>
      <c r="FF5" s="1866"/>
      <c r="FG5" s="1866"/>
      <c r="FH5" s="1866"/>
      <c r="FI5" s="1866"/>
      <c r="FJ5" s="1866"/>
      <c r="FK5" s="1866"/>
      <c r="FL5" s="1866"/>
      <c r="FM5" s="1866"/>
      <c r="FN5" s="1866"/>
      <c r="FO5" s="1866"/>
      <c r="FP5" s="1866"/>
      <c r="FQ5" s="1866"/>
      <c r="FR5" s="1866"/>
      <c r="FS5" s="1866"/>
      <c r="FT5" s="1866"/>
      <c r="FU5" s="1866"/>
      <c r="FV5" s="1866"/>
      <c r="FW5" s="1866"/>
      <c r="FX5" s="1866"/>
      <c r="FY5" s="1866"/>
      <c r="FZ5" s="1866"/>
      <c r="GA5" s="1866"/>
      <c r="GB5" s="1866"/>
      <c r="GC5" s="1866"/>
      <c r="GD5" s="1866"/>
      <c r="GE5" s="1866"/>
      <c r="GF5" s="1866"/>
      <c r="GG5" s="1866"/>
      <c r="GH5" s="1866"/>
      <c r="GI5" s="1866"/>
      <c r="GJ5" s="1866"/>
      <c r="GK5" s="1866"/>
      <c r="GL5" s="1866"/>
      <c r="GM5" s="1866"/>
      <c r="GN5" s="1866"/>
      <c r="GO5" s="1866"/>
      <c r="GP5" s="1866"/>
      <c r="GQ5" s="1866"/>
      <c r="GR5" s="1866"/>
      <c r="GS5" s="1866"/>
      <c r="GT5" s="1866"/>
      <c r="GU5" s="1866"/>
      <c r="GV5" s="1866"/>
      <c r="GW5" s="1866"/>
      <c r="GX5" s="1866"/>
      <c r="GY5" s="1866"/>
      <c r="GZ5" s="1866"/>
      <c r="HA5" s="1866"/>
      <c r="HB5" s="1866"/>
      <c r="HC5" s="1866"/>
      <c r="HD5" s="1866"/>
      <c r="HE5" s="1866"/>
    </row>
    <row r="6" spans="1:1291" s="1869" customFormat="1" ht="21" customHeight="1" thickBot="1" x14ac:dyDescent="0.25">
      <c r="A6" s="1687" t="s">
        <v>2319</v>
      </c>
      <c r="B6" s="1988" t="s">
        <v>751</v>
      </c>
      <c r="C6" s="1699" t="s">
        <v>2320</v>
      </c>
      <c r="D6" s="1880"/>
      <c r="E6" s="1841"/>
      <c r="F6" s="1836">
        <v>0</v>
      </c>
      <c r="G6" s="1802">
        <v>0</v>
      </c>
      <c r="H6" s="1802">
        <v>0</v>
      </c>
      <c r="I6" s="1802">
        <v>0</v>
      </c>
      <c r="J6" s="1802">
        <v>0</v>
      </c>
      <c r="K6" s="1802">
        <v>0</v>
      </c>
      <c r="L6" s="1802">
        <v>0</v>
      </c>
      <c r="M6" s="1802">
        <v>0</v>
      </c>
      <c r="N6" s="1802">
        <v>0</v>
      </c>
      <c r="O6" s="1802">
        <v>0</v>
      </c>
      <c r="P6" s="1802">
        <v>0</v>
      </c>
      <c r="Q6" s="1802">
        <v>0</v>
      </c>
      <c r="R6" s="1802">
        <v>0</v>
      </c>
      <c r="S6" s="1802">
        <v>0</v>
      </c>
      <c r="T6" s="1802">
        <v>0</v>
      </c>
      <c r="U6" s="1802">
        <v>0</v>
      </c>
      <c r="V6" s="1802">
        <v>0</v>
      </c>
      <c r="W6" s="1802">
        <v>0</v>
      </c>
      <c r="X6" s="1802">
        <v>0</v>
      </c>
      <c r="Y6" s="1802">
        <v>0</v>
      </c>
      <c r="Z6" s="1802">
        <v>0</v>
      </c>
      <c r="AA6" s="1802">
        <v>0</v>
      </c>
      <c r="AB6" s="1802">
        <v>0</v>
      </c>
      <c r="AC6" s="1802">
        <v>0</v>
      </c>
      <c r="AD6" s="1802">
        <v>0</v>
      </c>
      <c r="AE6" s="1802">
        <v>0</v>
      </c>
      <c r="AF6" s="1802">
        <v>0</v>
      </c>
      <c r="AG6" s="1802">
        <v>0</v>
      </c>
      <c r="AH6" s="1802">
        <v>0</v>
      </c>
      <c r="AI6" s="1802">
        <v>0</v>
      </c>
      <c r="AJ6" s="1802">
        <v>0</v>
      </c>
      <c r="AK6" s="1802">
        <v>0</v>
      </c>
      <c r="AL6" s="1802">
        <v>0</v>
      </c>
      <c r="AM6" s="1802">
        <v>0</v>
      </c>
      <c r="AN6" s="1802">
        <v>0</v>
      </c>
      <c r="AO6" s="1802">
        <v>0</v>
      </c>
      <c r="AP6" s="1802">
        <v>0</v>
      </c>
      <c r="AQ6" s="1802">
        <v>0</v>
      </c>
      <c r="AR6" s="1802">
        <v>0</v>
      </c>
      <c r="AS6" s="1802">
        <v>0</v>
      </c>
      <c r="AT6" s="1802">
        <v>0</v>
      </c>
      <c r="AU6" s="1802">
        <v>0</v>
      </c>
      <c r="AV6" s="1802">
        <v>0</v>
      </c>
      <c r="AW6" s="1802">
        <v>0</v>
      </c>
      <c r="AX6" s="1802">
        <v>0</v>
      </c>
      <c r="AY6" s="1802">
        <v>0</v>
      </c>
      <c r="AZ6" s="1802">
        <v>0</v>
      </c>
      <c r="BA6" s="1802">
        <v>0</v>
      </c>
      <c r="BB6" s="1802">
        <v>0</v>
      </c>
      <c r="BC6" s="1802">
        <v>0</v>
      </c>
      <c r="BD6" s="1802">
        <v>0</v>
      </c>
      <c r="BE6" s="1802">
        <v>0</v>
      </c>
      <c r="BF6" s="1802">
        <v>0</v>
      </c>
      <c r="BG6" s="1802">
        <v>0</v>
      </c>
      <c r="BH6" s="1802">
        <v>0</v>
      </c>
      <c r="BI6" s="1802">
        <v>0</v>
      </c>
      <c r="BJ6" s="1802">
        <v>0</v>
      </c>
      <c r="BK6" s="1802">
        <v>0</v>
      </c>
      <c r="BL6" s="1802">
        <v>0</v>
      </c>
      <c r="BM6" s="1802">
        <v>0</v>
      </c>
      <c r="BN6" s="1802">
        <v>0</v>
      </c>
      <c r="BO6" s="1802">
        <v>0</v>
      </c>
      <c r="BP6" s="1802">
        <v>0</v>
      </c>
      <c r="BQ6" s="1802">
        <v>0</v>
      </c>
      <c r="BR6" s="1802">
        <v>0</v>
      </c>
      <c r="BS6" s="1802">
        <v>0</v>
      </c>
      <c r="BT6" s="1802">
        <v>0</v>
      </c>
      <c r="BU6" s="1802">
        <v>0</v>
      </c>
      <c r="BV6" s="1802">
        <v>0</v>
      </c>
      <c r="BW6" s="1802">
        <v>0</v>
      </c>
      <c r="BX6" s="1802">
        <v>0</v>
      </c>
      <c r="BY6" s="1802">
        <v>0</v>
      </c>
      <c r="BZ6" s="1802">
        <v>0</v>
      </c>
      <c r="CA6" s="1802">
        <v>0</v>
      </c>
      <c r="CB6" s="1802">
        <v>0</v>
      </c>
      <c r="CC6" s="1802">
        <v>0</v>
      </c>
      <c r="CD6" s="1802">
        <v>0</v>
      </c>
      <c r="CE6" s="1802">
        <v>0</v>
      </c>
      <c r="CF6" s="1802">
        <v>0</v>
      </c>
      <c r="CG6" s="1802">
        <v>0</v>
      </c>
      <c r="CH6" s="1802">
        <v>0</v>
      </c>
      <c r="CI6" s="1802">
        <v>0</v>
      </c>
      <c r="CJ6" s="1802">
        <v>0</v>
      </c>
      <c r="CK6" s="1802">
        <v>0</v>
      </c>
      <c r="CL6" s="1802">
        <v>0</v>
      </c>
      <c r="CM6" s="1802">
        <v>0</v>
      </c>
      <c r="CN6" s="1802">
        <v>0</v>
      </c>
      <c r="CO6" s="1802">
        <v>0</v>
      </c>
      <c r="CP6" s="1802">
        <v>0</v>
      </c>
      <c r="CQ6" s="1802">
        <v>0</v>
      </c>
      <c r="CR6" s="1802">
        <v>0</v>
      </c>
      <c r="CS6" s="1802">
        <v>0</v>
      </c>
      <c r="CT6" s="1802">
        <v>0</v>
      </c>
      <c r="CU6" s="1802">
        <v>0</v>
      </c>
      <c r="CV6" s="1802">
        <v>0</v>
      </c>
      <c r="CW6" s="1802">
        <v>0</v>
      </c>
      <c r="CX6" s="1802">
        <v>0</v>
      </c>
      <c r="CY6" s="1802">
        <v>0</v>
      </c>
      <c r="CZ6" s="1802">
        <v>0</v>
      </c>
      <c r="DA6" s="1802">
        <v>0</v>
      </c>
      <c r="DB6" s="1802">
        <v>0</v>
      </c>
      <c r="DC6" s="1802">
        <v>0</v>
      </c>
      <c r="DD6" s="1802">
        <v>0</v>
      </c>
      <c r="DE6" s="1802">
        <v>0</v>
      </c>
      <c r="DF6" s="1802">
        <v>0</v>
      </c>
      <c r="DG6" s="1802">
        <v>0</v>
      </c>
      <c r="DH6" s="1802">
        <v>0</v>
      </c>
      <c r="DI6" s="1802">
        <v>0</v>
      </c>
      <c r="DJ6" s="1802">
        <v>0</v>
      </c>
      <c r="DK6" s="1802">
        <v>0</v>
      </c>
      <c r="DL6" s="1802">
        <v>0</v>
      </c>
      <c r="DM6" s="1802">
        <v>0</v>
      </c>
      <c r="DN6" s="1802">
        <v>0</v>
      </c>
      <c r="DO6" s="1802">
        <v>0</v>
      </c>
      <c r="DP6" s="1802">
        <v>0</v>
      </c>
      <c r="DQ6" s="1802">
        <v>0</v>
      </c>
      <c r="DR6" s="1802">
        <v>0</v>
      </c>
      <c r="DS6" s="1802">
        <v>0</v>
      </c>
      <c r="DT6" s="1802">
        <v>0</v>
      </c>
      <c r="DU6" s="1802">
        <v>0</v>
      </c>
      <c r="DV6" s="1802">
        <v>0</v>
      </c>
      <c r="DW6" s="1802">
        <v>0</v>
      </c>
      <c r="DX6" s="1802">
        <v>0</v>
      </c>
      <c r="DY6" s="1802">
        <v>0</v>
      </c>
      <c r="DZ6" s="1802">
        <v>0</v>
      </c>
      <c r="EA6" s="1802">
        <v>0</v>
      </c>
      <c r="EB6" s="1802">
        <v>0</v>
      </c>
      <c r="EC6" s="1802">
        <v>0</v>
      </c>
      <c r="ED6" s="1802">
        <v>0</v>
      </c>
      <c r="EE6" s="1802">
        <v>0</v>
      </c>
      <c r="EF6" s="1802">
        <v>0</v>
      </c>
      <c r="EG6" s="1802">
        <v>0</v>
      </c>
      <c r="EH6" s="1802">
        <v>0</v>
      </c>
      <c r="EI6" s="1802">
        <v>0</v>
      </c>
      <c r="EJ6" s="1802">
        <v>0</v>
      </c>
      <c r="EK6" s="1802">
        <v>0</v>
      </c>
      <c r="EL6" s="1802">
        <v>0</v>
      </c>
      <c r="EM6" s="1802">
        <v>0</v>
      </c>
      <c r="EN6" s="1802">
        <v>0</v>
      </c>
      <c r="EO6" s="1802">
        <v>0</v>
      </c>
      <c r="EP6" s="1802">
        <v>0</v>
      </c>
      <c r="EQ6" s="1802">
        <v>0</v>
      </c>
      <c r="ER6" s="1802">
        <v>0</v>
      </c>
      <c r="ES6" s="1802">
        <v>0</v>
      </c>
      <c r="ET6" s="1802">
        <v>0</v>
      </c>
      <c r="EU6" s="1802">
        <v>0</v>
      </c>
      <c r="EV6" s="1802">
        <v>0</v>
      </c>
      <c r="EW6" s="1802">
        <v>0</v>
      </c>
      <c r="EX6" s="1802">
        <v>0</v>
      </c>
      <c r="EY6" s="1802">
        <v>0</v>
      </c>
      <c r="EZ6" s="1802">
        <v>0</v>
      </c>
      <c r="FA6" s="1802">
        <v>0</v>
      </c>
      <c r="FB6" s="1802">
        <v>0</v>
      </c>
      <c r="FC6" s="1802">
        <v>0</v>
      </c>
      <c r="FD6" s="1802">
        <v>0</v>
      </c>
      <c r="FE6" s="1802">
        <v>0</v>
      </c>
      <c r="FF6" s="1802">
        <v>0</v>
      </c>
      <c r="FG6" s="1802">
        <v>0</v>
      </c>
      <c r="FH6" s="1802">
        <v>0</v>
      </c>
      <c r="FI6" s="1802">
        <v>0</v>
      </c>
      <c r="FJ6" s="1802">
        <v>0</v>
      </c>
      <c r="FK6" s="1802">
        <v>0</v>
      </c>
      <c r="FL6" s="1802">
        <v>0</v>
      </c>
      <c r="FM6" s="1802">
        <v>0</v>
      </c>
      <c r="FN6" s="1802">
        <v>0</v>
      </c>
      <c r="FO6" s="1802">
        <v>0</v>
      </c>
      <c r="FP6" s="1802">
        <v>0</v>
      </c>
      <c r="FQ6" s="1802">
        <v>0</v>
      </c>
      <c r="FR6" s="1802">
        <v>0</v>
      </c>
      <c r="FS6" s="1802">
        <v>0</v>
      </c>
      <c r="FT6" s="1802">
        <v>0</v>
      </c>
      <c r="FU6" s="1802">
        <v>0</v>
      </c>
      <c r="FV6" s="1802">
        <v>0</v>
      </c>
      <c r="FW6" s="1802">
        <v>0</v>
      </c>
      <c r="FX6" s="1802">
        <v>0</v>
      </c>
      <c r="FY6" s="1802">
        <v>0</v>
      </c>
      <c r="FZ6" s="1802">
        <v>0</v>
      </c>
      <c r="GA6" s="1802">
        <v>0</v>
      </c>
      <c r="GB6" s="1802">
        <v>0</v>
      </c>
      <c r="GC6" s="1802">
        <v>0</v>
      </c>
      <c r="GD6" s="1802">
        <v>0</v>
      </c>
      <c r="GE6" s="1802">
        <v>0</v>
      </c>
      <c r="GF6" s="1802">
        <v>0</v>
      </c>
      <c r="GG6" s="1802">
        <v>0</v>
      </c>
      <c r="GH6" s="1802">
        <v>0</v>
      </c>
      <c r="GI6" s="1802">
        <v>0</v>
      </c>
      <c r="GJ6" s="1802">
        <v>0</v>
      </c>
      <c r="GK6" s="1802">
        <v>0</v>
      </c>
      <c r="GL6" s="1802">
        <v>0</v>
      </c>
      <c r="GM6" s="1802">
        <v>0</v>
      </c>
      <c r="GN6" s="1802">
        <v>0</v>
      </c>
      <c r="GO6" s="1802">
        <v>0</v>
      </c>
      <c r="GP6" s="1802">
        <v>0</v>
      </c>
      <c r="GQ6" s="1802">
        <v>0</v>
      </c>
      <c r="GR6" s="1802">
        <v>0</v>
      </c>
      <c r="GS6" s="1802">
        <v>0</v>
      </c>
      <c r="GT6" s="1802">
        <v>0</v>
      </c>
      <c r="GU6" s="1802">
        <v>0</v>
      </c>
      <c r="GV6" s="1802">
        <v>0</v>
      </c>
      <c r="GW6" s="1802">
        <v>0</v>
      </c>
      <c r="GX6" s="1802">
        <v>0</v>
      </c>
      <c r="GY6" s="1802">
        <v>0</v>
      </c>
      <c r="GZ6" s="1802">
        <v>0</v>
      </c>
      <c r="HA6" s="1802">
        <v>0</v>
      </c>
      <c r="HB6" s="1802">
        <v>0</v>
      </c>
      <c r="HC6" s="1802">
        <v>0</v>
      </c>
      <c r="HD6" s="1802">
        <v>0</v>
      </c>
      <c r="HE6" s="1802">
        <v>0</v>
      </c>
      <c r="HF6" s="1868"/>
      <c r="HG6" s="1868"/>
      <c r="HH6" s="1868"/>
      <c r="HI6" s="1868"/>
      <c r="HJ6" s="1868"/>
      <c r="HK6" s="1868"/>
      <c r="HL6" s="1868"/>
      <c r="HM6" s="1868"/>
      <c r="HN6" s="1868"/>
      <c r="HO6" s="1868"/>
      <c r="HP6" s="1868"/>
      <c r="HQ6" s="1868"/>
      <c r="HR6" s="1868"/>
      <c r="HS6" s="1868"/>
      <c r="HT6" s="1868"/>
      <c r="HU6" s="1868"/>
      <c r="HV6" s="1868"/>
      <c r="HW6" s="1868"/>
      <c r="HX6" s="1868"/>
      <c r="HY6" s="1868"/>
      <c r="HZ6" s="1868"/>
      <c r="IA6" s="1868"/>
      <c r="IB6" s="1868"/>
      <c r="IC6" s="1868"/>
      <c r="ID6" s="1868"/>
      <c r="IE6" s="1868"/>
      <c r="IF6" s="1868"/>
      <c r="IG6" s="1868"/>
      <c r="IH6" s="1868"/>
      <c r="II6" s="1868"/>
      <c r="IJ6" s="1868"/>
      <c r="IK6" s="1868"/>
      <c r="IL6" s="1868"/>
      <c r="IM6" s="1868"/>
      <c r="IN6" s="1868"/>
      <c r="IO6" s="1868"/>
      <c r="IP6" s="1868"/>
      <c r="IQ6" s="1868"/>
      <c r="IR6" s="1868"/>
      <c r="IS6" s="1868"/>
      <c r="IT6" s="1868"/>
      <c r="IU6" s="1868"/>
      <c r="IV6" s="1868"/>
      <c r="IW6" s="1868"/>
      <c r="IX6" s="1868"/>
      <c r="IY6" s="1868"/>
      <c r="IZ6" s="1868"/>
      <c r="JA6" s="1868"/>
      <c r="JB6" s="1868"/>
      <c r="JC6" s="1868"/>
      <c r="JD6" s="1868"/>
      <c r="JE6" s="1868"/>
      <c r="JF6" s="1868"/>
      <c r="JG6" s="1868"/>
      <c r="JH6" s="1868"/>
      <c r="JI6" s="1868"/>
      <c r="JJ6" s="1868"/>
      <c r="JK6" s="1868"/>
      <c r="JL6" s="1868"/>
      <c r="JM6" s="1868"/>
      <c r="JN6" s="1868"/>
      <c r="JO6" s="1868"/>
      <c r="JP6" s="1868"/>
      <c r="JQ6" s="1868"/>
      <c r="JR6" s="1868"/>
      <c r="JS6" s="1868"/>
      <c r="JT6" s="1868"/>
      <c r="JU6" s="1868"/>
      <c r="JV6" s="1868"/>
      <c r="JW6" s="1868"/>
      <c r="JX6" s="1868"/>
      <c r="JY6" s="1868"/>
      <c r="JZ6" s="1868"/>
      <c r="KA6" s="1868"/>
      <c r="KB6" s="1868"/>
      <c r="KC6" s="1868"/>
      <c r="KD6" s="1868"/>
      <c r="KE6" s="1868"/>
      <c r="KF6" s="1868"/>
      <c r="KG6" s="1868"/>
      <c r="KH6" s="1868"/>
      <c r="KI6" s="1868"/>
      <c r="KJ6" s="1868"/>
      <c r="KK6" s="1868"/>
      <c r="KL6" s="1868"/>
      <c r="KM6" s="1868"/>
      <c r="KN6" s="1868"/>
      <c r="KO6" s="1868"/>
      <c r="KP6" s="1868"/>
      <c r="KQ6" s="1868"/>
      <c r="KR6" s="1868"/>
      <c r="KS6" s="1868"/>
      <c r="KT6" s="1868"/>
      <c r="KU6" s="1868"/>
      <c r="KV6" s="1868"/>
      <c r="KW6" s="1868"/>
      <c r="KX6" s="1868"/>
      <c r="KY6" s="1868"/>
      <c r="KZ6" s="1868"/>
      <c r="LA6" s="1868"/>
      <c r="LB6" s="1868"/>
      <c r="LC6" s="1868"/>
      <c r="LD6" s="1868"/>
      <c r="LE6" s="1868"/>
      <c r="LF6" s="1868"/>
      <c r="LG6" s="1868"/>
      <c r="LH6" s="1868"/>
      <c r="LI6" s="1868"/>
      <c r="LJ6" s="1868"/>
      <c r="LK6" s="1868"/>
      <c r="LL6" s="1868"/>
      <c r="LM6" s="1868"/>
      <c r="LN6" s="1868"/>
      <c r="LO6" s="1868"/>
      <c r="LP6" s="1868"/>
      <c r="LQ6" s="1868"/>
      <c r="LR6" s="1868"/>
      <c r="LS6" s="1868"/>
      <c r="LT6" s="1868"/>
      <c r="LU6" s="1868"/>
      <c r="LV6" s="1868"/>
      <c r="LW6" s="1868"/>
      <c r="LX6" s="1868"/>
      <c r="LY6" s="1868"/>
      <c r="LZ6" s="1868"/>
      <c r="MA6" s="1868"/>
      <c r="MB6" s="1868"/>
      <c r="MC6" s="1868"/>
      <c r="MD6" s="1868"/>
      <c r="ME6" s="1868"/>
      <c r="MF6" s="1868"/>
      <c r="MG6" s="1868"/>
      <c r="MH6" s="1868"/>
      <c r="MI6" s="1868"/>
      <c r="MJ6" s="1868"/>
      <c r="MK6" s="1868"/>
      <c r="ML6" s="1868"/>
      <c r="MM6" s="1868"/>
      <c r="MN6" s="1868"/>
      <c r="MO6" s="1868"/>
      <c r="MP6" s="1868"/>
      <c r="MQ6" s="1868"/>
      <c r="MR6" s="1868"/>
      <c r="MS6" s="1868"/>
      <c r="MT6" s="1868"/>
      <c r="MU6" s="1868"/>
      <c r="MV6" s="1868"/>
      <c r="MW6" s="1868"/>
      <c r="MX6" s="1868"/>
      <c r="MY6" s="1868"/>
      <c r="MZ6" s="1868"/>
      <c r="NA6" s="1868"/>
      <c r="NB6" s="1868"/>
      <c r="NC6" s="1868"/>
      <c r="ND6" s="1868"/>
      <c r="NE6" s="1868"/>
      <c r="NF6" s="1868"/>
      <c r="NG6" s="1868"/>
      <c r="NH6" s="1868"/>
      <c r="NI6" s="1868"/>
      <c r="NJ6" s="1868"/>
      <c r="NK6" s="1868"/>
      <c r="NL6" s="1868"/>
      <c r="NM6" s="1868"/>
      <c r="NN6" s="1868"/>
      <c r="NO6" s="1868"/>
      <c r="NP6" s="1868"/>
      <c r="NQ6" s="1868"/>
      <c r="NR6" s="1868"/>
      <c r="NS6" s="1868"/>
      <c r="NT6" s="1868"/>
      <c r="NU6" s="1868"/>
      <c r="NV6" s="1868"/>
      <c r="NW6" s="1868"/>
      <c r="NX6" s="1868"/>
      <c r="NY6" s="1868"/>
      <c r="NZ6" s="1868"/>
      <c r="OA6" s="1868"/>
      <c r="OB6" s="1868"/>
      <c r="OC6" s="1868"/>
      <c r="OD6" s="1868"/>
      <c r="OE6" s="1868"/>
      <c r="OF6" s="1868"/>
      <c r="OG6" s="1868"/>
      <c r="OH6" s="1868"/>
      <c r="OI6" s="1868"/>
      <c r="OJ6" s="1868"/>
      <c r="OK6" s="1868"/>
      <c r="OL6" s="1868"/>
      <c r="OM6" s="1868"/>
      <c r="ON6" s="1868"/>
      <c r="OO6" s="1868"/>
      <c r="OP6" s="1868"/>
      <c r="OQ6" s="1868"/>
      <c r="OR6" s="1868"/>
      <c r="OS6" s="1868"/>
      <c r="OT6" s="1868"/>
      <c r="OU6" s="1868"/>
      <c r="OV6" s="1868"/>
      <c r="OW6" s="1868"/>
      <c r="OX6" s="1868"/>
      <c r="OY6" s="1868"/>
      <c r="OZ6" s="1868"/>
      <c r="PA6" s="1868"/>
      <c r="PB6" s="1868"/>
      <c r="PC6" s="1868"/>
      <c r="PD6" s="1868"/>
      <c r="PE6" s="1868"/>
      <c r="PF6" s="1868"/>
      <c r="PG6" s="1868"/>
      <c r="PH6" s="1868"/>
      <c r="PI6" s="1868"/>
      <c r="PJ6" s="1868"/>
      <c r="PK6" s="1868"/>
      <c r="PL6" s="1868"/>
      <c r="PM6" s="1868"/>
      <c r="PN6" s="1868"/>
      <c r="PO6" s="1868"/>
      <c r="PP6" s="1868"/>
      <c r="PQ6" s="1868"/>
      <c r="PR6" s="1868"/>
      <c r="PS6" s="1868"/>
      <c r="PT6" s="1868"/>
      <c r="PU6" s="1868"/>
      <c r="PV6" s="1868"/>
      <c r="PW6" s="1868"/>
      <c r="PX6" s="1868"/>
      <c r="PY6" s="1868"/>
      <c r="PZ6" s="1868"/>
      <c r="QA6" s="1868"/>
      <c r="QB6" s="1868"/>
      <c r="QC6" s="1868"/>
      <c r="QD6" s="1868"/>
      <c r="QE6" s="1868"/>
      <c r="QF6" s="1868"/>
      <c r="QG6" s="1868"/>
      <c r="QH6" s="1868"/>
      <c r="QI6" s="1868"/>
      <c r="QJ6" s="1868"/>
      <c r="QK6" s="1868"/>
      <c r="QL6" s="1868"/>
      <c r="QM6" s="1868"/>
      <c r="QN6" s="1868"/>
      <c r="QO6" s="1868"/>
      <c r="QP6" s="1868"/>
      <c r="QQ6" s="1868"/>
      <c r="QR6" s="1868"/>
      <c r="QS6" s="1868"/>
      <c r="QT6" s="1868"/>
      <c r="QU6" s="1868"/>
      <c r="QV6" s="1868"/>
      <c r="QW6" s="1868"/>
      <c r="QX6" s="1868"/>
      <c r="QY6" s="1868"/>
      <c r="QZ6" s="1868"/>
      <c r="RA6" s="1868"/>
      <c r="RB6" s="1868"/>
      <c r="RC6" s="1868"/>
      <c r="RD6" s="1868"/>
      <c r="RE6" s="1868"/>
      <c r="RF6" s="1868"/>
      <c r="RG6" s="1868"/>
      <c r="RH6" s="1868"/>
      <c r="RI6" s="1868"/>
      <c r="RJ6" s="1868"/>
      <c r="RK6" s="1868"/>
      <c r="RL6" s="1868"/>
      <c r="RM6" s="1868"/>
      <c r="RN6" s="1868"/>
      <c r="RO6" s="1868"/>
      <c r="RP6" s="1868"/>
      <c r="RQ6" s="1868"/>
      <c r="RR6" s="1868"/>
      <c r="RS6" s="1868"/>
      <c r="RT6" s="1868"/>
      <c r="RU6" s="1868"/>
      <c r="RV6" s="1868"/>
      <c r="RW6" s="1868"/>
      <c r="RX6" s="1868"/>
      <c r="RY6" s="1868"/>
      <c r="RZ6" s="1868"/>
      <c r="SA6" s="1868"/>
      <c r="SB6" s="1868"/>
      <c r="SC6" s="1868"/>
      <c r="SD6" s="1868"/>
      <c r="SE6" s="1868"/>
      <c r="SF6" s="1868"/>
      <c r="SG6" s="1868"/>
      <c r="SH6" s="1868"/>
      <c r="SI6" s="1868"/>
      <c r="SJ6" s="1868"/>
      <c r="SK6" s="1868"/>
      <c r="SL6" s="1868"/>
      <c r="SM6" s="1868"/>
      <c r="SN6" s="1868"/>
      <c r="SO6" s="1868"/>
      <c r="SP6" s="1868"/>
      <c r="SQ6" s="1868"/>
      <c r="SR6" s="1868"/>
      <c r="SS6" s="1868"/>
      <c r="ST6" s="1868"/>
      <c r="SU6" s="1868"/>
      <c r="SV6" s="1868"/>
      <c r="SW6" s="1868"/>
      <c r="SX6" s="1868"/>
      <c r="SY6" s="1868"/>
      <c r="SZ6" s="1868"/>
      <c r="TA6" s="1868"/>
      <c r="TB6" s="1868"/>
      <c r="TC6" s="1868"/>
      <c r="TD6" s="1868"/>
      <c r="TE6" s="1868"/>
      <c r="TF6" s="1868"/>
      <c r="TG6" s="1868"/>
      <c r="TH6" s="1868"/>
      <c r="TI6" s="1868"/>
      <c r="TJ6" s="1868"/>
      <c r="TK6" s="1868"/>
      <c r="TL6" s="1868"/>
      <c r="TM6" s="1868"/>
      <c r="TN6" s="1868"/>
      <c r="TO6" s="1868"/>
      <c r="TP6" s="1868"/>
      <c r="TQ6" s="1868"/>
      <c r="TR6" s="1868"/>
      <c r="TS6" s="1868"/>
      <c r="TT6" s="1868"/>
      <c r="TU6" s="1868"/>
      <c r="TV6" s="1868"/>
      <c r="TW6" s="1868"/>
      <c r="TX6" s="1868"/>
      <c r="TY6" s="1868"/>
      <c r="TZ6" s="1868"/>
      <c r="UA6" s="1868"/>
      <c r="UB6" s="1868"/>
      <c r="UC6" s="1868"/>
      <c r="UD6" s="1868"/>
      <c r="UE6" s="1868"/>
      <c r="UF6" s="1868"/>
      <c r="UG6" s="1868"/>
      <c r="UH6" s="1868"/>
      <c r="UI6" s="1868"/>
      <c r="UJ6" s="1868"/>
      <c r="UK6" s="1868"/>
      <c r="UL6" s="1868"/>
      <c r="UM6" s="1868"/>
      <c r="UN6" s="1868"/>
      <c r="UO6" s="1868"/>
      <c r="UP6" s="1868"/>
      <c r="UQ6" s="1868"/>
      <c r="UR6" s="1868"/>
      <c r="US6" s="1868"/>
      <c r="UT6" s="1868"/>
      <c r="UU6" s="1868"/>
      <c r="UV6" s="1868"/>
      <c r="UW6" s="1868"/>
      <c r="UX6" s="1868"/>
      <c r="UY6" s="1868"/>
      <c r="UZ6" s="1868"/>
      <c r="VA6" s="1868"/>
      <c r="VB6" s="1868"/>
      <c r="VC6" s="1868"/>
      <c r="VD6" s="1868"/>
      <c r="VE6" s="1868"/>
      <c r="VF6" s="1868"/>
      <c r="VG6" s="1868"/>
      <c r="VH6" s="1868"/>
      <c r="VI6" s="1868"/>
      <c r="VJ6" s="1868"/>
      <c r="VK6" s="1868"/>
      <c r="VL6" s="1868"/>
      <c r="VM6" s="1868"/>
      <c r="VN6" s="1868"/>
      <c r="VO6" s="1868"/>
      <c r="VP6" s="1868"/>
      <c r="VQ6" s="1868"/>
      <c r="VR6" s="1868"/>
      <c r="VS6" s="1868"/>
      <c r="VT6" s="1868"/>
      <c r="VU6" s="1868"/>
      <c r="VV6" s="1868"/>
      <c r="VW6" s="1868"/>
      <c r="VX6" s="1868"/>
      <c r="VY6" s="1868"/>
      <c r="VZ6" s="1868"/>
      <c r="WA6" s="1868"/>
      <c r="WB6" s="1868"/>
      <c r="WC6" s="1868"/>
      <c r="WD6" s="1868"/>
      <c r="WE6" s="1868"/>
      <c r="WF6" s="1868"/>
      <c r="WG6" s="1868"/>
      <c r="WH6" s="1868"/>
      <c r="WI6" s="1868"/>
      <c r="WJ6" s="1868"/>
      <c r="WK6" s="1868"/>
      <c r="WL6" s="1868"/>
      <c r="WM6" s="1868"/>
      <c r="WN6" s="1868"/>
      <c r="WO6" s="1868"/>
      <c r="WP6" s="1868"/>
      <c r="WQ6" s="1868"/>
      <c r="WR6" s="1868"/>
      <c r="WS6" s="1868"/>
      <c r="WT6" s="1868"/>
      <c r="WU6" s="1868"/>
      <c r="WV6" s="1868"/>
      <c r="WW6" s="1868"/>
      <c r="WX6" s="1868"/>
      <c r="WY6" s="1868"/>
      <c r="WZ6" s="1868"/>
      <c r="XA6" s="1868"/>
      <c r="XB6" s="1868"/>
      <c r="XC6" s="1868"/>
      <c r="XD6" s="1868"/>
      <c r="XE6" s="1868"/>
      <c r="XF6" s="1868"/>
      <c r="XG6" s="1868"/>
      <c r="XH6" s="1868"/>
      <c r="XI6" s="1868"/>
      <c r="XJ6" s="1868"/>
      <c r="XK6" s="1868"/>
      <c r="XL6" s="1868"/>
      <c r="XM6" s="1868"/>
      <c r="XN6" s="1868"/>
      <c r="XO6" s="1868"/>
      <c r="XP6" s="1868"/>
      <c r="XQ6" s="1868"/>
      <c r="XR6" s="1868"/>
      <c r="XS6" s="1868"/>
      <c r="XT6" s="1868"/>
      <c r="XU6" s="1868"/>
      <c r="XV6" s="1868"/>
      <c r="XW6" s="1868"/>
      <c r="XX6" s="1868"/>
      <c r="XY6" s="1868"/>
      <c r="XZ6" s="1868"/>
      <c r="YA6" s="1868"/>
      <c r="YB6" s="1868"/>
      <c r="YC6" s="1868"/>
      <c r="YD6" s="1868"/>
      <c r="YE6" s="1868"/>
      <c r="YF6" s="1868"/>
      <c r="YG6" s="1868"/>
      <c r="YH6" s="1868"/>
      <c r="YI6" s="1868"/>
      <c r="YJ6" s="1868"/>
      <c r="YK6" s="1868"/>
      <c r="YL6" s="1868"/>
      <c r="YM6" s="1868"/>
      <c r="YN6" s="1868"/>
      <c r="YO6" s="1868"/>
      <c r="YP6" s="1868"/>
      <c r="YQ6" s="1868"/>
      <c r="YR6" s="1868"/>
      <c r="YS6" s="1868"/>
      <c r="YT6" s="1868"/>
      <c r="YU6" s="1868"/>
      <c r="YV6" s="1868"/>
      <c r="YW6" s="1868"/>
      <c r="YX6" s="1868"/>
      <c r="YY6" s="1868"/>
      <c r="YZ6" s="1868"/>
      <c r="ZA6" s="1868"/>
      <c r="ZB6" s="1868"/>
      <c r="ZC6" s="1868"/>
      <c r="ZD6" s="1868"/>
      <c r="ZE6" s="1868"/>
      <c r="ZF6" s="1868"/>
      <c r="ZG6" s="1868"/>
      <c r="ZH6" s="1868"/>
      <c r="ZI6" s="1868"/>
      <c r="ZJ6" s="1868"/>
      <c r="ZK6" s="1868"/>
      <c r="ZL6" s="1868"/>
      <c r="ZM6" s="1868"/>
      <c r="ZN6" s="1868"/>
      <c r="ZO6" s="1868"/>
      <c r="ZP6" s="1868"/>
      <c r="ZQ6" s="1868"/>
      <c r="ZR6" s="1868"/>
      <c r="ZS6" s="1868"/>
      <c r="ZT6" s="1868"/>
      <c r="ZU6" s="1868"/>
      <c r="ZV6" s="1868"/>
      <c r="ZW6" s="1868"/>
      <c r="ZX6" s="1868"/>
      <c r="ZY6" s="1868"/>
      <c r="ZZ6" s="1868"/>
      <c r="AAA6" s="1868"/>
      <c r="AAB6" s="1868"/>
      <c r="AAC6" s="1868"/>
      <c r="AAD6" s="1868"/>
      <c r="AAE6" s="1868"/>
      <c r="AAF6" s="1868"/>
      <c r="AAG6" s="1868"/>
      <c r="AAH6" s="1868"/>
      <c r="AAI6" s="1868"/>
      <c r="AAJ6" s="1868"/>
      <c r="AAK6" s="1868"/>
      <c r="AAL6" s="1868"/>
      <c r="AAM6" s="1868"/>
      <c r="AAN6" s="1868"/>
      <c r="AAO6" s="1868"/>
      <c r="AAP6" s="1868"/>
      <c r="AAQ6" s="1868"/>
      <c r="AAR6" s="1868"/>
      <c r="AAS6" s="1868"/>
      <c r="AAT6" s="1868"/>
      <c r="AAU6" s="1868"/>
      <c r="AAV6" s="1868"/>
      <c r="AAW6" s="1868"/>
      <c r="AAX6" s="1868"/>
      <c r="AAY6" s="1868"/>
      <c r="AAZ6" s="1868"/>
      <c r="ABA6" s="1868"/>
      <c r="ABB6" s="1868"/>
      <c r="ABC6" s="1868"/>
      <c r="ABD6" s="1868"/>
      <c r="ABE6" s="1868"/>
      <c r="ABF6" s="1868"/>
      <c r="ABG6" s="1868"/>
      <c r="ABH6" s="1868"/>
      <c r="ABI6" s="1868"/>
      <c r="ABJ6" s="1868"/>
      <c r="ABK6" s="1868"/>
      <c r="ABL6" s="1868"/>
      <c r="ABM6" s="1868"/>
      <c r="ABN6" s="1868"/>
      <c r="ABO6" s="1868"/>
      <c r="ABP6" s="1868"/>
      <c r="ABQ6" s="1868"/>
      <c r="ABR6" s="1868"/>
      <c r="ABS6" s="1868"/>
      <c r="ABT6" s="1868"/>
      <c r="ABU6" s="1868"/>
      <c r="ABV6" s="1868"/>
      <c r="ABW6" s="1868"/>
      <c r="ABX6" s="1868"/>
      <c r="ABY6" s="1868"/>
      <c r="ABZ6" s="1868"/>
      <c r="ACA6" s="1868"/>
      <c r="ACB6" s="1868"/>
      <c r="ACC6" s="1868"/>
      <c r="ACD6" s="1868"/>
      <c r="ACE6" s="1868"/>
      <c r="ACF6" s="1868"/>
      <c r="ACG6" s="1868"/>
      <c r="ACH6" s="1868"/>
      <c r="ACI6" s="1868"/>
      <c r="ACJ6" s="1868"/>
      <c r="ACK6" s="1868"/>
      <c r="ACL6" s="1868"/>
      <c r="ACM6" s="1868"/>
      <c r="ACN6" s="1868"/>
      <c r="ACO6" s="1868"/>
      <c r="ACP6" s="1868"/>
      <c r="ACQ6" s="1868"/>
      <c r="ACR6" s="1868"/>
      <c r="ACS6" s="1868"/>
      <c r="ACT6" s="1868"/>
      <c r="ACU6" s="1868"/>
      <c r="ACV6" s="1868"/>
      <c r="ACW6" s="1868"/>
      <c r="ACX6" s="1868"/>
      <c r="ACY6" s="1868"/>
      <c r="ACZ6" s="1868"/>
      <c r="ADA6" s="1868"/>
      <c r="ADB6" s="1868"/>
      <c r="ADC6" s="1868"/>
      <c r="ADD6" s="1868"/>
      <c r="ADE6" s="1868"/>
      <c r="ADF6" s="1868"/>
      <c r="ADG6" s="1868"/>
      <c r="ADH6" s="1868"/>
      <c r="ADI6" s="1868"/>
      <c r="ADJ6" s="1868"/>
      <c r="ADK6" s="1868"/>
      <c r="ADL6" s="1868"/>
      <c r="ADM6" s="1868"/>
      <c r="ADN6" s="1868"/>
      <c r="ADO6" s="1868"/>
      <c r="ADP6" s="1868"/>
      <c r="ADQ6" s="1868"/>
      <c r="ADR6" s="1868"/>
      <c r="ADS6" s="1868"/>
      <c r="ADT6" s="1868"/>
      <c r="ADU6" s="1868"/>
      <c r="ADV6" s="1868"/>
      <c r="ADW6" s="1868"/>
      <c r="ADX6" s="1868"/>
      <c r="ADY6" s="1868"/>
      <c r="ADZ6" s="1868"/>
      <c r="AEA6" s="1868"/>
      <c r="AEB6" s="1868"/>
      <c r="AEC6" s="1868"/>
      <c r="AED6" s="1868"/>
      <c r="AEE6" s="1868"/>
      <c r="AEF6" s="1868"/>
      <c r="AEG6" s="1868"/>
      <c r="AEH6" s="1868"/>
      <c r="AEI6" s="1868"/>
      <c r="AEJ6" s="1868"/>
      <c r="AEK6" s="1868"/>
      <c r="AEL6" s="1868"/>
      <c r="AEM6" s="1868"/>
      <c r="AEN6" s="1868"/>
      <c r="AEO6" s="1868"/>
      <c r="AEP6" s="1868"/>
      <c r="AEQ6" s="1868"/>
      <c r="AER6" s="1868"/>
      <c r="AES6" s="1868"/>
      <c r="AET6" s="1868"/>
      <c r="AEU6" s="1868"/>
      <c r="AEV6" s="1868"/>
      <c r="AEW6" s="1868"/>
      <c r="AEX6" s="1868"/>
      <c r="AEY6" s="1868"/>
      <c r="AEZ6" s="1868"/>
      <c r="AFA6" s="1868"/>
      <c r="AFB6" s="1868"/>
      <c r="AFC6" s="1868"/>
      <c r="AFD6" s="1868"/>
      <c r="AFE6" s="1868"/>
      <c r="AFF6" s="1868"/>
      <c r="AFG6" s="1868"/>
      <c r="AFH6" s="1868"/>
      <c r="AFI6" s="1868"/>
      <c r="AFJ6" s="1868"/>
      <c r="AFK6" s="1868"/>
      <c r="AFL6" s="1868"/>
      <c r="AFM6" s="1868"/>
      <c r="AFN6" s="1868"/>
      <c r="AFO6" s="1868"/>
      <c r="AFP6" s="1868"/>
      <c r="AFQ6" s="1868"/>
      <c r="AFR6" s="1868"/>
      <c r="AFS6" s="1868"/>
      <c r="AFT6" s="1868"/>
      <c r="AFU6" s="1868"/>
      <c r="AFV6" s="1868"/>
      <c r="AFW6" s="1868"/>
      <c r="AFX6" s="1868"/>
      <c r="AFY6" s="1868"/>
      <c r="AFZ6" s="1868"/>
      <c r="AGA6" s="1868"/>
      <c r="AGB6" s="1868"/>
      <c r="AGC6" s="1868"/>
      <c r="AGD6" s="1868"/>
      <c r="AGE6" s="1868"/>
      <c r="AGF6" s="1868"/>
      <c r="AGG6" s="1868"/>
      <c r="AGH6" s="1868"/>
      <c r="AGI6" s="1868"/>
      <c r="AGJ6" s="1868"/>
      <c r="AGK6" s="1868"/>
      <c r="AGL6" s="1868"/>
      <c r="AGM6" s="1868"/>
      <c r="AGN6" s="1868"/>
      <c r="AGO6" s="1868"/>
      <c r="AGP6" s="1868"/>
      <c r="AGQ6" s="1868"/>
      <c r="AGR6" s="1868"/>
      <c r="AGS6" s="1868"/>
      <c r="AGT6" s="1868"/>
      <c r="AGU6" s="1868"/>
      <c r="AGV6" s="1868"/>
      <c r="AGW6" s="1868"/>
      <c r="AGX6" s="1868"/>
      <c r="AGY6" s="1868"/>
      <c r="AGZ6" s="1868"/>
      <c r="AHA6" s="1868"/>
      <c r="AHB6" s="1868"/>
      <c r="AHC6" s="1868"/>
      <c r="AHD6" s="1868"/>
      <c r="AHE6" s="1868"/>
      <c r="AHF6" s="1868"/>
      <c r="AHG6" s="1868"/>
      <c r="AHH6" s="1868"/>
      <c r="AHI6" s="1868"/>
      <c r="AHJ6" s="1868"/>
      <c r="AHK6" s="1868"/>
      <c r="AHL6" s="1868"/>
      <c r="AHM6" s="1868"/>
      <c r="AHN6" s="1868"/>
      <c r="AHO6" s="1868"/>
      <c r="AHP6" s="1868"/>
      <c r="AHQ6" s="1868"/>
      <c r="AHR6" s="1868"/>
      <c r="AHS6" s="1868"/>
      <c r="AHT6" s="1868"/>
      <c r="AHU6" s="1868"/>
      <c r="AHV6" s="1868"/>
      <c r="AHW6" s="1868"/>
      <c r="AHX6" s="1868"/>
      <c r="AHY6" s="1868"/>
      <c r="AHZ6" s="1868"/>
      <c r="AIA6" s="1868"/>
      <c r="AIB6" s="1868"/>
      <c r="AIC6" s="1868"/>
      <c r="AID6" s="1868"/>
      <c r="AIE6" s="1868"/>
      <c r="AIF6" s="1868"/>
      <c r="AIG6" s="1868"/>
      <c r="AIH6" s="1868"/>
      <c r="AII6" s="1868"/>
      <c r="AIJ6" s="1868"/>
      <c r="AIK6" s="1868"/>
      <c r="AIL6" s="1868"/>
      <c r="AIM6" s="1868"/>
      <c r="AIN6" s="1868"/>
      <c r="AIO6" s="1868"/>
      <c r="AIP6" s="1868"/>
      <c r="AIQ6" s="1868"/>
      <c r="AIR6" s="1868"/>
      <c r="AIS6" s="1868"/>
      <c r="AIT6" s="1868"/>
      <c r="AIU6" s="1868"/>
      <c r="AIV6" s="1868"/>
      <c r="AIW6" s="1868"/>
      <c r="AIX6" s="1868"/>
      <c r="AIY6" s="1868"/>
      <c r="AIZ6" s="1868"/>
      <c r="AJA6" s="1868"/>
      <c r="AJB6" s="1868"/>
      <c r="AJC6" s="1868"/>
      <c r="AJD6" s="1868"/>
      <c r="AJE6" s="1868"/>
      <c r="AJF6" s="1868"/>
      <c r="AJG6" s="1868"/>
      <c r="AJH6" s="1868"/>
      <c r="AJI6" s="1868"/>
      <c r="AJJ6" s="1868"/>
      <c r="AJK6" s="1868"/>
      <c r="AJL6" s="1868"/>
      <c r="AJM6" s="1868"/>
      <c r="AJN6" s="1868"/>
      <c r="AJO6" s="1868"/>
      <c r="AJP6" s="1868"/>
      <c r="AJQ6" s="1868"/>
      <c r="AJR6" s="1868"/>
      <c r="AJS6" s="1868"/>
      <c r="AJT6" s="1868"/>
      <c r="AJU6" s="1868"/>
      <c r="AJV6" s="1868"/>
      <c r="AJW6" s="1868"/>
      <c r="AJX6" s="1868"/>
      <c r="AJY6" s="1868"/>
      <c r="AJZ6" s="1868"/>
      <c r="AKA6" s="1868"/>
      <c r="AKB6" s="1868"/>
      <c r="AKC6" s="1868"/>
      <c r="AKD6" s="1868"/>
      <c r="AKE6" s="1868"/>
      <c r="AKF6" s="1868"/>
      <c r="AKG6" s="1868"/>
      <c r="AKH6" s="1868"/>
      <c r="AKI6" s="1868"/>
      <c r="AKJ6" s="1868"/>
      <c r="AKK6" s="1868"/>
      <c r="AKL6" s="1868"/>
      <c r="AKM6" s="1868"/>
      <c r="AKN6" s="1868"/>
      <c r="AKO6" s="1868"/>
      <c r="AKP6" s="1868"/>
      <c r="AKQ6" s="1868"/>
      <c r="AKR6" s="1868"/>
      <c r="AKS6" s="1868"/>
      <c r="AKT6" s="1868"/>
      <c r="AKU6" s="1868"/>
      <c r="AKV6" s="1868"/>
      <c r="AKW6" s="1868"/>
      <c r="AKX6" s="1868"/>
      <c r="AKY6" s="1868"/>
      <c r="AKZ6" s="1868"/>
      <c r="ALA6" s="1868"/>
      <c r="ALB6" s="1868"/>
      <c r="ALC6" s="1868"/>
      <c r="ALD6" s="1868"/>
      <c r="ALE6" s="1868"/>
      <c r="ALF6" s="1868"/>
      <c r="ALG6" s="1868"/>
      <c r="ALH6" s="1868"/>
      <c r="ALI6" s="1868"/>
      <c r="ALJ6" s="1868"/>
      <c r="ALK6" s="1868"/>
      <c r="ALL6" s="1868"/>
      <c r="ALM6" s="1868"/>
      <c r="ALN6" s="1868"/>
      <c r="ALO6" s="1868"/>
      <c r="ALP6" s="1868"/>
      <c r="ALQ6" s="1868"/>
      <c r="ALR6" s="1868"/>
      <c r="ALS6" s="1868"/>
      <c r="ALT6" s="1868"/>
      <c r="ALU6" s="1868"/>
      <c r="ALV6" s="1868"/>
      <c r="ALW6" s="1868"/>
      <c r="ALX6" s="1868"/>
      <c r="ALY6" s="1868"/>
      <c r="ALZ6" s="1868"/>
      <c r="AMA6" s="1868"/>
      <c r="AMB6" s="1868"/>
      <c r="AMC6" s="1868"/>
      <c r="AMD6" s="1868"/>
      <c r="AME6" s="1868"/>
      <c r="AMF6" s="1868"/>
      <c r="AMG6" s="1868"/>
      <c r="AMH6" s="1868"/>
      <c r="AMI6" s="1868"/>
      <c r="AMJ6" s="1868"/>
      <c r="AMK6" s="1868"/>
      <c r="AML6" s="1868"/>
      <c r="AMM6" s="1868"/>
      <c r="AMN6" s="1868"/>
      <c r="AMO6" s="1868"/>
      <c r="AMP6" s="1868"/>
      <c r="AMQ6" s="1868"/>
      <c r="AMR6" s="1868"/>
      <c r="AMS6" s="1868"/>
      <c r="AMT6" s="1868"/>
      <c r="AMU6" s="1868"/>
      <c r="AMV6" s="1868"/>
      <c r="AMW6" s="1868"/>
      <c r="AMX6" s="1868"/>
      <c r="AMY6" s="1868"/>
      <c r="AMZ6" s="1868"/>
      <c r="ANA6" s="1868"/>
      <c r="ANB6" s="1868"/>
      <c r="ANC6" s="1868"/>
      <c r="AND6" s="1868"/>
      <c r="ANE6" s="1868"/>
      <c r="ANF6" s="1868"/>
      <c r="ANG6" s="1868"/>
      <c r="ANH6" s="1868"/>
      <c r="ANI6" s="1868"/>
      <c r="ANJ6" s="1868"/>
      <c r="ANK6" s="1868"/>
      <c r="ANL6" s="1868"/>
      <c r="ANM6" s="1868"/>
      <c r="ANN6" s="1868"/>
      <c r="ANO6" s="1868"/>
      <c r="ANP6" s="1868"/>
      <c r="ANQ6" s="1868"/>
      <c r="ANR6" s="1868"/>
      <c r="ANS6" s="1868"/>
      <c r="ANT6" s="1868"/>
      <c r="ANU6" s="1868"/>
      <c r="ANV6" s="1868"/>
      <c r="ANW6" s="1868"/>
      <c r="ANX6" s="1868"/>
      <c r="ANY6" s="1868"/>
      <c r="ANZ6" s="1868"/>
      <c r="AOA6" s="1868"/>
      <c r="AOB6" s="1868"/>
      <c r="AOC6" s="1868"/>
      <c r="AOD6" s="1868"/>
      <c r="AOE6" s="1868"/>
      <c r="AOF6" s="1868"/>
      <c r="AOG6" s="1868"/>
      <c r="AOH6" s="1868"/>
      <c r="AOI6" s="1868"/>
      <c r="AOJ6" s="1868"/>
      <c r="AOK6" s="1868"/>
      <c r="AOL6" s="1868"/>
      <c r="AOM6" s="1868"/>
      <c r="AON6" s="1868"/>
      <c r="AOO6" s="1868"/>
      <c r="AOP6" s="1868"/>
      <c r="AOQ6" s="1868"/>
      <c r="AOR6" s="1868"/>
      <c r="AOS6" s="1868"/>
      <c r="AOT6" s="1868"/>
      <c r="AOU6" s="1868"/>
      <c r="AOV6" s="1868"/>
      <c r="AOW6" s="1868"/>
      <c r="AOX6" s="1868"/>
      <c r="AOY6" s="1868"/>
      <c r="AOZ6" s="1868"/>
      <c r="APA6" s="1868"/>
      <c r="APB6" s="1868"/>
      <c r="APC6" s="1868"/>
      <c r="APD6" s="1868"/>
      <c r="APE6" s="1868"/>
      <c r="APF6" s="1868"/>
      <c r="APG6" s="1868"/>
      <c r="APH6" s="1868"/>
      <c r="API6" s="1868"/>
      <c r="APJ6" s="1868"/>
      <c r="APK6" s="1868"/>
      <c r="APL6" s="1868"/>
      <c r="APM6" s="1868"/>
      <c r="APN6" s="1868"/>
      <c r="APO6" s="1868"/>
      <c r="APP6" s="1868"/>
      <c r="APQ6" s="1868"/>
      <c r="APR6" s="1868"/>
      <c r="APS6" s="1868"/>
      <c r="APT6" s="1868"/>
      <c r="APU6" s="1868"/>
      <c r="APV6" s="1868"/>
      <c r="APW6" s="1868"/>
      <c r="APX6" s="1868"/>
      <c r="APY6" s="1868"/>
      <c r="APZ6" s="1868"/>
      <c r="AQA6" s="1868"/>
      <c r="AQB6" s="1868"/>
      <c r="AQC6" s="1868"/>
      <c r="AQD6" s="1868"/>
      <c r="AQE6" s="1868"/>
      <c r="AQF6" s="1868"/>
      <c r="AQG6" s="1868"/>
      <c r="AQH6" s="1868"/>
      <c r="AQI6" s="1868"/>
      <c r="AQJ6" s="1868"/>
      <c r="AQK6" s="1868"/>
      <c r="AQL6" s="1868"/>
      <c r="AQM6" s="1868"/>
      <c r="AQN6" s="1868"/>
      <c r="AQO6" s="1868"/>
      <c r="AQP6" s="1868"/>
      <c r="AQQ6" s="1868"/>
      <c r="AQR6" s="1868"/>
      <c r="AQS6" s="1868"/>
      <c r="AQT6" s="1868"/>
      <c r="AQU6" s="1868"/>
      <c r="AQV6" s="1868"/>
      <c r="AQW6" s="1868"/>
      <c r="AQX6" s="1868"/>
      <c r="AQY6" s="1868"/>
      <c r="AQZ6" s="1868"/>
      <c r="ARA6" s="1868"/>
      <c r="ARB6" s="1868"/>
      <c r="ARC6" s="1868"/>
      <c r="ARD6" s="1868"/>
      <c r="ARE6" s="1868"/>
      <c r="ARF6" s="1868"/>
      <c r="ARG6" s="1868"/>
      <c r="ARH6" s="1868"/>
      <c r="ARI6" s="1868"/>
      <c r="ARJ6" s="1868"/>
      <c r="ARK6" s="1868"/>
      <c r="ARL6" s="1868"/>
      <c r="ARM6" s="1868"/>
      <c r="ARN6" s="1868"/>
      <c r="ARO6" s="1868"/>
      <c r="ARP6" s="1868"/>
      <c r="ARQ6" s="1868"/>
      <c r="ARR6" s="1868"/>
      <c r="ARS6" s="1868"/>
      <c r="ART6" s="1868"/>
      <c r="ARU6" s="1868"/>
      <c r="ARV6" s="1868"/>
      <c r="ARW6" s="1868"/>
      <c r="ARX6" s="1868"/>
      <c r="ARY6" s="1868"/>
      <c r="ARZ6" s="1868"/>
      <c r="ASA6" s="1868"/>
      <c r="ASB6" s="1868"/>
      <c r="ASC6" s="1868"/>
      <c r="ASD6" s="1868"/>
      <c r="ASE6" s="1868"/>
      <c r="ASF6" s="1868"/>
      <c r="ASG6" s="1868"/>
      <c r="ASH6" s="1868"/>
      <c r="ASI6" s="1868"/>
      <c r="ASJ6" s="1868"/>
      <c r="ASK6" s="1868"/>
      <c r="ASL6" s="1868"/>
      <c r="ASM6" s="1868"/>
      <c r="ASN6" s="1868"/>
      <c r="ASO6" s="1868"/>
      <c r="ASP6" s="1868"/>
      <c r="ASQ6" s="1868"/>
      <c r="ASR6" s="1868"/>
      <c r="ASS6" s="1868"/>
      <c r="AST6" s="1868"/>
      <c r="ASU6" s="1868"/>
      <c r="ASV6" s="1868"/>
      <c r="ASW6" s="1868"/>
      <c r="ASX6" s="1868"/>
      <c r="ASY6" s="1868"/>
      <c r="ASZ6" s="1868"/>
      <c r="ATA6" s="1868"/>
      <c r="ATB6" s="1868"/>
      <c r="ATC6" s="1868"/>
      <c r="ATD6" s="1868"/>
      <c r="ATE6" s="1868"/>
      <c r="ATF6" s="1868"/>
      <c r="ATG6" s="1868"/>
      <c r="ATH6" s="1868"/>
      <c r="ATI6" s="1868"/>
      <c r="ATJ6" s="1868"/>
      <c r="ATK6" s="1868"/>
      <c r="ATL6" s="1868"/>
      <c r="ATM6" s="1868"/>
      <c r="ATN6" s="1868"/>
      <c r="ATO6" s="1868"/>
      <c r="ATP6" s="1868"/>
      <c r="ATQ6" s="1868"/>
      <c r="ATR6" s="1868"/>
      <c r="ATS6" s="1868"/>
      <c r="ATT6" s="1868"/>
      <c r="ATU6" s="1868"/>
      <c r="ATV6" s="1868"/>
      <c r="ATW6" s="1868"/>
      <c r="ATX6" s="1868"/>
      <c r="ATY6" s="1868"/>
      <c r="ATZ6" s="1868"/>
      <c r="AUA6" s="1868"/>
      <c r="AUB6" s="1868"/>
      <c r="AUC6" s="1868"/>
      <c r="AUD6" s="1868"/>
      <c r="AUE6" s="1868"/>
      <c r="AUF6" s="1868"/>
      <c r="AUG6" s="1868"/>
      <c r="AUH6" s="1868"/>
      <c r="AUI6" s="1868"/>
      <c r="AUJ6" s="1868"/>
      <c r="AUK6" s="1868"/>
      <c r="AUL6" s="1868"/>
      <c r="AUM6" s="1868"/>
      <c r="AUN6" s="1868"/>
      <c r="AUO6" s="1868"/>
      <c r="AUP6" s="1868"/>
      <c r="AUQ6" s="1868"/>
      <c r="AUR6" s="1868"/>
      <c r="AUS6" s="1868"/>
      <c r="AUT6" s="1868"/>
      <c r="AUU6" s="1868"/>
      <c r="AUV6" s="1868"/>
      <c r="AUW6" s="1868"/>
      <c r="AUX6" s="1868"/>
      <c r="AUY6" s="1868"/>
      <c r="AUZ6" s="1868"/>
      <c r="AVA6" s="1868"/>
      <c r="AVB6" s="1868"/>
      <c r="AVC6" s="1868"/>
      <c r="AVD6" s="1868"/>
      <c r="AVE6" s="1868"/>
      <c r="AVF6" s="1868"/>
      <c r="AVG6" s="1868"/>
      <c r="AVH6" s="1868"/>
      <c r="AVI6" s="1868"/>
      <c r="AVJ6" s="1868"/>
      <c r="AVK6" s="1868"/>
      <c r="AVL6" s="1868"/>
      <c r="AVM6" s="1868"/>
      <c r="AVN6" s="1868"/>
      <c r="AVO6" s="1868"/>
      <c r="AVP6" s="1868"/>
      <c r="AVQ6" s="1868"/>
      <c r="AVR6" s="1868"/>
      <c r="AVS6" s="1868"/>
      <c r="AVT6" s="1868"/>
      <c r="AVU6" s="1868"/>
      <c r="AVV6" s="1868"/>
      <c r="AVW6" s="1868"/>
      <c r="AVX6" s="1868"/>
      <c r="AVY6" s="1868"/>
      <c r="AVZ6" s="1868"/>
      <c r="AWA6" s="1868"/>
      <c r="AWB6" s="1868"/>
      <c r="AWC6" s="1868"/>
      <c r="AWD6" s="1868"/>
      <c r="AWE6" s="1868"/>
      <c r="AWF6" s="1868"/>
      <c r="AWG6" s="1868"/>
      <c r="AWH6" s="1868"/>
      <c r="AWI6" s="1868"/>
      <c r="AWJ6" s="1868"/>
      <c r="AWK6" s="1868"/>
      <c r="AWL6" s="1868"/>
      <c r="AWM6" s="1868"/>
      <c r="AWN6" s="1868"/>
      <c r="AWO6" s="1868"/>
      <c r="AWP6" s="1868"/>
      <c r="AWQ6" s="1868"/>
    </row>
    <row r="7" spans="1:1291" s="1869" customFormat="1" ht="15" customHeight="1" x14ac:dyDescent="0.2">
      <c r="A7" s="1688" t="s">
        <v>2321</v>
      </c>
      <c r="B7" s="1989"/>
      <c r="C7" s="1812" t="s">
        <v>750</v>
      </c>
      <c r="D7" s="1881"/>
      <c r="E7" s="1842"/>
      <c r="F7" s="1836">
        <v>0</v>
      </c>
      <c r="G7" s="1802">
        <v>0</v>
      </c>
      <c r="H7" s="1802">
        <v>0</v>
      </c>
      <c r="I7" s="1802">
        <v>0</v>
      </c>
      <c r="J7" s="1802">
        <v>0</v>
      </c>
      <c r="K7" s="1802">
        <v>0</v>
      </c>
      <c r="L7" s="1802">
        <v>0</v>
      </c>
      <c r="M7" s="1802">
        <v>0</v>
      </c>
      <c r="N7" s="1802">
        <v>0</v>
      </c>
      <c r="O7" s="1802">
        <v>0</v>
      </c>
      <c r="P7" s="1802">
        <v>0</v>
      </c>
      <c r="Q7" s="1802">
        <v>0</v>
      </c>
      <c r="R7" s="1802">
        <v>0</v>
      </c>
      <c r="S7" s="1802">
        <v>0</v>
      </c>
      <c r="T7" s="1802">
        <v>0</v>
      </c>
      <c r="U7" s="1802">
        <v>0</v>
      </c>
      <c r="V7" s="1802">
        <v>0</v>
      </c>
      <c r="W7" s="1802">
        <v>0</v>
      </c>
      <c r="X7" s="1802">
        <v>0</v>
      </c>
      <c r="Y7" s="1802">
        <v>0</v>
      </c>
      <c r="Z7" s="1802">
        <v>0</v>
      </c>
      <c r="AA7" s="1802">
        <v>0</v>
      </c>
      <c r="AB7" s="1802">
        <v>0</v>
      </c>
      <c r="AC7" s="1802">
        <v>0</v>
      </c>
      <c r="AD7" s="1802">
        <v>0</v>
      </c>
      <c r="AE7" s="1802">
        <v>0</v>
      </c>
      <c r="AF7" s="1802">
        <v>0</v>
      </c>
      <c r="AG7" s="1802">
        <v>0</v>
      </c>
      <c r="AH7" s="1802">
        <v>0</v>
      </c>
      <c r="AI7" s="1802">
        <v>0</v>
      </c>
      <c r="AJ7" s="1802">
        <v>0</v>
      </c>
      <c r="AK7" s="1802">
        <v>0</v>
      </c>
      <c r="AL7" s="1802">
        <v>0</v>
      </c>
      <c r="AM7" s="1802">
        <v>0</v>
      </c>
      <c r="AN7" s="1802">
        <v>0</v>
      </c>
      <c r="AO7" s="1802">
        <v>0</v>
      </c>
      <c r="AP7" s="1802">
        <v>0</v>
      </c>
      <c r="AQ7" s="1802">
        <v>0</v>
      </c>
      <c r="AR7" s="1802">
        <v>0</v>
      </c>
      <c r="AS7" s="1802">
        <v>0</v>
      </c>
      <c r="AT7" s="1802">
        <v>0</v>
      </c>
      <c r="AU7" s="1802">
        <v>0</v>
      </c>
      <c r="AV7" s="1802">
        <v>0</v>
      </c>
      <c r="AW7" s="1802">
        <v>0</v>
      </c>
      <c r="AX7" s="1802">
        <v>0</v>
      </c>
      <c r="AY7" s="1802">
        <v>0</v>
      </c>
      <c r="AZ7" s="1802">
        <v>0</v>
      </c>
      <c r="BA7" s="1802">
        <v>0</v>
      </c>
      <c r="BB7" s="1802">
        <v>0</v>
      </c>
      <c r="BC7" s="1802">
        <v>0</v>
      </c>
      <c r="BD7" s="1802">
        <v>0</v>
      </c>
      <c r="BE7" s="1802">
        <v>0</v>
      </c>
      <c r="BF7" s="1802">
        <v>0</v>
      </c>
      <c r="BG7" s="1802">
        <v>0</v>
      </c>
      <c r="BH7" s="1802">
        <v>0</v>
      </c>
      <c r="BI7" s="1802">
        <v>0</v>
      </c>
      <c r="BJ7" s="1802">
        <v>0</v>
      </c>
      <c r="BK7" s="1802">
        <v>0</v>
      </c>
      <c r="BL7" s="1802">
        <v>0</v>
      </c>
      <c r="BM7" s="1802">
        <v>0</v>
      </c>
      <c r="BN7" s="1802">
        <v>0</v>
      </c>
      <c r="BO7" s="1802">
        <v>0</v>
      </c>
      <c r="BP7" s="1802">
        <v>0</v>
      </c>
      <c r="BQ7" s="1802">
        <v>0</v>
      </c>
      <c r="BR7" s="1802">
        <v>0</v>
      </c>
      <c r="BS7" s="1802">
        <v>0</v>
      </c>
      <c r="BT7" s="1802">
        <v>0</v>
      </c>
      <c r="BU7" s="1802">
        <v>0</v>
      </c>
      <c r="BV7" s="1802">
        <v>0</v>
      </c>
      <c r="BW7" s="1802">
        <v>0</v>
      </c>
      <c r="BX7" s="1802">
        <v>0</v>
      </c>
      <c r="BY7" s="1802">
        <v>0</v>
      </c>
      <c r="BZ7" s="1802">
        <v>0</v>
      </c>
      <c r="CA7" s="1802">
        <v>0</v>
      </c>
      <c r="CB7" s="1802">
        <v>0</v>
      </c>
      <c r="CC7" s="1802">
        <v>0</v>
      </c>
      <c r="CD7" s="1802">
        <v>0</v>
      </c>
      <c r="CE7" s="1802">
        <v>0</v>
      </c>
      <c r="CF7" s="1802">
        <v>0</v>
      </c>
      <c r="CG7" s="1802">
        <v>0</v>
      </c>
      <c r="CH7" s="1802">
        <v>0</v>
      </c>
      <c r="CI7" s="1802">
        <v>0</v>
      </c>
      <c r="CJ7" s="1802">
        <v>0</v>
      </c>
      <c r="CK7" s="1802">
        <v>0</v>
      </c>
      <c r="CL7" s="1802">
        <v>0</v>
      </c>
      <c r="CM7" s="1802">
        <v>0</v>
      </c>
      <c r="CN7" s="1802">
        <v>0</v>
      </c>
      <c r="CO7" s="1802">
        <v>0</v>
      </c>
      <c r="CP7" s="1802">
        <v>0</v>
      </c>
      <c r="CQ7" s="1802">
        <v>0</v>
      </c>
      <c r="CR7" s="1802">
        <v>0</v>
      </c>
      <c r="CS7" s="1802">
        <v>0</v>
      </c>
      <c r="CT7" s="1802">
        <v>0</v>
      </c>
      <c r="CU7" s="1802">
        <v>0</v>
      </c>
      <c r="CV7" s="1802">
        <v>0</v>
      </c>
      <c r="CW7" s="1802">
        <v>0</v>
      </c>
      <c r="CX7" s="1802">
        <v>0</v>
      </c>
      <c r="CY7" s="1802">
        <v>0</v>
      </c>
      <c r="CZ7" s="1802">
        <v>0</v>
      </c>
      <c r="DA7" s="1802">
        <v>0</v>
      </c>
      <c r="DB7" s="1802">
        <v>0</v>
      </c>
      <c r="DC7" s="1802">
        <v>0</v>
      </c>
      <c r="DD7" s="1802">
        <v>0</v>
      </c>
      <c r="DE7" s="1802">
        <v>0</v>
      </c>
      <c r="DF7" s="1802">
        <v>0</v>
      </c>
      <c r="DG7" s="1802">
        <v>0</v>
      </c>
      <c r="DH7" s="1802">
        <v>0</v>
      </c>
      <c r="DI7" s="1802">
        <v>0</v>
      </c>
      <c r="DJ7" s="1802">
        <v>0</v>
      </c>
      <c r="DK7" s="1802">
        <v>0</v>
      </c>
      <c r="DL7" s="1802">
        <v>0</v>
      </c>
      <c r="DM7" s="1802">
        <v>0</v>
      </c>
      <c r="DN7" s="1802">
        <v>0</v>
      </c>
      <c r="DO7" s="1802">
        <v>0</v>
      </c>
      <c r="DP7" s="1802">
        <v>0</v>
      </c>
      <c r="DQ7" s="1802">
        <v>0</v>
      </c>
      <c r="DR7" s="1802">
        <v>0</v>
      </c>
      <c r="DS7" s="1802">
        <v>0</v>
      </c>
      <c r="DT7" s="1802">
        <v>0</v>
      </c>
      <c r="DU7" s="1802">
        <v>0</v>
      </c>
      <c r="DV7" s="1802">
        <v>0</v>
      </c>
      <c r="DW7" s="1802">
        <v>0</v>
      </c>
      <c r="DX7" s="1802">
        <v>0</v>
      </c>
      <c r="DY7" s="1802">
        <v>0</v>
      </c>
      <c r="DZ7" s="1802">
        <v>0</v>
      </c>
      <c r="EA7" s="1802">
        <v>0</v>
      </c>
      <c r="EB7" s="1802">
        <v>0</v>
      </c>
      <c r="EC7" s="1802">
        <v>0</v>
      </c>
      <c r="ED7" s="1802">
        <v>0</v>
      </c>
      <c r="EE7" s="1802">
        <v>0</v>
      </c>
      <c r="EF7" s="1802">
        <v>0</v>
      </c>
      <c r="EG7" s="1802">
        <v>0</v>
      </c>
      <c r="EH7" s="1802">
        <v>0</v>
      </c>
      <c r="EI7" s="1802">
        <v>0</v>
      </c>
      <c r="EJ7" s="1802">
        <v>0</v>
      </c>
      <c r="EK7" s="1802">
        <v>0</v>
      </c>
      <c r="EL7" s="1802">
        <v>0</v>
      </c>
      <c r="EM7" s="1802">
        <v>0</v>
      </c>
      <c r="EN7" s="1802">
        <v>0</v>
      </c>
      <c r="EO7" s="1802">
        <v>0</v>
      </c>
      <c r="EP7" s="1802">
        <v>0</v>
      </c>
      <c r="EQ7" s="1802">
        <v>0</v>
      </c>
      <c r="ER7" s="1802">
        <v>0</v>
      </c>
      <c r="ES7" s="1802">
        <v>0</v>
      </c>
      <c r="ET7" s="1802">
        <v>0</v>
      </c>
      <c r="EU7" s="1802">
        <v>0</v>
      </c>
      <c r="EV7" s="1802">
        <v>0</v>
      </c>
      <c r="EW7" s="1802">
        <v>0</v>
      </c>
      <c r="EX7" s="1802">
        <v>0</v>
      </c>
      <c r="EY7" s="1802">
        <v>0</v>
      </c>
      <c r="EZ7" s="1802">
        <v>0</v>
      </c>
      <c r="FA7" s="1802">
        <v>0</v>
      </c>
      <c r="FB7" s="1802">
        <v>0</v>
      </c>
      <c r="FC7" s="1802">
        <v>0</v>
      </c>
      <c r="FD7" s="1802">
        <v>0</v>
      </c>
      <c r="FE7" s="1802">
        <v>0</v>
      </c>
      <c r="FF7" s="1802">
        <v>0</v>
      </c>
      <c r="FG7" s="1802">
        <v>0</v>
      </c>
      <c r="FH7" s="1802">
        <v>0</v>
      </c>
      <c r="FI7" s="1802">
        <v>0</v>
      </c>
      <c r="FJ7" s="1802">
        <v>0</v>
      </c>
      <c r="FK7" s="1802">
        <v>0</v>
      </c>
      <c r="FL7" s="1802">
        <v>0</v>
      </c>
      <c r="FM7" s="1802">
        <v>0</v>
      </c>
      <c r="FN7" s="1802">
        <v>0</v>
      </c>
      <c r="FO7" s="1802">
        <v>0</v>
      </c>
      <c r="FP7" s="1802">
        <v>0</v>
      </c>
      <c r="FQ7" s="1802">
        <v>0</v>
      </c>
      <c r="FR7" s="1802">
        <v>0</v>
      </c>
      <c r="FS7" s="1802">
        <v>0</v>
      </c>
      <c r="FT7" s="1802">
        <v>0</v>
      </c>
      <c r="FU7" s="1802">
        <v>0</v>
      </c>
      <c r="FV7" s="1802">
        <v>0</v>
      </c>
      <c r="FW7" s="1802">
        <v>0</v>
      </c>
      <c r="FX7" s="1802">
        <v>0</v>
      </c>
      <c r="FY7" s="1802">
        <v>0</v>
      </c>
      <c r="FZ7" s="1802">
        <v>0</v>
      </c>
      <c r="GA7" s="1802">
        <v>0</v>
      </c>
      <c r="GB7" s="1802">
        <v>0</v>
      </c>
      <c r="GC7" s="1802">
        <v>0</v>
      </c>
      <c r="GD7" s="1802">
        <v>0</v>
      </c>
      <c r="GE7" s="1802">
        <v>0</v>
      </c>
      <c r="GF7" s="1802">
        <v>0</v>
      </c>
      <c r="GG7" s="1802">
        <v>0</v>
      </c>
      <c r="GH7" s="1802">
        <v>0</v>
      </c>
      <c r="GI7" s="1802">
        <v>0</v>
      </c>
      <c r="GJ7" s="1802">
        <v>0</v>
      </c>
      <c r="GK7" s="1802">
        <v>0</v>
      </c>
      <c r="GL7" s="1802">
        <v>0</v>
      </c>
      <c r="GM7" s="1802">
        <v>0</v>
      </c>
      <c r="GN7" s="1802">
        <v>0</v>
      </c>
      <c r="GO7" s="1802">
        <v>0</v>
      </c>
      <c r="GP7" s="1802">
        <v>0</v>
      </c>
      <c r="GQ7" s="1802">
        <v>0</v>
      </c>
      <c r="GR7" s="1802">
        <v>0</v>
      </c>
      <c r="GS7" s="1802">
        <v>0</v>
      </c>
      <c r="GT7" s="1802">
        <v>0</v>
      </c>
      <c r="GU7" s="1802">
        <v>0</v>
      </c>
      <c r="GV7" s="1802">
        <v>0</v>
      </c>
      <c r="GW7" s="1802">
        <v>0</v>
      </c>
      <c r="GX7" s="1802">
        <v>0</v>
      </c>
      <c r="GY7" s="1802">
        <v>0</v>
      </c>
      <c r="GZ7" s="1802">
        <v>0</v>
      </c>
      <c r="HA7" s="1802">
        <v>0</v>
      </c>
      <c r="HB7" s="1802">
        <v>0</v>
      </c>
      <c r="HC7" s="1802">
        <v>0</v>
      </c>
      <c r="HD7" s="1802">
        <v>0</v>
      </c>
      <c r="HE7" s="1802">
        <v>0</v>
      </c>
      <c r="HF7" s="1868"/>
      <c r="HG7" s="1868"/>
      <c r="HH7" s="1868"/>
      <c r="HI7" s="1868"/>
      <c r="HJ7" s="1868"/>
      <c r="HK7" s="1868"/>
      <c r="HL7" s="1868"/>
      <c r="HM7" s="1868"/>
      <c r="HN7" s="1868"/>
      <c r="HO7" s="1868"/>
      <c r="HP7" s="1868"/>
      <c r="HQ7" s="1868"/>
      <c r="HR7" s="1868"/>
      <c r="HS7" s="1868"/>
      <c r="HT7" s="1868"/>
      <c r="HU7" s="1868"/>
      <c r="HV7" s="1868"/>
      <c r="HW7" s="1868"/>
      <c r="HX7" s="1868"/>
      <c r="HY7" s="1868"/>
      <c r="HZ7" s="1868"/>
      <c r="IA7" s="1868"/>
      <c r="IB7" s="1868"/>
      <c r="IC7" s="1868"/>
      <c r="ID7" s="1868"/>
      <c r="IE7" s="1868"/>
      <c r="IF7" s="1868"/>
      <c r="IG7" s="1868"/>
      <c r="IH7" s="1868"/>
      <c r="II7" s="1868"/>
      <c r="IJ7" s="1868"/>
      <c r="IK7" s="1868"/>
      <c r="IL7" s="1868"/>
      <c r="IM7" s="1868"/>
      <c r="IN7" s="1868"/>
      <c r="IO7" s="1868"/>
      <c r="IP7" s="1868"/>
      <c r="IQ7" s="1868"/>
      <c r="IR7" s="1868"/>
      <c r="IS7" s="1868"/>
      <c r="IT7" s="1868"/>
      <c r="IU7" s="1868"/>
      <c r="IV7" s="1868"/>
      <c r="IW7" s="1868"/>
      <c r="IX7" s="1868"/>
      <c r="IY7" s="1868"/>
      <c r="IZ7" s="1868"/>
      <c r="JA7" s="1868"/>
      <c r="JB7" s="1868"/>
      <c r="JC7" s="1868"/>
      <c r="JD7" s="1868"/>
      <c r="JE7" s="1868"/>
      <c r="JF7" s="1868"/>
      <c r="JG7" s="1868"/>
      <c r="JH7" s="1868"/>
      <c r="JI7" s="1868"/>
      <c r="JJ7" s="1868"/>
      <c r="JK7" s="1868"/>
      <c r="JL7" s="1868"/>
      <c r="JM7" s="1868"/>
      <c r="JN7" s="1868"/>
      <c r="JO7" s="1868"/>
      <c r="JP7" s="1868"/>
      <c r="JQ7" s="1868"/>
      <c r="JR7" s="1868"/>
      <c r="JS7" s="1868"/>
      <c r="JT7" s="1868"/>
      <c r="JU7" s="1868"/>
      <c r="JV7" s="1868"/>
      <c r="JW7" s="1868"/>
      <c r="JX7" s="1868"/>
      <c r="JY7" s="1868"/>
      <c r="JZ7" s="1868"/>
      <c r="KA7" s="1868"/>
      <c r="KB7" s="1868"/>
      <c r="KC7" s="1868"/>
      <c r="KD7" s="1868"/>
      <c r="KE7" s="1868"/>
      <c r="KF7" s="1868"/>
      <c r="KG7" s="1868"/>
      <c r="KH7" s="1868"/>
      <c r="KI7" s="1868"/>
      <c r="KJ7" s="1868"/>
      <c r="KK7" s="1868"/>
      <c r="KL7" s="1868"/>
      <c r="KM7" s="1868"/>
      <c r="KN7" s="1868"/>
      <c r="KO7" s="1868"/>
      <c r="KP7" s="1868"/>
      <c r="KQ7" s="1868"/>
      <c r="KR7" s="1868"/>
      <c r="KS7" s="1868"/>
      <c r="KT7" s="1868"/>
      <c r="KU7" s="1868"/>
      <c r="KV7" s="1868"/>
      <c r="KW7" s="1868"/>
      <c r="KX7" s="1868"/>
      <c r="KY7" s="1868"/>
      <c r="KZ7" s="1868"/>
      <c r="LA7" s="1868"/>
      <c r="LB7" s="1868"/>
      <c r="LC7" s="1868"/>
      <c r="LD7" s="1868"/>
      <c r="LE7" s="1868"/>
      <c r="LF7" s="1868"/>
      <c r="LG7" s="1868"/>
      <c r="LH7" s="1868"/>
      <c r="LI7" s="1868"/>
      <c r="LJ7" s="1868"/>
      <c r="LK7" s="1868"/>
      <c r="LL7" s="1868"/>
      <c r="LM7" s="1868"/>
      <c r="LN7" s="1868"/>
      <c r="LO7" s="1868"/>
      <c r="LP7" s="1868"/>
      <c r="LQ7" s="1868"/>
      <c r="LR7" s="1868"/>
      <c r="LS7" s="1868"/>
      <c r="LT7" s="1868"/>
      <c r="LU7" s="1868"/>
      <c r="LV7" s="1868"/>
      <c r="LW7" s="1868"/>
      <c r="LX7" s="1868"/>
      <c r="LY7" s="1868"/>
      <c r="LZ7" s="1868"/>
      <c r="MA7" s="1868"/>
      <c r="MB7" s="1868"/>
      <c r="MC7" s="1868"/>
      <c r="MD7" s="1868"/>
      <c r="ME7" s="1868"/>
      <c r="MF7" s="1868"/>
      <c r="MG7" s="1868"/>
      <c r="MH7" s="1868"/>
      <c r="MI7" s="1868"/>
      <c r="MJ7" s="1868"/>
      <c r="MK7" s="1868"/>
      <c r="ML7" s="1868"/>
      <c r="MM7" s="1868"/>
      <c r="MN7" s="1868"/>
      <c r="MO7" s="1868"/>
      <c r="MP7" s="1868"/>
      <c r="MQ7" s="1868"/>
      <c r="MR7" s="1868"/>
      <c r="MS7" s="1868"/>
      <c r="MT7" s="1868"/>
      <c r="MU7" s="1868"/>
      <c r="MV7" s="1868"/>
      <c r="MW7" s="1868"/>
      <c r="MX7" s="1868"/>
      <c r="MY7" s="1868"/>
      <c r="MZ7" s="1868"/>
      <c r="NA7" s="1868"/>
      <c r="NB7" s="1868"/>
      <c r="NC7" s="1868"/>
      <c r="ND7" s="1868"/>
      <c r="NE7" s="1868"/>
      <c r="NF7" s="1868"/>
      <c r="NG7" s="1868"/>
      <c r="NH7" s="1868"/>
      <c r="NI7" s="1868"/>
      <c r="NJ7" s="1868"/>
      <c r="NK7" s="1868"/>
      <c r="NL7" s="1868"/>
      <c r="NM7" s="1868"/>
      <c r="NN7" s="1868"/>
      <c r="NO7" s="1868"/>
      <c r="NP7" s="1868"/>
      <c r="NQ7" s="1868"/>
      <c r="NR7" s="1868"/>
      <c r="NS7" s="1868"/>
      <c r="NT7" s="1868"/>
      <c r="NU7" s="1868"/>
      <c r="NV7" s="1868"/>
      <c r="NW7" s="1868"/>
      <c r="NX7" s="1868"/>
      <c r="NY7" s="1868"/>
      <c r="NZ7" s="1868"/>
      <c r="OA7" s="1868"/>
      <c r="OB7" s="1868"/>
      <c r="OC7" s="1868"/>
      <c r="OD7" s="1868"/>
      <c r="OE7" s="1868"/>
      <c r="OF7" s="1868"/>
      <c r="OG7" s="1868"/>
      <c r="OH7" s="1868"/>
      <c r="OI7" s="1868"/>
      <c r="OJ7" s="1868"/>
      <c r="OK7" s="1868"/>
      <c r="OL7" s="1868"/>
      <c r="OM7" s="1868"/>
      <c r="ON7" s="1868"/>
      <c r="OO7" s="1868"/>
      <c r="OP7" s="1868"/>
      <c r="OQ7" s="1868"/>
      <c r="OR7" s="1868"/>
      <c r="OS7" s="1868"/>
      <c r="OT7" s="1868"/>
      <c r="OU7" s="1868"/>
      <c r="OV7" s="1868"/>
      <c r="OW7" s="1868"/>
      <c r="OX7" s="1868"/>
      <c r="OY7" s="1868"/>
      <c r="OZ7" s="1868"/>
      <c r="PA7" s="1868"/>
      <c r="PB7" s="1868"/>
      <c r="PC7" s="1868"/>
      <c r="PD7" s="1868"/>
      <c r="PE7" s="1868"/>
      <c r="PF7" s="1868"/>
      <c r="PG7" s="1868"/>
      <c r="PH7" s="1868"/>
      <c r="PI7" s="1868"/>
      <c r="PJ7" s="1868"/>
      <c r="PK7" s="1868"/>
      <c r="PL7" s="1868"/>
      <c r="PM7" s="1868"/>
      <c r="PN7" s="1868"/>
      <c r="PO7" s="1868"/>
      <c r="PP7" s="1868"/>
      <c r="PQ7" s="1868"/>
      <c r="PR7" s="1868"/>
      <c r="PS7" s="1868"/>
      <c r="PT7" s="1868"/>
      <c r="PU7" s="1868"/>
      <c r="PV7" s="1868"/>
      <c r="PW7" s="1868"/>
      <c r="PX7" s="1868"/>
      <c r="PY7" s="1868"/>
      <c r="PZ7" s="1868"/>
      <c r="QA7" s="1868"/>
      <c r="QB7" s="1868"/>
      <c r="QC7" s="1868"/>
      <c r="QD7" s="1868"/>
      <c r="QE7" s="1868"/>
      <c r="QF7" s="1868"/>
      <c r="QG7" s="1868"/>
      <c r="QH7" s="1868"/>
      <c r="QI7" s="1868"/>
      <c r="QJ7" s="1868"/>
      <c r="QK7" s="1868"/>
      <c r="QL7" s="1868"/>
      <c r="QM7" s="1868"/>
      <c r="QN7" s="1868"/>
      <c r="QO7" s="1868"/>
      <c r="QP7" s="1868"/>
      <c r="QQ7" s="1868"/>
      <c r="QR7" s="1868"/>
      <c r="QS7" s="1868"/>
      <c r="QT7" s="1868"/>
      <c r="QU7" s="1868"/>
      <c r="QV7" s="1868"/>
      <c r="QW7" s="1868"/>
      <c r="QX7" s="1868"/>
      <c r="QY7" s="1868"/>
      <c r="QZ7" s="1868"/>
      <c r="RA7" s="1868"/>
      <c r="RB7" s="1868"/>
      <c r="RC7" s="1868"/>
      <c r="RD7" s="1868"/>
      <c r="RE7" s="1868"/>
      <c r="RF7" s="1868"/>
      <c r="RG7" s="1868"/>
      <c r="RH7" s="1868"/>
      <c r="RI7" s="1868"/>
      <c r="RJ7" s="1868"/>
      <c r="RK7" s="1868"/>
      <c r="RL7" s="1868"/>
      <c r="RM7" s="1868"/>
      <c r="RN7" s="1868"/>
      <c r="RO7" s="1868"/>
      <c r="RP7" s="1868"/>
      <c r="RQ7" s="1868"/>
      <c r="RR7" s="1868"/>
      <c r="RS7" s="1868"/>
      <c r="RT7" s="1868"/>
      <c r="RU7" s="1868"/>
      <c r="RV7" s="1868"/>
      <c r="RW7" s="1868"/>
      <c r="RX7" s="1868"/>
      <c r="RY7" s="1868"/>
      <c r="RZ7" s="1868"/>
      <c r="SA7" s="1868"/>
      <c r="SB7" s="1868"/>
      <c r="SC7" s="1868"/>
      <c r="SD7" s="1868"/>
      <c r="SE7" s="1868"/>
      <c r="SF7" s="1868"/>
      <c r="SG7" s="1868"/>
      <c r="SH7" s="1868"/>
      <c r="SI7" s="1868"/>
      <c r="SJ7" s="1868"/>
      <c r="SK7" s="1868"/>
      <c r="SL7" s="1868"/>
      <c r="SM7" s="1868"/>
      <c r="SN7" s="1868"/>
      <c r="SO7" s="1868"/>
      <c r="SP7" s="1868"/>
      <c r="SQ7" s="1868"/>
      <c r="SR7" s="1868"/>
      <c r="SS7" s="1868"/>
      <c r="ST7" s="1868"/>
      <c r="SU7" s="1868"/>
      <c r="SV7" s="1868"/>
      <c r="SW7" s="1868"/>
      <c r="SX7" s="1868"/>
      <c r="SY7" s="1868"/>
      <c r="SZ7" s="1868"/>
      <c r="TA7" s="1868"/>
      <c r="TB7" s="1868"/>
      <c r="TC7" s="1868"/>
      <c r="TD7" s="1868"/>
      <c r="TE7" s="1868"/>
      <c r="TF7" s="1868"/>
      <c r="TG7" s="1868"/>
      <c r="TH7" s="1868"/>
      <c r="TI7" s="1868"/>
      <c r="TJ7" s="1868"/>
      <c r="TK7" s="1868"/>
      <c r="TL7" s="1868"/>
      <c r="TM7" s="1868"/>
      <c r="TN7" s="1868"/>
      <c r="TO7" s="1868"/>
      <c r="TP7" s="1868"/>
      <c r="TQ7" s="1868"/>
      <c r="TR7" s="1868"/>
      <c r="TS7" s="1868"/>
      <c r="TT7" s="1868"/>
      <c r="TU7" s="1868"/>
      <c r="TV7" s="1868"/>
      <c r="TW7" s="1868"/>
      <c r="TX7" s="1868"/>
      <c r="TY7" s="1868"/>
      <c r="TZ7" s="1868"/>
      <c r="UA7" s="1868"/>
      <c r="UB7" s="1868"/>
      <c r="UC7" s="1868"/>
      <c r="UD7" s="1868"/>
      <c r="UE7" s="1868"/>
      <c r="UF7" s="1868"/>
      <c r="UG7" s="1868"/>
      <c r="UH7" s="1868"/>
      <c r="UI7" s="1868"/>
      <c r="UJ7" s="1868"/>
      <c r="UK7" s="1868"/>
      <c r="UL7" s="1868"/>
      <c r="UM7" s="1868"/>
      <c r="UN7" s="1868"/>
      <c r="UO7" s="1868"/>
      <c r="UP7" s="1868"/>
      <c r="UQ7" s="1868"/>
      <c r="UR7" s="1868"/>
      <c r="US7" s="1868"/>
      <c r="UT7" s="1868"/>
      <c r="UU7" s="1868"/>
      <c r="UV7" s="1868"/>
      <c r="UW7" s="1868"/>
      <c r="UX7" s="1868"/>
      <c r="UY7" s="1868"/>
      <c r="UZ7" s="1868"/>
      <c r="VA7" s="1868"/>
      <c r="VB7" s="1868"/>
      <c r="VC7" s="1868"/>
      <c r="VD7" s="1868"/>
      <c r="VE7" s="1868"/>
      <c r="VF7" s="1868"/>
      <c r="VG7" s="1868"/>
      <c r="VH7" s="1868"/>
      <c r="VI7" s="1868"/>
      <c r="VJ7" s="1868"/>
      <c r="VK7" s="1868"/>
      <c r="VL7" s="1868"/>
      <c r="VM7" s="1868"/>
      <c r="VN7" s="1868"/>
      <c r="VO7" s="1868"/>
      <c r="VP7" s="1868"/>
      <c r="VQ7" s="1868"/>
      <c r="VR7" s="1868"/>
      <c r="VS7" s="1868"/>
      <c r="VT7" s="1868"/>
      <c r="VU7" s="1868"/>
      <c r="VV7" s="1868"/>
      <c r="VW7" s="1868"/>
      <c r="VX7" s="1868"/>
      <c r="VY7" s="1868"/>
      <c r="VZ7" s="1868"/>
      <c r="WA7" s="1868"/>
      <c r="WB7" s="1868"/>
      <c r="WC7" s="1868"/>
      <c r="WD7" s="1868"/>
      <c r="WE7" s="1868"/>
      <c r="WF7" s="1868"/>
      <c r="WG7" s="1868"/>
      <c r="WH7" s="1868"/>
      <c r="WI7" s="1868"/>
      <c r="WJ7" s="1868"/>
      <c r="WK7" s="1868"/>
      <c r="WL7" s="1868"/>
      <c r="WM7" s="1868"/>
      <c r="WN7" s="1868"/>
      <c r="WO7" s="1868"/>
      <c r="WP7" s="1868"/>
      <c r="WQ7" s="1868"/>
      <c r="WR7" s="1868"/>
      <c r="WS7" s="1868"/>
      <c r="WT7" s="1868"/>
      <c r="WU7" s="1868"/>
      <c r="WV7" s="1868"/>
      <c r="WW7" s="1868"/>
      <c r="WX7" s="1868"/>
      <c r="WY7" s="1868"/>
      <c r="WZ7" s="1868"/>
      <c r="XA7" s="1868"/>
      <c r="XB7" s="1868"/>
      <c r="XC7" s="1868"/>
      <c r="XD7" s="1868"/>
      <c r="XE7" s="1868"/>
      <c r="XF7" s="1868"/>
      <c r="XG7" s="1868"/>
      <c r="XH7" s="1868"/>
      <c r="XI7" s="1868"/>
      <c r="XJ7" s="1868"/>
      <c r="XK7" s="1868"/>
      <c r="XL7" s="1868"/>
      <c r="XM7" s="1868"/>
      <c r="XN7" s="1868"/>
      <c r="XO7" s="1868"/>
      <c r="XP7" s="1868"/>
      <c r="XQ7" s="1868"/>
      <c r="XR7" s="1868"/>
      <c r="XS7" s="1868"/>
      <c r="XT7" s="1868"/>
      <c r="XU7" s="1868"/>
      <c r="XV7" s="1868"/>
      <c r="XW7" s="1868"/>
      <c r="XX7" s="1868"/>
      <c r="XY7" s="1868"/>
      <c r="XZ7" s="1868"/>
      <c r="YA7" s="1868"/>
      <c r="YB7" s="1868"/>
      <c r="YC7" s="1868"/>
      <c r="YD7" s="1868"/>
      <c r="YE7" s="1868"/>
      <c r="YF7" s="1868"/>
      <c r="YG7" s="1868"/>
      <c r="YH7" s="1868"/>
      <c r="YI7" s="1868"/>
      <c r="YJ7" s="1868"/>
      <c r="YK7" s="1868"/>
      <c r="YL7" s="1868"/>
      <c r="YM7" s="1868"/>
      <c r="YN7" s="1868"/>
      <c r="YO7" s="1868"/>
      <c r="YP7" s="1868"/>
      <c r="YQ7" s="1868"/>
      <c r="YR7" s="1868"/>
      <c r="YS7" s="1868"/>
      <c r="YT7" s="1868"/>
      <c r="YU7" s="1868"/>
      <c r="YV7" s="1868"/>
      <c r="YW7" s="1868"/>
      <c r="YX7" s="1868"/>
      <c r="YY7" s="1868"/>
      <c r="YZ7" s="1868"/>
      <c r="ZA7" s="1868"/>
      <c r="ZB7" s="1868"/>
      <c r="ZC7" s="1868"/>
      <c r="ZD7" s="1868"/>
      <c r="ZE7" s="1868"/>
      <c r="ZF7" s="1868"/>
      <c r="ZG7" s="1868"/>
      <c r="ZH7" s="1868"/>
      <c r="ZI7" s="1868"/>
      <c r="ZJ7" s="1868"/>
      <c r="ZK7" s="1868"/>
      <c r="ZL7" s="1868"/>
      <c r="ZM7" s="1868"/>
      <c r="ZN7" s="1868"/>
      <c r="ZO7" s="1868"/>
      <c r="ZP7" s="1868"/>
      <c r="ZQ7" s="1868"/>
      <c r="ZR7" s="1868"/>
      <c r="ZS7" s="1868"/>
      <c r="ZT7" s="1868"/>
      <c r="ZU7" s="1868"/>
      <c r="ZV7" s="1868"/>
      <c r="ZW7" s="1868"/>
      <c r="ZX7" s="1868"/>
      <c r="ZY7" s="1868"/>
      <c r="ZZ7" s="1868"/>
      <c r="AAA7" s="1868"/>
      <c r="AAB7" s="1868"/>
      <c r="AAC7" s="1868"/>
      <c r="AAD7" s="1868"/>
      <c r="AAE7" s="1868"/>
      <c r="AAF7" s="1868"/>
      <c r="AAG7" s="1868"/>
      <c r="AAH7" s="1868"/>
      <c r="AAI7" s="1868"/>
      <c r="AAJ7" s="1868"/>
      <c r="AAK7" s="1868"/>
      <c r="AAL7" s="1868"/>
      <c r="AAM7" s="1868"/>
      <c r="AAN7" s="1868"/>
      <c r="AAO7" s="1868"/>
      <c r="AAP7" s="1868"/>
      <c r="AAQ7" s="1868"/>
      <c r="AAR7" s="1868"/>
      <c r="AAS7" s="1868"/>
      <c r="AAT7" s="1868"/>
      <c r="AAU7" s="1868"/>
      <c r="AAV7" s="1868"/>
      <c r="AAW7" s="1868"/>
      <c r="AAX7" s="1868"/>
      <c r="AAY7" s="1868"/>
      <c r="AAZ7" s="1868"/>
      <c r="ABA7" s="1868"/>
      <c r="ABB7" s="1868"/>
      <c r="ABC7" s="1868"/>
      <c r="ABD7" s="1868"/>
      <c r="ABE7" s="1868"/>
      <c r="ABF7" s="1868"/>
      <c r="ABG7" s="1868"/>
      <c r="ABH7" s="1868"/>
      <c r="ABI7" s="1868"/>
      <c r="ABJ7" s="1868"/>
      <c r="ABK7" s="1868"/>
      <c r="ABL7" s="1868"/>
      <c r="ABM7" s="1868"/>
      <c r="ABN7" s="1868"/>
      <c r="ABO7" s="1868"/>
      <c r="ABP7" s="1868"/>
      <c r="ABQ7" s="1868"/>
      <c r="ABR7" s="1868"/>
      <c r="ABS7" s="1868"/>
      <c r="ABT7" s="1868"/>
      <c r="ABU7" s="1868"/>
      <c r="ABV7" s="1868"/>
      <c r="ABW7" s="1868"/>
      <c r="ABX7" s="1868"/>
      <c r="ABY7" s="1868"/>
      <c r="ABZ7" s="1868"/>
      <c r="ACA7" s="1868"/>
      <c r="ACB7" s="1868"/>
      <c r="ACC7" s="1868"/>
      <c r="ACD7" s="1868"/>
      <c r="ACE7" s="1868"/>
      <c r="ACF7" s="1868"/>
      <c r="ACG7" s="1868"/>
      <c r="ACH7" s="1868"/>
      <c r="ACI7" s="1868"/>
      <c r="ACJ7" s="1868"/>
      <c r="ACK7" s="1868"/>
      <c r="ACL7" s="1868"/>
      <c r="ACM7" s="1868"/>
      <c r="ACN7" s="1868"/>
      <c r="ACO7" s="1868"/>
      <c r="ACP7" s="1868"/>
      <c r="ACQ7" s="1868"/>
      <c r="ACR7" s="1868"/>
      <c r="ACS7" s="1868"/>
      <c r="ACT7" s="1868"/>
      <c r="ACU7" s="1868"/>
      <c r="ACV7" s="1868"/>
      <c r="ACW7" s="1868"/>
      <c r="ACX7" s="1868"/>
      <c r="ACY7" s="1868"/>
      <c r="ACZ7" s="1868"/>
      <c r="ADA7" s="1868"/>
      <c r="ADB7" s="1868"/>
      <c r="ADC7" s="1868"/>
      <c r="ADD7" s="1868"/>
      <c r="ADE7" s="1868"/>
      <c r="ADF7" s="1868"/>
      <c r="ADG7" s="1868"/>
      <c r="ADH7" s="1868"/>
      <c r="ADI7" s="1868"/>
      <c r="ADJ7" s="1868"/>
      <c r="ADK7" s="1868"/>
      <c r="ADL7" s="1868"/>
      <c r="ADM7" s="1868"/>
      <c r="ADN7" s="1868"/>
      <c r="ADO7" s="1868"/>
      <c r="ADP7" s="1868"/>
      <c r="ADQ7" s="1868"/>
      <c r="ADR7" s="1868"/>
      <c r="ADS7" s="1868"/>
      <c r="ADT7" s="1868"/>
      <c r="ADU7" s="1868"/>
      <c r="ADV7" s="1868"/>
      <c r="ADW7" s="1868"/>
      <c r="ADX7" s="1868"/>
      <c r="ADY7" s="1868"/>
      <c r="ADZ7" s="1868"/>
      <c r="AEA7" s="1868"/>
      <c r="AEB7" s="1868"/>
      <c r="AEC7" s="1868"/>
      <c r="AED7" s="1868"/>
      <c r="AEE7" s="1868"/>
      <c r="AEF7" s="1868"/>
      <c r="AEG7" s="1868"/>
      <c r="AEH7" s="1868"/>
      <c r="AEI7" s="1868"/>
      <c r="AEJ7" s="1868"/>
      <c r="AEK7" s="1868"/>
      <c r="AEL7" s="1868"/>
      <c r="AEM7" s="1868"/>
      <c r="AEN7" s="1868"/>
      <c r="AEO7" s="1868"/>
      <c r="AEP7" s="1868"/>
      <c r="AEQ7" s="1868"/>
      <c r="AER7" s="1868"/>
      <c r="AES7" s="1868"/>
      <c r="AET7" s="1868"/>
      <c r="AEU7" s="1868"/>
      <c r="AEV7" s="1868"/>
      <c r="AEW7" s="1868"/>
      <c r="AEX7" s="1868"/>
      <c r="AEY7" s="1868"/>
      <c r="AEZ7" s="1868"/>
      <c r="AFA7" s="1868"/>
      <c r="AFB7" s="1868"/>
      <c r="AFC7" s="1868"/>
      <c r="AFD7" s="1868"/>
      <c r="AFE7" s="1868"/>
      <c r="AFF7" s="1868"/>
      <c r="AFG7" s="1868"/>
      <c r="AFH7" s="1868"/>
      <c r="AFI7" s="1868"/>
      <c r="AFJ7" s="1868"/>
      <c r="AFK7" s="1868"/>
      <c r="AFL7" s="1868"/>
      <c r="AFM7" s="1868"/>
      <c r="AFN7" s="1868"/>
      <c r="AFO7" s="1868"/>
      <c r="AFP7" s="1868"/>
      <c r="AFQ7" s="1868"/>
      <c r="AFR7" s="1868"/>
      <c r="AFS7" s="1868"/>
      <c r="AFT7" s="1868"/>
      <c r="AFU7" s="1868"/>
      <c r="AFV7" s="1868"/>
      <c r="AFW7" s="1868"/>
      <c r="AFX7" s="1868"/>
      <c r="AFY7" s="1868"/>
      <c r="AFZ7" s="1868"/>
      <c r="AGA7" s="1868"/>
      <c r="AGB7" s="1868"/>
      <c r="AGC7" s="1868"/>
      <c r="AGD7" s="1868"/>
      <c r="AGE7" s="1868"/>
      <c r="AGF7" s="1868"/>
      <c r="AGG7" s="1868"/>
      <c r="AGH7" s="1868"/>
      <c r="AGI7" s="1868"/>
      <c r="AGJ7" s="1868"/>
      <c r="AGK7" s="1868"/>
      <c r="AGL7" s="1868"/>
      <c r="AGM7" s="1868"/>
      <c r="AGN7" s="1868"/>
      <c r="AGO7" s="1868"/>
      <c r="AGP7" s="1868"/>
      <c r="AGQ7" s="1868"/>
      <c r="AGR7" s="1868"/>
      <c r="AGS7" s="1868"/>
      <c r="AGT7" s="1868"/>
      <c r="AGU7" s="1868"/>
      <c r="AGV7" s="1868"/>
      <c r="AGW7" s="1868"/>
      <c r="AGX7" s="1868"/>
      <c r="AGY7" s="1868"/>
      <c r="AGZ7" s="1868"/>
      <c r="AHA7" s="1868"/>
      <c r="AHB7" s="1868"/>
      <c r="AHC7" s="1868"/>
      <c r="AHD7" s="1868"/>
      <c r="AHE7" s="1868"/>
      <c r="AHF7" s="1868"/>
      <c r="AHG7" s="1868"/>
      <c r="AHH7" s="1868"/>
      <c r="AHI7" s="1868"/>
      <c r="AHJ7" s="1868"/>
      <c r="AHK7" s="1868"/>
      <c r="AHL7" s="1868"/>
      <c r="AHM7" s="1868"/>
      <c r="AHN7" s="1868"/>
      <c r="AHO7" s="1868"/>
      <c r="AHP7" s="1868"/>
      <c r="AHQ7" s="1868"/>
      <c r="AHR7" s="1868"/>
      <c r="AHS7" s="1868"/>
      <c r="AHT7" s="1868"/>
      <c r="AHU7" s="1868"/>
      <c r="AHV7" s="1868"/>
      <c r="AHW7" s="1868"/>
      <c r="AHX7" s="1868"/>
      <c r="AHY7" s="1868"/>
      <c r="AHZ7" s="1868"/>
      <c r="AIA7" s="1868"/>
      <c r="AIB7" s="1868"/>
      <c r="AIC7" s="1868"/>
      <c r="AID7" s="1868"/>
      <c r="AIE7" s="1868"/>
      <c r="AIF7" s="1868"/>
      <c r="AIG7" s="1868"/>
      <c r="AIH7" s="1868"/>
      <c r="AII7" s="1868"/>
      <c r="AIJ7" s="1868"/>
      <c r="AIK7" s="1868"/>
      <c r="AIL7" s="1868"/>
      <c r="AIM7" s="1868"/>
      <c r="AIN7" s="1868"/>
      <c r="AIO7" s="1868"/>
      <c r="AIP7" s="1868"/>
      <c r="AIQ7" s="1868"/>
      <c r="AIR7" s="1868"/>
      <c r="AIS7" s="1868"/>
      <c r="AIT7" s="1868"/>
      <c r="AIU7" s="1868"/>
      <c r="AIV7" s="1868"/>
      <c r="AIW7" s="1868"/>
      <c r="AIX7" s="1868"/>
      <c r="AIY7" s="1868"/>
      <c r="AIZ7" s="1868"/>
      <c r="AJA7" s="1868"/>
      <c r="AJB7" s="1868"/>
      <c r="AJC7" s="1868"/>
      <c r="AJD7" s="1868"/>
      <c r="AJE7" s="1868"/>
      <c r="AJF7" s="1868"/>
      <c r="AJG7" s="1868"/>
      <c r="AJH7" s="1868"/>
      <c r="AJI7" s="1868"/>
      <c r="AJJ7" s="1868"/>
      <c r="AJK7" s="1868"/>
      <c r="AJL7" s="1868"/>
      <c r="AJM7" s="1868"/>
      <c r="AJN7" s="1868"/>
      <c r="AJO7" s="1868"/>
      <c r="AJP7" s="1868"/>
      <c r="AJQ7" s="1868"/>
      <c r="AJR7" s="1868"/>
      <c r="AJS7" s="1868"/>
      <c r="AJT7" s="1868"/>
      <c r="AJU7" s="1868"/>
      <c r="AJV7" s="1868"/>
      <c r="AJW7" s="1868"/>
      <c r="AJX7" s="1868"/>
      <c r="AJY7" s="1868"/>
      <c r="AJZ7" s="1868"/>
      <c r="AKA7" s="1868"/>
      <c r="AKB7" s="1868"/>
      <c r="AKC7" s="1868"/>
      <c r="AKD7" s="1868"/>
      <c r="AKE7" s="1868"/>
      <c r="AKF7" s="1868"/>
      <c r="AKG7" s="1868"/>
      <c r="AKH7" s="1868"/>
      <c r="AKI7" s="1868"/>
      <c r="AKJ7" s="1868"/>
      <c r="AKK7" s="1868"/>
      <c r="AKL7" s="1868"/>
      <c r="AKM7" s="1868"/>
      <c r="AKN7" s="1868"/>
      <c r="AKO7" s="1868"/>
      <c r="AKP7" s="1868"/>
      <c r="AKQ7" s="1868"/>
      <c r="AKR7" s="1868"/>
      <c r="AKS7" s="1868"/>
      <c r="AKT7" s="1868"/>
      <c r="AKU7" s="1868"/>
      <c r="AKV7" s="1868"/>
      <c r="AKW7" s="1868"/>
      <c r="AKX7" s="1868"/>
      <c r="AKY7" s="1868"/>
      <c r="AKZ7" s="1868"/>
      <c r="ALA7" s="1868"/>
      <c r="ALB7" s="1868"/>
      <c r="ALC7" s="1868"/>
      <c r="ALD7" s="1868"/>
      <c r="ALE7" s="1868"/>
      <c r="ALF7" s="1868"/>
      <c r="ALG7" s="1868"/>
      <c r="ALH7" s="1868"/>
      <c r="ALI7" s="1868"/>
      <c r="ALJ7" s="1868"/>
      <c r="ALK7" s="1868"/>
      <c r="ALL7" s="1868"/>
      <c r="ALM7" s="1868"/>
      <c r="ALN7" s="1868"/>
      <c r="ALO7" s="1868"/>
      <c r="ALP7" s="1868"/>
      <c r="ALQ7" s="1868"/>
      <c r="ALR7" s="1868"/>
      <c r="ALS7" s="1868"/>
      <c r="ALT7" s="1868"/>
      <c r="ALU7" s="1868"/>
      <c r="ALV7" s="1868"/>
      <c r="ALW7" s="1868"/>
      <c r="ALX7" s="1868"/>
      <c r="ALY7" s="1868"/>
      <c r="ALZ7" s="1868"/>
      <c r="AMA7" s="1868"/>
      <c r="AMB7" s="1868"/>
      <c r="AMC7" s="1868"/>
      <c r="AMD7" s="1868"/>
      <c r="AME7" s="1868"/>
      <c r="AMF7" s="1868"/>
      <c r="AMG7" s="1868"/>
      <c r="AMH7" s="1868"/>
      <c r="AMI7" s="1868"/>
      <c r="AMJ7" s="1868"/>
      <c r="AMK7" s="1868"/>
      <c r="AML7" s="1868"/>
      <c r="AMM7" s="1868"/>
      <c r="AMN7" s="1868"/>
      <c r="AMO7" s="1868"/>
      <c r="AMP7" s="1868"/>
      <c r="AMQ7" s="1868"/>
      <c r="AMR7" s="1868"/>
      <c r="AMS7" s="1868"/>
      <c r="AMT7" s="1868"/>
      <c r="AMU7" s="1868"/>
      <c r="AMV7" s="1868"/>
      <c r="AMW7" s="1868"/>
      <c r="AMX7" s="1868"/>
      <c r="AMY7" s="1868"/>
      <c r="AMZ7" s="1868"/>
      <c r="ANA7" s="1868"/>
      <c r="ANB7" s="1868"/>
      <c r="ANC7" s="1868"/>
      <c r="AND7" s="1868"/>
      <c r="ANE7" s="1868"/>
      <c r="ANF7" s="1868"/>
      <c r="ANG7" s="1868"/>
      <c r="ANH7" s="1868"/>
      <c r="ANI7" s="1868"/>
      <c r="ANJ7" s="1868"/>
      <c r="ANK7" s="1868"/>
      <c r="ANL7" s="1868"/>
      <c r="ANM7" s="1868"/>
      <c r="ANN7" s="1868"/>
      <c r="ANO7" s="1868"/>
      <c r="ANP7" s="1868"/>
      <c r="ANQ7" s="1868"/>
      <c r="ANR7" s="1868"/>
      <c r="ANS7" s="1868"/>
      <c r="ANT7" s="1868"/>
      <c r="ANU7" s="1868"/>
      <c r="ANV7" s="1868"/>
      <c r="ANW7" s="1868"/>
      <c r="ANX7" s="1868"/>
      <c r="ANY7" s="1868"/>
      <c r="ANZ7" s="1868"/>
      <c r="AOA7" s="1868"/>
      <c r="AOB7" s="1868"/>
      <c r="AOC7" s="1868"/>
      <c r="AOD7" s="1868"/>
      <c r="AOE7" s="1868"/>
      <c r="AOF7" s="1868"/>
      <c r="AOG7" s="1868"/>
      <c r="AOH7" s="1868"/>
      <c r="AOI7" s="1868"/>
      <c r="AOJ7" s="1868"/>
      <c r="AOK7" s="1868"/>
      <c r="AOL7" s="1868"/>
      <c r="AOM7" s="1868"/>
      <c r="AON7" s="1868"/>
      <c r="AOO7" s="1868"/>
      <c r="AOP7" s="1868"/>
      <c r="AOQ7" s="1868"/>
      <c r="AOR7" s="1868"/>
      <c r="AOS7" s="1868"/>
      <c r="AOT7" s="1868"/>
      <c r="AOU7" s="1868"/>
      <c r="AOV7" s="1868"/>
      <c r="AOW7" s="1868"/>
      <c r="AOX7" s="1868"/>
      <c r="AOY7" s="1868"/>
      <c r="AOZ7" s="1868"/>
      <c r="APA7" s="1868"/>
      <c r="APB7" s="1868"/>
      <c r="APC7" s="1868"/>
      <c r="APD7" s="1868"/>
      <c r="APE7" s="1868"/>
      <c r="APF7" s="1868"/>
      <c r="APG7" s="1868"/>
      <c r="APH7" s="1868"/>
      <c r="API7" s="1868"/>
      <c r="APJ7" s="1868"/>
      <c r="APK7" s="1868"/>
      <c r="APL7" s="1868"/>
      <c r="APM7" s="1868"/>
      <c r="APN7" s="1868"/>
      <c r="APO7" s="1868"/>
      <c r="APP7" s="1868"/>
      <c r="APQ7" s="1868"/>
      <c r="APR7" s="1868"/>
      <c r="APS7" s="1868"/>
      <c r="APT7" s="1868"/>
      <c r="APU7" s="1868"/>
      <c r="APV7" s="1868"/>
      <c r="APW7" s="1868"/>
      <c r="APX7" s="1868"/>
      <c r="APY7" s="1868"/>
      <c r="APZ7" s="1868"/>
      <c r="AQA7" s="1868"/>
      <c r="AQB7" s="1868"/>
      <c r="AQC7" s="1868"/>
      <c r="AQD7" s="1868"/>
      <c r="AQE7" s="1868"/>
      <c r="AQF7" s="1868"/>
      <c r="AQG7" s="1868"/>
      <c r="AQH7" s="1868"/>
      <c r="AQI7" s="1868"/>
      <c r="AQJ7" s="1868"/>
      <c r="AQK7" s="1868"/>
      <c r="AQL7" s="1868"/>
      <c r="AQM7" s="1868"/>
      <c r="AQN7" s="1868"/>
      <c r="AQO7" s="1868"/>
      <c r="AQP7" s="1868"/>
      <c r="AQQ7" s="1868"/>
      <c r="AQR7" s="1868"/>
      <c r="AQS7" s="1868"/>
      <c r="AQT7" s="1868"/>
      <c r="AQU7" s="1868"/>
      <c r="AQV7" s="1868"/>
      <c r="AQW7" s="1868"/>
      <c r="AQX7" s="1868"/>
      <c r="AQY7" s="1868"/>
      <c r="AQZ7" s="1868"/>
      <c r="ARA7" s="1868"/>
      <c r="ARB7" s="1868"/>
      <c r="ARC7" s="1868"/>
      <c r="ARD7" s="1868"/>
      <c r="ARE7" s="1868"/>
      <c r="ARF7" s="1868"/>
      <c r="ARG7" s="1868"/>
      <c r="ARH7" s="1868"/>
      <c r="ARI7" s="1868"/>
      <c r="ARJ7" s="1868"/>
      <c r="ARK7" s="1868"/>
      <c r="ARL7" s="1868"/>
      <c r="ARM7" s="1868"/>
      <c r="ARN7" s="1868"/>
      <c r="ARO7" s="1868"/>
      <c r="ARP7" s="1868"/>
      <c r="ARQ7" s="1868"/>
      <c r="ARR7" s="1868"/>
      <c r="ARS7" s="1868"/>
      <c r="ART7" s="1868"/>
      <c r="ARU7" s="1868"/>
      <c r="ARV7" s="1868"/>
      <c r="ARW7" s="1868"/>
      <c r="ARX7" s="1868"/>
      <c r="ARY7" s="1868"/>
      <c r="ARZ7" s="1868"/>
      <c r="ASA7" s="1868"/>
      <c r="ASB7" s="1868"/>
      <c r="ASC7" s="1868"/>
      <c r="ASD7" s="1868"/>
      <c r="ASE7" s="1868"/>
      <c r="ASF7" s="1868"/>
      <c r="ASG7" s="1868"/>
      <c r="ASH7" s="1868"/>
      <c r="ASI7" s="1868"/>
      <c r="ASJ7" s="1868"/>
      <c r="ASK7" s="1868"/>
      <c r="ASL7" s="1868"/>
      <c r="ASM7" s="1868"/>
      <c r="ASN7" s="1868"/>
      <c r="ASO7" s="1868"/>
      <c r="ASP7" s="1868"/>
      <c r="ASQ7" s="1868"/>
      <c r="ASR7" s="1868"/>
      <c r="ASS7" s="1868"/>
      <c r="AST7" s="1868"/>
      <c r="ASU7" s="1868"/>
      <c r="ASV7" s="1868"/>
      <c r="ASW7" s="1868"/>
      <c r="ASX7" s="1868"/>
      <c r="ASY7" s="1868"/>
      <c r="ASZ7" s="1868"/>
      <c r="ATA7" s="1868"/>
      <c r="ATB7" s="1868"/>
      <c r="ATC7" s="1868"/>
      <c r="ATD7" s="1868"/>
      <c r="ATE7" s="1868"/>
      <c r="ATF7" s="1868"/>
      <c r="ATG7" s="1868"/>
      <c r="ATH7" s="1868"/>
      <c r="ATI7" s="1868"/>
      <c r="ATJ7" s="1868"/>
      <c r="ATK7" s="1868"/>
      <c r="ATL7" s="1868"/>
      <c r="ATM7" s="1868"/>
      <c r="ATN7" s="1868"/>
      <c r="ATO7" s="1868"/>
      <c r="ATP7" s="1868"/>
      <c r="ATQ7" s="1868"/>
      <c r="ATR7" s="1868"/>
      <c r="ATS7" s="1868"/>
      <c r="ATT7" s="1868"/>
      <c r="ATU7" s="1868"/>
      <c r="ATV7" s="1868"/>
      <c r="ATW7" s="1868"/>
      <c r="ATX7" s="1868"/>
      <c r="ATY7" s="1868"/>
      <c r="ATZ7" s="1868"/>
      <c r="AUA7" s="1868"/>
      <c r="AUB7" s="1868"/>
      <c r="AUC7" s="1868"/>
      <c r="AUD7" s="1868"/>
      <c r="AUE7" s="1868"/>
      <c r="AUF7" s="1868"/>
      <c r="AUG7" s="1868"/>
      <c r="AUH7" s="1868"/>
      <c r="AUI7" s="1868"/>
      <c r="AUJ7" s="1868"/>
      <c r="AUK7" s="1868"/>
      <c r="AUL7" s="1868"/>
      <c r="AUM7" s="1868"/>
      <c r="AUN7" s="1868"/>
      <c r="AUO7" s="1868"/>
      <c r="AUP7" s="1868"/>
      <c r="AUQ7" s="1868"/>
      <c r="AUR7" s="1868"/>
      <c r="AUS7" s="1868"/>
      <c r="AUT7" s="1868"/>
      <c r="AUU7" s="1868"/>
      <c r="AUV7" s="1868"/>
      <c r="AUW7" s="1868"/>
      <c r="AUX7" s="1868"/>
      <c r="AUY7" s="1868"/>
      <c r="AUZ7" s="1868"/>
      <c r="AVA7" s="1868"/>
      <c r="AVB7" s="1868"/>
      <c r="AVC7" s="1868"/>
      <c r="AVD7" s="1868"/>
      <c r="AVE7" s="1868"/>
      <c r="AVF7" s="1868"/>
      <c r="AVG7" s="1868"/>
      <c r="AVH7" s="1868"/>
      <c r="AVI7" s="1868"/>
      <c r="AVJ7" s="1868"/>
      <c r="AVK7" s="1868"/>
      <c r="AVL7" s="1868"/>
      <c r="AVM7" s="1868"/>
      <c r="AVN7" s="1868"/>
      <c r="AVO7" s="1868"/>
      <c r="AVP7" s="1868"/>
      <c r="AVQ7" s="1868"/>
      <c r="AVR7" s="1868"/>
      <c r="AVS7" s="1868"/>
      <c r="AVT7" s="1868"/>
      <c r="AVU7" s="1868"/>
      <c r="AVV7" s="1868"/>
      <c r="AVW7" s="1868"/>
      <c r="AVX7" s="1868"/>
      <c r="AVY7" s="1868"/>
      <c r="AVZ7" s="1868"/>
      <c r="AWA7" s="1868"/>
      <c r="AWB7" s="1868"/>
      <c r="AWC7" s="1868"/>
      <c r="AWD7" s="1868"/>
      <c r="AWE7" s="1868"/>
      <c r="AWF7" s="1868"/>
      <c r="AWG7" s="1868"/>
      <c r="AWH7" s="1868"/>
      <c r="AWI7" s="1868"/>
      <c r="AWJ7" s="1868"/>
      <c r="AWK7" s="1868"/>
      <c r="AWL7" s="1868"/>
      <c r="AWM7" s="1868"/>
      <c r="AWN7" s="1868"/>
      <c r="AWO7" s="1868"/>
      <c r="AWP7" s="1868"/>
      <c r="AWQ7" s="1868"/>
    </row>
    <row r="8" spans="1:1291" s="1869" customFormat="1" ht="15" customHeight="1" x14ac:dyDescent="0.2">
      <c r="A8" s="1688" t="s">
        <v>2322</v>
      </c>
      <c r="B8" s="1989"/>
      <c r="C8" s="1812" t="s">
        <v>749</v>
      </c>
      <c r="D8" s="1881"/>
      <c r="E8" s="1842"/>
      <c r="F8" s="1836">
        <v>0</v>
      </c>
      <c r="G8" s="1802">
        <v>0</v>
      </c>
      <c r="H8" s="1802">
        <v>0</v>
      </c>
      <c r="I8" s="1802">
        <v>0</v>
      </c>
      <c r="J8" s="1802">
        <v>0</v>
      </c>
      <c r="K8" s="1802">
        <v>0</v>
      </c>
      <c r="L8" s="1802">
        <v>0</v>
      </c>
      <c r="M8" s="1802">
        <v>0</v>
      </c>
      <c r="N8" s="1802">
        <v>0</v>
      </c>
      <c r="O8" s="1802">
        <v>0</v>
      </c>
      <c r="P8" s="1802">
        <v>0</v>
      </c>
      <c r="Q8" s="1802">
        <v>0</v>
      </c>
      <c r="R8" s="1802">
        <v>0</v>
      </c>
      <c r="S8" s="1802">
        <v>0</v>
      </c>
      <c r="T8" s="1802">
        <v>0</v>
      </c>
      <c r="U8" s="1802">
        <v>0</v>
      </c>
      <c r="V8" s="1802">
        <v>0</v>
      </c>
      <c r="W8" s="1802">
        <v>0</v>
      </c>
      <c r="X8" s="1802">
        <v>0</v>
      </c>
      <c r="Y8" s="1802">
        <v>0</v>
      </c>
      <c r="Z8" s="1802">
        <v>0</v>
      </c>
      <c r="AA8" s="1802">
        <v>0</v>
      </c>
      <c r="AB8" s="1802">
        <v>0</v>
      </c>
      <c r="AC8" s="1802">
        <v>0</v>
      </c>
      <c r="AD8" s="1802">
        <v>0</v>
      </c>
      <c r="AE8" s="1802">
        <v>0</v>
      </c>
      <c r="AF8" s="1802">
        <v>0</v>
      </c>
      <c r="AG8" s="1802">
        <v>0</v>
      </c>
      <c r="AH8" s="1802">
        <v>0</v>
      </c>
      <c r="AI8" s="1802">
        <v>0</v>
      </c>
      <c r="AJ8" s="1802">
        <v>0</v>
      </c>
      <c r="AK8" s="1802">
        <v>0</v>
      </c>
      <c r="AL8" s="1802">
        <v>0</v>
      </c>
      <c r="AM8" s="1802">
        <v>0</v>
      </c>
      <c r="AN8" s="1802">
        <v>0</v>
      </c>
      <c r="AO8" s="1802">
        <v>0</v>
      </c>
      <c r="AP8" s="1802">
        <v>0</v>
      </c>
      <c r="AQ8" s="1802">
        <v>0</v>
      </c>
      <c r="AR8" s="1802">
        <v>0</v>
      </c>
      <c r="AS8" s="1802">
        <v>0</v>
      </c>
      <c r="AT8" s="1802">
        <v>0</v>
      </c>
      <c r="AU8" s="1802">
        <v>0</v>
      </c>
      <c r="AV8" s="1802">
        <v>0</v>
      </c>
      <c r="AW8" s="1802">
        <v>0</v>
      </c>
      <c r="AX8" s="1802">
        <v>0</v>
      </c>
      <c r="AY8" s="1802">
        <v>0</v>
      </c>
      <c r="AZ8" s="1802">
        <v>0</v>
      </c>
      <c r="BA8" s="1802">
        <v>0</v>
      </c>
      <c r="BB8" s="1802">
        <v>0</v>
      </c>
      <c r="BC8" s="1802">
        <v>0</v>
      </c>
      <c r="BD8" s="1802">
        <v>0</v>
      </c>
      <c r="BE8" s="1802">
        <v>0</v>
      </c>
      <c r="BF8" s="1802">
        <v>0</v>
      </c>
      <c r="BG8" s="1802">
        <v>0</v>
      </c>
      <c r="BH8" s="1802">
        <v>0</v>
      </c>
      <c r="BI8" s="1802">
        <v>0</v>
      </c>
      <c r="BJ8" s="1802">
        <v>0</v>
      </c>
      <c r="BK8" s="1802">
        <v>0</v>
      </c>
      <c r="BL8" s="1802">
        <v>0</v>
      </c>
      <c r="BM8" s="1802">
        <v>0</v>
      </c>
      <c r="BN8" s="1802">
        <v>0</v>
      </c>
      <c r="BO8" s="1802">
        <v>0</v>
      </c>
      <c r="BP8" s="1802">
        <v>0</v>
      </c>
      <c r="BQ8" s="1802">
        <v>0</v>
      </c>
      <c r="BR8" s="1802">
        <v>0</v>
      </c>
      <c r="BS8" s="1802">
        <v>0</v>
      </c>
      <c r="BT8" s="1802">
        <v>0</v>
      </c>
      <c r="BU8" s="1802">
        <v>0</v>
      </c>
      <c r="BV8" s="1802">
        <v>0</v>
      </c>
      <c r="BW8" s="1802">
        <v>0</v>
      </c>
      <c r="BX8" s="1802">
        <v>0</v>
      </c>
      <c r="BY8" s="1802">
        <v>0</v>
      </c>
      <c r="BZ8" s="1802">
        <v>0</v>
      </c>
      <c r="CA8" s="1802">
        <v>0</v>
      </c>
      <c r="CB8" s="1802">
        <v>0</v>
      </c>
      <c r="CC8" s="1802">
        <v>0</v>
      </c>
      <c r="CD8" s="1802">
        <v>0</v>
      </c>
      <c r="CE8" s="1802">
        <v>0</v>
      </c>
      <c r="CF8" s="1802">
        <v>0</v>
      </c>
      <c r="CG8" s="1802">
        <v>0</v>
      </c>
      <c r="CH8" s="1802">
        <v>0</v>
      </c>
      <c r="CI8" s="1802">
        <v>0</v>
      </c>
      <c r="CJ8" s="1802">
        <v>0</v>
      </c>
      <c r="CK8" s="1802">
        <v>0</v>
      </c>
      <c r="CL8" s="1802">
        <v>0</v>
      </c>
      <c r="CM8" s="1802">
        <v>0</v>
      </c>
      <c r="CN8" s="1802">
        <v>0</v>
      </c>
      <c r="CO8" s="1802">
        <v>0</v>
      </c>
      <c r="CP8" s="1802">
        <v>0</v>
      </c>
      <c r="CQ8" s="1802">
        <v>0</v>
      </c>
      <c r="CR8" s="1802">
        <v>0</v>
      </c>
      <c r="CS8" s="1802">
        <v>0</v>
      </c>
      <c r="CT8" s="1802">
        <v>0</v>
      </c>
      <c r="CU8" s="1802">
        <v>0</v>
      </c>
      <c r="CV8" s="1802">
        <v>0</v>
      </c>
      <c r="CW8" s="1802">
        <v>0</v>
      </c>
      <c r="CX8" s="1802">
        <v>0</v>
      </c>
      <c r="CY8" s="1802">
        <v>0</v>
      </c>
      <c r="CZ8" s="1802">
        <v>0</v>
      </c>
      <c r="DA8" s="1802">
        <v>0</v>
      </c>
      <c r="DB8" s="1802">
        <v>0</v>
      </c>
      <c r="DC8" s="1802">
        <v>0</v>
      </c>
      <c r="DD8" s="1802">
        <v>0</v>
      </c>
      <c r="DE8" s="1802">
        <v>0</v>
      </c>
      <c r="DF8" s="1802">
        <v>0</v>
      </c>
      <c r="DG8" s="1802">
        <v>0</v>
      </c>
      <c r="DH8" s="1802">
        <v>0</v>
      </c>
      <c r="DI8" s="1802">
        <v>0</v>
      </c>
      <c r="DJ8" s="1802">
        <v>0</v>
      </c>
      <c r="DK8" s="1802">
        <v>0</v>
      </c>
      <c r="DL8" s="1802">
        <v>0</v>
      </c>
      <c r="DM8" s="1802">
        <v>0</v>
      </c>
      <c r="DN8" s="1802">
        <v>0</v>
      </c>
      <c r="DO8" s="1802">
        <v>0</v>
      </c>
      <c r="DP8" s="1802">
        <v>0</v>
      </c>
      <c r="DQ8" s="1802">
        <v>0</v>
      </c>
      <c r="DR8" s="1802">
        <v>0</v>
      </c>
      <c r="DS8" s="1802">
        <v>0</v>
      </c>
      <c r="DT8" s="1802">
        <v>0</v>
      </c>
      <c r="DU8" s="1802">
        <v>0</v>
      </c>
      <c r="DV8" s="1802">
        <v>0</v>
      </c>
      <c r="DW8" s="1802">
        <v>0</v>
      </c>
      <c r="DX8" s="1802">
        <v>0</v>
      </c>
      <c r="DY8" s="1802">
        <v>0</v>
      </c>
      <c r="DZ8" s="1802">
        <v>0</v>
      </c>
      <c r="EA8" s="1802">
        <v>0</v>
      </c>
      <c r="EB8" s="1802">
        <v>0</v>
      </c>
      <c r="EC8" s="1802">
        <v>0</v>
      </c>
      <c r="ED8" s="1802">
        <v>0</v>
      </c>
      <c r="EE8" s="1802">
        <v>0</v>
      </c>
      <c r="EF8" s="1802">
        <v>0</v>
      </c>
      <c r="EG8" s="1802">
        <v>0</v>
      </c>
      <c r="EH8" s="1802">
        <v>0</v>
      </c>
      <c r="EI8" s="1802">
        <v>0</v>
      </c>
      <c r="EJ8" s="1802">
        <v>0</v>
      </c>
      <c r="EK8" s="1802">
        <v>0</v>
      </c>
      <c r="EL8" s="1802">
        <v>0</v>
      </c>
      <c r="EM8" s="1802">
        <v>0</v>
      </c>
      <c r="EN8" s="1802">
        <v>0</v>
      </c>
      <c r="EO8" s="1802">
        <v>0</v>
      </c>
      <c r="EP8" s="1802">
        <v>0</v>
      </c>
      <c r="EQ8" s="1802">
        <v>0</v>
      </c>
      <c r="ER8" s="1802">
        <v>0</v>
      </c>
      <c r="ES8" s="1802">
        <v>0</v>
      </c>
      <c r="ET8" s="1802">
        <v>0</v>
      </c>
      <c r="EU8" s="1802">
        <v>0</v>
      </c>
      <c r="EV8" s="1802">
        <v>0</v>
      </c>
      <c r="EW8" s="1802">
        <v>0</v>
      </c>
      <c r="EX8" s="1802">
        <v>0</v>
      </c>
      <c r="EY8" s="1802">
        <v>0</v>
      </c>
      <c r="EZ8" s="1802">
        <v>0</v>
      </c>
      <c r="FA8" s="1802">
        <v>0</v>
      </c>
      <c r="FB8" s="1802">
        <v>0</v>
      </c>
      <c r="FC8" s="1802">
        <v>0</v>
      </c>
      <c r="FD8" s="1802">
        <v>0</v>
      </c>
      <c r="FE8" s="1802">
        <v>0</v>
      </c>
      <c r="FF8" s="1802">
        <v>0</v>
      </c>
      <c r="FG8" s="1802">
        <v>0</v>
      </c>
      <c r="FH8" s="1802">
        <v>0</v>
      </c>
      <c r="FI8" s="1802">
        <v>0</v>
      </c>
      <c r="FJ8" s="1802">
        <v>0</v>
      </c>
      <c r="FK8" s="1802">
        <v>0</v>
      </c>
      <c r="FL8" s="1802">
        <v>0</v>
      </c>
      <c r="FM8" s="1802">
        <v>0</v>
      </c>
      <c r="FN8" s="1802">
        <v>0</v>
      </c>
      <c r="FO8" s="1802">
        <v>0</v>
      </c>
      <c r="FP8" s="1802">
        <v>0</v>
      </c>
      <c r="FQ8" s="1802">
        <v>0</v>
      </c>
      <c r="FR8" s="1802">
        <v>0</v>
      </c>
      <c r="FS8" s="1802">
        <v>0</v>
      </c>
      <c r="FT8" s="1802">
        <v>0</v>
      </c>
      <c r="FU8" s="1802">
        <v>0</v>
      </c>
      <c r="FV8" s="1802">
        <v>0</v>
      </c>
      <c r="FW8" s="1802">
        <v>0</v>
      </c>
      <c r="FX8" s="1802">
        <v>0</v>
      </c>
      <c r="FY8" s="1802">
        <v>0</v>
      </c>
      <c r="FZ8" s="1802">
        <v>0</v>
      </c>
      <c r="GA8" s="1802">
        <v>0</v>
      </c>
      <c r="GB8" s="1802">
        <v>0</v>
      </c>
      <c r="GC8" s="1802">
        <v>0</v>
      </c>
      <c r="GD8" s="1802">
        <v>0</v>
      </c>
      <c r="GE8" s="1802">
        <v>0</v>
      </c>
      <c r="GF8" s="1802">
        <v>0</v>
      </c>
      <c r="GG8" s="1802">
        <v>0</v>
      </c>
      <c r="GH8" s="1802">
        <v>0</v>
      </c>
      <c r="GI8" s="1802">
        <v>0</v>
      </c>
      <c r="GJ8" s="1802">
        <v>0</v>
      </c>
      <c r="GK8" s="1802">
        <v>0</v>
      </c>
      <c r="GL8" s="1802">
        <v>0</v>
      </c>
      <c r="GM8" s="1802">
        <v>0</v>
      </c>
      <c r="GN8" s="1802">
        <v>0</v>
      </c>
      <c r="GO8" s="1802">
        <v>0</v>
      </c>
      <c r="GP8" s="1802">
        <v>0</v>
      </c>
      <c r="GQ8" s="1802">
        <v>0</v>
      </c>
      <c r="GR8" s="1802">
        <v>0</v>
      </c>
      <c r="GS8" s="1802">
        <v>0</v>
      </c>
      <c r="GT8" s="1802">
        <v>0</v>
      </c>
      <c r="GU8" s="1802">
        <v>0</v>
      </c>
      <c r="GV8" s="1802">
        <v>0</v>
      </c>
      <c r="GW8" s="1802">
        <v>0</v>
      </c>
      <c r="GX8" s="1802">
        <v>0</v>
      </c>
      <c r="GY8" s="1802">
        <v>0</v>
      </c>
      <c r="GZ8" s="1802">
        <v>0</v>
      </c>
      <c r="HA8" s="1802">
        <v>0</v>
      </c>
      <c r="HB8" s="1802">
        <v>0</v>
      </c>
      <c r="HC8" s="1802">
        <v>0</v>
      </c>
      <c r="HD8" s="1802">
        <v>0</v>
      </c>
      <c r="HE8" s="1802">
        <v>0</v>
      </c>
      <c r="HF8" s="1868"/>
      <c r="HG8" s="1868"/>
      <c r="HH8" s="1868"/>
      <c r="HI8" s="1868"/>
      <c r="HJ8" s="1868"/>
      <c r="HK8" s="1868"/>
      <c r="HL8" s="1868"/>
      <c r="HM8" s="1868"/>
      <c r="HN8" s="1868"/>
      <c r="HO8" s="1868"/>
      <c r="HP8" s="1868"/>
      <c r="HQ8" s="1868"/>
      <c r="HR8" s="1868"/>
      <c r="HS8" s="1868"/>
      <c r="HT8" s="1868"/>
      <c r="HU8" s="1868"/>
      <c r="HV8" s="1868"/>
      <c r="HW8" s="1868"/>
      <c r="HX8" s="1868"/>
      <c r="HY8" s="1868"/>
      <c r="HZ8" s="1868"/>
      <c r="IA8" s="1868"/>
      <c r="IB8" s="1868"/>
      <c r="IC8" s="1868"/>
      <c r="ID8" s="1868"/>
      <c r="IE8" s="1868"/>
      <c r="IF8" s="1868"/>
      <c r="IG8" s="1868"/>
      <c r="IH8" s="1868"/>
      <c r="II8" s="1868"/>
      <c r="IJ8" s="1868"/>
      <c r="IK8" s="1868"/>
      <c r="IL8" s="1868"/>
      <c r="IM8" s="1868"/>
      <c r="IN8" s="1868"/>
      <c r="IO8" s="1868"/>
      <c r="IP8" s="1868"/>
      <c r="IQ8" s="1868"/>
      <c r="IR8" s="1868"/>
      <c r="IS8" s="1868"/>
      <c r="IT8" s="1868"/>
      <c r="IU8" s="1868"/>
      <c r="IV8" s="1868"/>
      <c r="IW8" s="1868"/>
      <c r="IX8" s="1868"/>
      <c r="IY8" s="1868"/>
      <c r="IZ8" s="1868"/>
      <c r="JA8" s="1868"/>
      <c r="JB8" s="1868"/>
      <c r="JC8" s="1868"/>
      <c r="JD8" s="1868"/>
      <c r="JE8" s="1868"/>
      <c r="JF8" s="1868"/>
      <c r="JG8" s="1868"/>
      <c r="JH8" s="1868"/>
      <c r="JI8" s="1868"/>
      <c r="JJ8" s="1868"/>
      <c r="JK8" s="1868"/>
      <c r="JL8" s="1868"/>
      <c r="JM8" s="1868"/>
      <c r="JN8" s="1868"/>
      <c r="JO8" s="1868"/>
      <c r="JP8" s="1868"/>
      <c r="JQ8" s="1868"/>
      <c r="JR8" s="1868"/>
      <c r="JS8" s="1868"/>
      <c r="JT8" s="1868"/>
      <c r="JU8" s="1868"/>
      <c r="JV8" s="1868"/>
      <c r="JW8" s="1868"/>
      <c r="JX8" s="1868"/>
      <c r="JY8" s="1868"/>
      <c r="JZ8" s="1868"/>
      <c r="KA8" s="1868"/>
      <c r="KB8" s="1868"/>
      <c r="KC8" s="1868"/>
      <c r="KD8" s="1868"/>
      <c r="KE8" s="1868"/>
      <c r="KF8" s="1868"/>
      <c r="KG8" s="1868"/>
      <c r="KH8" s="1868"/>
      <c r="KI8" s="1868"/>
      <c r="KJ8" s="1868"/>
      <c r="KK8" s="1868"/>
      <c r="KL8" s="1868"/>
      <c r="KM8" s="1868"/>
      <c r="KN8" s="1868"/>
      <c r="KO8" s="1868"/>
      <c r="KP8" s="1868"/>
      <c r="KQ8" s="1868"/>
      <c r="KR8" s="1868"/>
      <c r="KS8" s="1868"/>
      <c r="KT8" s="1868"/>
      <c r="KU8" s="1868"/>
      <c r="KV8" s="1868"/>
      <c r="KW8" s="1868"/>
      <c r="KX8" s="1868"/>
      <c r="KY8" s="1868"/>
      <c r="KZ8" s="1868"/>
      <c r="LA8" s="1868"/>
      <c r="LB8" s="1868"/>
      <c r="LC8" s="1868"/>
      <c r="LD8" s="1868"/>
      <c r="LE8" s="1868"/>
      <c r="LF8" s="1868"/>
      <c r="LG8" s="1868"/>
      <c r="LH8" s="1868"/>
      <c r="LI8" s="1868"/>
      <c r="LJ8" s="1868"/>
      <c r="LK8" s="1868"/>
      <c r="LL8" s="1868"/>
      <c r="LM8" s="1868"/>
      <c r="LN8" s="1868"/>
      <c r="LO8" s="1868"/>
      <c r="LP8" s="1868"/>
      <c r="LQ8" s="1868"/>
      <c r="LR8" s="1868"/>
      <c r="LS8" s="1868"/>
      <c r="LT8" s="1868"/>
      <c r="LU8" s="1868"/>
      <c r="LV8" s="1868"/>
      <c r="LW8" s="1868"/>
      <c r="LX8" s="1868"/>
      <c r="LY8" s="1868"/>
      <c r="LZ8" s="1868"/>
      <c r="MA8" s="1868"/>
      <c r="MB8" s="1868"/>
      <c r="MC8" s="1868"/>
      <c r="MD8" s="1868"/>
      <c r="ME8" s="1868"/>
      <c r="MF8" s="1868"/>
      <c r="MG8" s="1868"/>
      <c r="MH8" s="1868"/>
      <c r="MI8" s="1868"/>
      <c r="MJ8" s="1868"/>
      <c r="MK8" s="1868"/>
      <c r="ML8" s="1868"/>
      <c r="MM8" s="1868"/>
      <c r="MN8" s="1868"/>
      <c r="MO8" s="1868"/>
      <c r="MP8" s="1868"/>
      <c r="MQ8" s="1868"/>
      <c r="MR8" s="1868"/>
      <c r="MS8" s="1868"/>
      <c r="MT8" s="1868"/>
      <c r="MU8" s="1868"/>
      <c r="MV8" s="1868"/>
      <c r="MW8" s="1868"/>
      <c r="MX8" s="1868"/>
      <c r="MY8" s="1868"/>
      <c r="MZ8" s="1868"/>
      <c r="NA8" s="1868"/>
      <c r="NB8" s="1868"/>
      <c r="NC8" s="1868"/>
      <c r="ND8" s="1868"/>
      <c r="NE8" s="1868"/>
      <c r="NF8" s="1868"/>
      <c r="NG8" s="1868"/>
      <c r="NH8" s="1868"/>
      <c r="NI8" s="1868"/>
      <c r="NJ8" s="1868"/>
      <c r="NK8" s="1868"/>
      <c r="NL8" s="1868"/>
      <c r="NM8" s="1868"/>
      <c r="NN8" s="1868"/>
      <c r="NO8" s="1868"/>
      <c r="NP8" s="1868"/>
      <c r="NQ8" s="1868"/>
      <c r="NR8" s="1868"/>
      <c r="NS8" s="1868"/>
      <c r="NT8" s="1868"/>
      <c r="NU8" s="1868"/>
      <c r="NV8" s="1868"/>
      <c r="NW8" s="1868"/>
      <c r="NX8" s="1868"/>
      <c r="NY8" s="1868"/>
      <c r="NZ8" s="1868"/>
      <c r="OA8" s="1868"/>
      <c r="OB8" s="1868"/>
      <c r="OC8" s="1868"/>
      <c r="OD8" s="1868"/>
      <c r="OE8" s="1868"/>
      <c r="OF8" s="1868"/>
      <c r="OG8" s="1868"/>
      <c r="OH8" s="1868"/>
      <c r="OI8" s="1868"/>
      <c r="OJ8" s="1868"/>
      <c r="OK8" s="1868"/>
      <c r="OL8" s="1868"/>
      <c r="OM8" s="1868"/>
      <c r="ON8" s="1868"/>
      <c r="OO8" s="1868"/>
      <c r="OP8" s="1868"/>
      <c r="OQ8" s="1868"/>
      <c r="OR8" s="1868"/>
      <c r="OS8" s="1868"/>
      <c r="OT8" s="1868"/>
      <c r="OU8" s="1868"/>
      <c r="OV8" s="1868"/>
      <c r="OW8" s="1868"/>
      <c r="OX8" s="1868"/>
      <c r="OY8" s="1868"/>
      <c r="OZ8" s="1868"/>
      <c r="PA8" s="1868"/>
      <c r="PB8" s="1868"/>
      <c r="PC8" s="1868"/>
      <c r="PD8" s="1868"/>
      <c r="PE8" s="1868"/>
      <c r="PF8" s="1868"/>
      <c r="PG8" s="1868"/>
      <c r="PH8" s="1868"/>
      <c r="PI8" s="1868"/>
      <c r="PJ8" s="1868"/>
      <c r="PK8" s="1868"/>
      <c r="PL8" s="1868"/>
      <c r="PM8" s="1868"/>
      <c r="PN8" s="1868"/>
      <c r="PO8" s="1868"/>
      <c r="PP8" s="1868"/>
      <c r="PQ8" s="1868"/>
      <c r="PR8" s="1868"/>
      <c r="PS8" s="1868"/>
      <c r="PT8" s="1868"/>
      <c r="PU8" s="1868"/>
      <c r="PV8" s="1868"/>
      <c r="PW8" s="1868"/>
      <c r="PX8" s="1868"/>
      <c r="PY8" s="1868"/>
      <c r="PZ8" s="1868"/>
      <c r="QA8" s="1868"/>
      <c r="QB8" s="1868"/>
      <c r="QC8" s="1868"/>
      <c r="QD8" s="1868"/>
      <c r="QE8" s="1868"/>
      <c r="QF8" s="1868"/>
      <c r="QG8" s="1868"/>
      <c r="QH8" s="1868"/>
      <c r="QI8" s="1868"/>
      <c r="QJ8" s="1868"/>
      <c r="QK8" s="1868"/>
      <c r="QL8" s="1868"/>
      <c r="QM8" s="1868"/>
      <c r="QN8" s="1868"/>
      <c r="QO8" s="1868"/>
      <c r="QP8" s="1868"/>
      <c r="QQ8" s="1868"/>
      <c r="QR8" s="1868"/>
      <c r="QS8" s="1868"/>
      <c r="QT8" s="1868"/>
      <c r="QU8" s="1868"/>
      <c r="QV8" s="1868"/>
      <c r="QW8" s="1868"/>
      <c r="QX8" s="1868"/>
      <c r="QY8" s="1868"/>
      <c r="QZ8" s="1868"/>
      <c r="RA8" s="1868"/>
      <c r="RB8" s="1868"/>
      <c r="RC8" s="1868"/>
      <c r="RD8" s="1868"/>
      <c r="RE8" s="1868"/>
      <c r="RF8" s="1868"/>
      <c r="RG8" s="1868"/>
      <c r="RH8" s="1868"/>
      <c r="RI8" s="1868"/>
      <c r="RJ8" s="1868"/>
      <c r="RK8" s="1868"/>
      <c r="RL8" s="1868"/>
      <c r="RM8" s="1868"/>
      <c r="RN8" s="1868"/>
      <c r="RO8" s="1868"/>
      <c r="RP8" s="1868"/>
      <c r="RQ8" s="1868"/>
      <c r="RR8" s="1868"/>
      <c r="RS8" s="1868"/>
      <c r="RT8" s="1868"/>
      <c r="RU8" s="1868"/>
      <c r="RV8" s="1868"/>
      <c r="RW8" s="1868"/>
      <c r="RX8" s="1868"/>
      <c r="RY8" s="1868"/>
      <c r="RZ8" s="1868"/>
      <c r="SA8" s="1868"/>
      <c r="SB8" s="1868"/>
      <c r="SC8" s="1868"/>
      <c r="SD8" s="1868"/>
      <c r="SE8" s="1868"/>
      <c r="SF8" s="1868"/>
      <c r="SG8" s="1868"/>
      <c r="SH8" s="1868"/>
      <c r="SI8" s="1868"/>
      <c r="SJ8" s="1868"/>
      <c r="SK8" s="1868"/>
      <c r="SL8" s="1868"/>
      <c r="SM8" s="1868"/>
      <c r="SN8" s="1868"/>
      <c r="SO8" s="1868"/>
      <c r="SP8" s="1868"/>
      <c r="SQ8" s="1868"/>
      <c r="SR8" s="1868"/>
      <c r="SS8" s="1868"/>
      <c r="ST8" s="1868"/>
      <c r="SU8" s="1868"/>
      <c r="SV8" s="1868"/>
      <c r="SW8" s="1868"/>
      <c r="SX8" s="1868"/>
      <c r="SY8" s="1868"/>
      <c r="SZ8" s="1868"/>
      <c r="TA8" s="1868"/>
      <c r="TB8" s="1868"/>
      <c r="TC8" s="1868"/>
      <c r="TD8" s="1868"/>
      <c r="TE8" s="1868"/>
      <c r="TF8" s="1868"/>
      <c r="TG8" s="1868"/>
      <c r="TH8" s="1868"/>
      <c r="TI8" s="1868"/>
      <c r="TJ8" s="1868"/>
      <c r="TK8" s="1868"/>
      <c r="TL8" s="1868"/>
      <c r="TM8" s="1868"/>
      <c r="TN8" s="1868"/>
      <c r="TO8" s="1868"/>
      <c r="TP8" s="1868"/>
      <c r="TQ8" s="1868"/>
      <c r="TR8" s="1868"/>
      <c r="TS8" s="1868"/>
      <c r="TT8" s="1868"/>
      <c r="TU8" s="1868"/>
      <c r="TV8" s="1868"/>
      <c r="TW8" s="1868"/>
      <c r="TX8" s="1868"/>
      <c r="TY8" s="1868"/>
      <c r="TZ8" s="1868"/>
      <c r="UA8" s="1868"/>
      <c r="UB8" s="1868"/>
      <c r="UC8" s="1868"/>
      <c r="UD8" s="1868"/>
      <c r="UE8" s="1868"/>
      <c r="UF8" s="1868"/>
      <c r="UG8" s="1868"/>
      <c r="UH8" s="1868"/>
      <c r="UI8" s="1868"/>
      <c r="UJ8" s="1868"/>
      <c r="UK8" s="1868"/>
      <c r="UL8" s="1868"/>
      <c r="UM8" s="1868"/>
      <c r="UN8" s="1868"/>
      <c r="UO8" s="1868"/>
      <c r="UP8" s="1868"/>
      <c r="UQ8" s="1868"/>
      <c r="UR8" s="1868"/>
      <c r="US8" s="1868"/>
      <c r="UT8" s="1868"/>
      <c r="UU8" s="1868"/>
      <c r="UV8" s="1868"/>
      <c r="UW8" s="1868"/>
      <c r="UX8" s="1868"/>
      <c r="UY8" s="1868"/>
      <c r="UZ8" s="1868"/>
      <c r="VA8" s="1868"/>
      <c r="VB8" s="1868"/>
      <c r="VC8" s="1868"/>
      <c r="VD8" s="1868"/>
      <c r="VE8" s="1868"/>
      <c r="VF8" s="1868"/>
      <c r="VG8" s="1868"/>
      <c r="VH8" s="1868"/>
      <c r="VI8" s="1868"/>
      <c r="VJ8" s="1868"/>
      <c r="VK8" s="1868"/>
      <c r="VL8" s="1868"/>
      <c r="VM8" s="1868"/>
      <c r="VN8" s="1868"/>
      <c r="VO8" s="1868"/>
      <c r="VP8" s="1868"/>
      <c r="VQ8" s="1868"/>
      <c r="VR8" s="1868"/>
      <c r="VS8" s="1868"/>
      <c r="VT8" s="1868"/>
      <c r="VU8" s="1868"/>
      <c r="VV8" s="1868"/>
      <c r="VW8" s="1868"/>
      <c r="VX8" s="1868"/>
      <c r="VY8" s="1868"/>
      <c r="VZ8" s="1868"/>
      <c r="WA8" s="1868"/>
      <c r="WB8" s="1868"/>
      <c r="WC8" s="1868"/>
      <c r="WD8" s="1868"/>
      <c r="WE8" s="1868"/>
      <c r="WF8" s="1868"/>
      <c r="WG8" s="1868"/>
      <c r="WH8" s="1868"/>
      <c r="WI8" s="1868"/>
      <c r="WJ8" s="1868"/>
      <c r="WK8" s="1868"/>
      <c r="WL8" s="1868"/>
      <c r="WM8" s="1868"/>
      <c r="WN8" s="1868"/>
      <c r="WO8" s="1868"/>
      <c r="WP8" s="1868"/>
      <c r="WQ8" s="1868"/>
      <c r="WR8" s="1868"/>
      <c r="WS8" s="1868"/>
      <c r="WT8" s="1868"/>
      <c r="WU8" s="1868"/>
      <c r="WV8" s="1868"/>
      <c r="WW8" s="1868"/>
      <c r="WX8" s="1868"/>
      <c r="WY8" s="1868"/>
      <c r="WZ8" s="1868"/>
      <c r="XA8" s="1868"/>
      <c r="XB8" s="1868"/>
      <c r="XC8" s="1868"/>
      <c r="XD8" s="1868"/>
      <c r="XE8" s="1868"/>
      <c r="XF8" s="1868"/>
      <c r="XG8" s="1868"/>
      <c r="XH8" s="1868"/>
      <c r="XI8" s="1868"/>
      <c r="XJ8" s="1868"/>
      <c r="XK8" s="1868"/>
      <c r="XL8" s="1868"/>
      <c r="XM8" s="1868"/>
      <c r="XN8" s="1868"/>
      <c r="XO8" s="1868"/>
      <c r="XP8" s="1868"/>
      <c r="XQ8" s="1868"/>
      <c r="XR8" s="1868"/>
      <c r="XS8" s="1868"/>
      <c r="XT8" s="1868"/>
      <c r="XU8" s="1868"/>
      <c r="XV8" s="1868"/>
      <c r="XW8" s="1868"/>
      <c r="XX8" s="1868"/>
      <c r="XY8" s="1868"/>
      <c r="XZ8" s="1868"/>
      <c r="YA8" s="1868"/>
      <c r="YB8" s="1868"/>
      <c r="YC8" s="1868"/>
      <c r="YD8" s="1868"/>
      <c r="YE8" s="1868"/>
      <c r="YF8" s="1868"/>
      <c r="YG8" s="1868"/>
      <c r="YH8" s="1868"/>
      <c r="YI8" s="1868"/>
      <c r="YJ8" s="1868"/>
      <c r="YK8" s="1868"/>
      <c r="YL8" s="1868"/>
      <c r="YM8" s="1868"/>
      <c r="YN8" s="1868"/>
      <c r="YO8" s="1868"/>
      <c r="YP8" s="1868"/>
      <c r="YQ8" s="1868"/>
      <c r="YR8" s="1868"/>
      <c r="YS8" s="1868"/>
      <c r="YT8" s="1868"/>
      <c r="YU8" s="1868"/>
      <c r="YV8" s="1868"/>
      <c r="YW8" s="1868"/>
      <c r="YX8" s="1868"/>
      <c r="YY8" s="1868"/>
      <c r="YZ8" s="1868"/>
      <c r="ZA8" s="1868"/>
      <c r="ZB8" s="1868"/>
      <c r="ZC8" s="1868"/>
      <c r="ZD8" s="1868"/>
      <c r="ZE8" s="1868"/>
      <c r="ZF8" s="1868"/>
      <c r="ZG8" s="1868"/>
      <c r="ZH8" s="1868"/>
      <c r="ZI8" s="1868"/>
      <c r="ZJ8" s="1868"/>
      <c r="ZK8" s="1868"/>
      <c r="ZL8" s="1868"/>
      <c r="ZM8" s="1868"/>
      <c r="ZN8" s="1868"/>
      <c r="ZO8" s="1868"/>
      <c r="ZP8" s="1868"/>
      <c r="ZQ8" s="1868"/>
      <c r="ZR8" s="1868"/>
      <c r="ZS8" s="1868"/>
      <c r="ZT8" s="1868"/>
      <c r="ZU8" s="1868"/>
      <c r="ZV8" s="1868"/>
      <c r="ZW8" s="1868"/>
      <c r="ZX8" s="1868"/>
      <c r="ZY8" s="1868"/>
      <c r="ZZ8" s="1868"/>
      <c r="AAA8" s="1868"/>
      <c r="AAB8" s="1868"/>
      <c r="AAC8" s="1868"/>
      <c r="AAD8" s="1868"/>
      <c r="AAE8" s="1868"/>
      <c r="AAF8" s="1868"/>
      <c r="AAG8" s="1868"/>
      <c r="AAH8" s="1868"/>
      <c r="AAI8" s="1868"/>
      <c r="AAJ8" s="1868"/>
      <c r="AAK8" s="1868"/>
      <c r="AAL8" s="1868"/>
      <c r="AAM8" s="1868"/>
      <c r="AAN8" s="1868"/>
      <c r="AAO8" s="1868"/>
      <c r="AAP8" s="1868"/>
      <c r="AAQ8" s="1868"/>
      <c r="AAR8" s="1868"/>
      <c r="AAS8" s="1868"/>
      <c r="AAT8" s="1868"/>
      <c r="AAU8" s="1868"/>
      <c r="AAV8" s="1868"/>
      <c r="AAW8" s="1868"/>
      <c r="AAX8" s="1868"/>
      <c r="AAY8" s="1868"/>
      <c r="AAZ8" s="1868"/>
      <c r="ABA8" s="1868"/>
      <c r="ABB8" s="1868"/>
      <c r="ABC8" s="1868"/>
      <c r="ABD8" s="1868"/>
      <c r="ABE8" s="1868"/>
      <c r="ABF8" s="1868"/>
      <c r="ABG8" s="1868"/>
      <c r="ABH8" s="1868"/>
      <c r="ABI8" s="1868"/>
      <c r="ABJ8" s="1868"/>
      <c r="ABK8" s="1868"/>
      <c r="ABL8" s="1868"/>
      <c r="ABM8" s="1868"/>
      <c r="ABN8" s="1868"/>
      <c r="ABO8" s="1868"/>
      <c r="ABP8" s="1868"/>
      <c r="ABQ8" s="1868"/>
      <c r="ABR8" s="1868"/>
      <c r="ABS8" s="1868"/>
      <c r="ABT8" s="1868"/>
      <c r="ABU8" s="1868"/>
      <c r="ABV8" s="1868"/>
      <c r="ABW8" s="1868"/>
      <c r="ABX8" s="1868"/>
      <c r="ABY8" s="1868"/>
      <c r="ABZ8" s="1868"/>
      <c r="ACA8" s="1868"/>
      <c r="ACB8" s="1868"/>
      <c r="ACC8" s="1868"/>
      <c r="ACD8" s="1868"/>
      <c r="ACE8" s="1868"/>
      <c r="ACF8" s="1868"/>
      <c r="ACG8" s="1868"/>
      <c r="ACH8" s="1868"/>
      <c r="ACI8" s="1868"/>
      <c r="ACJ8" s="1868"/>
      <c r="ACK8" s="1868"/>
      <c r="ACL8" s="1868"/>
      <c r="ACM8" s="1868"/>
      <c r="ACN8" s="1868"/>
      <c r="ACO8" s="1868"/>
      <c r="ACP8" s="1868"/>
      <c r="ACQ8" s="1868"/>
      <c r="ACR8" s="1868"/>
      <c r="ACS8" s="1868"/>
      <c r="ACT8" s="1868"/>
      <c r="ACU8" s="1868"/>
      <c r="ACV8" s="1868"/>
      <c r="ACW8" s="1868"/>
      <c r="ACX8" s="1868"/>
      <c r="ACY8" s="1868"/>
      <c r="ACZ8" s="1868"/>
      <c r="ADA8" s="1868"/>
      <c r="ADB8" s="1868"/>
      <c r="ADC8" s="1868"/>
      <c r="ADD8" s="1868"/>
      <c r="ADE8" s="1868"/>
      <c r="ADF8" s="1868"/>
      <c r="ADG8" s="1868"/>
      <c r="ADH8" s="1868"/>
      <c r="ADI8" s="1868"/>
      <c r="ADJ8" s="1868"/>
      <c r="ADK8" s="1868"/>
      <c r="ADL8" s="1868"/>
      <c r="ADM8" s="1868"/>
      <c r="ADN8" s="1868"/>
      <c r="ADO8" s="1868"/>
      <c r="ADP8" s="1868"/>
      <c r="ADQ8" s="1868"/>
      <c r="ADR8" s="1868"/>
      <c r="ADS8" s="1868"/>
      <c r="ADT8" s="1868"/>
      <c r="ADU8" s="1868"/>
      <c r="ADV8" s="1868"/>
      <c r="ADW8" s="1868"/>
      <c r="ADX8" s="1868"/>
      <c r="ADY8" s="1868"/>
      <c r="ADZ8" s="1868"/>
      <c r="AEA8" s="1868"/>
      <c r="AEB8" s="1868"/>
      <c r="AEC8" s="1868"/>
      <c r="AED8" s="1868"/>
      <c r="AEE8" s="1868"/>
      <c r="AEF8" s="1868"/>
      <c r="AEG8" s="1868"/>
      <c r="AEH8" s="1868"/>
      <c r="AEI8" s="1868"/>
      <c r="AEJ8" s="1868"/>
      <c r="AEK8" s="1868"/>
      <c r="AEL8" s="1868"/>
      <c r="AEM8" s="1868"/>
      <c r="AEN8" s="1868"/>
      <c r="AEO8" s="1868"/>
      <c r="AEP8" s="1868"/>
      <c r="AEQ8" s="1868"/>
      <c r="AER8" s="1868"/>
      <c r="AES8" s="1868"/>
      <c r="AET8" s="1868"/>
      <c r="AEU8" s="1868"/>
      <c r="AEV8" s="1868"/>
      <c r="AEW8" s="1868"/>
      <c r="AEX8" s="1868"/>
      <c r="AEY8" s="1868"/>
      <c r="AEZ8" s="1868"/>
      <c r="AFA8" s="1868"/>
      <c r="AFB8" s="1868"/>
      <c r="AFC8" s="1868"/>
      <c r="AFD8" s="1868"/>
      <c r="AFE8" s="1868"/>
      <c r="AFF8" s="1868"/>
      <c r="AFG8" s="1868"/>
      <c r="AFH8" s="1868"/>
      <c r="AFI8" s="1868"/>
      <c r="AFJ8" s="1868"/>
      <c r="AFK8" s="1868"/>
      <c r="AFL8" s="1868"/>
      <c r="AFM8" s="1868"/>
      <c r="AFN8" s="1868"/>
      <c r="AFO8" s="1868"/>
      <c r="AFP8" s="1868"/>
      <c r="AFQ8" s="1868"/>
      <c r="AFR8" s="1868"/>
      <c r="AFS8" s="1868"/>
      <c r="AFT8" s="1868"/>
      <c r="AFU8" s="1868"/>
      <c r="AFV8" s="1868"/>
      <c r="AFW8" s="1868"/>
      <c r="AFX8" s="1868"/>
      <c r="AFY8" s="1868"/>
      <c r="AFZ8" s="1868"/>
      <c r="AGA8" s="1868"/>
      <c r="AGB8" s="1868"/>
      <c r="AGC8" s="1868"/>
      <c r="AGD8" s="1868"/>
      <c r="AGE8" s="1868"/>
      <c r="AGF8" s="1868"/>
      <c r="AGG8" s="1868"/>
      <c r="AGH8" s="1868"/>
      <c r="AGI8" s="1868"/>
      <c r="AGJ8" s="1868"/>
      <c r="AGK8" s="1868"/>
      <c r="AGL8" s="1868"/>
      <c r="AGM8" s="1868"/>
      <c r="AGN8" s="1868"/>
      <c r="AGO8" s="1868"/>
      <c r="AGP8" s="1868"/>
      <c r="AGQ8" s="1868"/>
      <c r="AGR8" s="1868"/>
      <c r="AGS8" s="1868"/>
      <c r="AGT8" s="1868"/>
      <c r="AGU8" s="1868"/>
      <c r="AGV8" s="1868"/>
      <c r="AGW8" s="1868"/>
      <c r="AGX8" s="1868"/>
      <c r="AGY8" s="1868"/>
      <c r="AGZ8" s="1868"/>
      <c r="AHA8" s="1868"/>
      <c r="AHB8" s="1868"/>
      <c r="AHC8" s="1868"/>
      <c r="AHD8" s="1868"/>
      <c r="AHE8" s="1868"/>
      <c r="AHF8" s="1868"/>
      <c r="AHG8" s="1868"/>
      <c r="AHH8" s="1868"/>
      <c r="AHI8" s="1868"/>
      <c r="AHJ8" s="1868"/>
      <c r="AHK8" s="1868"/>
      <c r="AHL8" s="1868"/>
      <c r="AHM8" s="1868"/>
      <c r="AHN8" s="1868"/>
      <c r="AHO8" s="1868"/>
      <c r="AHP8" s="1868"/>
      <c r="AHQ8" s="1868"/>
      <c r="AHR8" s="1868"/>
      <c r="AHS8" s="1868"/>
      <c r="AHT8" s="1868"/>
      <c r="AHU8" s="1868"/>
      <c r="AHV8" s="1868"/>
      <c r="AHW8" s="1868"/>
      <c r="AHX8" s="1868"/>
      <c r="AHY8" s="1868"/>
      <c r="AHZ8" s="1868"/>
      <c r="AIA8" s="1868"/>
      <c r="AIB8" s="1868"/>
      <c r="AIC8" s="1868"/>
      <c r="AID8" s="1868"/>
      <c r="AIE8" s="1868"/>
      <c r="AIF8" s="1868"/>
      <c r="AIG8" s="1868"/>
      <c r="AIH8" s="1868"/>
      <c r="AII8" s="1868"/>
      <c r="AIJ8" s="1868"/>
      <c r="AIK8" s="1868"/>
      <c r="AIL8" s="1868"/>
      <c r="AIM8" s="1868"/>
      <c r="AIN8" s="1868"/>
      <c r="AIO8" s="1868"/>
      <c r="AIP8" s="1868"/>
      <c r="AIQ8" s="1868"/>
      <c r="AIR8" s="1868"/>
      <c r="AIS8" s="1868"/>
      <c r="AIT8" s="1868"/>
      <c r="AIU8" s="1868"/>
      <c r="AIV8" s="1868"/>
      <c r="AIW8" s="1868"/>
      <c r="AIX8" s="1868"/>
      <c r="AIY8" s="1868"/>
      <c r="AIZ8" s="1868"/>
      <c r="AJA8" s="1868"/>
      <c r="AJB8" s="1868"/>
      <c r="AJC8" s="1868"/>
      <c r="AJD8" s="1868"/>
      <c r="AJE8" s="1868"/>
      <c r="AJF8" s="1868"/>
      <c r="AJG8" s="1868"/>
      <c r="AJH8" s="1868"/>
      <c r="AJI8" s="1868"/>
      <c r="AJJ8" s="1868"/>
      <c r="AJK8" s="1868"/>
      <c r="AJL8" s="1868"/>
      <c r="AJM8" s="1868"/>
      <c r="AJN8" s="1868"/>
      <c r="AJO8" s="1868"/>
      <c r="AJP8" s="1868"/>
      <c r="AJQ8" s="1868"/>
      <c r="AJR8" s="1868"/>
      <c r="AJS8" s="1868"/>
      <c r="AJT8" s="1868"/>
      <c r="AJU8" s="1868"/>
      <c r="AJV8" s="1868"/>
      <c r="AJW8" s="1868"/>
      <c r="AJX8" s="1868"/>
      <c r="AJY8" s="1868"/>
      <c r="AJZ8" s="1868"/>
      <c r="AKA8" s="1868"/>
      <c r="AKB8" s="1868"/>
      <c r="AKC8" s="1868"/>
      <c r="AKD8" s="1868"/>
      <c r="AKE8" s="1868"/>
      <c r="AKF8" s="1868"/>
      <c r="AKG8" s="1868"/>
      <c r="AKH8" s="1868"/>
      <c r="AKI8" s="1868"/>
      <c r="AKJ8" s="1868"/>
      <c r="AKK8" s="1868"/>
      <c r="AKL8" s="1868"/>
      <c r="AKM8" s="1868"/>
      <c r="AKN8" s="1868"/>
      <c r="AKO8" s="1868"/>
      <c r="AKP8" s="1868"/>
      <c r="AKQ8" s="1868"/>
      <c r="AKR8" s="1868"/>
      <c r="AKS8" s="1868"/>
      <c r="AKT8" s="1868"/>
      <c r="AKU8" s="1868"/>
      <c r="AKV8" s="1868"/>
      <c r="AKW8" s="1868"/>
      <c r="AKX8" s="1868"/>
      <c r="AKY8" s="1868"/>
      <c r="AKZ8" s="1868"/>
      <c r="ALA8" s="1868"/>
      <c r="ALB8" s="1868"/>
      <c r="ALC8" s="1868"/>
      <c r="ALD8" s="1868"/>
      <c r="ALE8" s="1868"/>
      <c r="ALF8" s="1868"/>
      <c r="ALG8" s="1868"/>
      <c r="ALH8" s="1868"/>
      <c r="ALI8" s="1868"/>
      <c r="ALJ8" s="1868"/>
      <c r="ALK8" s="1868"/>
      <c r="ALL8" s="1868"/>
      <c r="ALM8" s="1868"/>
      <c r="ALN8" s="1868"/>
      <c r="ALO8" s="1868"/>
      <c r="ALP8" s="1868"/>
      <c r="ALQ8" s="1868"/>
      <c r="ALR8" s="1868"/>
      <c r="ALS8" s="1868"/>
      <c r="ALT8" s="1868"/>
      <c r="ALU8" s="1868"/>
      <c r="ALV8" s="1868"/>
      <c r="ALW8" s="1868"/>
      <c r="ALX8" s="1868"/>
      <c r="ALY8" s="1868"/>
      <c r="ALZ8" s="1868"/>
      <c r="AMA8" s="1868"/>
      <c r="AMB8" s="1868"/>
      <c r="AMC8" s="1868"/>
      <c r="AMD8" s="1868"/>
      <c r="AME8" s="1868"/>
      <c r="AMF8" s="1868"/>
      <c r="AMG8" s="1868"/>
      <c r="AMH8" s="1868"/>
      <c r="AMI8" s="1868"/>
      <c r="AMJ8" s="1868"/>
      <c r="AMK8" s="1868"/>
      <c r="AML8" s="1868"/>
      <c r="AMM8" s="1868"/>
      <c r="AMN8" s="1868"/>
      <c r="AMO8" s="1868"/>
      <c r="AMP8" s="1868"/>
      <c r="AMQ8" s="1868"/>
      <c r="AMR8" s="1868"/>
      <c r="AMS8" s="1868"/>
      <c r="AMT8" s="1868"/>
      <c r="AMU8" s="1868"/>
      <c r="AMV8" s="1868"/>
      <c r="AMW8" s="1868"/>
      <c r="AMX8" s="1868"/>
      <c r="AMY8" s="1868"/>
      <c r="AMZ8" s="1868"/>
      <c r="ANA8" s="1868"/>
      <c r="ANB8" s="1868"/>
      <c r="ANC8" s="1868"/>
      <c r="AND8" s="1868"/>
      <c r="ANE8" s="1868"/>
      <c r="ANF8" s="1868"/>
      <c r="ANG8" s="1868"/>
      <c r="ANH8" s="1868"/>
      <c r="ANI8" s="1868"/>
      <c r="ANJ8" s="1868"/>
      <c r="ANK8" s="1868"/>
      <c r="ANL8" s="1868"/>
      <c r="ANM8" s="1868"/>
      <c r="ANN8" s="1868"/>
      <c r="ANO8" s="1868"/>
      <c r="ANP8" s="1868"/>
      <c r="ANQ8" s="1868"/>
      <c r="ANR8" s="1868"/>
      <c r="ANS8" s="1868"/>
      <c r="ANT8" s="1868"/>
      <c r="ANU8" s="1868"/>
      <c r="ANV8" s="1868"/>
      <c r="ANW8" s="1868"/>
      <c r="ANX8" s="1868"/>
      <c r="ANY8" s="1868"/>
      <c r="ANZ8" s="1868"/>
      <c r="AOA8" s="1868"/>
      <c r="AOB8" s="1868"/>
      <c r="AOC8" s="1868"/>
      <c r="AOD8" s="1868"/>
      <c r="AOE8" s="1868"/>
      <c r="AOF8" s="1868"/>
      <c r="AOG8" s="1868"/>
      <c r="AOH8" s="1868"/>
      <c r="AOI8" s="1868"/>
      <c r="AOJ8" s="1868"/>
      <c r="AOK8" s="1868"/>
      <c r="AOL8" s="1868"/>
      <c r="AOM8" s="1868"/>
      <c r="AON8" s="1868"/>
      <c r="AOO8" s="1868"/>
      <c r="AOP8" s="1868"/>
      <c r="AOQ8" s="1868"/>
      <c r="AOR8" s="1868"/>
      <c r="AOS8" s="1868"/>
      <c r="AOT8" s="1868"/>
      <c r="AOU8" s="1868"/>
      <c r="AOV8" s="1868"/>
      <c r="AOW8" s="1868"/>
      <c r="AOX8" s="1868"/>
      <c r="AOY8" s="1868"/>
      <c r="AOZ8" s="1868"/>
      <c r="APA8" s="1868"/>
      <c r="APB8" s="1868"/>
      <c r="APC8" s="1868"/>
      <c r="APD8" s="1868"/>
      <c r="APE8" s="1868"/>
      <c r="APF8" s="1868"/>
      <c r="APG8" s="1868"/>
      <c r="APH8" s="1868"/>
      <c r="API8" s="1868"/>
      <c r="APJ8" s="1868"/>
      <c r="APK8" s="1868"/>
      <c r="APL8" s="1868"/>
      <c r="APM8" s="1868"/>
      <c r="APN8" s="1868"/>
      <c r="APO8" s="1868"/>
      <c r="APP8" s="1868"/>
      <c r="APQ8" s="1868"/>
      <c r="APR8" s="1868"/>
      <c r="APS8" s="1868"/>
      <c r="APT8" s="1868"/>
      <c r="APU8" s="1868"/>
      <c r="APV8" s="1868"/>
      <c r="APW8" s="1868"/>
      <c r="APX8" s="1868"/>
      <c r="APY8" s="1868"/>
      <c r="APZ8" s="1868"/>
      <c r="AQA8" s="1868"/>
      <c r="AQB8" s="1868"/>
      <c r="AQC8" s="1868"/>
      <c r="AQD8" s="1868"/>
      <c r="AQE8" s="1868"/>
      <c r="AQF8" s="1868"/>
      <c r="AQG8" s="1868"/>
      <c r="AQH8" s="1868"/>
      <c r="AQI8" s="1868"/>
      <c r="AQJ8" s="1868"/>
      <c r="AQK8" s="1868"/>
      <c r="AQL8" s="1868"/>
      <c r="AQM8" s="1868"/>
      <c r="AQN8" s="1868"/>
      <c r="AQO8" s="1868"/>
      <c r="AQP8" s="1868"/>
      <c r="AQQ8" s="1868"/>
      <c r="AQR8" s="1868"/>
      <c r="AQS8" s="1868"/>
      <c r="AQT8" s="1868"/>
      <c r="AQU8" s="1868"/>
      <c r="AQV8" s="1868"/>
      <c r="AQW8" s="1868"/>
      <c r="AQX8" s="1868"/>
      <c r="AQY8" s="1868"/>
      <c r="AQZ8" s="1868"/>
      <c r="ARA8" s="1868"/>
      <c r="ARB8" s="1868"/>
      <c r="ARC8" s="1868"/>
      <c r="ARD8" s="1868"/>
      <c r="ARE8" s="1868"/>
      <c r="ARF8" s="1868"/>
      <c r="ARG8" s="1868"/>
      <c r="ARH8" s="1868"/>
      <c r="ARI8" s="1868"/>
      <c r="ARJ8" s="1868"/>
      <c r="ARK8" s="1868"/>
      <c r="ARL8" s="1868"/>
      <c r="ARM8" s="1868"/>
      <c r="ARN8" s="1868"/>
      <c r="ARO8" s="1868"/>
      <c r="ARP8" s="1868"/>
      <c r="ARQ8" s="1868"/>
      <c r="ARR8" s="1868"/>
      <c r="ARS8" s="1868"/>
      <c r="ART8" s="1868"/>
      <c r="ARU8" s="1868"/>
      <c r="ARV8" s="1868"/>
      <c r="ARW8" s="1868"/>
      <c r="ARX8" s="1868"/>
      <c r="ARY8" s="1868"/>
      <c r="ARZ8" s="1868"/>
      <c r="ASA8" s="1868"/>
      <c r="ASB8" s="1868"/>
      <c r="ASC8" s="1868"/>
      <c r="ASD8" s="1868"/>
      <c r="ASE8" s="1868"/>
      <c r="ASF8" s="1868"/>
      <c r="ASG8" s="1868"/>
      <c r="ASH8" s="1868"/>
      <c r="ASI8" s="1868"/>
      <c r="ASJ8" s="1868"/>
      <c r="ASK8" s="1868"/>
      <c r="ASL8" s="1868"/>
      <c r="ASM8" s="1868"/>
      <c r="ASN8" s="1868"/>
      <c r="ASO8" s="1868"/>
      <c r="ASP8" s="1868"/>
      <c r="ASQ8" s="1868"/>
      <c r="ASR8" s="1868"/>
      <c r="ASS8" s="1868"/>
      <c r="AST8" s="1868"/>
      <c r="ASU8" s="1868"/>
      <c r="ASV8" s="1868"/>
      <c r="ASW8" s="1868"/>
      <c r="ASX8" s="1868"/>
      <c r="ASY8" s="1868"/>
      <c r="ASZ8" s="1868"/>
      <c r="ATA8" s="1868"/>
      <c r="ATB8" s="1868"/>
      <c r="ATC8" s="1868"/>
      <c r="ATD8" s="1868"/>
      <c r="ATE8" s="1868"/>
      <c r="ATF8" s="1868"/>
      <c r="ATG8" s="1868"/>
      <c r="ATH8" s="1868"/>
      <c r="ATI8" s="1868"/>
      <c r="ATJ8" s="1868"/>
      <c r="ATK8" s="1868"/>
      <c r="ATL8" s="1868"/>
      <c r="ATM8" s="1868"/>
      <c r="ATN8" s="1868"/>
      <c r="ATO8" s="1868"/>
      <c r="ATP8" s="1868"/>
      <c r="ATQ8" s="1868"/>
      <c r="ATR8" s="1868"/>
      <c r="ATS8" s="1868"/>
      <c r="ATT8" s="1868"/>
      <c r="ATU8" s="1868"/>
      <c r="ATV8" s="1868"/>
      <c r="ATW8" s="1868"/>
      <c r="ATX8" s="1868"/>
      <c r="ATY8" s="1868"/>
      <c r="ATZ8" s="1868"/>
      <c r="AUA8" s="1868"/>
      <c r="AUB8" s="1868"/>
      <c r="AUC8" s="1868"/>
      <c r="AUD8" s="1868"/>
      <c r="AUE8" s="1868"/>
      <c r="AUF8" s="1868"/>
      <c r="AUG8" s="1868"/>
      <c r="AUH8" s="1868"/>
      <c r="AUI8" s="1868"/>
      <c r="AUJ8" s="1868"/>
      <c r="AUK8" s="1868"/>
      <c r="AUL8" s="1868"/>
      <c r="AUM8" s="1868"/>
      <c r="AUN8" s="1868"/>
      <c r="AUO8" s="1868"/>
      <c r="AUP8" s="1868"/>
      <c r="AUQ8" s="1868"/>
      <c r="AUR8" s="1868"/>
      <c r="AUS8" s="1868"/>
      <c r="AUT8" s="1868"/>
      <c r="AUU8" s="1868"/>
      <c r="AUV8" s="1868"/>
      <c r="AUW8" s="1868"/>
      <c r="AUX8" s="1868"/>
      <c r="AUY8" s="1868"/>
      <c r="AUZ8" s="1868"/>
      <c r="AVA8" s="1868"/>
      <c r="AVB8" s="1868"/>
      <c r="AVC8" s="1868"/>
      <c r="AVD8" s="1868"/>
      <c r="AVE8" s="1868"/>
      <c r="AVF8" s="1868"/>
      <c r="AVG8" s="1868"/>
      <c r="AVH8" s="1868"/>
      <c r="AVI8" s="1868"/>
      <c r="AVJ8" s="1868"/>
      <c r="AVK8" s="1868"/>
      <c r="AVL8" s="1868"/>
      <c r="AVM8" s="1868"/>
      <c r="AVN8" s="1868"/>
      <c r="AVO8" s="1868"/>
      <c r="AVP8" s="1868"/>
      <c r="AVQ8" s="1868"/>
      <c r="AVR8" s="1868"/>
      <c r="AVS8" s="1868"/>
      <c r="AVT8" s="1868"/>
      <c r="AVU8" s="1868"/>
      <c r="AVV8" s="1868"/>
      <c r="AVW8" s="1868"/>
      <c r="AVX8" s="1868"/>
      <c r="AVY8" s="1868"/>
      <c r="AVZ8" s="1868"/>
      <c r="AWA8" s="1868"/>
      <c r="AWB8" s="1868"/>
      <c r="AWC8" s="1868"/>
      <c r="AWD8" s="1868"/>
      <c r="AWE8" s="1868"/>
      <c r="AWF8" s="1868"/>
      <c r="AWG8" s="1868"/>
      <c r="AWH8" s="1868"/>
      <c r="AWI8" s="1868"/>
      <c r="AWJ8" s="1868"/>
      <c r="AWK8" s="1868"/>
      <c r="AWL8" s="1868"/>
      <c r="AWM8" s="1868"/>
      <c r="AWN8" s="1868"/>
      <c r="AWO8" s="1868"/>
      <c r="AWP8" s="1868"/>
      <c r="AWQ8" s="1868"/>
    </row>
    <row r="9" spans="1:1291" s="1869" customFormat="1" ht="15" customHeight="1" x14ac:dyDescent="0.2">
      <c r="A9" s="1688" t="s">
        <v>2323</v>
      </c>
      <c r="B9" s="1989"/>
      <c r="C9" s="1812" t="s">
        <v>748</v>
      </c>
      <c r="D9" s="1881"/>
      <c r="E9" s="1842"/>
      <c r="F9" s="1836">
        <v>0</v>
      </c>
      <c r="G9" s="1802">
        <v>0</v>
      </c>
      <c r="H9" s="1802">
        <v>0</v>
      </c>
      <c r="I9" s="1802">
        <v>0</v>
      </c>
      <c r="J9" s="1802">
        <v>0</v>
      </c>
      <c r="K9" s="1802">
        <v>0</v>
      </c>
      <c r="L9" s="1802">
        <v>0</v>
      </c>
      <c r="M9" s="1802">
        <v>0</v>
      </c>
      <c r="N9" s="1802">
        <v>0</v>
      </c>
      <c r="O9" s="1802">
        <v>0</v>
      </c>
      <c r="P9" s="1802">
        <v>0</v>
      </c>
      <c r="Q9" s="1802">
        <v>0</v>
      </c>
      <c r="R9" s="1802">
        <v>0</v>
      </c>
      <c r="S9" s="1802">
        <v>0</v>
      </c>
      <c r="T9" s="1802">
        <v>0</v>
      </c>
      <c r="U9" s="1802">
        <v>0</v>
      </c>
      <c r="V9" s="1802">
        <v>0</v>
      </c>
      <c r="W9" s="1802">
        <v>0</v>
      </c>
      <c r="X9" s="1802">
        <v>0</v>
      </c>
      <c r="Y9" s="1802">
        <v>0</v>
      </c>
      <c r="Z9" s="1802">
        <v>0</v>
      </c>
      <c r="AA9" s="1802">
        <v>0</v>
      </c>
      <c r="AB9" s="1802">
        <v>0</v>
      </c>
      <c r="AC9" s="1802">
        <v>0</v>
      </c>
      <c r="AD9" s="1802">
        <v>0</v>
      </c>
      <c r="AE9" s="1802">
        <v>0</v>
      </c>
      <c r="AF9" s="1802">
        <v>0</v>
      </c>
      <c r="AG9" s="1802">
        <v>0</v>
      </c>
      <c r="AH9" s="1802">
        <v>0</v>
      </c>
      <c r="AI9" s="1802">
        <v>0</v>
      </c>
      <c r="AJ9" s="1802">
        <v>0</v>
      </c>
      <c r="AK9" s="1802">
        <v>0</v>
      </c>
      <c r="AL9" s="1802">
        <v>0</v>
      </c>
      <c r="AM9" s="1802">
        <v>0</v>
      </c>
      <c r="AN9" s="1802">
        <v>0</v>
      </c>
      <c r="AO9" s="1802">
        <v>0</v>
      </c>
      <c r="AP9" s="1802">
        <v>0</v>
      </c>
      <c r="AQ9" s="1802">
        <v>0</v>
      </c>
      <c r="AR9" s="1802">
        <v>0</v>
      </c>
      <c r="AS9" s="1802">
        <v>0</v>
      </c>
      <c r="AT9" s="1802">
        <v>0</v>
      </c>
      <c r="AU9" s="1802">
        <v>0</v>
      </c>
      <c r="AV9" s="1802">
        <v>0</v>
      </c>
      <c r="AW9" s="1802">
        <v>0</v>
      </c>
      <c r="AX9" s="1802">
        <v>0</v>
      </c>
      <c r="AY9" s="1802">
        <v>0</v>
      </c>
      <c r="AZ9" s="1802">
        <v>0</v>
      </c>
      <c r="BA9" s="1802">
        <v>0</v>
      </c>
      <c r="BB9" s="1802">
        <v>0</v>
      </c>
      <c r="BC9" s="1802">
        <v>0</v>
      </c>
      <c r="BD9" s="1802">
        <v>0</v>
      </c>
      <c r="BE9" s="1802">
        <v>0</v>
      </c>
      <c r="BF9" s="1802">
        <v>0</v>
      </c>
      <c r="BG9" s="1802">
        <v>0</v>
      </c>
      <c r="BH9" s="1802">
        <v>0</v>
      </c>
      <c r="BI9" s="1802">
        <v>0</v>
      </c>
      <c r="BJ9" s="1802">
        <v>0</v>
      </c>
      <c r="BK9" s="1802">
        <v>0</v>
      </c>
      <c r="BL9" s="1802">
        <v>0</v>
      </c>
      <c r="BM9" s="1802">
        <v>0</v>
      </c>
      <c r="BN9" s="1802">
        <v>0</v>
      </c>
      <c r="BO9" s="1802">
        <v>0</v>
      </c>
      <c r="BP9" s="1802">
        <v>0</v>
      </c>
      <c r="BQ9" s="1802">
        <v>0</v>
      </c>
      <c r="BR9" s="1802">
        <v>0</v>
      </c>
      <c r="BS9" s="1802">
        <v>0</v>
      </c>
      <c r="BT9" s="1802">
        <v>0</v>
      </c>
      <c r="BU9" s="1802">
        <v>0</v>
      </c>
      <c r="BV9" s="1802">
        <v>0</v>
      </c>
      <c r="BW9" s="1802">
        <v>0</v>
      </c>
      <c r="BX9" s="1802">
        <v>0</v>
      </c>
      <c r="BY9" s="1802">
        <v>0</v>
      </c>
      <c r="BZ9" s="1802">
        <v>0</v>
      </c>
      <c r="CA9" s="1802">
        <v>0</v>
      </c>
      <c r="CB9" s="1802">
        <v>0</v>
      </c>
      <c r="CC9" s="1802">
        <v>0</v>
      </c>
      <c r="CD9" s="1802">
        <v>0</v>
      </c>
      <c r="CE9" s="1802">
        <v>0</v>
      </c>
      <c r="CF9" s="1802">
        <v>0</v>
      </c>
      <c r="CG9" s="1802">
        <v>0</v>
      </c>
      <c r="CH9" s="1802">
        <v>0</v>
      </c>
      <c r="CI9" s="1802">
        <v>0</v>
      </c>
      <c r="CJ9" s="1802">
        <v>0</v>
      </c>
      <c r="CK9" s="1802">
        <v>0</v>
      </c>
      <c r="CL9" s="1802">
        <v>0</v>
      </c>
      <c r="CM9" s="1802">
        <v>0</v>
      </c>
      <c r="CN9" s="1802">
        <v>0</v>
      </c>
      <c r="CO9" s="1802">
        <v>0</v>
      </c>
      <c r="CP9" s="1802">
        <v>0</v>
      </c>
      <c r="CQ9" s="1802">
        <v>0</v>
      </c>
      <c r="CR9" s="1802">
        <v>0</v>
      </c>
      <c r="CS9" s="1802">
        <v>0</v>
      </c>
      <c r="CT9" s="1802">
        <v>0</v>
      </c>
      <c r="CU9" s="1802">
        <v>0</v>
      </c>
      <c r="CV9" s="1802">
        <v>0</v>
      </c>
      <c r="CW9" s="1802">
        <v>0</v>
      </c>
      <c r="CX9" s="1802">
        <v>0</v>
      </c>
      <c r="CY9" s="1802">
        <v>0</v>
      </c>
      <c r="CZ9" s="1802">
        <v>0</v>
      </c>
      <c r="DA9" s="1802">
        <v>0</v>
      </c>
      <c r="DB9" s="1802">
        <v>0</v>
      </c>
      <c r="DC9" s="1802">
        <v>0</v>
      </c>
      <c r="DD9" s="1802">
        <v>0</v>
      </c>
      <c r="DE9" s="1802">
        <v>0</v>
      </c>
      <c r="DF9" s="1802">
        <v>0</v>
      </c>
      <c r="DG9" s="1802">
        <v>0</v>
      </c>
      <c r="DH9" s="1802">
        <v>0</v>
      </c>
      <c r="DI9" s="1802">
        <v>0</v>
      </c>
      <c r="DJ9" s="1802">
        <v>0</v>
      </c>
      <c r="DK9" s="1802">
        <v>0</v>
      </c>
      <c r="DL9" s="1802">
        <v>0</v>
      </c>
      <c r="DM9" s="1802">
        <v>0</v>
      </c>
      <c r="DN9" s="1802">
        <v>0</v>
      </c>
      <c r="DO9" s="1802">
        <v>0</v>
      </c>
      <c r="DP9" s="1802">
        <v>0</v>
      </c>
      <c r="DQ9" s="1802">
        <v>0</v>
      </c>
      <c r="DR9" s="1802">
        <v>0</v>
      </c>
      <c r="DS9" s="1802">
        <v>0</v>
      </c>
      <c r="DT9" s="1802">
        <v>0</v>
      </c>
      <c r="DU9" s="1802">
        <v>0</v>
      </c>
      <c r="DV9" s="1802">
        <v>0</v>
      </c>
      <c r="DW9" s="1802">
        <v>0</v>
      </c>
      <c r="DX9" s="1802">
        <v>0</v>
      </c>
      <c r="DY9" s="1802">
        <v>0</v>
      </c>
      <c r="DZ9" s="1802">
        <v>0</v>
      </c>
      <c r="EA9" s="1802">
        <v>0</v>
      </c>
      <c r="EB9" s="1802">
        <v>0</v>
      </c>
      <c r="EC9" s="1802">
        <v>0</v>
      </c>
      <c r="ED9" s="1802">
        <v>0</v>
      </c>
      <c r="EE9" s="1802">
        <v>0</v>
      </c>
      <c r="EF9" s="1802">
        <v>0</v>
      </c>
      <c r="EG9" s="1802">
        <v>0</v>
      </c>
      <c r="EH9" s="1802">
        <v>0</v>
      </c>
      <c r="EI9" s="1802">
        <v>0</v>
      </c>
      <c r="EJ9" s="1802">
        <v>0</v>
      </c>
      <c r="EK9" s="1802">
        <v>0</v>
      </c>
      <c r="EL9" s="1802">
        <v>0</v>
      </c>
      <c r="EM9" s="1802">
        <v>0</v>
      </c>
      <c r="EN9" s="1802">
        <v>0</v>
      </c>
      <c r="EO9" s="1802">
        <v>0</v>
      </c>
      <c r="EP9" s="1802">
        <v>0</v>
      </c>
      <c r="EQ9" s="1802">
        <v>0</v>
      </c>
      <c r="ER9" s="1802">
        <v>0</v>
      </c>
      <c r="ES9" s="1802">
        <v>0</v>
      </c>
      <c r="ET9" s="1802">
        <v>0</v>
      </c>
      <c r="EU9" s="1802">
        <v>0</v>
      </c>
      <c r="EV9" s="1802">
        <v>0</v>
      </c>
      <c r="EW9" s="1802">
        <v>0</v>
      </c>
      <c r="EX9" s="1802">
        <v>0</v>
      </c>
      <c r="EY9" s="1802">
        <v>0</v>
      </c>
      <c r="EZ9" s="1802">
        <v>0</v>
      </c>
      <c r="FA9" s="1802">
        <v>0</v>
      </c>
      <c r="FB9" s="1802">
        <v>0</v>
      </c>
      <c r="FC9" s="1802">
        <v>0</v>
      </c>
      <c r="FD9" s="1802">
        <v>0</v>
      </c>
      <c r="FE9" s="1802">
        <v>0</v>
      </c>
      <c r="FF9" s="1802">
        <v>0</v>
      </c>
      <c r="FG9" s="1802">
        <v>0</v>
      </c>
      <c r="FH9" s="1802">
        <v>0</v>
      </c>
      <c r="FI9" s="1802">
        <v>0</v>
      </c>
      <c r="FJ9" s="1802">
        <v>0</v>
      </c>
      <c r="FK9" s="1802">
        <v>0</v>
      </c>
      <c r="FL9" s="1802">
        <v>0</v>
      </c>
      <c r="FM9" s="1802">
        <v>0</v>
      </c>
      <c r="FN9" s="1802">
        <v>0</v>
      </c>
      <c r="FO9" s="1802">
        <v>0</v>
      </c>
      <c r="FP9" s="1802">
        <v>0</v>
      </c>
      <c r="FQ9" s="1802">
        <v>0</v>
      </c>
      <c r="FR9" s="1802">
        <v>0</v>
      </c>
      <c r="FS9" s="1802">
        <v>0</v>
      </c>
      <c r="FT9" s="1802">
        <v>0</v>
      </c>
      <c r="FU9" s="1802">
        <v>0</v>
      </c>
      <c r="FV9" s="1802">
        <v>0</v>
      </c>
      <c r="FW9" s="1802">
        <v>0</v>
      </c>
      <c r="FX9" s="1802">
        <v>0</v>
      </c>
      <c r="FY9" s="1802">
        <v>0</v>
      </c>
      <c r="FZ9" s="1802">
        <v>0</v>
      </c>
      <c r="GA9" s="1802">
        <v>0</v>
      </c>
      <c r="GB9" s="1802">
        <v>0</v>
      </c>
      <c r="GC9" s="1802">
        <v>0</v>
      </c>
      <c r="GD9" s="1802">
        <v>0</v>
      </c>
      <c r="GE9" s="1802">
        <v>0</v>
      </c>
      <c r="GF9" s="1802">
        <v>0</v>
      </c>
      <c r="GG9" s="1802">
        <v>0</v>
      </c>
      <c r="GH9" s="1802">
        <v>0</v>
      </c>
      <c r="GI9" s="1802">
        <v>0</v>
      </c>
      <c r="GJ9" s="1802">
        <v>0</v>
      </c>
      <c r="GK9" s="1802">
        <v>0</v>
      </c>
      <c r="GL9" s="1802">
        <v>0</v>
      </c>
      <c r="GM9" s="1802">
        <v>0</v>
      </c>
      <c r="GN9" s="1802">
        <v>0</v>
      </c>
      <c r="GO9" s="1802">
        <v>0</v>
      </c>
      <c r="GP9" s="1802">
        <v>0</v>
      </c>
      <c r="GQ9" s="1802">
        <v>0</v>
      </c>
      <c r="GR9" s="1802">
        <v>0</v>
      </c>
      <c r="GS9" s="1802">
        <v>0</v>
      </c>
      <c r="GT9" s="1802">
        <v>0</v>
      </c>
      <c r="GU9" s="1802">
        <v>0</v>
      </c>
      <c r="GV9" s="1802">
        <v>0</v>
      </c>
      <c r="GW9" s="1802">
        <v>0</v>
      </c>
      <c r="GX9" s="1802">
        <v>0</v>
      </c>
      <c r="GY9" s="1802">
        <v>0</v>
      </c>
      <c r="GZ9" s="1802">
        <v>0</v>
      </c>
      <c r="HA9" s="1802">
        <v>0</v>
      </c>
      <c r="HB9" s="1802">
        <v>0</v>
      </c>
      <c r="HC9" s="1802">
        <v>0</v>
      </c>
      <c r="HD9" s="1802">
        <v>0</v>
      </c>
      <c r="HE9" s="1802">
        <v>0</v>
      </c>
      <c r="HF9" s="1868"/>
      <c r="HG9" s="1868"/>
      <c r="HH9" s="1868"/>
      <c r="HI9" s="1868"/>
      <c r="HJ9" s="1868"/>
      <c r="HK9" s="1868"/>
      <c r="HL9" s="1868"/>
      <c r="HM9" s="1868"/>
      <c r="HN9" s="1868"/>
      <c r="HO9" s="1868"/>
      <c r="HP9" s="1868"/>
      <c r="HQ9" s="1868"/>
      <c r="HR9" s="1868"/>
      <c r="HS9" s="1868"/>
      <c r="HT9" s="1868"/>
      <c r="HU9" s="1868"/>
      <c r="HV9" s="1868"/>
      <c r="HW9" s="1868"/>
      <c r="HX9" s="1868"/>
      <c r="HY9" s="1868"/>
      <c r="HZ9" s="1868"/>
      <c r="IA9" s="1868"/>
      <c r="IB9" s="1868"/>
      <c r="IC9" s="1868"/>
      <c r="ID9" s="1868"/>
      <c r="IE9" s="1868"/>
      <c r="IF9" s="1868"/>
      <c r="IG9" s="1868"/>
      <c r="IH9" s="1868"/>
      <c r="II9" s="1868"/>
      <c r="IJ9" s="1868"/>
      <c r="IK9" s="1868"/>
      <c r="IL9" s="1868"/>
      <c r="IM9" s="1868"/>
      <c r="IN9" s="1868"/>
      <c r="IO9" s="1868"/>
      <c r="IP9" s="1868"/>
      <c r="IQ9" s="1868"/>
      <c r="IR9" s="1868"/>
      <c r="IS9" s="1868"/>
      <c r="IT9" s="1868"/>
      <c r="IU9" s="1868"/>
      <c r="IV9" s="1868"/>
      <c r="IW9" s="1868"/>
      <c r="IX9" s="1868"/>
      <c r="IY9" s="1868"/>
      <c r="IZ9" s="1868"/>
      <c r="JA9" s="1868"/>
      <c r="JB9" s="1868"/>
      <c r="JC9" s="1868"/>
      <c r="JD9" s="1868"/>
      <c r="JE9" s="1868"/>
      <c r="JF9" s="1868"/>
      <c r="JG9" s="1868"/>
      <c r="JH9" s="1868"/>
      <c r="JI9" s="1868"/>
      <c r="JJ9" s="1868"/>
      <c r="JK9" s="1868"/>
      <c r="JL9" s="1868"/>
      <c r="JM9" s="1868"/>
      <c r="JN9" s="1868"/>
      <c r="JO9" s="1868"/>
      <c r="JP9" s="1868"/>
      <c r="JQ9" s="1868"/>
      <c r="JR9" s="1868"/>
      <c r="JS9" s="1868"/>
      <c r="JT9" s="1868"/>
      <c r="JU9" s="1868"/>
      <c r="JV9" s="1868"/>
      <c r="JW9" s="1868"/>
      <c r="JX9" s="1868"/>
      <c r="JY9" s="1868"/>
      <c r="JZ9" s="1868"/>
      <c r="KA9" s="1868"/>
      <c r="KB9" s="1868"/>
      <c r="KC9" s="1868"/>
      <c r="KD9" s="1868"/>
      <c r="KE9" s="1868"/>
      <c r="KF9" s="1868"/>
      <c r="KG9" s="1868"/>
      <c r="KH9" s="1868"/>
      <c r="KI9" s="1868"/>
      <c r="KJ9" s="1868"/>
      <c r="KK9" s="1868"/>
      <c r="KL9" s="1868"/>
      <c r="KM9" s="1868"/>
      <c r="KN9" s="1868"/>
      <c r="KO9" s="1868"/>
      <c r="KP9" s="1868"/>
      <c r="KQ9" s="1868"/>
      <c r="KR9" s="1868"/>
      <c r="KS9" s="1868"/>
      <c r="KT9" s="1868"/>
      <c r="KU9" s="1868"/>
      <c r="KV9" s="1868"/>
      <c r="KW9" s="1868"/>
      <c r="KX9" s="1868"/>
      <c r="KY9" s="1868"/>
      <c r="KZ9" s="1868"/>
      <c r="LA9" s="1868"/>
      <c r="LB9" s="1868"/>
      <c r="LC9" s="1868"/>
      <c r="LD9" s="1868"/>
      <c r="LE9" s="1868"/>
      <c r="LF9" s="1868"/>
      <c r="LG9" s="1868"/>
      <c r="LH9" s="1868"/>
      <c r="LI9" s="1868"/>
      <c r="LJ9" s="1868"/>
      <c r="LK9" s="1868"/>
      <c r="LL9" s="1868"/>
      <c r="LM9" s="1868"/>
      <c r="LN9" s="1868"/>
      <c r="LO9" s="1868"/>
      <c r="LP9" s="1868"/>
      <c r="LQ9" s="1868"/>
      <c r="LR9" s="1868"/>
      <c r="LS9" s="1868"/>
      <c r="LT9" s="1868"/>
      <c r="LU9" s="1868"/>
      <c r="LV9" s="1868"/>
      <c r="LW9" s="1868"/>
      <c r="LX9" s="1868"/>
      <c r="LY9" s="1868"/>
      <c r="LZ9" s="1868"/>
      <c r="MA9" s="1868"/>
      <c r="MB9" s="1868"/>
      <c r="MC9" s="1868"/>
      <c r="MD9" s="1868"/>
      <c r="ME9" s="1868"/>
      <c r="MF9" s="1868"/>
      <c r="MG9" s="1868"/>
      <c r="MH9" s="1868"/>
      <c r="MI9" s="1868"/>
      <c r="MJ9" s="1868"/>
      <c r="MK9" s="1868"/>
      <c r="ML9" s="1868"/>
      <c r="MM9" s="1868"/>
      <c r="MN9" s="1868"/>
      <c r="MO9" s="1868"/>
      <c r="MP9" s="1868"/>
      <c r="MQ9" s="1868"/>
      <c r="MR9" s="1868"/>
      <c r="MS9" s="1868"/>
      <c r="MT9" s="1868"/>
      <c r="MU9" s="1868"/>
      <c r="MV9" s="1868"/>
      <c r="MW9" s="1868"/>
      <c r="MX9" s="1868"/>
      <c r="MY9" s="1868"/>
      <c r="MZ9" s="1868"/>
      <c r="NA9" s="1868"/>
      <c r="NB9" s="1868"/>
      <c r="NC9" s="1868"/>
      <c r="ND9" s="1868"/>
      <c r="NE9" s="1868"/>
      <c r="NF9" s="1868"/>
      <c r="NG9" s="1868"/>
      <c r="NH9" s="1868"/>
      <c r="NI9" s="1868"/>
      <c r="NJ9" s="1868"/>
      <c r="NK9" s="1868"/>
      <c r="NL9" s="1868"/>
      <c r="NM9" s="1868"/>
      <c r="NN9" s="1868"/>
      <c r="NO9" s="1868"/>
      <c r="NP9" s="1868"/>
      <c r="NQ9" s="1868"/>
      <c r="NR9" s="1868"/>
      <c r="NS9" s="1868"/>
      <c r="NT9" s="1868"/>
      <c r="NU9" s="1868"/>
      <c r="NV9" s="1868"/>
      <c r="NW9" s="1868"/>
      <c r="NX9" s="1868"/>
      <c r="NY9" s="1868"/>
      <c r="NZ9" s="1868"/>
      <c r="OA9" s="1868"/>
      <c r="OB9" s="1868"/>
      <c r="OC9" s="1868"/>
      <c r="OD9" s="1868"/>
      <c r="OE9" s="1868"/>
      <c r="OF9" s="1868"/>
      <c r="OG9" s="1868"/>
      <c r="OH9" s="1868"/>
      <c r="OI9" s="1868"/>
      <c r="OJ9" s="1868"/>
      <c r="OK9" s="1868"/>
      <c r="OL9" s="1868"/>
      <c r="OM9" s="1868"/>
      <c r="ON9" s="1868"/>
      <c r="OO9" s="1868"/>
      <c r="OP9" s="1868"/>
      <c r="OQ9" s="1868"/>
      <c r="OR9" s="1868"/>
      <c r="OS9" s="1868"/>
      <c r="OT9" s="1868"/>
      <c r="OU9" s="1868"/>
      <c r="OV9" s="1868"/>
      <c r="OW9" s="1868"/>
      <c r="OX9" s="1868"/>
      <c r="OY9" s="1868"/>
      <c r="OZ9" s="1868"/>
      <c r="PA9" s="1868"/>
      <c r="PB9" s="1868"/>
      <c r="PC9" s="1868"/>
      <c r="PD9" s="1868"/>
      <c r="PE9" s="1868"/>
      <c r="PF9" s="1868"/>
      <c r="PG9" s="1868"/>
      <c r="PH9" s="1868"/>
      <c r="PI9" s="1868"/>
      <c r="PJ9" s="1868"/>
      <c r="PK9" s="1868"/>
      <c r="PL9" s="1868"/>
      <c r="PM9" s="1868"/>
      <c r="PN9" s="1868"/>
      <c r="PO9" s="1868"/>
      <c r="PP9" s="1868"/>
      <c r="PQ9" s="1868"/>
      <c r="PR9" s="1868"/>
      <c r="PS9" s="1868"/>
      <c r="PT9" s="1868"/>
      <c r="PU9" s="1868"/>
      <c r="PV9" s="1868"/>
      <c r="PW9" s="1868"/>
      <c r="PX9" s="1868"/>
      <c r="PY9" s="1868"/>
      <c r="PZ9" s="1868"/>
      <c r="QA9" s="1868"/>
      <c r="QB9" s="1868"/>
      <c r="QC9" s="1868"/>
      <c r="QD9" s="1868"/>
      <c r="QE9" s="1868"/>
      <c r="QF9" s="1868"/>
      <c r="QG9" s="1868"/>
      <c r="QH9" s="1868"/>
      <c r="QI9" s="1868"/>
      <c r="QJ9" s="1868"/>
      <c r="QK9" s="1868"/>
      <c r="QL9" s="1868"/>
      <c r="QM9" s="1868"/>
      <c r="QN9" s="1868"/>
      <c r="QO9" s="1868"/>
      <c r="QP9" s="1868"/>
      <c r="QQ9" s="1868"/>
      <c r="QR9" s="1868"/>
      <c r="QS9" s="1868"/>
      <c r="QT9" s="1868"/>
      <c r="QU9" s="1868"/>
      <c r="QV9" s="1868"/>
      <c r="QW9" s="1868"/>
      <c r="QX9" s="1868"/>
      <c r="QY9" s="1868"/>
      <c r="QZ9" s="1868"/>
      <c r="RA9" s="1868"/>
      <c r="RB9" s="1868"/>
      <c r="RC9" s="1868"/>
      <c r="RD9" s="1868"/>
      <c r="RE9" s="1868"/>
      <c r="RF9" s="1868"/>
      <c r="RG9" s="1868"/>
      <c r="RH9" s="1868"/>
      <c r="RI9" s="1868"/>
      <c r="RJ9" s="1868"/>
      <c r="RK9" s="1868"/>
      <c r="RL9" s="1868"/>
      <c r="RM9" s="1868"/>
      <c r="RN9" s="1868"/>
      <c r="RO9" s="1868"/>
      <c r="RP9" s="1868"/>
      <c r="RQ9" s="1868"/>
      <c r="RR9" s="1868"/>
      <c r="RS9" s="1868"/>
      <c r="RT9" s="1868"/>
      <c r="RU9" s="1868"/>
      <c r="RV9" s="1868"/>
      <c r="RW9" s="1868"/>
      <c r="RX9" s="1868"/>
      <c r="RY9" s="1868"/>
      <c r="RZ9" s="1868"/>
      <c r="SA9" s="1868"/>
      <c r="SB9" s="1868"/>
      <c r="SC9" s="1868"/>
      <c r="SD9" s="1868"/>
      <c r="SE9" s="1868"/>
      <c r="SF9" s="1868"/>
      <c r="SG9" s="1868"/>
      <c r="SH9" s="1868"/>
      <c r="SI9" s="1868"/>
      <c r="SJ9" s="1868"/>
      <c r="SK9" s="1868"/>
      <c r="SL9" s="1868"/>
      <c r="SM9" s="1868"/>
      <c r="SN9" s="1868"/>
      <c r="SO9" s="1868"/>
      <c r="SP9" s="1868"/>
      <c r="SQ9" s="1868"/>
      <c r="SR9" s="1868"/>
      <c r="SS9" s="1868"/>
      <c r="ST9" s="1868"/>
      <c r="SU9" s="1868"/>
      <c r="SV9" s="1868"/>
      <c r="SW9" s="1868"/>
      <c r="SX9" s="1868"/>
      <c r="SY9" s="1868"/>
      <c r="SZ9" s="1868"/>
      <c r="TA9" s="1868"/>
      <c r="TB9" s="1868"/>
      <c r="TC9" s="1868"/>
      <c r="TD9" s="1868"/>
      <c r="TE9" s="1868"/>
      <c r="TF9" s="1868"/>
      <c r="TG9" s="1868"/>
      <c r="TH9" s="1868"/>
      <c r="TI9" s="1868"/>
      <c r="TJ9" s="1868"/>
      <c r="TK9" s="1868"/>
      <c r="TL9" s="1868"/>
      <c r="TM9" s="1868"/>
      <c r="TN9" s="1868"/>
      <c r="TO9" s="1868"/>
      <c r="TP9" s="1868"/>
      <c r="TQ9" s="1868"/>
      <c r="TR9" s="1868"/>
      <c r="TS9" s="1868"/>
      <c r="TT9" s="1868"/>
      <c r="TU9" s="1868"/>
      <c r="TV9" s="1868"/>
      <c r="TW9" s="1868"/>
      <c r="TX9" s="1868"/>
      <c r="TY9" s="1868"/>
      <c r="TZ9" s="1868"/>
      <c r="UA9" s="1868"/>
      <c r="UB9" s="1868"/>
      <c r="UC9" s="1868"/>
      <c r="UD9" s="1868"/>
      <c r="UE9" s="1868"/>
      <c r="UF9" s="1868"/>
      <c r="UG9" s="1868"/>
      <c r="UH9" s="1868"/>
      <c r="UI9" s="1868"/>
      <c r="UJ9" s="1868"/>
      <c r="UK9" s="1868"/>
      <c r="UL9" s="1868"/>
      <c r="UM9" s="1868"/>
      <c r="UN9" s="1868"/>
      <c r="UO9" s="1868"/>
      <c r="UP9" s="1868"/>
      <c r="UQ9" s="1868"/>
      <c r="UR9" s="1868"/>
      <c r="US9" s="1868"/>
      <c r="UT9" s="1868"/>
      <c r="UU9" s="1868"/>
      <c r="UV9" s="1868"/>
      <c r="UW9" s="1868"/>
      <c r="UX9" s="1868"/>
      <c r="UY9" s="1868"/>
      <c r="UZ9" s="1868"/>
      <c r="VA9" s="1868"/>
      <c r="VB9" s="1868"/>
      <c r="VC9" s="1868"/>
      <c r="VD9" s="1868"/>
      <c r="VE9" s="1868"/>
      <c r="VF9" s="1868"/>
      <c r="VG9" s="1868"/>
      <c r="VH9" s="1868"/>
      <c r="VI9" s="1868"/>
      <c r="VJ9" s="1868"/>
      <c r="VK9" s="1868"/>
      <c r="VL9" s="1868"/>
      <c r="VM9" s="1868"/>
      <c r="VN9" s="1868"/>
      <c r="VO9" s="1868"/>
      <c r="VP9" s="1868"/>
      <c r="VQ9" s="1868"/>
      <c r="VR9" s="1868"/>
      <c r="VS9" s="1868"/>
      <c r="VT9" s="1868"/>
      <c r="VU9" s="1868"/>
      <c r="VV9" s="1868"/>
      <c r="VW9" s="1868"/>
      <c r="VX9" s="1868"/>
      <c r="VY9" s="1868"/>
      <c r="VZ9" s="1868"/>
      <c r="WA9" s="1868"/>
      <c r="WB9" s="1868"/>
      <c r="WC9" s="1868"/>
      <c r="WD9" s="1868"/>
      <c r="WE9" s="1868"/>
      <c r="WF9" s="1868"/>
      <c r="WG9" s="1868"/>
      <c r="WH9" s="1868"/>
      <c r="WI9" s="1868"/>
      <c r="WJ9" s="1868"/>
      <c r="WK9" s="1868"/>
      <c r="WL9" s="1868"/>
      <c r="WM9" s="1868"/>
      <c r="WN9" s="1868"/>
      <c r="WO9" s="1868"/>
      <c r="WP9" s="1868"/>
      <c r="WQ9" s="1868"/>
      <c r="WR9" s="1868"/>
      <c r="WS9" s="1868"/>
      <c r="WT9" s="1868"/>
      <c r="WU9" s="1868"/>
      <c r="WV9" s="1868"/>
      <c r="WW9" s="1868"/>
      <c r="WX9" s="1868"/>
      <c r="WY9" s="1868"/>
      <c r="WZ9" s="1868"/>
      <c r="XA9" s="1868"/>
      <c r="XB9" s="1868"/>
      <c r="XC9" s="1868"/>
      <c r="XD9" s="1868"/>
      <c r="XE9" s="1868"/>
      <c r="XF9" s="1868"/>
      <c r="XG9" s="1868"/>
      <c r="XH9" s="1868"/>
      <c r="XI9" s="1868"/>
      <c r="XJ9" s="1868"/>
      <c r="XK9" s="1868"/>
      <c r="XL9" s="1868"/>
      <c r="XM9" s="1868"/>
      <c r="XN9" s="1868"/>
      <c r="XO9" s="1868"/>
      <c r="XP9" s="1868"/>
      <c r="XQ9" s="1868"/>
      <c r="XR9" s="1868"/>
      <c r="XS9" s="1868"/>
      <c r="XT9" s="1868"/>
      <c r="XU9" s="1868"/>
      <c r="XV9" s="1868"/>
      <c r="XW9" s="1868"/>
      <c r="XX9" s="1868"/>
      <c r="XY9" s="1868"/>
      <c r="XZ9" s="1868"/>
      <c r="YA9" s="1868"/>
      <c r="YB9" s="1868"/>
      <c r="YC9" s="1868"/>
      <c r="YD9" s="1868"/>
      <c r="YE9" s="1868"/>
      <c r="YF9" s="1868"/>
      <c r="YG9" s="1868"/>
      <c r="YH9" s="1868"/>
      <c r="YI9" s="1868"/>
      <c r="YJ9" s="1868"/>
      <c r="YK9" s="1868"/>
      <c r="YL9" s="1868"/>
      <c r="YM9" s="1868"/>
      <c r="YN9" s="1868"/>
      <c r="YO9" s="1868"/>
      <c r="YP9" s="1868"/>
      <c r="YQ9" s="1868"/>
      <c r="YR9" s="1868"/>
      <c r="YS9" s="1868"/>
      <c r="YT9" s="1868"/>
      <c r="YU9" s="1868"/>
      <c r="YV9" s="1868"/>
      <c r="YW9" s="1868"/>
      <c r="YX9" s="1868"/>
      <c r="YY9" s="1868"/>
      <c r="YZ9" s="1868"/>
      <c r="ZA9" s="1868"/>
      <c r="ZB9" s="1868"/>
      <c r="ZC9" s="1868"/>
      <c r="ZD9" s="1868"/>
      <c r="ZE9" s="1868"/>
      <c r="ZF9" s="1868"/>
      <c r="ZG9" s="1868"/>
      <c r="ZH9" s="1868"/>
      <c r="ZI9" s="1868"/>
      <c r="ZJ9" s="1868"/>
      <c r="ZK9" s="1868"/>
      <c r="ZL9" s="1868"/>
      <c r="ZM9" s="1868"/>
      <c r="ZN9" s="1868"/>
      <c r="ZO9" s="1868"/>
      <c r="ZP9" s="1868"/>
      <c r="ZQ9" s="1868"/>
      <c r="ZR9" s="1868"/>
      <c r="ZS9" s="1868"/>
      <c r="ZT9" s="1868"/>
      <c r="ZU9" s="1868"/>
      <c r="ZV9" s="1868"/>
      <c r="ZW9" s="1868"/>
      <c r="ZX9" s="1868"/>
      <c r="ZY9" s="1868"/>
      <c r="ZZ9" s="1868"/>
      <c r="AAA9" s="1868"/>
      <c r="AAB9" s="1868"/>
      <c r="AAC9" s="1868"/>
      <c r="AAD9" s="1868"/>
      <c r="AAE9" s="1868"/>
      <c r="AAF9" s="1868"/>
      <c r="AAG9" s="1868"/>
      <c r="AAH9" s="1868"/>
      <c r="AAI9" s="1868"/>
      <c r="AAJ9" s="1868"/>
      <c r="AAK9" s="1868"/>
      <c r="AAL9" s="1868"/>
      <c r="AAM9" s="1868"/>
      <c r="AAN9" s="1868"/>
      <c r="AAO9" s="1868"/>
      <c r="AAP9" s="1868"/>
      <c r="AAQ9" s="1868"/>
      <c r="AAR9" s="1868"/>
      <c r="AAS9" s="1868"/>
      <c r="AAT9" s="1868"/>
      <c r="AAU9" s="1868"/>
      <c r="AAV9" s="1868"/>
      <c r="AAW9" s="1868"/>
      <c r="AAX9" s="1868"/>
      <c r="AAY9" s="1868"/>
      <c r="AAZ9" s="1868"/>
      <c r="ABA9" s="1868"/>
      <c r="ABB9" s="1868"/>
      <c r="ABC9" s="1868"/>
      <c r="ABD9" s="1868"/>
      <c r="ABE9" s="1868"/>
      <c r="ABF9" s="1868"/>
      <c r="ABG9" s="1868"/>
      <c r="ABH9" s="1868"/>
      <c r="ABI9" s="1868"/>
      <c r="ABJ9" s="1868"/>
      <c r="ABK9" s="1868"/>
      <c r="ABL9" s="1868"/>
      <c r="ABM9" s="1868"/>
      <c r="ABN9" s="1868"/>
      <c r="ABO9" s="1868"/>
      <c r="ABP9" s="1868"/>
      <c r="ABQ9" s="1868"/>
      <c r="ABR9" s="1868"/>
      <c r="ABS9" s="1868"/>
      <c r="ABT9" s="1868"/>
      <c r="ABU9" s="1868"/>
      <c r="ABV9" s="1868"/>
      <c r="ABW9" s="1868"/>
      <c r="ABX9" s="1868"/>
      <c r="ABY9" s="1868"/>
      <c r="ABZ9" s="1868"/>
      <c r="ACA9" s="1868"/>
      <c r="ACB9" s="1868"/>
      <c r="ACC9" s="1868"/>
      <c r="ACD9" s="1868"/>
      <c r="ACE9" s="1868"/>
      <c r="ACF9" s="1868"/>
      <c r="ACG9" s="1868"/>
      <c r="ACH9" s="1868"/>
      <c r="ACI9" s="1868"/>
      <c r="ACJ9" s="1868"/>
      <c r="ACK9" s="1868"/>
      <c r="ACL9" s="1868"/>
      <c r="ACM9" s="1868"/>
      <c r="ACN9" s="1868"/>
      <c r="ACO9" s="1868"/>
      <c r="ACP9" s="1868"/>
      <c r="ACQ9" s="1868"/>
      <c r="ACR9" s="1868"/>
      <c r="ACS9" s="1868"/>
      <c r="ACT9" s="1868"/>
      <c r="ACU9" s="1868"/>
      <c r="ACV9" s="1868"/>
      <c r="ACW9" s="1868"/>
      <c r="ACX9" s="1868"/>
      <c r="ACY9" s="1868"/>
      <c r="ACZ9" s="1868"/>
      <c r="ADA9" s="1868"/>
      <c r="ADB9" s="1868"/>
      <c r="ADC9" s="1868"/>
      <c r="ADD9" s="1868"/>
      <c r="ADE9" s="1868"/>
      <c r="ADF9" s="1868"/>
      <c r="ADG9" s="1868"/>
      <c r="ADH9" s="1868"/>
      <c r="ADI9" s="1868"/>
      <c r="ADJ9" s="1868"/>
      <c r="ADK9" s="1868"/>
      <c r="ADL9" s="1868"/>
      <c r="ADM9" s="1868"/>
      <c r="ADN9" s="1868"/>
      <c r="ADO9" s="1868"/>
      <c r="ADP9" s="1868"/>
      <c r="ADQ9" s="1868"/>
      <c r="ADR9" s="1868"/>
      <c r="ADS9" s="1868"/>
      <c r="ADT9" s="1868"/>
      <c r="ADU9" s="1868"/>
      <c r="ADV9" s="1868"/>
      <c r="ADW9" s="1868"/>
      <c r="ADX9" s="1868"/>
      <c r="ADY9" s="1868"/>
      <c r="ADZ9" s="1868"/>
      <c r="AEA9" s="1868"/>
      <c r="AEB9" s="1868"/>
      <c r="AEC9" s="1868"/>
      <c r="AED9" s="1868"/>
      <c r="AEE9" s="1868"/>
      <c r="AEF9" s="1868"/>
      <c r="AEG9" s="1868"/>
      <c r="AEH9" s="1868"/>
      <c r="AEI9" s="1868"/>
      <c r="AEJ9" s="1868"/>
      <c r="AEK9" s="1868"/>
      <c r="AEL9" s="1868"/>
      <c r="AEM9" s="1868"/>
      <c r="AEN9" s="1868"/>
      <c r="AEO9" s="1868"/>
      <c r="AEP9" s="1868"/>
      <c r="AEQ9" s="1868"/>
      <c r="AER9" s="1868"/>
      <c r="AES9" s="1868"/>
      <c r="AET9" s="1868"/>
      <c r="AEU9" s="1868"/>
      <c r="AEV9" s="1868"/>
      <c r="AEW9" s="1868"/>
      <c r="AEX9" s="1868"/>
      <c r="AEY9" s="1868"/>
      <c r="AEZ9" s="1868"/>
      <c r="AFA9" s="1868"/>
      <c r="AFB9" s="1868"/>
      <c r="AFC9" s="1868"/>
      <c r="AFD9" s="1868"/>
      <c r="AFE9" s="1868"/>
      <c r="AFF9" s="1868"/>
      <c r="AFG9" s="1868"/>
      <c r="AFH9" s="1868"/>
      <c r="AFI9" s="1868"/>
      <c r="AFJ9" s="1868"/>
      <c r="AFK9" s="1868"/>
      <c r="AFL9" s="1868"/>
      <c r="AFM9" s="1868"/>
      <c r="AFN9" s="1868"/>
      <c r="AFO9" s="1868"/>
      <c r="AFP9" s="1868"/>
      <c r="AFQ9" s="1868"/>
      <c r="AFR9" s="1868"/>
      <c r="AFS9" s="1868"/>
      <c r="AFT9" s="1868"/>
      <c r="AFU9" s="1868"/>
      <c r="AFV9" s="1868"/>
      <c r="AFW9" s="1868"/>
      <c r="AFX9" s="1868"/>
      <c r="AFY9" s="1868"/>
      <c r="AFZ9" s="1868"/>
      <c r="AGA9" s="1868"/>
      <c r="AGB9" s="1868"/>
      <c r="AGC9" s="1868"/>
      <c r="AGD9" s="1868"/>
      <c r="AGE9" s="1868"/>
      <c r="AGF9" s="1868"/>
      <c r="AGG9" s="1868"/>
      <c r="AGH9" s="1868"/>
      <c r="AGI9" s="1868"/>
      <c r="AGJ9" s="1868"/>
      <c r="AGK9" s="1868"/>
      <c r="AGL9" s="1868"/>
      <c r="AGM9" s="1868"/>
      <c r="AGN9" s="1868"/>
      <c r="AGO9" s="1868"/>
      <c r="AGP9" s="1868"/>
      <c r="AGQ9" s="1868"/>
      <c r="AGR9" s="1868"/>
      <c r="AGS9" s="1868"/>
      <c r="AGT9" s="1868"/>
      <c r="AGU9" s="1868"/>
      <c r="AGV9" s="1868"/>
      <c r="AGW9" s="1868"/>
      <c r="AGX9" s="1868"/>
      <c r="AGY9" s="1868"/>
      <c r="AGZ9" s="1868"/>
      <c r="AHA9" s="1868"/>
      <c r="AHB9" s="1868"/>
      <c r="AHC9" s="1868"/>
      <c r="AHD9" s="1868"/>
      <c r="AHE9" s="1868"/>
      <c r="AHF9" s="1868"/>
      <c r="AHG9" s="1868"/>
      <c r="AHH9" s="1868"/>
      <c r="AHI9" s="1868"/>
      <c r="AHJ9" s="1868"/>
      <c r="AHK9" s="1868"/>
      <c r="AHL9" s="1868"/>
      <c r="AHM9" s="1868"/>
      <c r="AHN9" s="1868"/>
      <c r="AHO9" s="1868"/>
      <c r="AHP9" s="1868"/>
      <c r="AHQ9" s="1868"/>
      <c r="AHR9" s="1868"/>
      <c r="AHS9" s="1868"/>
      <c r="AHT9" s="1868"/>
      <c r="AHU9" s="1868"/>
      <c r="AHV9" s="1868"/>
      <c r="AHW9" s="1868"/>
      <c r="AHX9" s="1868"/>
      <c r="AHY9" s="1868"/>
      <c r="AHZ9" s="1868"/>
      <c r="AIA9" s="1868"/>
      <c r="AIB9" s="1868"/>
      <c r="AIC9" s="1868"/>
      <c r="AID9" s="1868"/>
      <c r="AIE9" s="1868"/>
      <c r="AIF9" s="1868"/>
      <c r="AIG9" s="1868"/>
      <c r="AIH9" s="1868"/>
      <c r="AII9" s="1868"/>
      <c r="AIJ9" s="1868"/>
      <c r="AIK9" s="1868"/>
      <c r="AIL9" s="1868"/>
      <c r="AIM9" s="1868"/>
      <c r="AIN9" s="1868"/>
      <c r="AIO9" s="1868"/>
      <c r="AIP9" s="1868"/>
      <c r="AIQ9" s="1868"/>
      <c r="AIR9" s="1868"/>
      <c r="AIS9" s="1868"/>
      <c r="AIT9" s="1868"/>
      <c r="AIU9" s="1868"/>
      <c r="AIV9" s="1868"/>
      <c r="AIW9" s="1868"/>
      <c r="AIX9" s="1868"/>
      <c r="AIY9" s="1868"/>
      <c r="AIZ9" s="1868"/>
      <c r="AJA9" s="1868"/>
      <c r="AJB9" s="1868"/>
      <c r="AJC9" s="1868"/>
      <c r="AJD9" s="1868"/>
      <c r="AJE9" s="1868"/>
      <c r="AJF9" s="1868"/>
      <c r="AJG9" s="1868"/>
      <c r="AJH9" s="1868"/>
      <c r="AJI9" s="1868"/>
      <c r="AJJ9" s="1868"/>
      <c r="AJK9" s="1868"/>
      <c r="AJL9" s="1868"/>
      <c r="AJM9" s="1868"/>
      <c r="AJN9" s="1868"/>
      <c r="AJO9" s="1868"/>
      <c r="AJP9" s="1868"/>
      <c r="AJQ9" s="1868"/>
      <c r="AJR9" s="1868"/>
      <c r="AJS9" s="1868"/>
      <c r="AJT9" s="1868"/>
      <c r="AJU9" s="1868"/>
      <c r="AJV9" s="1868"/>
      <c r="AJW9" s="1868"/>
      <c r="AJX9" s="1868"/>
      <c r="AJY9" s="1868"/>
      <c r="AJZ9" s="1868"/>
      <c r="AKA9" s="1868"/>
      <c r="AKB9" s="1868"/>
      <c r="AKC9" s="1868"/>
      <c r="AKD9" s="1868"/>
      <c r="AKE9" s="1868"/>
      <c r="AKF9" s="1868"/>
      <c r="AKG9" s="1868"/>
      <c r="AKH9" s="1868"/>
      <c r="AKI9" s="1868"/>
      <c r="AKJ9" s="1868"/>
      <c r="AKK9" s="1868"/>
      <c r="AKL9" s="1868"/>
      <c r="AKM9" s="1868"/>
      <c r="AKN9" s="1868"/>
      <c r="AKO9" s="1868"/>
      <c r="AKP9" s="1868"/>
      <c r="AKQ9" s="1868"/>
      <c r="AKR9" s="1868"/>
      <c r="AKS9" s="1868"/>
      <c r="AKT9" s="1868"/>
      <c r="AKU9" s="1868"/>
      <c r="AKV9" s="1868"/>
      <c r="AKW9" s="1868"/>
      <c r="AKX9" s="1868"/>
      <c r="AKY9" s="1868"/>
      <c r="AKZ9" s="1868"/>
      <c r="ALA9" s="1868"/>
      <c r="ALB9" s="1868"/>
      <c r="ALC9" s="1868"/>
      <c r="ALD9" s="1868"/>
      <c r="ALE9" s="1868"/>
      <c r="ALF9" s="1868"/>
      <c r="ALG9" s="1868"/>
      <c r="ALH9" s="1868"/>
      <c r="ALI9" s="1868"/>
      <c r="ALJ9" s="1868"/>
      <c r="ALK9" s="1868"/>
      <c r="ALL9" s="1868"/>
      <c r="ALM9" s="1868"/>
      <c r="ALN9" s="1868"/>
      <c r="ALO9" s="1868"/>
      <c r="ALP9" s="1868"/>
      <c r="ALQ9" s="1868"/>
      <c r="ALR9" s="1868"/>
      <c r="ALS9" s="1868"/>
      <c r="ALT9" s="1868"/>
      <c r="ALU9" s="1868"/>
      <c r="ALV9" s="1868"/>
      <c r="ALW9" s="1868"/>
      <c r="ALX9" s="1868"/>
      <c r="ALY9" s="1868"/>
      <c r="ALZ9" s="1868"/>
      <c r="AMA9" s="1868"/>
      <c r="AMB9" s="1868"/>
      <c r="AMC9" s="1868"/>
      <c r="AMD9" s="1868"/>
      <c r="AME9" s="1868"/>
      <c r="AMF9" s="1868"/>
      <c r="AMG9" s="1868"/>
      <c r="AMH9" s="1868"/>
      <c r="AMI9" s="1868"/>
      <c r="AMJ9" s="1868"/>
      <c r="AMK9" s="1868"/>
      <c r="AML9" s="1868"/>
      <c r="AMM9" s="1868"/>
      <c r="AMN9" s="1868"/>
      <c r="AMO9" s="1868"/>
      <c r="AMP9" s="1868"/>
      <c r="AMQ9" s="1868"/>
      <c r="AMR9" s="1868"/>
      <c r="AMS9" s="1868"/>
      <c r="AMT9" s="1868"/>
      <c r="AMU9" s="1868"/>
      <c r="AMV9" s="1868"/>
      <c r="AMW9" s="1868"/>
      <c r="AMX9" s="1868"/>
      <c r="AMY9" s="1868"/>
      <c r="AMZ9" s="1868"/>
      <c r="ANA9" s="1868"/>
      <c r="ANB9" s="1868"/>
      <c r="ANC9" s="1868"/>
      <c r="AND9" s="1868"/>
      <c r="ANE9" s="1868"/>
      <c r="ANF9" s="1868"/>
      <c r="ANG9" s="1868"/>
      <c r="ANH9" s="1868"/>
      <c r="ANI9" s="1868"/>
      <c r="ANJ9" s="1868"/>
      <c r="ANK9" s="1868"/>
      <c r="ANL9" s="1868"/>
      <c r="ANM9" s="1868"/>
      <c r="ANN9" s="1868"/>
      <c r="ANO9" s="1868"/>
      <c r="ANP9" s="1868"/>
      <c r="ANQ9" s="1868"/>
      <c r="ANR9" s="1868"/>
      <c r="ANS9" s="1868"/>
      <c r="ANT9" s="1868"/>
      <c r="ANU9" s="1868"/>
      <c r="ANV9" s="1868"/>
      <c r="ANW9" s="1868"/>
      <c r="ANX9" s="1868"/>
      <c r="ANY9" s="1868"/>
      <c r="ANZ9" s="1868"/>
      <c r="AOA9" s="1868"/>
      <c r="AOB9" s="1868"/>
      <c r="AOC9" s="1868"/>
      <c r="AOD9" s="1868"/>
      <c r="AOE9" s="1868"/>
      <c r="AOF9" s="1868"/>
      <c r="AOG9" s="1868"/>
      <c r="AOH9" s="1868"/>
      <c r="AOI9" s="1868"/>
      <c r="AOJ9" s="1868"/>
      <c r="AOK9" s="1868"/>
      <c r="AOL9" s="1868"/>
      <c r="AOM9" s="1868"/>
      <c r="AON9" s="1868"/>
      <c r="AOO9" s="1868"/>
      <c r="AOP9" s="1868"/>
      <c r="AOQ9" s="1868"/>
      <c r="AOR9" s="1868"/>
      <c r="AOS9" s="1868"/>
      <c r="AOT9" s="1868"/>
      <c r="AOU9" s="1868"/>
      <c r="AOV9" s="1868"/>
      <c r="AOW9" s="1868"/>
      <c r="AOX9" s="1868"/>
      <c r="AOY9" s="1868"/>
      <c r="AOZ9" s="1868"/>
      <c r="APA9" s="1868"/>
      <c r="APB9" s="1868"/>
      <c r="APC9" s="1868"/>
      <c r="APD9" s="1868"/>
      <c r="APE9" s="1868"/>
      <c r="APF9" s="1868"/>
      <c r="APG9" s="1868"/>
      <c r="APH9" s="1868"/>
      <c r="API9" s="1868"/>
      <c r="APJ9" s="1868"/>
      <c r="APK9" s="1868"/>
      <c r="APL9" s="1868"/>
      <c r="APM9" s="1868"/>
      <c r="APN9" s="1868"/>
      <c r="APO9" s="1868"/>
      <c r="APP9" s="1868"/>
      <c r="APQ9" s="1868"/>
      <c r="APR9" s="1868"/>
      <c r="APS9" s="1868"/>
      <c r="APT9" s="1868"/>
      <c r="APU9" s="1868"/>
      <c r="APV9" s="1868"/>
      <c r="APW9" s="1868"/>
      <c r="APX9" s="1868"/>
      <c r="APY9" s="1868"/>
      <c r="APZ9" s="1868"/>
      <c r="AQA9" s="1868"/>
      <c r="AQB9" s="1868"/>
      <c r="AQC9" s="1868"/>
      <c r="AQD9" s="1868"/>
      <c r="AQE9" s="1868"/>
      <c r="AQF9" s="1868"/>
      <c r="AQG9" s="1868"/>
      <c r="AQH9" s="1868"/>
      <c r="AQI9" s="1868"/>
      <c r="AQJ9" s="1868"/>
      <c r="AQK9" s="1868"/>
      <c r="AQL9" s="1868"/>
      <c r="AQM9" s="1868"/>
      <c r="AQN9" s="1868"/>
      <c r="AQO9" s="1868"/>
      <c r="AQP9" s="1868"/>
      <c r="AQQ9" s="1868"/>
      <c r="AQR9" s="1868"/>
      <c r="AQS9" s="1868"/>
      <c r="AQT9" s="1868"/>
      <c r="AQU9" s="1868"/>
      <c r="AQV9" s="1868"/>
      <c r="AQW9" s="1868"/>
      <c r="AQX9" s="1868"/>
      <c r="AQY9" s="1868"/>
      <c r="AQZ9" s="1868"/>
      <c r="ARA9" s="1868"/>
      <c r="ARB9" s="1868"/>
      <c r="ARC9" s="1868"/>
      <c r="ARD9" s="1868"/>
      <c r="ARE9" s="1868"/>
      <c r="ARF9" s="1868"/>
      <c r="ARG9" s="1868"/>
      <c r="ARH9" s="1868"/>
      <c r="ARI9" s="1868"/>
      <c r="ARJ9" s="1868"/>
      <c r="ARK9" s="1868"/>
      <c r="ARL9" s="1868"/>
      <c r="ARM9" s="1868"/>
      <c r="ARN9" s="1868"/>
      <c r="ARO9" s="1868"/>
      <c r="ARP9" s="1868"/>
      <c r="ARQ9" s="1868"/>
      <c r="ARR9" s="1868"/>
      <c r="ARS9" s="1868"/>
      <c r="ART9" s="1868"/>
      <c r="ARU9" s="1868"/>
      <c r="ARV9" s="1868"/>
      <c r="ARW9" s="1868"/>
      <c r="ARX9" s="1868"/>
      <c r="ARY9" s="1868"/>
      <c r="ARZ9" s="1868"/>
      <c r="ASA9" s="1868"/>
      <c r="ASB9" s="1868"/>
      <c r="ASC9" s="1868"/>
      <c r="ASD9" s="1868"/>
      <c r="ASE9" s="1868"/>
      <c r="ASF9" s="1868"/>
      <c r="ASG9" s="1868"/>
      <c r="ASH9" s="1868"/>
      <c r="ASI9" s="1868"/>
      <c r="ASJ9" s="1868"/>
      <c r="ASK9" s="1868"/>
      <c r="ASL9" s="1868"/>
      <c r="ASM9" s="1868"/>
      <c r="ASN9" s="1868"/>
      <c r="ASO9" s="1868"/>
      <c r="ASP9" s="1868"/>
      <c r="ASQ9" s="1868"/>
      <c r="ASR9" s="1868"/>
      <c r="ASS9" s="1868"/>
      <c r="AST9" s="1868"/>
      <c r="ASU9" s="1868"/>
      <c r="ASV9" s="1868"/>
      <c r="ASW9" s="1868"/>
      <c r="ASX9" s="1868"/>
      <c r="ASY9" s="1868"/>
      <c r="ASZ9" s="1868"/>
      <c r="ATA9" s="1868"/>
      <c r="ATB9" s="1868"/>
      <c r="ATC9" s="1868"/>
      <c r="ATD9" s="1868"/>
      <c r="ATE9" s="1868"/>
      <c r="ATF9" s="1868"/>
      <c r="ATG9" s="1868"/>
      <c r="ATH9" s="1868"/>
      <c r="ATI9" s="1868"/>
      <c r="ATJ9" s="1868"/>
      <c r="ATK9" s="1868"/>
      <c r="ATL9" s="1868"/>
      <c r="ATM9" s="1868"/>
      <c r="ATN9" s="1868"/>
      <c r="ATO9" s="1868"/>
      <c r="ATP9" s="1868"/>
      <c r="ATQ9" s="1868"/>
      <c r="ATR9" s="1868"/>
      <c r="ATS9" s="1868"/>
      <c r="ATT9" s="1868"/>
      <c r="ATU9" s="1868"/>
      <c r="ATV9" s="1868"/>
      <c r="ATW9" s="1868"/>
      <c r="ATX9" s="1868"/>
      <c r="ATY9" s="1868"/>
      <c r="ATZ9" s="1868"/>
      <c r="AUA9" s="1868"/>
      <c r="AUB9" s="1868"/>
      <c r="AUC9" s="1868"/>
      <c r="AUD9" s="1868"/>
      <c r="AUE9" s="1868"/>
      <c r="AUF9" s="1868"/>
      <c r="AUG9" s="1868"/>
      <c r="AUH9" s="1868"/>
      <c r="AUI9" s="1868"/>
      <c r="AUJ9" s="1868"/>
      <c r="AUK9" s="1868"/>
      <c r="AUL9" s="1868"/>
      <c r="AUM9" s="1868"/>
      <c r="AUN9" s="1868"/>
      <c r="AUO9" s="1868"/>
      <c r="AUP9" s="1868"/>
      <c r="AUQ9" s="1868"/>
      <c r="AUR9" s="1868"/>
      <c r="AUS9" s="1868"/>
      <c r="AUT9" s="1868"/>
      <c r="AUU9" s="1868"/>
      <c r="AUV9" s="1868"/>
      <c r="AUW9" s="1868"/>
      <c r="AUX9" s="1868"/>
      <c r="AUY9" s="1868"/>
      <c r="AUZ9" s="1868"/>
      <c r="AVA9" s="1868"/>
      <c r="AVB9" s="1868"/>
      <c r="AVC9" s="1868"/>
      <c r="AVD9" s="1868"/>
      <c r="AVE9" s="1868"/>
      <c r="AVF9" s="1868"/>
      <c r="AVG9" s="1868"/>
      <c r="AVH9" s="1868"/>
      <c r="AVI9" s="1868"/>
      <c r="AVJ9" s="1868"/>
      <c r="AVK9" s="1868"/>
      <c r="AVL9" s="1868"/>
      <c r="AVM9" s="1868"/>
      <c r="AVN9" s="1868"/>
      <c r="AVO9" s="1868"/>
      <c r="AVP9" s="1868"/>
      <c r="AVQ9" s="1868"/>
      <c r="AVR9" s="1868"/>
      <c r="AVS9" s="1868"/>
      <c r="AVT9" s="1868"/>
      <c r="AVU9" s="1868"/>
      <c r="AVV9" s="1868"/>
      <c r="AVW9" s="1868"/>
      <c r="AVX9" s="1868"/>
      <c r="AVY9" s="1868"/>
      <c r="AVZ9" s="1868"/>
      <c r="AWA9" s="1868"/>
      <c r="AWB9" s="1868"/>
      <c r="AWC9" s="1868"/>
      <c r="AWD9" s="1868"/>
      <c r="AWE9" s="1868"/>
      <c r="AWF9" s="1868"/>
      <c r="AWG9" s="1868"/>
      <c r="AWH9" s="1868"/>
      <c r="AWI9" s="1868"/>
      <c r="AWJ9" s="1868"/>
      <c r="AWK9" s="1868"/>
      <c r="AWL9" s="1868"/>
      <c r="AWM9" s="1868"/>
      <c r="AWN9" s="1868"/>
      <c r="AWO9" s="1868"/>
      <c r="AWP9" s="1868"/>
      <c r="AWQ9" s="1868"/>
    </row>
    <row r="10" spans="1:1291" s="1869" customFormat="1" ht="15" customHeight="1" thickBot="1" x14ac:dyDescent="0.25">
      <c r="A10" s="1689" t="s">
        <v>2324</v>
      </c>
      <c r="B10" s="1989"/>
      <c r="C10" s="1813" t="s">
        <v>2419</v>
      </c>
      <c r="D10" s="1881"/>
      <c r="E10" s="1841"/>
      <c r="F10" s="1836">
        <v>0</v>
      </c>
      <c r="G10" s="1802">
        <v>0</v>
      </c>
      <c r="H10" s="1802">
        <v>0</v>
      </c>
      <c r="I10" s="1802">
        <v>0</v>
      </c>
      <c r="J10" s="1802">
        <v>0</v>
      </c>
      <c r="K10" s="1802">
        <v>0</v>
      </c>
      <c r="L10" s="1802">
        <v>0</v>
      </c>
      <c r="M10" s="1802">
        <v>0</v>
      </c>
      <c r="N10" s="1802">
        <v>0</v>
      </c>
      <c r="O10" s="1802">
        <v>0</v>
      </c>
      <c r="P10" s="1802">
        <v>0</v>
      </c>
      <c r="Q10" s="1802">
        <v>0</v>
      </c>
      <c r="R10" s="1802">
        <v>0</v>
      </c>
      <c r="S10" s="1802">
        <v>0</v>
      </c>
      <c r="T10" s="1802">
        <v>0</v>
      </c>
      <c r="U10" s="1802">
        <v>0</v>
      </c>
      <c r="V10" s="1802">
        <v>0</v>
      </c>
      <c r="W10" s="1802">
        <v>0</v>
      </c>
      <c r="X10" s="1802">
        <v>0</v>
      </c>
      <c r="Y10" s="1802">
        <v>0</v>
      </c>
      <c r="Z10" s="1802">
        <v>0</v>
      </c>
      <c r="AA10" s="1802">
        <v>0</v>
      </c>
      <c r="AB10" s="1802">
        <v>0</v>
      </c>
      <c r="AC10" s="1802">
        <v>0</v>
      </c>
      <c r="AD10" s="1802">
        <v>0</v>
      </c>
      <c r="AE10" s="1802">
        <v>0</v>
      </c>
      <c r="AF10" s="1802">
        <v>0</v>
      </c>
      <c r="AG10" s="1802">
        <v>0</v>
      </c>
      <c r="AH10" s="1802">
        <v>0</v>
      </c>
      <c r="AI10" s="1802">
        <v>0</v>
      </c>
      <c r="AJ10" s="1802">
        <v>0</v>
      </c>
      <c r="AK10" s="1802">
        <v>0</v>
      </c>
      <c r="AL10" s="1802">
        <v>0</v>
      </c>
      <c r="AM10" s="1802">
        <v>0</v>
      </c>
      <c r="AN10" s="1802">
        <v>0</v>
      </c>
      <c r="AO10" s="1802">
        <v>0</v>
      </c>
      <c r="AP10" s="1802">
        <v>0</v>
      </c>
      <c r="AQ10" s="1802">
        <v>0</v>
      </c>
      <c r="AR10" s="1802">
        <v>0</v>
      </c>
      <c r="AS10" s="1802">
        <v>0</v>
      </c>
      <c r="AT10" s="1802">
        <v>0</v>
      </c>
      <c r="AU10" s="1802">
        <v>0</v>
      </c>
      <c r="AV10" s="1802">
        <v>0</v>
      </c>
      <c r="AW10" s="1802">
        <v>0</v>
      </c>
      <c r="AX10" s="1802">
        <v>0</v>
      </c>
      <c r="AY10" s="1802">
        <v>0</v>
      </c>
      <c r="AZ10" s="1802">
        <v>0</v>
      </c>
      <c r="BA10" s="1802">
        <v>0</v>
      </c>
      <c r="BB10" s="1802">
        <v>0</v>
      </c>
      <c r="BC10" s="1802">
        <v>0</v>
      </c>
      <c r="BD10" s="1802">
        <v>0</v>
      </c>
      <c r="BE10" s="1802">
        <v>0</v>
      </c>
      <c r="BF10" s="1802">
        <v>0</v>
      </c>
      <c r="BG10" s="1802">
        <v>0</v>
      </c>
      <c r="BH10" s="1802">
        <v>0</v>
      </c>
      <c r="BI10" s="1802">
        <v>0</v>
      </c>
      <c r="BJ10" s="1802">
        <v>0</v>
      </c>
      <c r="BK10" s="1802">
        <v>0</v>
      </c>
      <c r="BL10" s="1802">
        <v>0</v>
      </c>
      <c r="BM10" s="1802">
        <v>0</v>
      </c>
      <c r="BN10" s="1802">
        <v>0</v>
      </c>
      <c r="BO10" s="1802">
        <v>0</v>
      </c>
      <c r="BP10" s="1802">
        <v>0</v>
      </c>
      <c r="BQ10" s="1802">
        <v>0</v>
      </c>
      <c r="BR10" s="1802">
        <v>0</v>
      </c>
      <c r="BS10" s="1802">
        <v>0</v>
      </c>
      <c r="BT10" s="1802">
        <v>0</v>
      </c>
      <c r="BU10" s="1802">
        <v>0</v>
      </c>
      <c r="BV10" s="1802">
        <v>0</v>
      </c>
      <c r="BW10" s="1802">
        <v>0</v>
      </c>
      <c r="BX10" s="1802">
        <v>0</v>
      </c>
      <c r="BY10" s="1802">
        <v>0</v>
      </c>
      <c r="BZ10" s="1802">
        <v>0</v>
      </c>
      <c r="CA10" s="1802">
        <v>0</v>
      </c>
      <c r="CB10" s="1802">
        <v>0</v>
      </c>
      <c r="CC10" s="1802">
        <v>0</v>
      </c>
      <c r="CD10" s="1802">
        <v>0</v>
      </c>
      <c r="CE10" s="1802">
        <v>0</v>
      </c>
      <c r="CF10" s="1802">
        <v>0</v>
      </c>
      <c r="CG10" s="1802">
        <v>0</v>
      </c>
      <c r="CH10" s="1802">
        <v>0</v>
      </c>
      <c r="CI10" s="1802">
        <v>0</v>
      </c>
      <c r="CJ10" s="1802">
        <v>0</v>
      </c>
      <c r="CK10" s="1802">
        <v>0</v>
      </c>
      <c r="CL10" s="1802">
        <v>0</v>
      </c>
      <c r="CM10" s="1802">
        <v>0</v>
      </c>
      <c r="CN10" s="1802">
        <v>0</v>
      </c>
      <c r="CO10" s="1802">
        <v>0</v>
      </c>
      <c r="CP10" s="1802">
        <v>0</v>
      </c>
      <c r="CQ10" s="1802">
        <v>0</v>
      </c>
      <c r="CR10" s="1802">
        <v>0</v>
      </c>
      <c r="CS10" s="1802">
        <v>0</v>
      </c>
      <c r="CT10" s="1802">
        <v>0</v>
      </c>
      <c r="CU10" s="1802">
        <v>0</v>
      </c>
      <c r="CV10" s="1802">
        <v>0</v>
      </c>
      <c r="CW10" s="1802">
        <v>0</v>
      </c>
      <c r="CX10" s="1802">
        <v>0</v>
      </c>
      <c r="CY10" s="1802">
        <v>0</v>
      </c>
      <c r="CZ10" s="1802">
        <v>0</v>
      </c>
      <c r="DA10" s="1802">
        <v>0</v>
      </c>
      <c r="DB10" s="1802">
        <v>0</v>
      </c>
      <c r="DC10" s="1802">
        <v>0</v>
      </c>
      <c r="DD10" s="1802">
        <v>0</v>
      </c>
      <c r="DE10" s="1802">
        <v>0</v>
      </c>
      <c r="DF10" s="1802">
        <v>0</v>
      </c>
      <c r="DG10" s="1802">
        <v>0</v>
      </c>
      <c r="DH10" s="1802">
        <v>0</v>
      </c>
      <c r="DI10" s="1802">
        <v>0</v>
      </c>
      <c r="DJ10" s="1802">
        <v>0</v>
      </c>
      <c r="DK10" s="1802">
        <v>0</v>
      </c>
      <c r="DL10" s="1802">
        <v>0</v>
      </c>
      <c r="DM10" s="1802">
        <v>0</v>
      </c>
      <c r="DN10" s="1802">
        <v>0</v>
      </c>
      <c r="DO10" s="1802">
        <v>0</v>
      </c>
      <c r="DP10" s="1802">
        <v>0</v>
      </c>
      <c r="DQ10" s="1802">
        <v>0</v>
      </c>
      <c r="DR10" s="1802">
        <v>0</v>
      </c>
      <c r="DS10" s="1802">
        <v>0</v>
      </c>
      <c r="DT10" s="1802">
        <v>0</v>
      </c>
      <c r="DU10" s="1802">
        <v>0</v>
      </c>
      <c r="DV10" s="1802">
        <v>0</v>
      </c>
      <c r="DW10" s="1802">
        <v>0</v>
      </c>
      <c r="DX10" s="1802">
        <v>0</v>
      </c>
      <c r="DY10" s="1802">
        <v>0</v>
      </c>
      <c r="DZ10" s="1802">
        <v>0</v>
      </c>
      <c r="EA10" s="1802">
        <v>0</v>
      </c>
      <c r="EB10" s="1802">
        <v>0</v>
      </c>
      <c r="EC10" s="1802">
        <v>0</v>
      </c>
      <c r="ED10" s="1802">
        <v>0</v>
      </c>
      <c r="EE10" s="1802">
        <v>0</v>
      </c>
      <c r="EF10" s="1802">
        <v>0</v>
      </c>
      <c r="EG10" s="1802">
        <v>0</v>
      </c>
      <c r="EH10" s="1802">
        <v>0</v>
      </c>
      <c r="EI10" s="1802">
        <v>0</v>
      </c>
      <c r="EJ10" s="1802">
        <v>0</v>
      </c>
      <c r="EK10" s="1802">
        <v>0</v>
      </c>
      <c r="EL10" s="1802">
        <v>0</v>
      </c>
      <c r="EM10" s="1802">
        <v>0</v>
      </c>
      <c r="EN10" s="1802">
        <v>0</v>
      </c>
      <c r="EO10" s="1802">
        <v>0</v>
      </c>
      <c r="EP10" s="1802">
        <v>0</v>
      </c>
      <c r="EQ10" s="1802">
        <v>0</v>
      </c>
      <c r="ER10" s="1802">
        <v>0</v>
      </c>
      <c r="ES10" s="1802">
        <v>0</v>
      </c>
      <c r="ET10" s="1802">
        <v>0</v>
      </c>
      <c r="EU10" s="1802">
        <v>0</v>
      </c>
      <c r="EV10" s="1802">
        <v>0</v>
      </c>
      <c r="EW10" s="1802">
        <v>0</v>
      </c>
      <c r="EX10" s="1802">
        <v>0</v>
      </c>
      <c r="EY10" s="1802">
        <v>0</v>
      </c>
      <c r="EZ10" s="1802">
        <v>0</v>
      </c>
      <c r="FA10" s="1802">
        <v>0</v>
      </c>
      <c r="FB10" s="1802">
        <v>0</v>
      </c>
      <c r="FC10" s="1802">
        <v>0</v>
      </c>
      <c r="FD10" s="1802">
        <v>0</v>
      </c>
      <c r="FE10" s="1802">
        <v>0</v>
      </c>
      <c r="FF10" s="1802">
        <v>0</v>
      </c>
      <c r="FG10" s="1802">
        <v>0</v>
      </c>
      <c r="FH10" s="1802">
        <v>0</v>
      </c>
      <c r="FI10" s="1802">
        <v>0</v>
      </c>
      <c r="FJ10" s="1802">
        <v>0</v>
      </c>
      <c r="FK10" s="1802">
        <v>0</v>
      </c>
      <c r="FL10" s="1802">
        <v>0</v>
      </c>
      <c r="FM10" s="1802">
        <v>0</v>
      </c>
      <c r="FN10" s="1802">
        <v>0</v>
      </c>
      <c r="FO10" s="1802">
        <v>0</v>
      </c>
      <c r="FP10" s="1802">
        <v>0</v>
      </c>
      <c r="FQ10" s="1802">
        <v>0</v>
      </c>
      <c r="FR10" s="1802">
        <v>0</v>
      </c>
      <c r="FS10" s="1802">
        <v>0</v>
      </c>
      <c r="FT10" s="1802">
        <v>0</v>
      </c>
      <c r="FU10" s="1802">
        <v>0</v>
      </c>
      <c r="FV10" s="1802">
        <v>0</v>
      </c>
      <c r="FW10" s="1802">
        <v>0</v>
      </c>
      <c r="FX10" s="1802">
        <v>0</v>
      </c>
      <c r="FY10" s="1802">
        <v>0</v>
      </c>
      <c r="FZ10" s="1802">
        <v>0</v>
      </c>
      <c r="GA10" s="1802">
        <v>0</v>
      </c>
      <c r="GB10" s="1802">
        <v>0</v>
      </c>
      <c r="GC10" s="1802">
        <v>0</v>
      </c>
      <c r="GD10" s="1802">
        <v>0</v>
      </c>
      <c r="GE10" s="1802">
        <v>0</v>
      </c>
      <c r="GF10" s="1802">
        <v>0</v>
      </c>
      <c r="GG10" s="1802">
        <v>0</v>
      </c>
      <c r="GH10" s="1802">
        <v>0</v>
      </c>
      <c r="GI10" s="1802">
        <v>0</v>
      </c>
      <c r="GJ10" s="1802">
        <v>0</v>
      </c>
      <c r="GK10" s="1802">
        <v>0</v>
      </c>
      <c r="GL10" s="1802">
        <v>0</v>
      </c>
      <c r="GM10" s="1802">
        <v>0</v>
      </c>
      <c r="GN10" s="1802">
        <v>0</v>
      </c>
      <c r="GO10" s="1802">
        <v>0</v>
      </c>
      <c r="GP10" s="1802">
        <v>0</v>
      </c>
      <c r="GQ10" s="1802">
        <v>0</v>
      </c>
      <c r="GR10" s="1802">
        <v>0</v>
      </c>
      <c r="GS10" s="1802">
        <v>0</v>
      </c>
      <c r="GT10" s="1802">
        <v>0</v>
      </c>
      <c r="GU10" s="1802">
        <v>0</v>
      </c>
      <c r="GV10" s="1802">
        <v>0</v>
      </c>
      <c r="GW10" s="1802">
        <v>0</v>
      </c>
      <c r="GX10" s="1802">
        <v>0</v>
      </c>
      <c r="GY10" s="1802">
        <v>0</v>
      </c>
      <c r="GZ10" s="1802">
        <v>0</v>
      </c>
      <c r="HA10" s="1802">
        <v>0</v>
      </c>
      <c r="HB10" s="1802">
        <v>0</v>
      </c>
      <c r="HC10" s="1802">
        <v>0</v>
      </c>
      <c r="HD10" s="1802">
        <v>0</v>
      </c>
      <c r="HE10" s="1802">
        <v>0</v>
      </c>
      <c r="HF10" s="1868"/>
      <c r="HG10" s="1868"/>
      <c r="HH10" s="1868"/>
      <c r="HI10" s="1868"/>
      <c r="HJ10" s="1868"/>
      <c r="HK10" s="1868"/>
      <c r="HL10" s="1868"/>
      <c r="HM10" s="1868"/>
      <c r="HN10" s="1868"/>
      <c r="HO10" s="1868"/>
      <c r="HP10" s="1868"/>
      <c r="HQ10" s="1868"/>
      <c r="HR10" s="1868"/>
      <c r="HS10" s="1868"/>
      <c r="HT10" s="1868"/>
      <c r="HU10" s="1868"/>
      <c r="HV10" s="1868"/>
      <c r="HW10" s="1868"/>
      <c r="HX10" s="1868"/>
      <c r="HY10" s="1868"/>
      <c r="HZ10" s="1868"/>
      <c r="IA10" s="1868"/>
      <c r="IB10" s="1868"/>
      <c r="IC10" s="1868"/>
      <c r="ID10" s="1868"/>
      <c r="IE10" s="1868"/>
      <c r="IF10" s="1868"/>
      <c r="IG10" s="1868"/>
      <c r="IH10" s="1868"/>
      <c r="II10" s="1868"/>
      <c r="IJ10" s="1868"/>
      <c r="IK10" s="1868"/>
      <c r="IL10" s="1868"/>
      <c r="IM10" s="1868"/>
      <c r="IN10" s="1868"/>
      <c r="IO10" s="1868"/>
      <c r="IP10" s="1868"/>
      <c r="IQ10" s="1868"/>
      <c r="IR10" s="1868"/>
      <c r="IS10" s="1868"/>
      <c r="IT10" s="1868"/>
      <c r="IU10" s="1868"/>
      <c r="IV10" s="1868"/>
      <c r="IW10" s="1868"/>
      <c r="IX10" s="1868"/>
      <c r="IY10" s="1868"/>
      <c r="IZ10" s="1868"/>
      <c r="JA10" s="1868"/>
      <c r="JB10" s="1868"/>
      <c r="JC10" s="1868"/>
      <c r="JD10" s="1868"/>
      <c r="JE10" s="1868"/>
      <c r="JF10" s="1868"/>
      <c r="JG10" s="1868"/>
      <c r="JH10" s="1868"/>
      <c r="JI10" s="1868"/>
      <c r="JJ10" s="1868"/>
      <c r="JK10" s="1868"/>
      <c r="JL10" s="1868"/>
      <c r="JM10" s="1868"/>
      <c r="JN10" s="1868"/>
      <c r="JO10" s="1868"/>
      <c r="JP10" s="1868"/>
      <c r="JQ10" s="1868"/>
      <c r="JR10" s="1868"/>
      <c r="JS10" s="1868"/>
      <c r="JT10" s="1868"/>
      <c r="JU10" s="1868"/>
      <c r="JV10" s="1868"/>
      <c r="JW10" s="1868"/>
      <c r="JX10" s="1868"/>
      <c r="JY10" s="1868"/>
      <c r="JZ10" s="1868"/>
      <c r="KA10" s="1868"/>
      <c r="KB10" s="1868"/>
      <c r="KC10" s="1868"/>
      <c r="KD10" s="1868"/>
      <c r="KE10" s="1868"/>
      <c r="KF10" s="1868"/>
      <c r="KG10" s="1868"/>
      <c r="KH10" s="1868"/>
      <c r="KI10" s="1868"/>
      <c r="KJ10" s="1868"/>
      <c r="KK10" s="1868"/>
      <c r="KL10" s="1868"/>
      <c r="KM10" s="1868"/>
      <c r="KN10" s="1868"/>
      <c r="KO10" s="1868"/>
      <c r="KP10" s="1868"/>
      <c r="KQ10" s="1868"/>
      <c r="KR10" s="1868"/>
      <c r="KS10" s="1868"/>
      <c r="KT10" s="1868"/>
      <c r="KU10" s="1868"/>
      <c r="KV10" s="1868"/>
      <c r="KW10" s="1868"/>
      <c r="KX10" s="1868"/>
      <c r="KY10" s="1868"/>
      <c r="KZ10" s="1868"/>
      <c r="LA10" s="1868"/>
      <c r="LB10" s="1868"/>
      <c r="LC10" s="1868"/>
      <c r="LD10" s="1868"/>
      <c r="LE10" s="1868"/>
      <c r="LF10" s="1868"/>
      <c r="LG10" s="1868"/>
      <c r="LH10" s="1868"/>
      <c r="LI10" s="1868"/>
      <c r="LJ10" s="1868"/>
      <c r="LK10" s="1868"/>
      <c r="LL10" s="1868"/>
      <c r="LM10" s="1868"/>
      <c r="LN10" s="1868"/>
      <c r="LO10" s="1868"/>
      <c r="LP10" s="1868"/>
      <c r="LQ10" s="1868"/>
      <c r="LR10" s="1868"/>
      <c r="LS10" s="1868"/>
      <c r="LT10" s="1868"/>
      <c r="LU10" s="1868"/>
      <c r="LV10" s="1868"/>
      <c r="LW10" s="1868"/>
      <c r="LX10" s="1868"/>
      <c r="LY10" s="1868"/>
      <c r="LZ10" s="1868"/>
      <c r="MA10" s="1868"/>
      <c r="MB10" s="1868"/>
      <c r="MC10" s="1868"/>
      <c r="MD10" s="1868"/>
      <c r="ME10" s="1868"/>
      <c r="MF10" s="1868"/>
      <c r="MG10" s="1868"/>
      <c r="MH10" s="1868"/>
      <c r="MI10" s="1868"/>
      <c r="MJ10" s="1868"/>
      <c r="MK10" s="1868"/>
      <c r="ML10" s="1868"/>
      <c r="MM10" s="1868"/>
      <c r="MN10" s="1868"/>
      <c r="MO10" s="1868"/>
      <c r="MP10" s="1868"/>
      <c r="MQ10" s="1868"/>
      <c r="MR10" s="1868"/>
      <c r="MS10" s="1868"/>
      <c r="MT10" s="1868"/>
      <c r="MU10" s="1868"/>
      <c r="MV10" s="1868"/>
      <c r="MW10" s="1868"/>
      <c r="MX10" s="1868"/>
      <c r="MY10" s="1868"/>
      <c r="MZ10" s="1868"/>
      <c r="NA10" s="1868"/>
      <c r="NB10" s="1868"/>
      <c r="NC10" s="1868"/>
      <c r="ND10" s="1868"/>
      <c r="NE10" s="1868"/>
      <c r="NF10" s="1868"/>
      <c r="NG10" s="1868"/>
      <c r="NH10" s="1868"/>
      <c r="NI10" s="1868"/>
      <c r="NJ10" s="1868"/>
      <c r="NK10" s="1868"/>
      <c r="NL10" s="1868"/>
      <c r="NM10" s="1868"/>
      <c r="NN10" s="1868"/>
      <c r="NO10" s="1868"/>
      <c r="NP10" s="1868"/>
      <c r="NQ10" s="1868"/>
      <c r="NR10" s="1868"/>
      <c r="NS10" s="1868"/>
      <c r="NT10" s="1868"/>
      <c r="NU10" s="1868"/>
      <c r="NV10" s="1868"/>
      <c r="NW10" s="1868"/>
      <c r="NX10" s="1868"/>
      <c r="NY10" s="1868"/>
      <c r="NZ10" s="1868"/>
      <c r="OA10" s="1868"/>
      <c r="OB10" s="1868"/>
      <c r="OC10" s="1868"/>
      <c r="OD10" s="1868"/>
      <c r="OE10" s="1868"/>
      <c r="OF10" s="1868"/>
      <c r="OG10" s="1868"/>
      <c r="OH10" s="1868"/>
      <c r="OI10" s="1868"/>
      <c r="OJ10" s="1868"/>
      <c r="OK10" s="1868"/>
      <c r="OL10" s="1868"/>
      <c r="OM10" s="1868"/>
      <c r="ON10" s="1868"/>
      <c r="OO10" s="1868"/>
      <c r="OP10" s="1868"/>
      <c r="OQ10" s="1868"/>
      <c r="OR10" s="1868"/>
      <c r="OS10" s="1868"/>
      <c r="OT10" s="1868"/>
      <c r="OU10" s="1868"/>
      <c r="OV10" s="1868"/>
      <c r="OW10" s="1868"/>
      <c r="OX10" s="1868"/>
      <c r="OY10" s="1868"/>
      <c r="OZ10" s="1868"/>
      <c r="PA10" s="1868"/>
      <c r="PB10" s="1868"/>
      <c r="PC10" s="1868"/>
      <c r="PD10" s="1868"/>
      <c r="PE10" s="1868"/>
      <c r="PF10" s="1868"/>
      <c r="PG10" s="1868"/>
      <c r="PH10" s="1868"/>
      <c r="PI10" s="1868"/>
      <c r="PJ10" s="1868"/>
      <c r="PK10" s="1868"/>
      <c r="PL10" s="1868"/>
      <c r="PM10" s="1868"/>
      <c r="PN10" s="1868"/>
      <c r="PO10" s="1868"/>
      <c r="PP10" s="1868"/>
      <c r="PQ10" s="1868"/>
      <c r="PR10" s="1868"/>
      <c r="PS10" s="1868"/>
      <c r="PT10" s="1868"/>
      <c r="PU10" s="1868"/>
      <c r="PV10" s="1868"/>
      <c r="PW10" s="1868"/>
      <c r="PX10" s="1868"/>
      <c r="PY10" s="1868"/>
      <c r="PZ10" s="1868"/>
      <c r="QA10" s="1868"/>
      <c r="QB10" s="1868"/>
      <c r="QC10" s="1868"/>
      <c r="QD10" s="1868"/>
      <c r="QE10" s="1868"/>
      <c r="QF10" s="1868"/>
      <c r="QG10" s="1868"/>
      <c r="QH10" s="1868"/>
      <c r="QI10" s="1868"/>
      <c r="QJ10" s="1868"/>
      <c r="QK10" s="1868"/>
      <c r="QL10" s="1868"/>
      <c r="QM10" s="1868"/>
      <c r="QN10" s="1868"/>
      <c r="QO10" s="1868"/>
      <c r="QP10" s="1868"/>
      <c r="QQ10" s="1868"/>
      <c r="QR10" s="1868"/>
      <c r="QS10" s="1868"/>
      <c r="QT10" s="1868"/>
      <c r="QU10" s="1868"/>
      <c r="QV10" s="1868"/>
      <c r="QW10" s="1868"/>
      <c r="QX10" s="1868"/>
      <c r="QY10" s="1868"/>
      <c r="QZ10" s="1868"/>
      <c r="RA10" s="1868"/>
      <c r="RB10" s="1868"/>
      <c r="RC10" s="1868"/>
      <c r="RD10" s="1868"/>
      <c r="RE10" s="1868"/>
      <c r="RF10" s="1868"/>
      <c r="RG10" s="1868"/>
      <c r="RH10" s="1868"/>
      <c r="RI10" s="1868"/>
      <c r="RJ10" s="1868"/>
      <c r="RK10" s="1868"/>
      <c r="RL10" s="1868"/>
      <c r="RM10" s="1868"/>
      <c r="RN10" s="1868"/>
      <c r="RO10" s="1868"/>
      <c r="RP10" s="1868"/>
      <c r="RQ10" s="1868"/>
      <c r="RR10" s="1868"/>
      <c r="RS10" s="1868"/>
      <c r="RT10" s="1868"/>
      <c r="RU10" s="1868"/>
      <c r="RV10" s="1868"/>
      <c r="RW10" s="1868"/>
      <c r="RX10" s="1868"/>
      <c r="RY10" s="1868"/>
      <c r="RZ10" s="1868"/>
      <c r="SA10" s="1868"/>
      <c r="SB10" s="1868"/>
      <c r="SC10" s="1868"/>
      <c r="SD10" s="1868"/>
      <c r="SE10" s="1868"/>
      <c r="SF10" s="1868"/>
      <c r="SG10" s="1868"/>
      <c r="SH10" s="1868"/>
      <c r="SI10" s="1868"/>
      <c r="SJ10" s="1868"/>
      <c r="SK10" s="1868"/>
      <c r="SL10" s="1868"/>
      <c r="SM10" s="1868"/>
      <c r="SN10" s="1868"/>
      <c r="SO10" s="1868"/>
      <c r="SP10" s="1868"/>
      <c r="SQ10" s="1868"/>
      <c r="SR10" s="1868"/>
      <c r="SS10" s="1868"/>
      <c r="ST10" s="1868"/>
      <c r="SU10" s="1868"/>
      <c r="SV10" s="1868"/>
      <c r="SW10" s="1868"/>
      <c r="SX10" s="1868"/>
      <c r="SY10" s="1868"/>
      <c r="SZ10" s="1868"/>
      <c r="TA10" s="1868"/>
      <c r="TB10" s="1868"/>
      <c r="TC10" s="1868"/>
      <c r="TD10" s="1868"/>
      <c r="TE10" s="1868"/>
      <c r="TF10" s="1868"/>
      <c r="TG10" s="1868"/>
      <c r="TH10" s="1868"/>
      <c r="TI10" s="1868"/>
      <c r="TJ10" s="1868"/>
      <c r="TK10" s="1868"/>
      <c r="TL10" s="1868"/>
      <c r="TM10" s="1868"/>
      <c r="TN10" s="1868"/>
      <c r="TO10" s="1868"/>
      <c r="TP10" s="1868"/>
      <c r="TQ10" s="1868"/>
      <c r="TR10" s="1868"/>
      <c r="TS10" s="1868"/>
      <c r="TT10" s="1868"/>
      <c r="TU10" s="1868"/>
      <c r="TV10" s="1868"/>
      <c r="TW10" s="1868"/>
      <c r="TX10" s="1868"/>
      <c r="TY10" s="1868"/>
      <c r="TZ10" s="1868"/>
      <c r="UA10" s="1868"/>
      <c r="UB10" s="1868"/>
      <c r="UC10" s="1868"/>
      <c r="UD10" s="1868"/>
      <c r="UE10" s="1868"/>
      <c r="UF10" s="1868"/>
      <c r="UG10" s="1868"/>
      <c r="UH10" s="1868"/>
      <c r="UI10" s="1868"/>
      <c r="UJ10" s="1868"/>
      <c r="UK10" s="1868"/>
      <c r="UL10" s="1868"/>
      <c r="UM10" s="1868"/>
      <c r="UN10" s="1868"/>
      <c r="UO10" s="1868"/>
      <c r="UP10" s="1868"/>
      <c r="UQ10" s="1868"/>
      <c r="UR10" s="1868"/>
      <c r="US10" s="1868"/>
      <c r="UT10" s="1868"/>
      <c r="UU10" s="1868"/>
      <c r="UV10" s="1868"/>
      <c r="UW10" s="1868"/>
      <c r="UX10" s="1868"/>
      <c r="UY10" s="1868"/>
      <c r="UZ10" s="1868"/>
      <c r="VA10" s="1868"/>
      <c r="VB10" s="1868"/>
      <c r="VC10" s="1868"/>
      <c r="VD10" s="1868"/>
      <c r="VE10" s="1868"/>
      <c r="VF10" s="1868"/>
      <c r="VG10" s="1868"/>
      <c r="VH10" s="1868"/>
      <c r="VI10" s="1868"/>
      <c r="VJ10" s="1868"/>
      <c r="VK10" s="1868"/>
      <c r="VL10" s="1868"/>
      <c r="VM10" s="1868"/>
      <c r="VN10" s="1868"/>
      <c r="VO10" s="1868"/>
      <c r="VP10" s="1868"/>
      <c r="VQ10" s="1868"/>
      <c r="VR10" s="1868"/>
      <c r="VS10" s="1868"/>
      <c r="VT10" s="1868"/>
      <c r="VU10" s="1868"/>
      <c r="VV10" s="1868"/>
      <c r="VW10" s="1868"/>
      <c r="VX10" s="1868"/>
      <c r="VY10" s="1868"/>
      <c r="VZ10" s="1868"/>
      <c r="WA10" s="1868"/>
      <c r="WB10" s="1868"/>
      <c r="WC10" s="1868"/>
      <c r="WD10" s="1868"/>
      <c r="WE10" s="1868"/>
      <c r="WF10" s="1868"/>
      <c r="WG10" s="1868"/>
      <c r="WH10" s="1868"/>
      <c r="WI10" s="1868"/>
      <c r="WJ10" s="1868"/>
      <c r="WK10" s="1868"/>
      <c r="WL10" s="1868"/>
      <c r="WM10" s="1868"/>
      <c r="WN10" s="1868"/>
      <c r="WO10" s="1868"/>
      <c r="WP10" s="1868"/>
      <c r="WQ10" s="1868"/>
      <c r="WR10" s="1868"/>
      <c r="WS10" s="1868"/>
      <c r="WT10" s="1868"/>
      <c r="WU10" s="1868"/>
      <c r="WV10" s="1868"/>
      <c r="WW10" s="1868"/>
      <c r="WX10" s="1868"/>
      <c r="WY10" s="1868"/>
      <c r="WZ10" s="1868"/>
      <c r="XA10" s="1868"/>
      <c r="XB10" s="1868"/>
      <c r="XC10" s="1868"/>
      <c r="XD10" s="1868"/>
      <c r="XE10" s="1868"/>
      <c r="XF10" s="1868"/>
      <c r="XG10" s="1868"/>
      <c r="XH10" s="1868"/>
      <c r="XI10" s="1868"/>
      <c r="XJ10" s="1868"/>
      <c r="XK10" s="1868"/>
      <c r="XL10" s="1868"/>
      <c r="XM10" s="1868"/>
      <c r="XN10" s="1868"/>
      <c r="XO10" s="1868"/>
      <c r="XP10" s="1868"/>
      <c r="XQ10" s="1868"/>
      <c r="XR10" s="1868"/>
      <c r="XS10" s="1868"/>
      <c r="XT10" s="1868"/>
      <c r="XU10" s="1868"/>
      <c r="XV10" s="1868"/>
      <c r="XW10" s="1868"/>
      <c r="XX10" s="1868"/>
      <c r="XY10" s="1868"/>
      <c r="XZ10" s="1868"/>
      <c r="YA10" s="1868"/>
      <c r="YB10" s="1868"/>
      <c r="YC10" s="1868"/>
      <c r="YD10" s="1868"/>
      <c r="YE10" s="1868"/>
      <c r="YF10" s="1868"/>
      <c r="YG10" s="1868"/>
      <c r="YH10" s="1868"/>
      <c r="YI10" s="1868"/>
      <c r="YJ10" s="1868"/>
      <c r="YK10" s="1868"/>
      <c r="YL10" s="1868"/>
      <c r="YM10" s="1868"/>
      <c r="YN10" s="1868"/>
      <c r="YO10" s="1868"/>
      <c r="YP10" s="1868"/>
      <c r="YQ10" s="1868"/>
      <c r="YR10" s="1868"/>
      <c r="YS10" s="1868"/>
      <c r="YT10" s="1868"/>
      <c r="YU10" s="1868"/>
      <c r="YV10" s="1868"/>
      <c r="YW10" s="1868"/>
      <c r="YX10" s="1868"/>
      <c r="YY10" s="1868"/>
      <c r="YZ10" s="1868"/>
      <c r="ZA10" s="1868"/>
      <c r="ZB10" s="1868"/>
      <c r="ZC10" s="1868"/>
      <c r="ZD10" s="1868"/>
      <c r="ZE10" s="1868"/>
      <c r="ZF10" s="1868"/>
      <c r="ZG10" s="1868"/>
      <c r="ZH10" s="1868"/>
      <c r="ZI10" s="1868"/>
      <c r="ZJ10" s="1868"/>
      <c r="ZK10" s="1868"/>
      <c r="ZL10" s="1868"/>
      <c r="ZM10" s="1868"/>
      <c r="ZN10" s="1868"/>
      <c r="ZO10" s="1868"/>
      <c r="ZP10" s="1868"/>
      <c r="ZQ10" s="1868"/>
      <c r="ZR10" s="1868"/>
      <c r="ZS10" s="1868"/>
      <c r="ZT10" s="1868"/>
      <c r="ZU10" s="1868"/>
      <c r="ZV10" s="1868"/>
      <c r="ZW10" s="1868"/>
      <c r="ZX10" s="1868"/>
      <c r="ZY10" s="1868"/>
      <c r="ZZ10" s="1868"/>
      <c r="AAA10" s="1868"/>
      <c r="AAB10" s="1868"/>
      <c r="AAC10" s="1868"/>
      <c r="AAD10" s="1868"/>
      <c r="AAE10" s="1868"/>
      <c r="AAF10" s="1868"/>
      <c r="AAG10" s="1868"/>
      <c r="AAH10" s="1868"/>
      <c r="AAI10" s="1868"/>
      <c r="AAJ10" s="1868"/>
      <c r="AAK10" s="1868"/>
      <c r="AAL10" s="1868"/>
      <c r="AAM10" s="1868"/>
      <c r="AAN10" s="1868"/>
      <c r="AAO10" s="1868"/>
      <c r="AAP10" s="1868"/>
      <c r="AAQ10" s="1868"/>
      <c r="AAR10" s="1868"/>
      <c r="AAS10" s="1868"/>
      <c r="AAT10" s="1868"/>
      <c r="AAU10" s="1868"/>
      <c r="AAV10" s="1868"/>
      <c r="AAW10" s="1868"/>
      <c r="AAX10" s="1868"/>
      <c r="AAY10" s="1868"/>
      <c r="AAZ10" s="1868"/>
      <c r="ABA10" s="1868"/>
      <c r="ABB10" s="1868"/>
      <c r="ABC10" s="1868"/>
      <c r="ABD10" s="1868"/>
      <c r="ABE10" s="1868"/>
      <c r="ABF10" s="1868"/>
      <c r="ABG10" s="1868"/>
      <c r="ABH10" s="1868"/>
      <c r="ABI10" s="1868"/>
      <c r="ABJ10" s="1868"/>
      <c r="ABK10" s="1868"/>
      <c r="ABL10" s="1868"/>
      <c r="ABM10" s="1868"/>
      <c r="ABN10" s="1868"/>
      <c r="ABO10" s="1868"/>
      <c r="ABP10" s="1868"/>
      <c r="ABQ10" s="1868"/>
      <c r="ABR10" s="1868"/>
      <c r="ABS10" s="1868"/>
      <c r="ABT10" s="1868"/>
      <c r="ABU10" s="1868"/>
      <c r="ABV10" s="1868"/>
      <c r="ABW10" s="1868"/>
      <c r="ABX10" s="1868"/>
      <c r="ABY10" s="1868"/>
      <c r="ABZ10" s="1868"/>
      <c r="ACA10" s="1868"/>
      <c r="ACB10" s="1868"/>
      <c r="ACC10" s="1868"/>
      <c r="ACD10" s="1868"/>
      <c r="ACE10" s="1868"/>
      <c r="ACF10" s="1868"/>
      <c r="ACG10" s="1868"/>
      <c r="ACH10" s="1868"/>
      <c r="ACI10" s="1868"/>
      <c r="ACJ10" s="1868"/>
      <c r="ACK10" s="1868"/>
      <c r="ACL10" s="1868"/>
      <c r="ACM10" s="1868"/>
      <c r="ACN10" s="1868"/>
      <c r="ACO10" s="1868"/>
      <c r="ACP10" s="1868"/>
      <c r="ACQ10" s="1868"/>
      <c r="ACR10" s="1868"/>
      <c r="ACS10" s="1868"/>
      <c r="ACT10" s="1868"/>
      <c r="ACU10" s="1868"/>
      <c r="ACV10" s="1868"/>
      <c r="ACW10" s="1868"/>
      <c r="ACX10" s="1868"/>
      <c r="ACY10" s="1868"/>
      <c r="ACZ10" s="1868"/>
      <c r="ADA10" s="1868"/>
      <c r="ADB10" s="1868"/>
      <c r="ADC10" s="1868"/>
      <c r="ADD10" s="1868"/>
      <c r="ADE10" s="1868"/>
      <c r="ADF10" s="1868"/>
      <c r="ADG10" s="1868"/>
      <c r="ADH10" s="1868"/>
      <c r="ADI10" s="1868"/>
      <c r="ADJ10" s="1868"/>
      <c r="ADK10" s="1868"/>
      <c r="ADL10" s="1868"/>
      <c r="ADM10" s="1868"/>
      <c r="ADN10" s="1868"/>
      <c r="ADO10" s="1868"/>
      <c r="ADP10" s="1868"/>
      <c r="ADQ10" s="1868"/>
      <c r="ADR10" s="1868"/>
      <c r="ADS10" s="1868"/>
      <c r="ADT10" s="1868"/>
      <c r="ADU10" s="1868"/>
      <c r="ADV10" s="1868"/>
      <c r="ADW10" s="1868"/>
      <c r="ADX10" s="1868"/>
      <c r="ADY10" s="1868"/>
      <c r="ADZ10" s="1868"/>
      <c r="AEA10" s="1868"/>
      <c r="AEB10" s="1868"/>
      <c r="AEC10" s="1868"/>
      <c r="AED10" s="1868"/>
      <c r="AEE10" s="1868"/>
      <c r="AEF10" s="1868"/>
      <c r="AEG10" s="1868"/>
      <c r="AEH10" s="1868"/>
      <c r="AEI10" s="1868"/>
      <c r="AEJ10" s="1868"/>
      <c r="AEK10" s="1868"/>
      <c r="AEL10" s="1868"/>
      <c r="AEM10" s="1868"/>
      <c r="AEN10" s="1868"/>
      <c r="AEO10" s="1868"/>
      <c r="AEP10" s="1868"/>
      <c r="AEQ10" s="1868"/>
      <c r="AER10" s="1868"/>
      <c r="AES10" s="1868"/>
      <c r="AET10" s="1868"/>
      <c r="AEU10" s="1868"/>
      <c r="AEV10" s="1868"/>
      <c r="AEW10" s="1868"/>
      <c r="AEX10" s="1868"/>
      <c r="AEY10" s="1868"/>
      <c r="AEZ10" s="1868"/>
      <c r="AFA10" s="1868"/>
      <c r="AFB10" s="1868"/>
      <c r="AFC10" s="1868"/>
      <c r="AFD10" s="1868"/>
      <c r="AFE10" s="1868"/>
      <c r="AFF10" s="1868"/>
      <c r="AFG10" s="1868"/>
      <c r="AFH10" s="1868"/>
      <c r="AFI10" s="1868"/>
      <c r="AFJ10" s="1868"/>
      <c r="AFK10" s="1868"/>
      <c r="AFL10" s="1868"/>
      <c r="AFM10" s="1868"/>
      <c r="AFN10" s="1868"/>
      <c r="AFO10" s="1868"/>
      <c r="AFP10" s="1868"/>
      <c r="AFQ10" s="1868"/>
      <c r="AFR10" s="1868"/>
      <c r="AFS10" s="1868"/>
      <c r="AFT10" s="1868"/>
      <c r="AFU10" s="1868"/>
      <c r="AFV10" s="1868"/>
      <c r="AFW10" s="1868"/>
      <c r="AFX10" s="1868"/>
      <c r="AFY10" s="1868"/>
      <c r="AFZ10" s="1868"/>
      <c r="AGA10" s="1868"/>
      <c r="AGB10" s="1868"/>
      <c r="AGC10" s="1868"/>
      <c r="AGD10" s="1868"/>
      <c r="AGE10" s="1868"/>
      <c r="AGF10" s="1868"/>
      <c r="AGG10" s="1868"/>
      <c r="AGH10" s="1868"/>
      <c r="AGI10" s="1868"/>
      <c r="AGJ10" s="1868"/>
      <c r="AGK10" s="1868"/>
      <c r="AGL10" s="1868"/>
      <c r="AGM10" s="1868"/>
      <c r="AGN10" s="1868"/>
      <c r="AGO10" s="1868"/>
      <c r="AGP10" s="1868"/>
      <c r="AGQ10" s="1868"/>
      <c r="AGR10" s="1868"/>
      <c r="AGS10" s="1868"/>
      <c r="AGT10" s="1868"/>
      <c r="AGU10" s="1868"/>
      <c r="AGV10" s="1868"/>
      <c r="AGW10" s="1868"/>
      <c r="AGX10" s="1868"/>
      <c r="AGY10" s="1868"/>
      <c r="AGZ10" s="1868"/>
      <c r="AHA10" s="1868"/>
      <c r="AHB10" s="1868"/>
      <c r="AHC10" s="1868"/>
      <c r="AHD10" s="1868"/>
      <c r="AHE10" s="1868"/>
      <c r="AHF10" s="1868"/>
      <c r="AHG10" s="1868"/>
      <c r="AHH10" s="1868"/>
      <c r="AHI10" s="1868"/>
      <c r="AHJ10" s="1868"/>
      <c r="AHK10" s="1868"/>
      <c r="AHL10" s="1868"/>
      <c r="AHM10" s="1868"/>
      <c r="AHN10" s="1868"/>
      <c r="AHO10" s="1868"/>
      <c r="AHP10" s="1868"/>
      <c r="AHQ10" s="1868"/>
      <c r="AHR10" s="1868"/>
      <c r="AHS10" s="1868"/>
      <c r="AHT10" s="1868"/>
      <c r="AHU10" s="1868"/>
      <c r="AHV10" s="1868"/>
      <c r="AHW10" s="1868"/>
      <c r="AHX10" s="1868"/>
      <c r="AHY10" s="1868"/>
      <c r="AHZ10" s="1868"/>
      <c r="AIA10" s="1868"/>
      <c r="AIB10" s="1868"/>
      <c r="AIC10" s="1868"/>
      <c r="AID10" s="1868"/>
      <c r="AIE10" s="1868"/>
      <c r="AIF10" s="1868"/>
      <c r="AIG10" s="1868"/>
      <c r="AIH10" s="1868"/>
      <c r="AII10" s="1868"/>
      <c r="AIJ10" s="1868"/>
      <c r="AIK10" s="1868"/>
      <c r="AIL10" s="1868"/>
      <c r="AIM10" s="1868"/>
      <c r="AIN10" s="1868"/>
      <c r="AIO10" s="1868"/>
      <c r="AIP10" s="1868"/>
      <c r="AIQ10" s="1868"/>
      <c r="AIR10" s="1868"/>
      <c r="AIS10" s="1868"/>
      <c r="AIT10" s="1868"/>
      <c r="AIU10" s="1868"/>
      <c r="AIV10" s="1868"/>
      <c r="AIW10" s="1868"/>
      <c r="AIX10" s="1868"/>
      <c r="AIY10" s="1868"/>
      <c r="AIZ10" s="1868"/>
      <c r="AJA10" s="1868"/>
      <c r="AJB10" s="1868"/>
      <c r="AJC10" s="1868"/>
      <c r="AJD10" s="1868"/>
      <c r="AJE10" s="1868"/>
      <c r="AJF10" s="1868"/>
      <c r="AJG10" s="1868"/>
      <c r="AJH10" s="1868"/>
      <c r="AJI10" s="1868"/>
      <c r="AJJ10" s="1868"/>
      <c r="AJK10" s="1868"/>
      <c r="AJL10" s="1868"/>
      <c r="AJM10" s="1868"/>
      <c r="AJN10" s="1868"/>
      <c r="AJO10" s="1868"/>
      <c r="AJP10" s="1868"/>
      <c r="AJQ10" s="1868"/>
      <c r="AJR10" s="1868"/>
      <c r="AJS10" s="1868"/>
      <c r="AJT10" s="1868"/>
      <c r="AJU10" s="1868"/>
      <c r="AJV10" s="1868"/>
      <c r="AJW10" s="1868"/>
      <c r="AJX10" s="1868"/>
      <c r="AJY10" s="1868"/>
      <c r="AJZ10" s="1868"/>
      <c r="AKA10" s="1868"/>
      <c r="AKB10" s="1868"/>
      <c r="AKC10" s="1868"/>
      <c r="AKD10" s="1868"/>
      <c r="AKE10" s="1868"/>
      <c r="AKF10" s="1868"/>
      <c r="AKG10" s="1868"/>
      <c r="AKH10" s="1868"/>
      <c r="AKI10" s="1868"/>
      <c r="AKJ10" s="1868"/>
      <c r="AKK10" s="1868"/>
      <c r="AKL10" s="1868"/>
      <c r="AKM10" s="1868"/>
      <c r="AKN10" s="1868"/>
      <c r="AKO10" s="1868"/>
      <c r="AKP10" s="1868"/>
      <c r="AKQ10" s="1868"/>
      <c r="AKR10" s="1868"/>
      <c r="AKS10" s="1868"/>
      <c r="AKT10" s="1868"/>
      <c r="AKU10" s="1868"/>
      <c r="AKV10" s="1868"/>
      <c r="AKW10" s="1868"/>
      <c r="AKX10" s="1868"/>
      <c r="AKY10" s="1868"/>
      <c r="AKZ10" s="1868"/>
      <c r="ALA10" s="1868"/>
      <c r="ALB10" s="1868"/>
      <c r="ALC10" s="1868"/>
      <c r="ALD10" s="1868"/>
      <c r="ALE10" s="1868"/>
      <c r="ALF10" s="1868"/>
      <c r="ALG10" s="1868"/>
      <c r="ALH10" s="1868"/>
      <c r="ALI10" s="1868"/>
      <c r="ALJ10" s="1868"/>
      <c r="ALK10" s="1868"/>
      <c r="ALL10" s="1868"/>
      <c r="ALM10" s="1868"/>
      <c r="ALN10" s="1868"/>
      <c r="ALO10" s="1868"/>
      <c r="ALP10" s="1868"/>
      <c r="ALQ10" s="1868"/>
      <c r="ALR10" s="1868"/>
      <c r="ALS10" s="1868"/>
      <c r="ALT10" s="1868"/>
      <c r="ALU10" s="1868"/>
      <c r="ALV10" s="1868"/>
      <c r="ALW10" s="1868"/>
      <c r="ALX10" s="1868"/>
      <c r="ALY10" s="1868"/>
      <c r="ALZ10" s="1868"/>
      <c r="AMA10" s="1868"/>
      <c r="AMB10" s="1868"/>
      <c r="AMC10" s="1868"/>
      <c r="AMD10" s="1868"/>
      <c r="AME10" s="1868"/>
      <c r="AMF10" s="1868"/>
      <c r="AMG10" s="1868"/>
      <c r="AMH10" s="1868"/>
      <c r="AMI10" s="1868"/>
      <c r="AMJ10" s="1868"/>
      <c r="AMK10" s="1868"/>
      <c r="AML10" s="1868"/>
      <c r="AMM10" s="1868"/>
      <c r="AMN10" s="1868"/>
      <c r="AMO10" s="1868"/>
      <c r="AMP10" s="1868"/>
      <c r="AMQ10" s="1868"/>
      <c r="AMR10" s="1868"/>
      <c r="AMS10" s="1868"/>
      <c r="AMT10" s="1868"/>
      <c r="AMU10" s="1868"/>
      <c r="AMV10" s="1868"/>
      <c r="AMW10" s="1868"/>
      <c r="AMX10" s="1868"/>
      <c r="AMY10" s="1868"/>
      <c r="AMZ10" s="1868"/>
      <c r="ANA10" s="1868"/>
      <c r="ANB10" s="1868"/>
      <c r="ANC10" s="1868"/>
      <c r="AND10" s="1868"/>
      <c r="ANE10" s="1868"/>
      <c r="ANF10" s="1868"/>
      <c r="ANG10" s="1868"/>
      <c r="ANH10" s="1868"/>
      <c r="ANI10" s="1868"/>
      <c r="ANJ10" s="1868"/>
      <c r="ANK10" s="1868"/>
      <c r="ANL10" s="1868"/>
      <c r="ANM10" s="1868"/>
      <c r="ANN10" s="1868"/>
      <c r="ANO10" s="1868"/>
      <c r="ANP10" s="1868"/>
      <c r="ANQ10" s="1868"/>
      <c r="ANR10" s="1868"/>
      <c r="ANS10" s="1868"/>
      <c r="ANT10" s="1868"/>
      <c r="ANU10" s="1868"/>
      <c r="ANV10" s="1868"/>
      <c r="ANW10" s="1868"/>
      <c r="ANX10" s="1868"/>
      <c r="ANY10" s="1868"/>
      <c r="ANZ10" s="1868"/>
      <c r="AOA10" s="1868"/>
      <c r="AOB10" s="1868"/>
      <c r="AOC10" s="1868"/>
      <c r="AOD10" s="1868"/>
      <c r="AOE10" s="1868"/>
      <c r="AOF10" s="1868"/>
      <c r="AOG10" s="1868"/>
      <c r="AOH10" s="1868"/>
      <c r="AOI10" s="1868"/>
      <c r="AOJ10" s="1868"/>
      <c r="AOK10" s="1868"/>
      <c r="AOL10" s="1868"/>
      <c r="AOM10" s="1868"/>
      <c r="AON10" s="1868"/>
      <c r="AOO10" s="1868"/>
      <c r="AOP10" s="1868"/>
      <c r="AOQ10" s="1868"/>
      <c r="AOR10" s="1868"/>
      <c r="AOS10" s="1868"/>
      <c r="AOT10" s="1868"/>
      <c r="AOU10" s="1868"/>
      <c r="AOV10" s="1868"/>
      <c r="AOW10" s="1868"/>
      <c r="AOX10" s="1868"/>
      <c r="AOY10" s="1868"/>
      <c r="AOZ10" s="1868"/>
      <c r="APA10" s="1868"/>
      <c r="APB10" s="1868"/>
      <c r="APC10" s="1868"/>
      <c r="APD10" s="1868"/>
      <c r="APE10" s="1868"/>
      <c r="APF10" s="1868"/>
      <c r="APG10" s="1868"/>
      <c r="APH10" s="1868"/>
      <c r="API10" s="1868"/>
      <c r="APJ10" s="1868"/>
      <c r="APK10" s="1868"/>
      <c r="APL10" s="1868"/>
      <c r="APM10" s="1868"/>
      <c r="APN10" s="1868"/>
      <c r="APO10" s="1868"/>
      <c r="APP10" s="1868"/>
      <c r="APQ10" s="1868"/>
      <c r="APR10" s="1868"/>
      <c r="APS10" s="1868"/>
      <c r="APT10" s="1868"/>
      <c r="APU10" s="1868"/>
      <c r="APV10" s="1868"/>
      <c r="APW10" s="1868"/>
      <c r="APX10" s="1868"/>
      <c r="APY10" s="1868"/>
      <c r="APZ10" s="1868"/>
      <c r="AQA10" s="1868"/>
      <c r="AQB10" s="1868"/>
      <c r="AQC10" s="1868"/>
      <c r="AQD10" s="1868"/>
      <c r="AQE10" s="1868"/>
      <c r="AQF10" s="1868"/>
      <c r="AQG10" s="1868"/>
      <c r="AQH10" s="1868"/>
      <c r="AQI10" s="1868"/>
      <c r="AQJ10" s="1868"/>
      <c r="AQK10" s="1868"/>
      <c r="AQL10" s="1868"/>
      <c r="AQM10" s="1868"/>
      <c r="AQN10" s="1868"/>
      <c r="AQO10" s="1868"/>
      <c r="AQP10" s="1868"/>
      <c r="AQQ10" s="1868"/>
      <c r="AQR10" s="1868"/>
      <c r="AQS10" s="1868"/>
      <c r="AQT10" s="1868"/>
      <c r="AQU10" s="1868"/>
      <c r="AQV10" s="1868"/>
      <c r="AQW10" s="1868"/>
      <c r="AQX10" s="1868"/>
      <c r="AQY10" s="1868"/>
      <c r="AQZ10" s="1868"/>
      <c r="ARA10" s="1868"/>
      <c r="ARB10" s="1868"/>
      <c r="ARC10" s="1868"/>
      <c r="ARD10" s="1868"/>
      <c r="ARE10" s="1868"/>
      <c r="ARF10" s="1868"/>
      <c r="ARG10" s="1868"/>
      <c r="ARH10" s="1868"/>
      <c r="ARI10" s="1868"/>
      <c r="ARJ10" s="1868"/>
      <c r="ARK10" s="1868"/>
      <c r="ARL10" s="1868"/>
      <c r="ARM10" s="1868"/>
      <c r="ARN10" s="1868"/>
      <c r="ARO10" s="1868"/>
      <c r="ARP10" s="1868"/>
      <c r="ARQ10" s="1868"/>
      <c r="ARR10" s="1868"/>
      <c r="ARS10" s="1868"/>
      <c r="ART10" s="1868"/>
      <c r="ARU10" s="1868"/>
      <c r="ARV10" s="1868"/>
      <c r="ARW10" s="1868"/>
      <c r="ARX10" s="1868"/>
      <c r="ARY10" s="1868"/>
      <c r="ARZ10" s="1868"/>
      <c r="ASA10" s="1868"/>
      <c r="ASB10" s="1868"/>
      <c r="ASC10" s="1868"/>
      <c r="ASD10" s="1868"/>
      <c r="ASE10" s="1868"/>
      <c r="ASF10" s="1868"/>
      <c r="ASG10" s="1868"/>
      <c r="ASH10" s="1868"/>
      <c r="ASI10" s="1868"/>
      <c r="ASJ10" s="1868"/>
      <c r="ASK10" s="1868"/>
      <c r="ASL10" s="1868"/>
      <c r="ASM10" s="1868"/>
      <c r="ASN10" s="1868"/>
      <c r="ASO10" s="1868"/>
      <c r="ASP10" s="1868"/>
      <c r="ASQ10" s="1868"/>
      <c r="ASR10" s="1868"/>
      <c r="ASS10" s="1868"/>
      <c r="AST10" s="1868"/>
      <c r="ASU10" s="1868"/>
      <c r="ASV10" s="1868"/>
      <c r="ASW10" s="1868"/>
      <c r="ASX10" s="1868"/>
      <c r="ASY10" s="1868"/>
      <c r="ASZ10" s="1868"/>
      <c r="ATA10" s="1868"/>
      <c r="ATB10" s="1868"/>
      <c r="ATC10" s="1868"/>
      <c r="ATD10" s="1868"/>
      <c r="ATE10" s="1868"/>
      <c r="ATF10" s="1868"/>
      <c r="ATG10" s="1868"/>
      <c r="ATH10" s="1868"/>
      <c r="ATI10" s="1868"/>
      <c r="ATJ10" s="1868"/>
      <c r="ATK10" s="1868"/>
      <c r="ATL10" s="1868"/>
      <c r="ATM10" s="1868"/>
      <c r="ATN10" s="1868"/>
      <c r="ATO10" s="1868"/>
      <c r="ATP10" s="1868"/>
      <c r="ATQ10" s="1868"/>
      <c r="ATR10" s="1868"/>
      <c r="ATS10" s="1868"/>
      <c r="ATT10" s="1868"/>
      <c r="ATU10" s="1868"/>
      <c r="ATV10" s="1868"/>
      <c r="ATW10" s="1868"/>
      <c r="ATX10" s="1868"/>
      <c r="ATY10" s="1868"/>
      <c r="ATZ10" s="1868"/>
      <c r="AUA10" s="1868"/>
      <c r="AUB10" s="1868"/>
      <c r="AUC10" s="1868"/>
      <c r="AUD10" s="1868"/>
      <c r="AUE10" s="1868"/>
      <c r="AUF10" s="1868"/>
      <c r="AUG10" s="1868"/>
      <c r="AUH10" s="1868"/>
      <c r="AUI10" s="1868"/>
      <c r="AUJ10" s="1868"/>
      <c r="AUK10" s="1868"/>
      <c r="AUL10" s="1868"/>
      <c r="AUM10" s="1868"/>
      <c r="AUN10" s="1868"/>
      <c r="AUO10" s="1868"/>
      <c r="AUP10" s="1868"/>
      <c r="AUQ10" s="1868"/>
      <c r="AUR10" s="1868"/>
      <c r="AUS10" s="1868"/>
      <c r="AUT10" s="1868"/>
      <c r="AUU10" s="1868"/>
      <c r="AUV10" s="1868"/>
      <c r="AUW10" s="1868"/>
      <c r="AUX10" s="1868"/>
      <c r="AUY10" s="1868"/>
      <c r="AUZ10" s="1868"/>
      <c r="AVA10" s="1868"/>
      <c r="AVB10" s="1868"/>
      <c r="AVC10" s="1868"/>
      <c r="AVD10" s="1868"/>
      <c r="AVE10" s="1868"/>
      <c r="AVF10" s="1868"/>
      <c r="AVG10" s="1868"/>
      <c r="AVH10" s="1868"/>
      <c r="AVI10" s="1868"/>
      <c r="AVJ10" s="1868"/>
      <c r="AVK10" s="1868"/>
      <c r="AVL10" s="1868"/>
      <c r="AVM10" s="1868"/>
      <c r="AVN10" s="1868"/>
      <c r="AVO10" s="1868"/>
      <c r="AVP10" s="1868"/>
      <c r="AVQ10" s="1868"/>
      <c r="AVR10" s="1868"/>
      <c r="AVS10" s="1868"/>
      <c r="AVT10" s="1868"/>
      <c r="AVU10" s="1868"/>
      <c r="AVV10" s="1868"/>
      <c r="AVW10" s="1868"/>
      <c r="AVX10" s="1868"/>
      <c r="AVY10" s="1868"/>
      <c r="AVZ10" s="1868"/>
      <c r="AWA10" s="1868"/>
      <c r="AWB10" s="1868"/>
      <c r="AWC10" s="1868"/>
      <c r="AWD10" s="1868"/>
      <c r="AWE10" s="1868"/>
      <c r="AWF10" s="1868"/>
      <c r="AWG10" s="1868"/>
      <c r="AWH10" s="1868"/>
      <c r="AWI10" s="1868"/>
      <c r="AWJ10" s="1868"/>
      <c r="AWK10" s="1868"/>
      <c r="AWL10" s="1868"/>
      <c r="AWM10" s="1868"/>
      <c r="AWN10" s="1868"/>
      <c r="AWO10" s="1868"/>
      <c r="AWP10" s="1868"/>
      <c r="AWQ10" s="1868"/>
    </row>
    <row r="11" spans="1:1291" s="1868" customFormat="1" ht="30" customHeight="1" thickBot="1" x14ac:dyDescent="0.25">
      <c r="A11" s="1963" t="s">
        <v>2325</v>
      </c>
      <c r="B11" s="1988" t="s">
        <v>939</v>
      </c>
      <c r="C11" s="1693" t="s">
        <v>911</v>
      </c>
      <c r="D11" s="1880"/>
      <c r="E11" s="1984"/>
      <c r="F11" s="1865"/>
      <c r="G11" s="1866"/>
      <c r="H11" s="1866"/>
      <c r="I11" s="1866"/>
      <c r="J11" s="1866"/>
      <c r="K11" s="1866"/>
      <c r="L11" s="1866"/>
      <c r="M11" s="1866"/>
      <c r="N11" s="1866"/>
      <c r="O11" s="1866"/>
      <c r="P11" s="1866"/>
      <c r="Q11" s="1866"/>
      <c r="R11" s="1866"/>
      <c r="S11" s="1866"/>
      <c r="T11" s="1866"/>
      <c r="U11" s="1866"/>
      <c r="V11" s="1866"/>
      <c r="W11" s="1866"/>
      <c r="X11" s="1866"/>
      <c r="Y11" s="1866"/>
      <c r="Z11" s="1866"/>
      <c r="AA11" s="1866"/>
      <c r="AB11" s="1866"/>
      <c r="AC11" s="1866"/>
      <c r="AD11" s="1866"/>
      <c r="AE11" s="1866"/>
      <c r="AF11" s="1866"/>
      <c r="AG11" s="1866"/>
      <c r="AH11" s="1866"/>
      <c r="AI11" s="1866"/>
      <c r="AJ11" s="1866"/>
      <c r="AK11" s="1866"/>
      <c r="AL11" s="1866"/>
      <c r="AM11" s="1866"/>
      <c r="AN11" s="1866"/>
      <c r="AO11" s="1866"/>
      <c r="AP11" s="1866"/>
      <c r="AQ11" s="1866"/>
      <c r="AR11" s="1866"/>
      <c r="AS11" s="1866"/>
      <c r="AT11" s="1866"/>
      <c r="AU11" s="1866"/>
      <c r="AV11" s="1866"/>
      <c r="AW11" s="1866"/>
      <c r="AX11" s="1866"/>
      <c r="AY11" s="1866"/>
      <c r="AZ11" s="1866"/>
      <c r="BA11" s="1866"/>
      <c r="BB11" s="1866"/>
      <c r="BC11" s="1866"/>
      <c r="BD11" s="1866"/>
      <c r="BE11" s="1866"/>
      <c r="BF11" s="1866"/>
      <c r="BG11" s="1866"/>
      <c r="BH11" s="1866"/>
      <c r="BI11" s="1866"/>
      <c r="BJ11" s="1866"/>
      <c r="BK11" s="1866"/>
      <c r="BL11" s="1866"/>
      <c r="BM11" s="1866"/>
      <c r="BN11" s="1866"/>
      <c r="BO11" s="1866"/>
      <c r="BP11" s="1866"/>
      <c r="BQ11" s="1866"/>
      <c r="BR11" s="1866"/>
      <c r="BS11" s="1866"/>
      <c r="BT11" s="1866"/>
      <c r="BU11" s="1866"/>
      <c r="BV11" s="1866"/>
      <c r="BW11" s="1866"/>
      <c r="BX11" s="1866"/>
      <c r="BY11" s="1866"/>
      <c r="BZ11" s="1866"/>
      <c r="CA11" s="1866"/>
      <c r="CB11" s="1866"/>
      <c r="CC11" s="1866"/>
      <c r="CD11" s="1866"/>
      <c r="CE11" s="1866"/>
      <c r="CF11" s="1866"/>
      <c r="CG11" s="1866"/>
      <c r="CH11" s="1866"/>
      <c r="CI11" s="1866"/>
      <c r="CJ11" s="1866"/>
      <c r="CK11" s="1866"/>
      <c r="CL11" s="1866"/>
      <c r="CM11" s="1866"/>
      <c r="CN11" s="1866"/>
      <c r="CO11" s="1866"/>
      <c r="CP11" s="1866"/>
      <c r="CQ11" s="1866"/>
      <c r="CR11" s="1866"/>
      <c r="CS11" s="1866"/>
      <c r="CT11" s="1866"/>
      <c r="CU11" s="1866"/>
      <c r="CV11" s="1866"/>
      <c r="CW11" s="1866"/>
      <c r="CX11" s="1866"/>
      <c r="CY11" s="1866"/>
      <c r="CZ11" s="1866"/>
      <c r="DA11" s="1866"/>
      <c r="DB11" s="1866"/>
      <c r="DC11" s="1866"/>
      <c r="DD11" s="1866"/>
      <c r="DE11" s="1866"/>
      <c r="DF11" s="1866"/>
      <c r="DG11" s="1866"/>
      <c r="DH11" s="1866"/>
      <c r="DI11" s="1866"/>
      <c r="DJ11" s="1866"/>
      <c r="DK11" s="1866"/>
      <c r="DL11" s="1866"/>
      <c r="DM11" s="1866"/>
      <c r="DN11" s="1866"/>
      <c r="DO11" s="1866"/>
      <c r="DP11" s="1866"/>
      <c r="DQ11" s="1866"/>
      <c r="DR11" s="1866"/>
      <c r="DS11" s="1866"/>
      <c r="DT11" s="1866"/>
      <c r="DU11" s="1866"/>
      <c r="DV11" s="1866"/>
      <c r="DW11" s="1866"/>
      <c r="DX11" s="1866"/>
      <c r="DY11" s="1866"/>
      <c r="DZ11" s="1866"/>
      <c r="EA11" s="1866"/>
      <c r="EB11" s="1866"/>
      <c r="EC11" s="1866"/>
      <c r="ED11" s="1866"/>
      <c r="EE11" s="1866"/>
      <c r="EF11" s="1866"/>
      <c r="EG11" s="1866"/>
      <c r="EH11" s="1866"/>
      <c r="EI11" s="1866"/>
      <c r="EJ11" s="1866"/>
      <c r="EK11" s="1866"/>
      <c r="EL11" s="1866"/>
      <c r="EM11" s="1866"/>
      <c r="EN11" s="1866"/>
      <c r="EO11" s="1866"/>
      <c r="EP11" s="1866"/>
      <c r="EQ11" s="1866"/>
      <c r="ER11" s="1866"/>
      <c r="ES11" s="1866"/>
      <c r="ET11" s="1866"/>
      <c r="EU11" s="1866"/>
      <c r="EV11" s="1866"/>
      <c r="EW11" s="1866"/>
      <c r="EX11" s="1866"/>
      <c r="EY11" s="1866"/>
      <c r="EZ11" s="1866"/>
      <c r="FA11" s="1866"/>
      <c r="FB11" s="1866"/>
      <c r="FC11" s="1866"/>
      <c r="FD11" s="1866"/>
      <c r="FE11" s="1866"/>
      <c r="FF11" s="1866"/>
      <c r="FG11" s="1866"/>
      <c r="FH11" s="1866"/>
      <c r="FI11" s="1866"/>
      <c r="FJ11" s="1866"/>
      <c r="FK11" s="1866"/>
      <c r="FL11" s="1866"/>
      <c r="FM11" s="1866"/>
      <c r="FN11" s="1866"/>
      <c r="FO11" s="1866"/>
      <c r="FP11" s="1866"/>
      <c r="FQ11" s="1866"/>
      <c r="FR11" s="1866"/>
      <c r="FS11" s="1866"/>
      <c r="FT11" s="1866"/>
      <c r="FU11" s="1866"/>
      <c r="FV11" s="1866"/>
      <c r="FW11" s="1866"/>
      <c r="FX11" s="1866"/>
      <c r="FY11" s="1866"/>
      <c r="FZ11" s="1866"/>
      <c r="GA11" s="1866"/>
      <c r="GB11" s="1866"/>
      <c r="GC11" s="1866"/>
      <c r="GD11" s="1866"/>
      <c r="GE11" s="1866"/>
      <c r="GF11" s="1866"/>
      <c r="GG11" s="1866"/>
      <c r="GH11" s="1866"/>
      <c r="GI11" s="1866"/>
      <c r="GJ11" s="1866"/>
      <c r="GK11" s="1866"/>
      <c r="GL11" s="1866"/>
      <c r="GM11" s="1866"/>
      <c r="GN11" s="1866"/>
      <c r="GO11" s="1866"/>
      <c r="GP11" s="1866"/>
      <c r="GQ11" s="1866"/>
      <c r="GR11" s="1866"/>
      <c r="GS11" s="1866"/>
      <c r="GT11" s="1866"/>
      <c r="GU11" s="1866"/>
      <c r="GV11" s="1866"/>
      <c r="GW11" s="1866"/>
      <c r="GX11" s="1866"/>
      <c r="GY11" s="1866"/>
      <c r="GZ11" s="1866"/>
      <c r="HA11" s="1866"/>
      <c r="HB11" s="1866"/>
      <c r="HC11" s="1866"/>
      <c r="HD11" s="1866"/>
      <c r="HE11" s="1866"/>
    </row>
    <row r="12" spans="1:1291" s="1868" customFormat="1" ht="15" customHeight="1" x14ac:dyDescent="0.2">
      <c r="A12" s="1964"/>
      <c r="B12" s="1989"/>
      <c r="C12" s="1814" t="s">
        <v>750</v>
      </c>
      <c r="D12" s="1882"/>
      <c r="E12" s="1984"/>
      <c r="F12" s="1837">
        <v>0</v>
      </c>
      <c r="G12" s="1803">
        <v>0</v>
      </c>
      <c r="H12" s="1803">
        <v>0</v>
      </c>
      <c r="I12" s="1803">
        <v>0</v>
      </c>
      <c r="J12" s="1803">
        <v>0</v>
      </c>
      <c r="K12" s="1803">
        <v>0</v>
      </c>
      <c r="L12" s="1803">
        <v>0</v>
      </c>
      <c r="M12" s="1803">
        <v>0</v>
      </c>
      <c r="N12" s="1803">
        <v>0</v>
      </c>
      <c r="O12" s="1803">
        <v>0</v>
      </c>
      <c r="P12" s="1803">
        <v>0</v>
      </c>
      <c r="Q12" s="1803">
        <v>0</v>
      </c>
      <c r="R12" s="1803">
        <v>0</v>
      </c>
      <c r="S12" s="1803">
        <v>0</v>
      </c>
      <c r="T12" s="1803">
        <v>0</v>
      </c>
      <c r="U12" s="1803">
        <v>0</v>
      </c>
      <c r="V12" s="1803">
        <v>0</v>
      </c>
      <c r="W12" s="1803">
        <v>0</v>
      </c>
      <c r="X12" s="1803">
        <v>0</v>
      </c>
      <c r="Y12" s="1803">
        <v>0</v>
      </c>
      <c r="Z12" s="1803">
        <v>0</v>
      </c>
      <c r="AA12" s="1803">
        <v>0</v>
      </c>
      <c r="AB12" s="1803">
        <v>0</v>
      </c>
      <c r="AC12" s="1803">
        <v>0</v>
      </c>
      <c r="AD12" s="1803">
        <v>0</v>
      </c>
      <c r="AE12" s="1803">
        <v>0</v>
      </c>
      <c r="AF12" s="1803">
        <v>0</v>
      </c>
      <c r="AG12" s="1803">
        <v>0</v>
      </c>
      <c r="AH12" s="1803">
        <v>0</v>
      </c>
      <c r="AI12" s="1803">
        <v>0</v>
      </c>
      <c r="AJ12" s="1803">
        <v>0</v>
      </c>
      <c r="AK12" s="1803">
        <v>0</v>
      </c>
      <c r="AL12" s="1803">
        <v>0</v>
      </c>
      <c r="AM12" s="1803">
        <v>0</v>
      </c>
      <c r="AN12" s="1803">
        <v>0</v>
      </c>
      <c r="AO12" s="1803">
        <v>0</v>
      </c>
      <c r="AP12" s="1803">
        <v>0</v>
      </c>
      <c r="AQ12" s="1803">
        <v>0</v>
      </c>
      <c r="AR12" s="1803">
        <v>0</v>
      </c>
      <c r="AS12" s="1803">
        <v>0</v>
      </c>
      <c r="AT12" s="1803">
        <v>0</v>
      </c>
      <c r="AU12" s="1803">
        <v>0</v>
      </c>
      <c r="AV12" s="1803">
        <v>0</v>
      </c>
      <c r="AW12" s="1803">
        <v>0</v>
      </c>
      <c r="AX12" s="1803">
        <v>0</v>
      </c>
      <c r="AY12" s="1803">
        <v>0</v>
      </c>
      <c r="AZ12" s="1803">
        <v>0</v>
      </c>
      <c r="BA12" s="1803">
        <v>0</v>
      </c>
      <c r="BB12" s="1803">
        <v>0</v>
      </c>
      <c r="BC12" s="1803">
        <v>0</v>
      </c>
      <c r="BD12" s="1803">
        <v>0</v>
      </c>
      <c r="BE12" s="1803">
        <v>0</v>
      </c>
      <c r="BF12" s="1803">
        <v>0</v>
      </c>
      <c r="BG12" s="1803">
        <v>0</v>
      </c>
      <c r="BH12" s="1803">
        <v>0</v>
      </c>
      <c r="BI12" s="1803">
        <v>0</v>
      </c>
      <c r="BJ12" s="1803">
        <v>0</v>
      </c>
      <c r="BK12" s="1803">
        <v>0</v>
      </c>
      <c r="BL12" s="1803">
        <v>0</v>
      </c>
      <c r="BM12" s="1803">
        <v>0</v>
      </c>
      <c r="BN12" s="1803">
        <v>0</v>
      </c>
      <c r="BO12" s="1803">
        <v>0</v>
      </c>
      <c r="BP12" s="1803">
        <v>0</v>
      </c>
      <c r="BQ12" s="1803">
        <v>0</v>
      </c>
      <c r="BR12" s="1803">
        <v>0</v>
      </c>
      <c r="BS12" s="1803">
        <v>0</v>
      </c>
      <c r="BT12" s="1803">
        <v>0</v>
      </c>
      <c r="BU12" s="1803">
        <v>0</v>
      </c>
      <c r="BV12" s="1803">
        <v>0</v>
      </c>
      <c r="BW12" s="1803">
        <v>0</v>
      </c>
      <c r="BX12" s="1803">
        <v>0</v>
      </c>
      <c r="BY12" s="1803">
        <v>0</v>
      </c>
      <c r="BZ12" s="1803">
        <v>0</v>
      </c>
      <c r="CA12" s="1803">
        <v>0</v>
      </c>
      <c r="CB12" s="1803">
        <v>0</v>
      </c>
      <c r="CC12" s="1803">
        <v>0</v>
      </c>
      <c r="CD12" s="1803">
        <v>0</v>
      </c>
      <c r="CE12" s="1803">
        <v>0</v>
      </c>
      <c r="CF12" s="1803">
        <v>0</v>
      </c>
      <c r="CG12" s="1803">
        <v>0</v>
      </c>
      <c r="CH12" s="1803">
        <v>0</v>
      </c>
      <c r="CI12" s="1803">
        <v>0</v>
      </c>
      <c r="CJ12" s="1803">
        <v>0</v>
      </c>
      <c r="CK12" s="1803">
        <v>0</v>
      </c>
      <c r="CL12" s="1803">
        <v>0</v>
      </c>
      <c r="CM12" s="1803">
        <v>0</v>
      </c>
      <c r="CN12" s="1803">
        <v>0</v>
      </c>
      <c r="CO12" s="1803">
        <v>0</v>
      </c>
      <c r="CP12" s="1803">
        <v>0</v>
      </c>
      <c r="CQ12" s="1803">
        <v>0</v>
      </c>
      <c r="CR12" s="1803">
        <v>0</v>
      </c>
      <c r="CS12" s="1803">
        <v>0</v>
      </c>
      <c r="CT12" s="1803">
        <v>0</v>
      </c>
      <c r="CU12" s="1803">
        <v>0</v>
      </c>
      <c r="CV12" s="1803">
        <v>0</v>
      </c>
      <c r="CW12" s="1803">
        <v>0</v>
      </c>
      <c r="CX12" s="1803">
        <v>0</v>
      </c>
      <c r="CY12" s="1803">
        <v>0</v>
      </c>
      <c r="CZ12" s="1803">
        <v>0</v>
      </c>
      <c r="DA12" s="1803">
        <v>0</v>
      </c>
      <c r="DB12" s="1803">
        <v>0</v>
      </c>
      <c r="DC12" s="1803">
        <v>0</v>
      </c>
      <c r="DD12" s="1803">
        <v>0</v>
      </c>
      <c r="DE12" s="1803">
        <v>0</v>
      </c>
      <c r="DF12" s="1803">
        <v>0</v>
      </c>
      <c r="DG12" s="1803">
        <v>0</v>
      </c>
      <c r="DH12" s="1803">
        <v>0</v>
      </c>
      <c r="DI12" s="1803">
        <v>0</v>
      </c>
      <c r="DJ12" s="1803">
        <v>0</v>
      </c>
      <c r="DK12" s="1803">
        <v>0</v>
      </c>
      <c r="DL12" s="1803">
        <v>0</v>
      </c>
      <c r="DM12" s="1803">
        <v>0</v>
      </c>
      <c r="DN12" s="1803">
        <v>0</v>
      </c>
      <c r="DO12" s="1803">
        <v>0</v>
      </c>
      <c r="DP12" s="1803">
        <v>0</v>
      </c>
      <c r="DQ12" s="1803">
        <v>0</v>
      </c>
      <c r="DR12" s="1803">
        <v>0</v>
      </c>
      <c r="DS12" s="1803">
        <v>0</v>
      </c>
      <c r="DT12" s="1803">
        <v>0</v>
      </c>
      <c r="DU12" s="1803">
        <v>0</v>
      </c>
      <c r="DV12" s="1803">
        <v>0</v>
      </c>
      <c r="DW12" s="1803">
        <v>0</v>
      </c>
      <c r="DX12" s="1803">
        <v>0</v>
      </c>
      <c r="DY12" s="1803">
        <v>0</v>
      </c>
      <c r="DZ12" s="1803">
        <v>0</v>
      </c>
      <c r="EA12" s="1803">
        <v>0</v>
      </c>
      <c r="EB12" s="1803">
        <v>0</v>
      </c>
      <c r="EC12" s="1803">
        <v>0</v>
      </c>
      <c r="ED12" s="1803">
        <v>0</v>
      </c>
      <c r="EE12" s="1803">
        <v>0</v>
      </c>
      <c r="EF12" s="1803">
        <v>0</v>
      </c>
      <c r="EG12" s="1803">
        <v>0</v>
      </c>
      <c r="EH12" s="1803">
        <v>0</v>
      </c>
      <c r="EI12" s="1803">
        <v>0</v>
      </c>
      <c r="EJ12" s="1803">
        <v>0</v>
      </c>
      <c r="EK12" s="1803">
        <v>0</v>
      </c>
      <c r="EL12" s="1803">
        <v>0</v>
      </c>
      <c r="EM12" s="1803">
        <v>0</v>
      </c>
      <c r="EN12" s="1803">
        <v>0</v>
      </c>
      <c r="EO12" s="1803">
        <v>0</v>
      </c>
      <c r="EP12" s="1803">
        <v>0</v>
      </c>
      <c r="EQ12" s="1803">
        <v>0</v>
      </c>
      <c r="ER12" s="1803">
        <v>0</v>
      </c>
      <c r="ES12" s="1803">
        <v>0</v>
      </c>
      <c r="ET12" s="1803">
        <v>0</v>
      </c>
      <c r="EU12" s="1803">
        <v>0</v>
      </c>
      <c r="EV12" s="1803">
        <v>0</v>
      </c>
      <c r="EW12" s="1803">
        <v>0</v>
      </c>
      <c r="EX12" s="1803">
        <v>0</v>
      </c>
      <c r="EY12" s="1803">
        <v>0</v>
      </c>
      <c r="EZ12" s="1803">
        <v>0</v>
      </c>
      <c r="FA12" s="1803">
        <v>0</v>
      </c>
      <c r="FB12" s="1803">
        <v>0</v>
      </c>
      <c r="FC12" s="1803">
        <v>0</v>
      </c>
      <c r="FD12" s="1803">
        <v>0</v>
      </c>
      <c r="FE12" s="1803">
        <v>0</v>
      </c>
      <c r="FF12" s="1803">
        <v>0</v>
      </c>
      <c r="FG12" s="1803">
        <v>0</v>
      </c>
      <c r="FH12" s="1803">
        <v>0</v>
      </c>
      <c r="FI12" s="1803">
        <v>0</v>
      </c>
      <c r="FJ12" s="1803">
        <v>0</v>
      </c>
      <c r="FK12" s="1803">
        <v>0</v>
      </c>
      <c r="FL12" s="1803">
        <v>0</v>
      </c>
      <c r="FM12" s="1803">
        <v>0</v>
      </c>
      <c r="FN12" s="1803">
        <v>0</v>
      </c>
      <c r="FO12" s="1803">
        <v>0</v>
      </c>
      <c r="FP12" s="1803">
        <v>0</v>
      </c>
      <c r="FQ12" s="1803">
        <v>0</v>
      </c>
      <c r="FR12" s="1803">
        <v>0</v>
      </c>
      <c r="FS12" s="1803">
        <v>0</v>
      </c>
      <c r="FT12" s="1803">
        <v>0</v>
      </c>
      <c r="FU12" s="1803">
        <v>0</v>
      </c>
      <c r="FV12" s="1803">
        <v>0</v>
      </c>
      <c r="FW12" s="1803">
        <v>0</v>
      </c>
      <c r="FX12" s="1803">
        <v>0</v>
      </c>
      <c r="FY12" s="1803">
        <v>0</v>
      </c>
      <c r="FZ12" s="1803">
        <v>0</v>
      </c>
      <c r="GA12" s="1803">
        <v>0</v>
      </c>
      <c r="GB12" s="1803">
        <v>0</v>
      </c>
      <c r="GC12" s="1803">
        <v>0</v>
      </c>
      <c r="GD12" s="1803">
        <v>0</v>
      </c>
      <c r="GE12" s="1803">
        <v>0</v>
      </c>
      <c r="GF12" s="1803">
        <v>0</v>
      </c>
      <c r="GG12" s="1803">
        <v>0</v>
      </c>
      <c r="GH12" s="1803">
        <v>0</v>
      </c>
      <c r="GI12" s="1803">
        <v>0</v>
      </c>
      <c r="GJ12" s="1803">
        <v>0</v>
      </c>
      <c r="GK12" s="1803">
        <v>0</v>
      </c>
      <c r="GL12" s="1803">
        <v>0</v>
      </c>
      <c r="GM12" s="1803">
        <v>0</v>
      </c>
      <c r="GN12" s="1803">
        <v>0</v>
      </c>
      <c r="GO12" s="1803">
        <v>0</v>
      </c>
      <c r="GP12" s="1803">
        <v>0</v>
      </c>
      <c r="GQ12" s="1803">
        <v>0</v>
      </c>
      <c r="GR12" s="1803">
        <v>0</v>
      </c>
      <c r="GS12" s="1803">
        <v>0</v>
      </c>
      <c r="GT12" s="1803">
        <v>0</v>
      </c>
      <c r="GU12" s="1803">
        <v>0</v>
      </c>
      <c r="GV12" s="1803">
        <v>0</v>
      </c>
      <c r="GW12" s="1803">
        <v>0</v>
      </c>
      <c r="GX12" s="1803">
        <v>0</v>
      </c>
      <c r="GY12" s="1803">
        <v>0</v>
      </c>
      <c r="GZ12" s="1803">
        <v>0</v>
      </c>
      <c r="HA12" s="1803">
        <v>0</v>
      </c>
      <c r="HB12" s="1803">
        <v>0</v>
      </c>
      <c r="HC12" s="1803">
        <v>0</v>
      </c>
      <c r="HD12" s="1803">
        <v>0</v>
      </c>
      <c r="HE12" s="1803">
        <v>0</v>
      </c>
      <c r="HF12" s="1864"/>
      <c r="HG12" s="1864"/>
      <c r="HH12" s="1864"/>
      <c r="HI12" s="1864"/>
      <c r="HJ12" s="1864"/>
      <c r="HK12" s="1864"/>
      <c r="HL12" s="1864"/>
      <c r="HM12" s="1864"/>
      <c r="HN12" s="1864"/>
      <c r="HO12" s="1864"/>
      <c r="HP12" s="1864"/>
      <c r="HQ12" s="1864"/>
      <c r="HR12" s="1864"/>
      <c r="HS12" s="1864"/>
      <c r="HT12" s="1864"/>
      <c r="HU12" s="1864"/>
      <c r="HV12" s="1864"/>
      <c r="HW12" s="1864"/>
      <c r="HX12" s="1864"/>
      <c r="HY12" s="1864"/>
      <c r="HZ12" s="1864"/>
      <c r="IA12" s="1864"/>
      <c r="IB12" s="1864"/>
      <c r="IC12" s="1864"/>
      <c r="ID12" s="1864"/>
      <c r="IE12" s="1864"/>
      <c r="IF12" s="1864"/>
      <c r="IG12" s="1864"/>
      <c r="IH12" s="1864"/>
      <c r="II12" s="1864"/>
      <c r="IJ12" s="1864"/>
      <c r="IK12" s="1864"/>
      <c r="IL12" s="1864"/>
      <c r="IM12" s="1864"/>
      <c r="IN12" s="1864"/>
      <c r="IO12" s="1864"/>
      <c r="IP12" s="1864"/>
      <c r="IQ12" s="1864"/>
      <c r="IR12" s="1864"/>
      <c r="IS12" s="1864"/>
      <c r="IT12" s="1864"/>
      <c r="IU12" s="1864"/>
      <c r="IV12" s="1864"/>
      <c r="IW12" s="1864"/>
      <c r="IX12" s="1864"/>
      <c r="IY12" s="1864"/>
      <c r="IZ12" s="1864"/>
      <c r="JA12" s="1864"/>
      <c r="JB12" s="1864"/>
      <c r="JC12" s="1864"/>
      <c r="JD12" s="1864"/>
      <c r="JE12" s="1864"/>
      <c r="JF12" s="1864"/>
      <c r="JG12" s="1864"/>
      <c r="JH12" s="1864"/>
      <c r="JI12" s="1864"/>
      <c r="JJ12" s="1864"/>
      <c r="JK12" s="1864"/>
      <c r="JL12" s="1864"/>
      <c r="JM12" s="1864"/>
      <c r="JN12" s="1864"/>
      <c r="JO12" s="1864"/>
      <c r="JP12" s="1864"/>
      <c r="JQ12" s="1864"/>
      <c r="JR12" s="1864"/>
      <c r="JS12" s="1864"/>
      <c r="JT12" s="1864"/>
      <c r="JU12" s="1864"/>
      <c r="JV12" s="1864"/>
      <c r="JW12" s="1864"/>
      <c r="JX12" s="1864"/>
      <c r="JY12" s="1864"/>
      <c r="JZ12" s="1864"/>
      <c r="KA12" s="1864"/>
      <c r="KB12" s="1864"/>
      <c r="KC12" s="1864"/>
      <c r="KD12" s="1864"/>
      <c r="KE12" s="1864"/>
      <c r="KF12" s="1864"/>
      <c r="KG12" s="1864"/>
      <c r="KH12" s="1864"/>
      <c r="KI12" s="1864"/>
      <c r="KJ12" s="1864"/>
      <c r="KK12" s="1864"/>
      <c r="KL12" s="1864"/>
      <c r="KM12" s="1864"/>
      <c r="KN12" s="1864"/>
      <c r="KO12" s="1864"/>
      <c r="KP12" s="1864"/>
      <c r="KQ12" s="1864"/>
      <c r="KR12" s="1864"/>
      <c r="KS12" s="1864"/>
      <c r="KT12" s="1864"/>
      <c r="KU12" s="1864"/>
      <c r="KV12" s="1864"/>
      <c r="KW12" s="1864"/>
      <c r="KX12" s="1864"/>
      <c r="KY12" s="1864"/>
      <c r="KZ12" s="1864"/>
      <c r="LA12" s="1864"/>
      <c r="LB12" s="1864"/>
      <c r="LC12" s="1864"/>
      <c r="LD12" s="1864"/>
      <c r="LE12" s="1864"/>
      <c r="LF12" s="1864"/>
      <c r="LG12" s="1864"/>
      <c r="LH12" s="1864"/>
      <c r="LI12" s="1864"/>
      <c r="LJ12" s="1864"/>
      <c r="LK12" s="1864"/>
      <c r="LL12" s="1864"/>
      <c r="LM12" s="1864"/>
      <c r="LN12" s="1864"/>
      <c r="LO12" s="1864"/>
      <c r="LP12" s="1864"/>
      <c r="LQ12" s="1864"/>
      <c r="LR12" s="1864"/>
      <c r="LS12" s="1864"/>
      <c r="LT12" s="1864"/>
      <c r="LU12" s="1864"/>
      <c r="LV12" s="1864"/>
      <c r="LW12" s="1864"/>
      <c r="LX12" s="1864"/>
      <c r="LY12" s="1864"/>
      <c r="LZ12" s="1864"/>
      <c r="MA12" s="1864"/>
      <c r="MB12" s="1864"/>
      <c r="MC12" s="1864"/>
      <c r="MD12" s="1864"/>
      <c r="ME12" s="1864"/>
      <c r="MF12" s="1864"/>
      <c r="MG12" s="1864"/>
      <c r="MH12" s="1864"/>
      <c r="MI12" s="1864"/>
      <c r="MJ12" s="1864"/>
      <c r="MK12" s="1864"/>
      <c r="ML12" s="1864"/>
      <c r="MM12" s="1864"/>
      <c r="MN12" s="1864"/>
      <c r="MO12" s="1864"/>
      <c r="MP12" s="1864"/>
      <c r="MQ12" s="1864"/>
      <c r="MR12" s="1864"/>
      <c r="MS12" s="1864"/>
      <c r="MT12" s="1864"/>
      <c r="MU12" s="1864"/>
      <c r="MV12" s="1864"/>
      <c r="MW12" s="1864"/>
      <c r="MX12" s="1864"/>
      <c r="MY12" s="1864"/>
      <c r="MZ12" s="1864"/>
      <c r="NA12" s="1864"/>
      <c r="NB12" s="1864"/>
      <c r="NC12" s="1864"/>
      <c r="ND12" s="1864"/>
      <c r="NE12" s="1864"/>
      <c r="NF12" s="1864"/>
      <c r="NG12" s="1864"/>
      <c r="NH12" s="1864"/>
      <c r="NI12" s="1864"/>
      <c r="NJ12" s="1864"/>
      <c r="NK12" s="1864"/>
      <c r="NL12" s="1864"/>
      <c r="NM12" s="1864"/>
      <c r="NN12" s="1864"/>
      <c r="NO12" s="1864"/>
      <c r="NP12" s="1864"/>
      <c r="NQ12" s="1864"/>
      <c r="NR12" s="1864"/>
      <c r="NS12" s="1864"/>
      <c r="NT12" s="1864"/>
      <c r="NU12" s="1864"/>
      <c r="NV12" s="1864"/>
      <c r="NW12" s="1864"/>
      <c r="NX12" s="1864"/>
      <c r="NY12" s="1864"/>
      <c r="NZ12" s="1864"/>
      <c r="OA12" s="1864"/>
      <c r="OB12" s="1864"/>
      <c r="OC12" s="1864"/>
      <c r="OD12" s="1864"/>
      <c r="OE12" s="1864"/>
      <c r="OF12" s="1864"/>
      <c r="OG12" s="1864"/>
      <c r="OH12" s="1864"/>
      <c r="OI12" s="1864"/>
      <c r="OJ12" s="1864"/>
      <c r="OK12" s="1864"/>
      <c r="OL12" s="1864"/>
      <c r="OM12" s="1864"/>
      <c r="ON12" s="1864"/>
      <c r="OO12" s="1864"/>
      <c r="OP12" s="1864"/>
      <c r="OQ12" s="1864"/>
      <c r="OR12" s="1864"/>
      <c r="OS12" s="1864"/>
      <c r="OT12" s="1864"/>
      <c r="OU12" s="1864"/>
      <c r="OV12" s="1864"/>
      <c r="OW12" s="1864"/>
      <c r="OX12" s="1864"/>
      <c r="OY12" s="1864"/>
      <c r="OZ12" s="1864"/>
      <c r="PA12" s="1864"/>
      <c r="PB12" s="1864"/>
      <c r="PC12" s="1864"/>
      <c r="PD12" s="1864"/>
      <c r="PE12" s="1864"/>
      <c r="PF12" s="1864"/>
      <c r="PG12" s="1864"/>
      <c r="PH12" s="1864"/>
      <c r="PI12" s="1864"/>
      <c r="PJ12" s="1864"/>
      <c r="PK12" s="1864"/>
      <c r="PL12" s="1864"/>
      <c r="PM12" s="1864"/>
      <c r="PN12" s="1864"/>
      <c r="PO12" s="1864"/>
      <c r="PP12" s="1864"/>
      <c r="PQ12" s="1864"/>
      <c r="PR12" s="1864"/>
      <c r="PS12" s="1864"/>
      <c r="PT12" s="1864"/>
      <c r="PU12" s="1864"/>
      <c r="PV12" s="1864"/>
      <c r="PW12" s="1864"/>
      <c r="PX12" s="1864"/>
      <c r="PY12" s="1864"/>
      <c r="PZ12" s="1864"/>
      <c r="QA12" s="1864"/>
      <c r="QB12" s="1864"/>
      <c r="QC12" s="1864"/>
      <c r="QD12" s="1864"/>
      <c r="QE12" s="1864"/>
      <c r="QF12" s="1864"/>
      <c r="QG12" s="1864"/>
      <c r="QH12" s="1864"/>
      <c r="QI12" s="1864"/>
      <c r="QJ12" s="1864"/>
      <c r="QK12" s="1864"/>
      <c r="QL12" s="1864"/>
      <c r="QM12" s="1864"/>
      <c r="QN12" s="1864"/>
      <c r="QO12" s="1864"/>
      <c r="QP12" s="1864"/>
      <c r="QQ12" s="1864"/>
      <c r="QR12" s="1864"/>
      <c r="QS12" s="1864"/>
      <c r="QT12" s="1864"/>
      <c r="QU12" s="1864"/>
      <c r="QV12" s="1864"/>
      <c r="QW12" s="1864"/>
      <c r="QX12" s="1864"/>
      <c r="QY12" s="1864"/>
      <c r="QZ12" s="1864"/>
      <c r="RA12" s="1864"/>
      <c r="RB12" s="1864"/>
      <c r="RC12" s="1864"/>
      <c r="RD12" s="1864"/>
      <c r="RE12" s="1864"/>
      <c r="RF12" s="1864"/>
      <c r="RG12" s="1864"/>
      <c r="RH12" s="1864"/>
      <c r="RI12" s="1864"/>
      <c r="RJ12" s="1864"/>
      <c r="RK12" s="1864"/>
      <c r="RL12" s="1864"/>
      <c r="RM12" s="1864"/>
      <c r="RN12" s="1864"/>
      <c r="RO12" s="1864"/>
      <c r="RP12" s="1864"/>
      <c r="RQ12" s="1864"/>
      <c r="RR12" s="1864"/>
      <c r="RS12" s="1864"/>
      <c r="RT12" s="1864"/>
      <c r="RU12" s="1864"/>
      <c r="RV12" s="1864"/>
      <c r="RW12" s="1864"/>
      <c r="RX12" s="1864"/>
      <c r="RY12" s="1864"/>
      <c r="RZ12" s="1864"/>
      <c r="SA12" s="1864"/>
      <c r="SB12" s="1864"/>
      <c r="SC12" s="1864"/>
      <c r="SD12" s="1864"/>
      <c r="SE12" s="1864"/>
      <c r="SF12" s="1864"/>
      <c r="SG12" s="1864"/>
      <c r="SH12" s="1864"/>
      <c r="SI12" s="1864"/>
      <c r="SJ12" s="1864"/>
      <c r="SK12" s="1864"/>
      <c r="SL12" s="1864"/>
      <c r="SM12" s="1864"/>
      <c r="SN12" s="1864"/>
      <c r="SO12" s="1864"/>
      <c r="SP12" s="1864"/>
      <c r="SQ12" s="1864"/>
      <c r="SR12" s="1864"/>
      <c r="SS12" s="1864"/>
      <c r="ST12" s="1864"/>
      <c r="SU12" s="1864"/>
      <c r="SV12" s="1864"/>
      <c r="SW12" s="1864"/>
      <c r="SX12" s="1864"/>
      <c r="SY12" s="1864"/>
      <c r="SZ12" s="1864"/>
      <c r="TA12" s="1864"/>
      <c r="TB12" s="1864"/>
      <c r="TC12" s="1864"/>
      <c r="TD12" s="1864"/>
      <c r="TE12" s="1864"/>
      <c r="TF12" s="1864"/>
      <c r="TG12" s="1864"/>
      <c r="TH12" s="1864"/>
      <c r="TI12" s="1864"/>
      <c r="TJ12" s="1864"/>
      <c r="TK12" s="1864"/>
      <c r="TL12" s="1864"/>
      <c r="TM12" s="1864"/>
      <c r="TN12" s="1864"/>
      <c r="TO12" s="1864"/>
      <c r="TP12" s="1864"/>
      <c r="TQ12" s="1864"/>
      <c r="TR12" s="1864"/>
      <c r="TS12" s="1864"/>
      <c r="TT12" s="1864"/>
      <c r="TU12" s="1864"/>
      <c r="TV12" s="1864"/>
      <c r="TW12" s="1864"/>
      <c r="TX12" s="1864"/>
      <c r="TY12" s="1864"/>
      <c r="TZ12" s="1864"/>
      <c r="UA12" s="1864"/>
      <c r="UB12" s="1864"/>
      <c r="UC12" s="1864"/>
      <c r="UD12" s="1864"/>
      <c r="UE12" s="1864"/>
      <c r="UF12" s="1864"/>
      <c r="UG12" s="1864"/>
      <c r="UH12" s="1864"/>
      <c r="UI12" s="1864"/>
      <c r="UJ12" s="1864"/>
      <c r="UK12" s="1864"/>
      <c r="UL12" s="1864"/>
      <c r="UM12" s="1864"/>
      <c r="UN12" s="1864"/>
      <c r="UO12" s="1864"/>
      <c r="UP12" s="1864"/>
      <c r="UQ12" s="1864"/>
      <c r="UR12" s="1864"/>
      <c r="US12" s="1864"/>
      <c r="UT12" s="1864"/>
      <c r="UU12" s="1864"/>
      <c r="UV12" s="1864"/>
      <c r="UW12" s="1864"/>
      <c r="UX12" s="1864"/>
      <c r="UY12" s="1864"/>
      <c r="UZ12" s="1864"/>
      <c r="VA12" s="1864"/>
      <c r="VB12" s="1864"/>
      <c r="VC12" s="1864"/>
      <c r="VD12" s="1864"/>
      <c r="VE12" s="1864"/>
      <c r="VF12" s="1864"/>
      <c r="VG12" s="1864"/>
      <c r="VH12" s="1864"/>
      <c r="VI12" s="1864"/>
      <c r="VJ12" s="1864"/>
      <c r="VK12" s="1864"/>
      <c r="VL12" s="1864"/>
      <c r="VM12" s="1864"/>
      <c r="VN12" s="1864"/>
      <c r="VO12" s="1864"/>
      <c r="VP12" s="1864"/>
      <c r="VQ12" s="1864"/>
      <c r="VR12" s="1864"/>
      <c r="VS12" s="1864"/>
      <c r="VT12" s="1864"/>
      <c r="VU12" s="1864"/>
      <c r="VV12" s="1864"/>
      <c r="VW12" s="1864"/>
      <c r="VX12" s="1864"/>
      <c r="VY12" s="1864"/>
      <c r="VZ12" s="1864"/>
      <c r="WA12" s="1864"/>
      <c r="WB12" s="1864"/>
      <c r="WC12" s="1864"/>
      <c r="WD12" s="1864"/>
      <c r="WE12" s="1864"/>
      <c r="WF12" s="1864"/>
      <c r="WG12" s="1864"/>
      <c r="WH12" s="1864"/>
      <c r="WI12" s="1864"/>
      <c r="WJ12" s="1864"/>
      <c r="WK12" s="1864"/>
      <c r="WL12" s="1864"/>
      <c r="WM12" s="1864"/>
      <c r="WN12" s="1864"/>
      <c r="WO12" s="1864"/>
      <c r="WP12" s="1864"/>
      <c r="WQ12" s="1864"/>
      <c r="WR12" s="1864"/>
      <c r="WS12" s="1864"/>
      <c r="WT12" s="1864"/>
      <c r="WU12" s="1864"/>
      <c r="WV12" s="1864"/>
      <c r="WW12" s="1864"/>
      <c r="WX12" s="1864"/>
      <c r="WY12" s="1864"/>
      <c r="WZ12" s="1864"/>
      <c r="XA12" s="1864"/>
      <c r="XB12" s="1864"/>
      <c r="XC12" s="1864"/>
      <c r="XD12" s="1864"/>
      <c r="XE12" s="1864"/>
      <c r="XF12" s="1864"/>
      <c r="XG12" s="1864"/>
      <c r="XH12" s="1864"/>
      <c r="XI12" s="1864"/>
      <c r="XJ12" s="1864"/>
      <c r="XK12" s="1864"/>
      <c r="XL12" s="1864"/>
      <c r="XM12" s="1864"/>
      <c r="XN12" s="1864"/>
      <c r="XO12" s="1864"/>
      <c r="XP12" s="1864"/>
      <c r="XQ12" s="1864"/>
      <c r="XR12" s="1864"/>
      <c r="XS12" s="1864"/>
      <c r="XT12" s="1864"/>
      <c r="XU12" s="1864"/>
      <c r="XV12" s="1864"/>
      <c r="XW12" s="1864"/>
      <c r="XX12" s="1864"/>
      <c r="XY12" s="1864"/>
      <c r="XZ12" s="1864"/>
      <c r="YA12" s="1864"/>
      <c r="YB12" s="1864"/>
      <c r="YC12" s="1864"/>
      <c r="YD12" s="1864"/>
      <c r="YE12" s="1864"/>
      <c r="YF12" s="1864"/>
      <c r="YG12" s="1864"/>
      <c r="YH12" s="1864"/>
      <c r="YI12" s="1864"/>
      <c r="YJ12" s="1864"/>
      <c r="YK12" s="1864"/>
      <c r="YL12" s="1864"/>
      <c r="YM12" s="1864"/>
      <c r="YN12" s="1864"/>
      <c r="YO12" s="1864"/>
      <c r="YP12" s="1864"/>
      <c r="YQ12" s="1864"/>
      <c r="YR12" s="1864"/>
      <c r="YS12" s="1864"/>
      <c r="YT12" s="1864"/>
      <c r="YU12" s="1864"/>
      <c r="YV12" s="1864"/>
      <c r="YW12" s="1864"/>
      <c r="YX12" s="1864"/>
      <c r="YY12" s="1864"/>
      <c r="YZ12" s="1864"/>
      <c r="ZA12" s="1864"/>
      <c r="ZB12" s="1864"/>
      <c r="ZC12" s="1864"/>
      <c r="ZD12" s="1864"/>
      <c r="ZE12" s="1864"/>
      <c r="ZF12" s="1864"/>
      <c r="ZG12" s="1864"/>
      <c r="ZH12" s="1864"/>
      <c r="ZI12" s="1864"/>
      <c r="ZJ12" s="1864"/>
      <c r="ZK12" s="1864"/>
      <c r="ZL12" s="1864"/>
      <c r="ZM12" s="1864"/>
      <c r="ZN12" s="1864"/>
      <c r="ZO12" s="1864"/>
      <c r="ZP12" s="1864"/>
      <c r="ZQ12" s="1864"/>
      <c r="ZR12" s="1864"/>
      <c r="ZS12" s="1864"/>
      <c r="ZT12" s="1864"/>
      <c r="ZU12" s="1864"/>
      <c r="ZV12" s="1864"/>
      <c r="ZW12" s="1864"/>
      <c r="ZX12" s="1864"/>
      <c r="ZY12" s="1864"/>
      <c r="ZZ12" s="1864"/>
      <c r="AAA12" s="1864"/>
      <c r="AAB12" s="1864"/>
      <c r="AAC12" s="1864"/>
      <c r="AAD12" s="1864"/>
      <c r="AAE12" s="1864"/>
      <c r="AAF12" s="1864"/>
      <c r="AAG12" s="1864"/>
      <c r="AAH12" s="1864"/>
      <c r="AAI12" s="1864"/>
      <c r="AAJ12" s="1864"/>
      <c r="AAK12" s="1864"/>
      <c r="AAL12" s="1864"/>
      <c r="AAM12" s="1864"/>
      <c r="AAN12" s="1864"/>
      <c r="AAO12" s="1864"/>
      <c r="AAP12" s="1864"/>
      <c r="AAQ12" s="1864"/>
      <c r="AAR12" s="1864"/>
      <c r="AAS12" s="1864"/>
      <c r="AAT12" s="1864"/>
      <c r="AAU12" s="1864"/>
      <c r="AAV12" s="1864"/>
      <c r="AAW12" s="1864"/>
      <c r="AAX12" s="1864"/>
      <c r="AAY12" s="1864"/>
      <c r="AAZ12" s="1864"/>
      <c r="ABA12" s="1864"/>
      <c r="ABB12" s="1864"/>
      <c r="ABC12" s="1864"/>
      <c r="ABD12" s="1864"/>
      <c r="ABE12" s="1864"/>
      <c r="ABF12" s="1864"/>
      <c r="ABG12" s="1864"/>
      <c r="ABH12" s="1864"/>
      <c r="ABI12" s="1864"/>
      <c r="ABJ12" s="1864"/>
      <c r="ABK12" s="1864"/>
      <c r="ABL12" s="1864"/>
      <c r="ABM12" s="1864"/>
      <c r="ABN12" s="1864"/>
      <c r="ABO12" s="1864"/>
      <c r="ABP12" s="1864"/>
      <c r="ABQ12" s="1864"/>
      <c r="ABR12" s="1864"/>
      <c r="ABS12" s="1864"/>
      <c r="ABT12" s="1864"/>
      <c r="ABU12" s="1864"/>
      <c r="ABV12" s="1864"/>
      <c r="ABW12" s="1864"/>
      <c r="ABX12" s="1864"/>
      <c r="ABY12" s="1864"/>
      <c r="ABZ12" s="1864"/>
      <c r="ACA12" s="1864"/>
      <c r="ACB12" s="1864"/>
      <c r="ACC12" s="1864"/>
      <c r="ACD12" s="1864"/>
      <c r="ACE12" s="1864"/>
      <c r="ACF12" s="1864"/>
      <c r="ACG12" s="1864"/>
      <c r="ACH12" s="1864"/>
      <c r="ACI12" s="1864"/>
      <c r="ACJ12" s="1864"/>
      <c r="ACK12" s="1864"/>
      <c r="ACL12" s="1864"/>
      <c r="ACM12" s="1864"/>
      <c r="ACN12" s="1864"/>
      <c r="ACO12" s="1864"/>
      <c r="ACP12" s="1864"/>
      <c r="ACQ12" s="1864"/>
      <c r="ACR12" s="1864"/>
      <c r="ACS12" s="1864"/>
      <c r="ACT12" s="1864"/>
      <c r="ACU12" s="1864"/>
      <c r="ACV12" s="1864"/>
      <c r="ACW12" s="1864"/>
      <c r="ACX12" s="1864"/>
      <c r="ACY12" s="1864"/>
      <c r="ACZ12" s="1864"/>
      <c r="ADA12" s="1864"/>
      <c r="ADB12" s="1864"/>
      <c r="ADC12" s="1864"/>
      <c r="ADD12" s="1864"/>
      <c r="ADE12" s="1864"/>
      <c r="ADF12" s="1864"/>
      <c r="ADG12" s="1864"/>
      <c r="ADH12" s="1864"/>
      <c r="ADI12" s="1864"/>
      <c r="ADJ12" s="1864"/>
      <c r="ADK12" s="1864"/>
      <c r="ADL12" s="1864"/>
      <c r="ADM12" s="1864"/>
      <c r="ADN12" s="1864"/>
      <c r="ADO12" s="1864"/>
      <c r="ADP12" s="1864"/>
      <c r="ADQ12" s="1864"/>
      <c r="ADR12" s="1864"/>
      <c r="ADS12" s="1864"/>
      <c r="ADT12" s="1864"/>
      <c r="ADU12" s="1864"/>
      <c r="ADV12" s="1864"/>
      <c r="ADW12" s="1864"/>
      <c r="ADX12" s="1864"/>
      <c r="ADY12" s="1864"/>
      <c r="ADZ12" s="1864"/>
      <c r="AEA12" s="1864"/>
      <c r="AEB12" s="1864"/>
      <c r="AEC12" s="1864"/>
      <c r="AED12" s="1864"/>
      <c r="AEE12" s="1864"/>
      <c r="AEF12" s="1864"/>
      <c r="AEG12" s="1864"/>
      <c r="AEH12" s="1864"/>
      <c r="AEI12" s="1864"/>
      <c r="AEJ12" s="1864"/>
      <c r="AEK12" s="1864"/>
      <c r="AEL12" s="1864"/>
      <c r="AEM12" s="1864"/>
      <c r="AEN12" s="1864"/>
      <c r="AEO12" s="1864"/>
      <c r="AEP12" s="1864"/>
      <c r="AEQ12" s="1864"/>
      <c r="AER12" s="1864"/>
      <c r="AES12" s="1864"/>
      <c r="AET12" s="1864"/>
      <c r="AEU12" s="1864"/>
      <c r="AEV12" s="1864"/>
      <c r="AEW12" s="1864"/>
      <c r="AEX12" s="1864"/>
      <c r="AEY12" s="1864"/>
      <c r="AEZ12" s="1864"/>
      <c r="AFA12" s="1864"/>
      <c r="AFB12" s="1864"/>
      <c r="AFC12" s="1864"/>
      <c r="AFD12" s="1864"/>
      <c r="AFE12" s="1864"/>
      <c r="AFF12" s="1864"/>
      <c r="AFG12" s="1864"/>
      <c r="AFH12" s="1864"/>
      <c r="AFI12" s="1864"/>
      <c r="AFJ12" s="1864"/>
      <c r="AFK12" s="1864"/>
      <c r="AFL12" s="1864"/>
      <c r="AFM12" s="1864"/>
      <c r="AFN12" s="1864"/>
      <c r="AFO12" s="1864"/>
      <c r="AFP12" s="1864"/>
      <c r="AFQ12" s="1864"/>
      <c r="AFR12" s="1864"/>
      <c r="AFS12" s="1864"/>
      <c r="AFT12" s="1864"/>
      <c r="AFU12" s="1864"/>
      <c r="AFV12" s="1864"/>
      <c r="AFW12" s="1864"/>
      <c r="AFX12" s="1864"/>
      <c r="AFY12" s="1864"/>
      <c r="AFZ12" s="1864"/>
      <c r="AGA12" s="1864"/>
      <c r="AGB12" s="1864"/>
      <c r="AGC12" s="1864"/>
      <c r="AGD12" s="1864"/>
      <c r="AGE12" s="1864"/>
      <c r="AGF12" s="1864"/>
      <c r="AGG12" s="1864"/>
      <c r="AGH12" s="1864"/>
      <c r="AGI12" s="1864"/>
      <c r="AGJ12" s="1864"/>
      <c r="AGK12" s="1864"/>
      <c r="AGL12" s="1864"/>
      <c r="AGM12" s="1864"/>
      <c r="AGN12" s="1864"/>
      <c r="AGO12" s="1864"/>
      <c r="AGP12" s="1864"/>
      <c r="AGQ12" s="1864"/>
      <c r="AGR12" s="1864"/>
      <c r="AGS12" s="1864"/>
      <c r="AGT12" s="1864"/>
      <c r="AGU12" s="1864"/>
      <c r="AGV12" s="1864"/>
      <c r="AGW12" s="1864"/>
      <c r="AGX12" s="1864"/>
      <c r="AGY12" s="1864"/>
      <c r="AGZ12" s="1864"/>
      <c r="AHA12" s="1864"/>
      <c r="AHB12" s="1864"/>
      <c r="AHC12" s="1864"/>
      <c r="AHD12" s="1864"/>
      <c r="AHE12" s="1864"/>
      <c r="AHF12" s="1864"/>
      <c r="AHG12" s="1864"/>
      <c r="AHH12" s="1864"/>
      <c r="AHI12" s="1864"/>
      <c r="AHJ12" s="1864"/>
      <c r="AHK12" s="1864"/>
      <c r="AHL12" s="1864"/>
      <c r="AHM12" s="1864"/>
      <c r="AHN12" s="1864"/>
      <c r="AHO12" s="1864"/>
      <c r="AHP12" s="1864"/>
      <c r="AHQ12" s="1864"/>
      <c r="AHR12" s="1864"/>
      <c r="AHS12" s="1864"/>
      <c r="AHT12" s="1864"/>
      <c r="AHU12" s="1864"/>
      <c r="AHV12" s="1864"/>
      <c r="AHW12" s="1864"/>
      <c r="AHX12" s="1864"/>
      <c r="AHY12" s="1864"/>
      <c r="AHZ12" s="1864"/>
      <c r="AIA12" s="1864"/>
      <c r="AIB12" s="1864"/>
      <c r="AIC12" s="1864"/>
      <c r="AID12" s="1864"/>
      <c r="AIE12" s="1864"/>
      <c r="AIF12" s="1864"/>
      <c r="AIG12" s="1864"/>
      <c r="AIH12" s="1864"/>
      <c r="AII12" s="1864"/>
      <c r="AIJ12" s="1864"/>
      <c r="AIK12" s="1864"/>
      <c r="AIL12" s="1864"/>
      <c r="AIM12" s="1864"/>
      <c r="AIN12" s="1864"/>
      <c r="AIO12" s="1864"/>
      <c r="AIP12" s="1864"/>
      <c r="AIQ12" s="1864"/>
      <c r="AIR12" s="1864"/>
      <c r="AIS12" s="1864"/>
      <c r="AIT12" s="1864"/>
      <c r="AIU12" s="1864"/>
      <c r="AIV12" s="1864"/>
      <c r="AIW12" s="1864"/>
      <c r="AIX12" s="1864"/>
      <c r="AIY12" s="1864"/>
      <c r="AIZ12" s="1864"/>
      <c r="AJA12" s="1864"/>
      <c r="AJB12" s="1864"/>
      <c r="AJC12" s="1864"/>
      <c r="AJD12" s="1864"/>
      <c r="AJE12" s="1864"/>
      <c r="AJF12" s="1864"/>
      <c r="AJG12" s="1864"/>
      <c r="AJH12" s="1864"/>
      <c r="AJI12" s="1864"/>
      <c r="AJJ12" s="1864"/>
      <c r="AJK12" s="1864"/>
      <c r="AJL12" s="1864"/>
      <c r="AJM12" s="1864"/>
      <c r="AJN12" s="1864"/>
      <c r="AJO12" s="1864"/>
      <c r="AJP12" s="1864"/>
      <c r="AJQ12" s="1864"/>
      <c r="AJR12" s="1864"/>
      <c r="AJS12" s="1864"/>
      <c r="AJT12" s="1864"/>
      <c r="AJU12" s="1864"/>
      <c r="AJV12" s="1864"/>
      <c r="AJW12" s="1864"/>
      <c r="AJX12" s="1864"/>
      <c r="AJY12" s="1864"/>
      <c r="AJZ12" s="1864"/>
      <c r="AKA12" s="1864"/>
      <c r="AKB12" s="1864"/>
      <c r="AKC12" s="1864"/>
      <c r="AKD12" s="1864"/>
      <c r="AKE12" s="1864"/>
      <c r="AKF12" s="1864"/>
      <c r="AKG12" s="1864"/>
      <c r="AKH12" s="1864"/>
      <c r="AKI12" s="1864"/>
      <c r="AKJ12" s="1864"/>
      <c r="AKK12" s="1864"/>
      <c r="AKL12" s="1864"/>
      <c r="AKM12" s="1864"/>
      <c r="AKN12" s="1864"/>
      <c r="AKO12" s="1864"/>
      <c r="AKP12" s="1864"/>
      <c r="AKQ12" s="1864"/>
      <c r="AKR12" s="1864"/>
      <c r="AKS12" s="1864"/>
      <c r="AKT12" s="1864"/>
      <c r="AKU12" s="1864"/>
      <c r="AKV12" s="1864"/>
      <c r="AKW12" s="1864"/>
      <c r="AKX12" s="1864"/>
      <c r="AKY12" s="1864"/>
      <c r="AKZ12" s="1864"/>
      <c r="ALA12" s="1864"/>
      <c r="ALB12" s="1864"/>
      <c r="ALC12" s="1864"/>
      <c r="ALD12" s="1864"/>
      <c r="ALE12" s="1864"/>
      <c r="ALF12" s="1864"/>
      <c r="ALG12" s="1864"/>
      <c r="ALH12" s="1864"/>
      <c r="ALI12" s="1864"/>
      <c r="ALJ12" s="1864"/>
      <c r="ALK12" s="1864"/>
      <c r="ALL12" s="1864"/>
      <c r="ALM12" s="1864"/>
      <c r="ALN12" s="1864"/>
      <c r="ALO12" s="1864"/>
      <c r="ALP12" s="1864"/>
      <c r="ALQ12" s="1864"/>
      <c r="ALR12" s="1864"/>
      <c r="ALS12" s="1864"/>
      <c r="ALT12" s="1864"/>
      <c r="ALU12" s="1864"/>
      <c r="ALV12" s="1864"/>
      <c r="ALW12" s="1864"/>
      <c r="ALX12" s="1864"/>
      <c r="ALY12" s="1864"/>
      <c r="ALZ12" s="1864"/>
      <c r="AMA12" s="1864"/>
      <c r="AMB12" s="1864"/>
      <c r="AMC12" s="1864"/>
      <c r="AMD12" s="1864"/>
      <c r="AME12" s="1864"/>
      <c r="AMF12" s="1864"/>
      <c r="AMG12" s="1864"/>
      <c r="AMH12" s="1864"/>
      <c r="AMI12" s="1864"/>
      <c r="AMJ12" s="1864"/>
      <c r="AMK12" s="1864"/>
      <c r="AML12" s="1864"/>
      <c r="AMM12" s="1864"/>
      <c r="AMN12" s="1864"/>
      <c r="AMO12" s="1864"/>
      <c r="AMP12" s="1864"/>
      <c r="AMQ12" s="1864"/>
      <c r="AMR12" s="1864"/>
      <c r="AMS12" s="1864"/>
      <c r="AMT12" s="1864"/>
      <c r="AMU12" s="1864"/>
      <c r="AMV12" s="1864"/>
      <c r="AMW12" s="1864"/>
      <c r="AMX12" s="1864"/>
      <c r="AMY12" s="1864"/>
      <c r="AMZ12" s="1864"/>
      <c r="ANA12" s="1864"/>
      <c r="ANB12" s="1864"/>
      <c r="ANC12" s="1864"/>
      <c r="AND12" s="1864"/>
      <c r="ANE12" s="1864"/>
      <c r="ANF12" s="1864"/>
      <c r="ANG12" s="1864"/>
      <c r="ANH12" s="1864"/>
      <c r="ANI12" s="1864"/>
      <c r="ANJ12" s="1864"/>
      <c r="ANK12" s="1864"/>
      <c r="ANL12" s="1864"/>
      <c r="ANM12" s="1864"/>
      <c r="ANN12" s="1864"/>
      <c r="ANO12" s="1864"/>
      <c r="ANP12" s="1864"/>
      <c r="ANQ12" s="1864"/>
      <c r="ANR12" s="1864"/>
      <c r="ANS12" s="1864"/>
      <c r="ANT12" s="1864"/>
      <c r="ANU12" s="1864"/>
      <c r="ANV12" s="1864"/>
      <c r="ANW12" s="1864"/>
      <c r="ANX12" s="1864"/>
      <c r="ANY12" s="1864"/>
      <c r="ANZ12" s="1864"/>
      <c r="AOA12" s="1864"/>
      <c r="AOB12" s="1864"/>
      <c r="AOC12" s="1864"/>
      <c r="AOD12" s="1864"/>
      <c r="AOE12" s="1864"/>
      <c r="AOF12" s="1864"/>
      <c r="AOG12" s="1864"/>
      <c r="AOH12" s="1864"/>
      <c r="AOI12" s="1864"/>
      <c r="AOJ12" s="1864"/>
      <c r="AOK12" s="1864"/>
      <c r="AOL12" s="1864"/>
      <c r="AOM12" s="1864"/>
      <c r="AON12" s="1864"/>
      <c r="AOO12" s="1864"/>
      <c r="AOP12" s="1864"/>
      <c r="AOQ12" s="1864"/>
      <c r="AOR12" s="1864"/>
      <c r="AOS12" s="1864"/>
      <c r="AOT12" s="1864"/>
      <c r="AOU12" s="1864"/>
      <c r="AOV12" s="1864"/>
      <c r="AOW12" s="1864"/>
      <c r="AOX12" s="1864"/>
      <c r="AOY12" s="1864"/>
      <c r="AOZ12" s="1864"/>
      <c r="APA12" s="1864"/>
      <c r="APB12" s="1864"/>
      <c r="APC12" s="1864"/>
      <c r="APD12" s="1864"/>
      <c r="APE12" s="1864"/>
      <c r="APF12" s="1864"/>
      <c r="APG12" s="1864"/>
      <c r="APH12" s="1864"/>
      <c r="API12" s="1864"/>
      <c r="APJ12" s="1864"/>
      <c r="APK12" s="1864"/>
      <c r="APL12" s="1864"/>
      <c r="APM12" s="1864"/>
      <c r="APN12" s="1864"/>
      <c r="APO12" s="1864"/>
      <c r="APP12" s="1864"/>
      <c r="APQ12" s="1864"/>
      <c r="APR12" s="1864"/>
      <c r="APS12" s="1864"/>
      <c r="APT12" s="1864"/>
      <c r="APU12" s="1864"/>
      <c r="APV12" s="1864"/>
      <c r="APW12" s="1864"/>
      <c r="APX12" s="1864"/>
      <c r="APY12" s="1864"/>
      <c r="APZ12" s="1864"/>
      <c r="AQA12" s="1864"/>
      <c r="AQB12" s="1864"/>
      <c r="AQC12" s="1864"/>
      <c r="AQD12" s="1864"/>
      <c r="AQE12" s="1864"/>
      <c r="AQF12" s="1864"/>
      <c r="AQG12" s="1864"/>
      <c r="AQH12" s="1864"/>
      <c r="AQI12" s="1864"/>
      <c r="AQJ12" s="1864"/>
      <c r="AQK12" s="1864"/>
      <c r="AQL12" s="1864"/>
      <c r="AQM12" s="1864"/>
      <c r="AQN12" s="1864"/>
      <c r="AQO12" s="1864"/>
      <c r="AQP12" s="1864"/>
      <c r="AQQ12" s="1864"/>
      <c r="AQR12" s="1864"/>
      <c r="AQS12" s="1864"/>
      <c r="AQT12" s="1864"/>
      <c r="AQU12" s="1864"/>
      <c r="AQV12" s="1864"/>
      <c r="AQW12" s="1864"/>
      <c r="AQX12" s="1864"/>
      <c r="AQY12" s="1864"/>
      <c r="AQZ12" s="1864"/>
      <c r="ARA12" s="1864"/>
      <c r="ARB12" s="1864"/>
      <c r="ARC12" s="1864"/>
      <c r="ARD12" s="1864"/>
      <c r="ARE12" s="1864"/>
      <c r="ARF12" s="1864"/>
      <c r="ARG12" s="1864"/>
      <c r="ARH12" s="1864"/>
      <c r="ARI12" s="1864"/>
      <c r="ARJ12" s="1864"/>
      <c r="ARK12" s="1864"/>
      <c r="ARL12" s="1864"/>
      <c r="ARM12" s="1864"/>
      <c r="ARN12" s="1864"/>
      <c r="ARO12" s="1864"/>
      <c r="ARP12" s="1864"/>
      <c r="ARQ12" s="1864"/>
      <c r="ARR12" s="1864"/>
      <c r="ARS12" s="1864"/>
      <c r="ART12" s="1864"/>
      <c r="ARU12" s="1864"/>
      <c r="ARV12" s="1864"/>
      <c r="ARW12" s="1864"/>
      <c r="ARX12" s="1864"/>
      <c r="ARY12" s="1864"/>
      <c r="ARZ12" s="1864"/>
      <c r="ASA12" s="1864"/>
      <c r="ASB12" s="1864"/>
      <c r="ASC12" s="1864"/>
      <c r="ASD12" s="1864"/>
      <c r="ASE12" s="1864"/>
      <c r="ASF12" s="1864"/>
      <c r="ASG12" s="1864"/>
      <c r="ASH12" s="1864"/>
      <c r="ASI12" s="1864"/>
      <c r="ASJ12" s="1864"/>
      <c r="ASK12" s="1864"/>
      <c r="ASL12" s="1864"/>
      <c r="ASM12" s="1864"/>
      <c r="ASN12" s="1864"/>
      <c r="ASO12" s="1864"/>
      <c r="ASP12" s="1864"/>
      <c r="ASQ12" s="1864"/>
      <c r="ASR12" s="1864"/>
      <c r="ASS12" s="1864"/>
      <c r="AST12" s="1864"/>
      <c r="ASU12" s="1864"/>
      <c r="ASV12" s="1864"/>
      <c r="ASW12" s="1864"/>
      <c r="ASX12" s="1864"/>
      <c r="ASY12" s="1864"/>
      <c r="ASZ12" s="1864"/>
      <c r="ATA12" s="1864"/>
      <c r="ATB12" s="1864"/>
      <c r="ATC12" s="1864"/>
      <c r="ATD12" s="1864"/>
      <c r="ATE12" s="1864"/>
      <c r="ATF12" s="1864"/>
      <c r="ATG12" s="1864"/>
      <c r="ATH12" s="1864"/>
      <c r="ATI12" s="1864"/>
      <c r="ATJ12" s="1864"/>
      <c r="ATK12" s="1864"/>
      <c r="ATL12" s="1864"/>
      <c r="ATM12" s="1864"/>
      <c r="ATN12" s="1864"/>
      <c r="ATO12" s="1864"/>
      <c r="ATP12" s="1864"/>
      <c r="ATQ12" s="1864"/>
      <c r="ATR12" s="1864"/>
      <c r="ATS12" s="1864"/>
      <c r="ATT12" s="1864"/>
      <c r="ATU12" s="1864"/>
      <c r="ATV12" s="1864"/>
      <c r="ATW12" s="1864"/>
      <c r="ATX12" s="1864"/>
      <c r="ATY12" s="1864"/>
      <c r="ATZ12" s="1864"/>
      <c r="AUA12" s="1864"/>
      <c r="AUB12" s="1864"/>
      <c r="AUC12" s="1864"/>
      <c r="AUD12" s="1864"/>
      <c r="AUE12" s="1864"/>
      <c r="AUF12" s="1864"/>
      <c r="AUG12" s="1864"/>
      <c r="AUH12" s="1864"/>
      <c r="AUI12" s="1864"/>
      <c r="AUJ12" s="1864"/>
      <c r="AUK12" s="1864"/>
      <c r="AUL12" s="1864"/>
      <c r="AUM12" s="1864"/>
      <c r="AUN12" s="1864"/>
      <c r="AUO12" s="1864"/>
      <c r="AUP12" s="1864"/>
      <c r="AUQ12" s="1864"/>
      <c r="AUR12" s="1864"/>
      <c r="AUS12" s="1864"/>
      <c r="AUT12" s="1864"/>
      <c r="AUU12" s="1864"/>
      <c r="AUV12" s="1864"/>
      <c r="AUW12" s="1864"/>
      <c r="AUX12" s="1864"/>
      <c r="AUY12" s="1864"/>
      <c r="AUZ12" s="1864"/>
      <c r="AVA12" s="1864"/>
      <c r="AVB12" s="1864"/>
      <c r="AVC12" s="1864"/>
      <c r="AVD12" s="1864"/>
      <c r="AVE12" s="1864"/>
      <c r="AVF12" s="1864"/>
      <c r="AVG12" s="1864"/>
      <c r="AVH12" s="1864"/>
      <c r="AVI12" s="1864"/>
      <c r="AVJ12" s="1864"/>
      <c r="AVK12" s="1864"/>
      <c r="AVL12" s="1864"/>
      <c r="AVM12" s="1864"/>
      <c r="AVN12" s="1864"/>
      <c r="AVO12" s="1864"/>
      <c r="AVP12" s="1864"/>
      <c r="AVQ12" s="1864"/>
      <c r="AVR12" s="1864"/>
      <c r="AVS12" s="1864"/>
      <c r="AVT12" s="1864"/>
      <c r="AVU12" s="1864"/>
      <c r="AVV12" s="1864"/>
      <c r="AVW12" s="1864"/>
      <c r="AVX12" s="1864"/>
      <c r="AVY12" s="1864"/>
      <c r="AVZ12" s="1864"/>
      <c r="AWA12" s="1864"/>
      <c r="AWB12" s="1864"/>
      <c r="AWC12" s="1864"/>
      <c r="AWD12" s="1864"/>
      <c r="AWE12" s="1864"/>
      <c r="AWF12" s="1864"/>
      <c r="AWG12" s="1864"/>
      <c r="AWH12" s="1864"/>
      <c r="AWI12" s="1864"/>
      <c r="AWJ12" s="1864"/>
      <c r="AWK12" s="1864"/>
      <c r="AWL12" s="1864"/>
      <c r="AWM12" s="1864"/>
      <c r="AWN12" s="1864"/>
      <c r="AWO12" s="1864"/>
      <c r="AWP12" s="1864"/>
      <c r="AWQ12" s="1864"/>
    </row>
    <row r="13" spans="1:1291" s="1868" customFormat="1" ht="15" customHeight="1" x14ac:dyDescent="0.2">
      <c r="A13" s="1964"/>
      <c r="B13" s="1989"/>
      <c r="C13" s="1812" t="s">
        <v>749</v>
      </c>
      <c r="D13" s="1882"/>
      <c r="E13" s="1984"/>
      <c r="F13" s="1837">
        <v>0</v>
      </c>
      <c r="G13" s="1803">
        <v>0</v>
      </c>
      <c r="H13" s="1803">
        <v>0</v>
      </c>
      <c r="I13" s="1803">
        <v>0</v>
      </c>
      <c r="J13" s="1803">
        <v>0</v>
      </c>
      <c r="K13" s="1803">
        <v>0</v>
      </c>
      <c r="L13" s="1803">
        <v>0</v>
      </c>
      <c r="M13" s="1803">
        <v>0</v>
      </c>
      <c r="N13" s="1803">
        <v>0</v>
      </c>
      <c r="O13" s="1803">
        <v>0</v>
      </c>
      <c r="P13" s="1803">
        <v>0</v>
      </c>
      <c r="Q13" s="1803">
        <v>0</v>
      </c>
      <c r="R13" s="1803">
        <v>0</v>
      </c>
      <c r="S13" s="1803">
        <v>0</v>
      </c>
      <c r="T13" s="1803">
        <v>0</v>
      </c>
      <c r="U13" s="1803">
        <v>0</v>
      </c>
      <c r="V13" s="1803">
        <v>0</v>
      </c>
      <c r="W13" s="1803">
        <v>0</v>
      </c>
      <c r="X13" s="1803">
        <v>0</v>
      </c>
      <c r="Y13" s="1803">
        <v>0</v>
      </c>
      <c r="Z13" s="1803">
        <v>0</v>
      </c>
      <c r="AA13" s="1803">
        <v>0</v>
      </c>
      <c r="AB13" s="1803">
        <v>0</v>
      </c>
      <c r="AC13" s="1803">
        <v>0</v>
      </c>
      <c r="AD13" s="1803">
        <v>0</v>
      </c>
      <c r="AE13" s="1803">
        <v>0</v>
      </c>
      <c r="AF13" s="1803">
        <v>0</v>
      </c>
      <c r="AG13" s="1803">
        <v>0</v>
      </c>
      <c r="AH13" s="1803">
        <v>0</v>
      </c>
      <c r="AI13" s="1803">
        <v>0</v>
      </c>
      <c r="AJ13" s="1803">
        <v>0</v>
      </c>
      <c r="AK13" s="1803">
        <v>0</v>
      </c>
      <c r="AL13" s="1803">
        <v>0</v>
      </c>
      <c r="AM13" s="1803">
        <v>0</v>
      </c>
      <c r="AN13" s="1803">
        <v>0</v>
      </c>
      <c r="AO13" s="1803">
        <v>0</v>
      </c>
      <c r="AP13" s="1803">
        <v>0</v>
      </c>
      <c r="AQ13" s="1803">
        <v>0</v>
      </c>
      <c r="AR13" s="1803">
        <v>0</v>
      </c>
      <c r="AS13" s="1803">
        <v>0</v>
      </c>
      <c r="AT13" s="1803">
        <v>0</v>
      </c>
      <c r="AU13" s="1803">
        <v>0</v>
      </c>
      <c r="AV13" s="1803">
        <v>0</v>
      </c>
      <c r="AW13" s="1803">
        <v>0</v>
      </c>
      <c r="AX13" s="1803">
        <v>0</v>
      </c>
      <c r="AY13" s="1803">
        <v>0</v>
      </c>
      <c r="AZ13" s="1803">
        <v>0</v>
      </c>
      <c r="BA13" s="1803">
        <v>0</v>
      </c>
      <c r="BB13" s="1803">
        <v>0</v>
      </c>
      <c r="BC13" s="1803">
        <v>0</v>
      </c>
      <c r="BD13" s="1803">
        <v>0</v>
      </c>
      <c r="BE13" s="1803">
        <v>0</v>
      </c>
      <c r="BF13" s="1803">
        <v>0</v>
      </c>
      <c r="BG13" s="1803">
        <v>0</v>
      </c>
      <c r="BH13" s="1803">
        <v>0</v>
      </c>
      <c r="BI13" s="1803">
        <v>0</v>
      </c>
      <c r="BJ13" s="1803">
        <v>0</v>
      </c>
      <c r="BK13" s="1803">
        <v>0</v>
      </c>
      <c r="BL13" s="1803">
        <v>0</v>
      </c>
      <c r="BM13" s="1803">
        <v>0</v>
      </c>
      <c r="BN13" s="1803">
        <v>0</v>
      </c>
      <c r="BO13" s="1803">
        <v>0</v>
      </c>
      <c r="BP13" s="1803">
        <v>0</v>
      </c>
      <c r="BQ13" s="1803">
        <v>0</v>
      </c>
      <c r="BR13" s="1803">
        <v>0</v>
      </c>
      <c r="BS13" s="1803">
        <v>0</v>
      </c>
      <c r="BT13" s="1803">
        <v>0</v>
      </c>
      <c r="BU13" s="1803">
        <v>0</v>
      </c>
      <c r="BV13" s="1803">
        <v>0</v>
      </c>
      <c r="BW13" s="1803">
        <v>0</v>
      </c>
      <c r="BX13" s="1803">
        <v>0</v>
      </c>
      <c r="BY13" s="1803">
        <v>0</v>
      </c>
      <c r="BZ13" s="1803">
        <v>0</v>
      </c>
      <c r="CA13" s="1803">
        <v>0</v>
      </c>
      <c r="CB13" s="1803">
        <v>0</v>
      </c>
      <c r="CC13" s="1803">
        <v>0</v>
      </c>
      <c r="CD13" s="1803">
        <v>0</v>
      </c>
      <c r="CE13" s="1803">
        <v>0</v>
      </c>
      <c r="CF13" s="1803">
        <v>0</v>
      </c>
      <c r="CG13" s="1803">
        <v>0</v>
      </c>
      <c r="CH13" s="1803">
        <v>0</v>
      </c>
      <c r="CI13" s="1803">
        <v>0</v>
      </c>
      <c r="CJ13" s="1803">
        <v>0</v>
      </c>
      <c r="CK13" s="1803">
        <v>0</v>
      </c>
      <c r="CL13" s="1803">
        <v>0</v>
      </c>
      <c r="CM13" s="1803">
        <v>0</v>
      </c>
      <c r="CN13" s="1803">
        <v>0</v>
      </c>
      <c r="CO13" s="1803">
        <v>0</v>
      </c>
      <c r="CP13" s="1803">
        <v>0</v>
      </c>
      <c r="CQ13" s="1803">
        <v>0</v>
      </c>
      <c r="CR13" s="1803">
        <v>0</v>
      </c>
      <c r="CS13" s="1803">
        <v>0</v>
      </c>
      <c r="CT13" s="1803">
        <v>0</v>
      </c>
      <c r="CU13" s="1803">
        <v>0</v>
      </c>
      <c r="CV13" s="1803">
        <v>0</v>
      </c>
      <c r="CW13" s="1803">
        <v>0</v>
      </c>
      <c r="CX13" s="1803">
        <v>0</v>
      </c>
      <c r="CY13" s="1803">
        <v>0</v>
      </c>
      <c r="CZ13" s="1803">
        <v>0</v>
      </c>
      <c r="DA13" s="1803">
        <v>0</v>
      </c>
      <c r="DB13" s="1803">
        <v>0</v>
      </c>
      <c r="DC13" s="1803">
        <v>0</v>
      </c>
      <c r="DD13" s="1803">
        <v>0</v>
      </c>
      <c r="DE13" s="1803">
        <v>0</v>
      </c>
      <c r="DF13" s="1803">
        <v>0</v>
      </c>
      <c r="DG13" s="1803">
        <v>0</v>
      </c>
      <c r="DH13" s="1803">
        <v>0</v>
      </c>
      <c r="DI13" s="1803">
        <v>0</v>
      </c>
      <c r="DJ13" s="1803">
        <v>0</v>
      </c>
      <c r="DK13" s="1803">
        <v>0</v>
      </c>
      <c r="DL13" s="1803">
        <v>0</v>
      </c>
      <c r="DM13" s="1803">
        <v>0</v>
      </c>
      <c r="DN13" s="1803">
        <v>0</v>
      </c>
      <c r="DO13" s="1803">
        <v>0</v>
      </c>
      <c r="DP13" s="1803">
        <v>0</v>
      </c>
      <c r="DQ13" s="1803">
        <v>0</v>
      </c>
      <c r="DR13" s="1803">
        <v>0</v>
      </c>
      <c r="DS13" s="1803">
        <v>0</v>
      </c>
      <c r="DT13" s="1803">
        <v>0</v>
      </c>
      <c r="DU13" s="1803">
        <v>0</v>
      </c>
      <c r="DV13" s="1803">
        <v>0</v>
      </c>
      <c r="DW13" s="1803">
        <v>0</v>
      </c>
      <c r="DX13" s="1803">
        <v>0</v>
      </c>
      <c r="DY13" s="1803">
        <v>0</v>
      </c>
      <c r="DZ13" s="1803">
        <v>0</v>
      </c>
      <c r="EA13" s="1803">
        <v>0</v>
      </c>
      <c r="EB13" s="1803">
        <v>0</v>
      </c>
      <c r="EC13" s="1803">
        <v>0</v>
      </c>
      <c r="ED13" s="1803">
        <v>0</v>
      </c>
      <c r="EE13" s="1803">
        <v>0</v>
      </c>
      <c r="EF13" s="1803">
        <v>0</v>
      </c>
      <c r="EG13" s="1803">
        <v>0</v>
      </c>
      <c r="EH13" s="1803">
        <v>0</v>
      </c>
      <c r="EI13" s="1803">
        <v>0</v>
      </c>
      <c r="EJ13" s="1803">
        <v>0</v>
      </c>
      <c r="EK13" s="1803">
        <v>0</v>
      </c>
      <c r="EL13" s="1803">
        <v>0</v>
      </c>
      <c r="EM13" s="1803">
        <v>0</v>
      </c>
      <c r="EN13" s="1803">
        <v>0</v>
      </c>
      <c r="EO13" s="1803">
        <v>0</v>
      </c>
      <c r="EP13" s="1803">
        <v>0</v>
      </c>
      <c r="EQ13" s="1803">
        <v>0</v>
      </c>
      <c r="ER13" s="1803">
        <v>0</v>
      </c>
      <c r="ES13" s="1803">
        <v>0</v>
      </c>
      <c r="ET13" s="1803">
        <v>0</v>
      </c>
      <c r="EU13" s="1803">
        <v>0</v>
      </c>
      <c r="EV13" s="1803">
        <v>0</v>
      </c>
      <c r="EW13" s="1803">
        <v>0</v>
      </c>
      <c r="EX13" s="1803">
        <v>0</v>
      </c>
      <c r="EY13" s="1803">
        <v>0</v>
      </c>
      <c r="EZ13" s="1803">
        <v>0</v>
      </c>
      <c r="FA13" s="1803">
        <v>0</v>
      </c>
      <c r="FB13" s="1803">
        <v>0</v>
      </c>
      <c r="FC13" s="1803">
        <v>0</v>
      </c>
      <c r="FD13" s="1803">
        <v>0</v>
      </c>
      <c r="FE13" s="1803">
        <v>0</v>
      </c>
      <c r="FF13" s="1803">
        <v>0</v>
      </c>
      <c r="FG13" s="1803">
        <v>0</v>
      </c>
      <c r="FH13" s="1803">
        <v>0</v>
      </c>
      <c r="FI13" s="1803">
        <v>0</v>
      </c>
      <c r="FJ13" s="1803">
        <v>0</v>
      </c>
      <c r="FK13" s="1803">
        <v>0</v>
      </c>
      <c r="FL13" s="1803">
        <v>0</v>
      </c>
      <c r="FM13" s="1803">
        <v>0</v>
      </c>
      <c r="FN13" s="1803">
        <v>0</v>
      </c>
      <c r="FO13" s="1803">
        <v>0</v>
      </c>
      <c r="FP13" s="1803">
        <v>0</v>
      </c>
      <c r="FQ13" s="1803">
        <v>0</v>
      </c>
      <c r="FR13" s="1803">
        <v>0</v>
      </c>
      <c r="FS13" s="1803">
        <v>0</v>
      </c>
      <c r="FT13" s="1803">
        <v>0</v>
      </c>
      <c r="FU13" s="1803">
        <v>0</v>
      </c>
      <c r="FV13" s="1803">
        <v>0</v>
      </c>
      <c r="FW13" s="1803">
        <v>0</v>
      </c>
      <c r="FX13" s="1803">
        <v>0</v>
      </c>
      <c r="FY13" s="1803">
        <v>0</v>
      </c>
      <c r="FZ13" s="1803">
        <v>0</v>
      </c>
      <c r="GA13" s="1803">
        <v>0</v>
      </c>
      <c r="GB13" s="1803">
        <v>0</v>
      </c>
      <c r="GC13" s="1803">
        <v>0</v>
      </c>
      <c r="GD13" s="1803">
        <v>0</v>
      </c>
      <c r="GE13" s="1803">
        <v>0</v>
      </c>
      <c r="GF13" s="1803">
        <v>0</v>
      </c>
      <c r="GG13" s="1803">
        <v>0</v>
      </c>
      <c r="GH13" s="1803">
        <v>0</v>
      </c>
      <c r="GI13" s="1803">
        <v>0</v>
      </c>
      <c r="GJ13" s="1803">
        <v>0</v>
      </c>
      <c r="GK13" s="1803">
        <v>0</v>
      </c>
      <c r="GL13" s="1803">
        <v>0</v>
      </c>
      <c r="GM13" s="1803">
        <v>0</v>
      </c>
      <c r="GN13" s="1803">
        <v>0</v>
      </c>
      <c r="GO13" s="1803">
        <v>0</v>
      </c>
      <c r="GP13" s="1803">
        <v>0</v>
      </c>
      <c r="GQ13" s="1803">
        <v>0</v>
      </c>
      <c r="GR13" s="1803">
        <v>0</v>
      </c>
      <c r="GS13" s="1803">
        <v>0</v>
      </c>
      <c r="GT13" s="1803">
        <v>0</v>
      </c>
      <c r="GU13" s="1803">
        <v>0</v>
      </c>
      <c r="GV13" s="1803">
        <v>0</v>
      </c>
      <c r="GW13" s="1803">
        <v>0</v>
      </c>
      <c r="GX13" s="1803">
        <v>0</v>
      </c>
      <c r="GY13" s="1803">
        <v>0</v>
      </c>
      <c r="GZ13" s="1803">
        <v>0</v>
      </c>
      <c r="HA13" s="1803">
        <v>0</v>
      </c>
      <c r="HB13" s="1803">
        <v>0</v>
      </c>
      <c r="HC13" s="1803">
        <v>0</v>
      </c>
      <c r="HD13" s="1803">
        <v>0</v>
      </c>
      <c r="HE13" s="1803">
        <v>0</v>
      </c>
      <c r="HF13" s="1864"/>
      <c r="HG13" s="1864"/>
      <c r="HH13" s="1864"/>
      <c r="HI13" s="1864"/>
      <c r="HJ13" s="1864"/>
      <c r="HK13" s="1864"/>
      <c r="HL13" s="1864"/>
      <c r="HM13" s="1864"/>
      <c r="HN13" s="1864"/>
      <c r="HO13" s="1864"/>
      <c r="HP13" s="1864"/>
      <c r="HQ13" s="1864"/>
      <c r="HR13" s="1864"/>
      <c r="HS13" s="1864"/>
      <c r="HT13" s="1864"/>
      <c r="HU13" s="1864"/>
      <c r="HV13" s="1864"/>
      <c r="HW13" s="1864"/>
      <c r="HX13" s="1864"/>
      <c r="HY13" s="1864"/>
      <c r="HZ13" s="1864"/>
      <c r="IA13" s="1864"/>
      <c r="IB13" s="1864"/>
      <c r="IC13" s="1864"/>
      <c r="ID13" s="1864"/>
      <c r="IE13" s="1864"/>
      <c r="IF13" s="1864"/>
      <c r="IG13" s="1864"/>
      <c r="IH13" s="1864"/>
      <c r="II13" s="1864"/>
      <c r="IJ13" s="1864"/>
      <c r="IK13" s="1864"/>
      <c r="IL13" s="1864"/>
      <c r="IM13" s="1864"/>
      <c r="IN13" s="1864"/>
      <c r="IO13" s="1864"/>
      <c r="IP13" s="1864"/>
      <c r="IQ13" s="1864"/>
      <c r="IR13" s="1864"/>
      <c r="IS13" s="1864"/>
      <c r="IT13" s="1864"/>
      <c r="IU13" s="1864"/>
      <c r="IV13" s="1864"/>
      <c r="IW13" s="1864"/>
      <c r="IX13" s="1864"/>
      <c r="IY13" s="1864"/>
      <c r="IZ13" s="1864"/>
      <c r="JA13" s="1864"/>
      <c r="JB13" s="1864"/>
      <c r="JC13" s="1864"/>
      <c r="JD13" s="1864"/>
      <c r="JE13" s="1864"/>
      <c r="JF13" s="1864"/>
      <c r="JG13" s="1864"/>
      <c r="JH13" s="1864"/>
      <c r="JI13" s="1864"/>
      <c r="JJ13" s="1864"/>
      <c r="JK13" s="1864"/>
      <c r="JL13" s="1864"/>
      <c r="JM13" s="1864"/>
      <c r="JN13" s="1864"/>
      <c r="JO13" s="1864"/>
      <c r="JP13" s="1864"/>
      <c r="JQ13" s="1864"/>
      <c r="JR13" s="1864"/>
      <c r="JS13" s="1864"/>
      <c r="JT13" s="1864"/>
      <c r="JU13" s="1864"/>
      <c r="JV13" s="1864"/>
      <c r="JW13" s="1864"/>
      <c r="JX13" s="1864"/>
      <c r="JY13" s="1864"/>
      <c r="JZ13" s="1864"/>
      <c r="KA13" s="1864"/>
      <c r="KB13" s="1864"/>
      <c r="KC13" s="1864"/>
      <c r="KD13" s="1864"/>
      <c r="KE13" s="1864"/>
      <c r="KF13" s="1864"/>
      <c r="KG13" s="1864"/>
      <c r="KH13" s="1864"/>
      <c r="KI13" s="1864"/>
      <c r="KJ13" s="1864"/>
      <c r="KK13" s="1864"/>
      <c r="KL13" s="1864"/>
      <c r="KM13" s="1864"/>
      <c r="KN13" s="1864"/>
      <c r="KO13" s="1864"/>
      <c r="KP13" s="1864"/>
      <c r="KQ13" s="1864"/>
      <c r="KR13" s="1864"/>
      <c r="KS13" s="1864"/>
      <c r="KT13" s="1864"/>
      <c r="KU13" s="1864"/>
      <c r="KV13" s="1864"/>
      <c r="KW13" s="1864"/>
      <c r="KX13" s="1864"/>
      <c r="KY13" s="1864"/>
      <c r="KZ13" s="1864"/>
      <c r="LA13" s="1864"/>
      <c r="LB13" s="1864"/>
      <c r="LC13" s="1864"/>
      <c r="LD13" s="1864"/>
      <c r="LE13" s="1864"/>
      <c r="LF13" s="1864"/>
      <c r="LG13" s="1864"/>
      <c r="LH13" s="1864"/>
      <c r="LI13" s="1864"/>
      <c r="LJ13" s="1864"/>
      <c r="LK13" s="1864"/>
      <c r="LL13" s="1864"/>
      <c r="LM13" s="1864"/>
      <c r="LN13" s="1864"/>
      <c r="LO13" s="1864"/>
      <c r="LP13" s="1864"/>
      <c r="LQ13" s="1864"/>
      <c r="LR13" s="1864"/>
      <c r="LS13" s="1864"/>
      <c r="LT13" s="1864"/>
      <c r="LU13" s="1864"/>
      <c r="LV13" s="1864"/>
      <c r="LW13" s="1864"/>
      <c r="LX13" s="1864"/>
      <c r="LY13" s="1864"/>
      <c r="LZ13" s="1864"/>
      <c r="MA13" s="1864"/>
      <c r="MB13" s="1864"/>
      <c r="MC13" s="1864"/>
      <c r="MD13" s="1864"/>
      <c r="ME13" s="1864"/>
      <c r="MF13" s="1864"/>
      <c r="MG13" s="1864"/>
      <c r="MH13" s="1864"/>
      <c r="MI13" s="1864"/>
      <c r="MJ13" s="1864"/>
      <c r="MK13" s="1864"/>
      <c r="ML13" s="1864"/>
      <c r="MM13" s="1864"/>
      <c r="MN13" s="1864"/>
      <c r="MO13" s="1864"/>
      <c r="MP13" s="1864"/>
      <c r="MQ13" s="1864"/>
      <c r="MR13" s="1864"/>
      <c r="MS13" s="1864"/>
      <c r="MT13" s="1864"/>
      <c r="MU13" s="1864"/>
      <c r="MV13" s="1864"/>
      <c r="MW13" s="1864"/>
      <c r="MX13" s="1864"/>
      <c r="MY13" s="1864"/>
      <c r="MZ13" s="1864"/>
      <c r="NA13" s="1864"/>
      <c r="NB13" s="1864"/>
      <c r="NC13" s="1864"/>
      <c r="ND13" s="1864"/>
      <c r="NE13" s="1864"/>
      <c r="NF13" s="1864"/>
      <c r="NG13" s="1864"/>
      <c r="NH13" s="1864"/>
      <c r="NI13" s="1864"/>
      <c r="NJ13" s="1864"/>
      <c r="NK13" s="1864"/>
      <c r="NL13" s="1864"/>
      <c r="NM13" s="1864"/>
      <c r="NN13" s="1864"/>
      <c r="NO13" s="1864"/>
      <c r="NP13" s="1864"/>
      <c r="NQ13" s="1864"/>
      <c r="NR13" s="1864"/>
      <c r="NS13" s="1864"/>
      <c r="NT13" s="1864"/>
      <c r="NU13" s="1864"/>
      <c r="NV13" s="1864"/>
      <c r="NW13" s="1864"/>
      <c r="NX13" s="1864"/>
      <c r="NY13" s="1864"/>
      <c r="NZ13" s="1864"/>
      <c r="OA13" s="1864"/>
      <c r="OB13" s="1864"/>
      <c r="OC13" s="1864"/>
      <c r="OD13" s="1864"/>
      <c r="OE13" s="1864"/>
      <c r="OF13" s="1864"/>
      <c r="OG13" s="1864"/>
      <c r="OH13" s="1864"/>
      <c r="OI13" s="1864"/>
      <c r="OJ13" s="1864"/>
      <c r="OK13" s="1864"/>
      <c r="OL13" s="1864"/>
      <c r="OM13" s="1864"/>
      <c r="ON13" s="1864"/>
      <c r="OO13" s="1864"/>
      <c r="OP13" s="1864"/>
      <c r="OQ13" s="1864"/>
      <c r="OR13" s="1864"/>
      <c r="OS13" s="1864"/>
      <c r="OT13" s="1864"/>
      <c r="OU13" s="1864"/>
      <c r="OV13" s="1864"/>
      <c r="OW13" s="1864"/>
      <c r="OX13" s="1864"/>
      <c r="OY13" s="1864"/>
      <c r="OZ13" s="1864"/>
      <c r="PA13" s="1864"/>
      <c r="PB13" s="1864"/>
      <c r="PC13" s="1864"/>
      <c r="PD13" s="1864"/>
      <c r="PE13" s="1864"/>
      <c r="PF13" s="1864"/>
      <c r="PG13" s="1864"/>
      <c r="PH13" s="1864"/>
      <c r="PI13" s="1864"/>
      <c r="PJ13" s="1864"/>
      <c r="PK13" s="1864"/>
      <c r="PL13" s="1864"/>
      <c r="PM13" s="1864"/>
      <c r="PN13" s="1864"/>
      <c r="PO13" s="1864"/>
      <c r="PP13" s="1864"/>
      <c r="PQ13" s="1864"/>
      <c r="PR13" s="1864"/>
      <c r="PS13" s="1864"/>
      <c r="PT13" s="1864"/>
      <c r="PU13" s="1864"/>
      <c r="PV13" s="1864"/>
      <c r="PW13" s="1864"/>
      <c r="PX13" s="1864"/>
      <c r="PY13" s="1864"/>
      <c r="PZ13" s="1864"/>
      <c r="QA13" s="1864"/>
      <c r="QB13" s="1864"/>
      <c r="QC13" s="1864"/>
      <c r="QD13" s="1864"/>
      <c r="QE13" s="1864"/>
      <c r="QF13" s="1864"/>
      <c r="QG13" s="1864"/>
      <c r="QH13" s="1864"/>
      <c r="QI13" s="1864"/>
      <c r="QJ13" s="1864"/>
      <c r="QK13" s="1864"/>
      <c r="QL13" s="1864"/>
      <c r="QM13" s="1864"/>
      <c r="QN13" s="1864"/>
      <c r="QO13" s="1864"/>
      <c r="QP13" s="1864"/>
      <c r="QQ13" s="1864"/>
      <c r="QR13" s="1864"/>
      <c r="QS13" s="1864"/>
      <c r="QT13" s="1864"/>
      <c r="QU13" s="1864"/>
      <c r="QV13" s="1864"/>
      <c r="QW13" s="1864"/>
      <c r="QX13" s="1864"/>
      <c r="QY13" s="1864"/>
      <c r="QZ13" s="1864"/>
      <c r="RA13" s="1864"/>
      <c r="RB13" s="1864"/>
      <c r="RC13" s="1864"/>
      <c r="RD13" s="1864"/>
      <c r="RE13" s="1864"/>
      <c r="RF13" s="1864"/>
      <c r="RG13" s="1864"/>
      <c r="RH13" s="1864"/>
      <c r="RI13" s="1864"/>
      <c r="RJ13" s="1864"/>
      <c r="RK13" s="1864"/>
      <c r="RL13" s="1864"/>
      <c r="RM13" s="1864"/>
      <c r="RN13" s="1864"/>
      <c r="RO13" s="1864"/>
      <c r="RP13" s="1864"/>
      <c r="RQ13" s="1864"/>
      <c r="RR13" s="1864"/>
      <c r="RS13" s="1864"/>
      <c r="RT13" s="1864"/>
      <c r="RU13" s="1864"/>
      <c r="RV13" s="1864"/>
      <c r="RW13" s="1864"/>
      <c r="RX13" s="1864"/>
      <c r="RY13" s="1864"/>
      <c r="RZ13" s="1864"/>
      <c r="SA13" s="1864"/>
      <c r="SB13" s="1864"/>
      <c r="SC13" s="1864"/>
      <c r="SD13" s="1864"/>
      <c r="SE13" s="1864"/>
      <c r="SF13" s="1864"/>
      <c r="SG13" s="1864"/>
      <c r="SH13" s="1864"/>
      <c r="SI13" s="1864"/>
      <c r="SJ13" s="1864"/>
      <c r="SK13" s="1864"/>
      <c r="SL13" s="1864"/>
      <c r="SM13" s="1864"/>
      <c r="SN13" s="1864"/>
      <c r="SO13" s="1864"/>
      <c r="SP13" s="1864"/>
      <c r="SQ13" s="1864"/>
      <c r="SR13" s="1864"/>
      <c r="SS13" s="1864"/>
      <c r="ST13" s="1864"/>
      <c r="SU13" s="1864"/>
      <c r="SV13" s="1864"/>
      <c r="SW13" s="1864"/>
      <c r="SX13" s="1864"/>
      <c r="SY13" s="1864"/>
      <c r="SZ13" s="1864"/>
      <c r="TA13" s="1864"/>
      <c r="TB13" s="1864"/>
      <c r="TC13" s="1864"/>
      <c r="TD13" s="1864"/>
      <c r="TE13" s="1864"/>
      <c r="TF13" s="1864"/>
      <c r="TG13" s="1864"/>
      <c r="TH13" s="1864"/>
      <c r="TI13" s="1864"/>
      <c r="TJ13" s="1864"/>
      <c r="TK13" s="1864"/>
      <c r="TL13" s="1864"/>
      <c r="TM13" s="1864"/>
      <c r="TN13" s="1864"/>
      <c r="TO13" s="1864"/>
      <c r="TP13" s="1864"/>
      <c r="TQ13" s="1864"/>
      <c r="TR13" s="1864"/>
      <c r="TS13" s="1864"/>
      <c r="TT13" s="1864"/>
      <c r="TU13" s="1864"/>
      <c r="TV13" s="1864"/>
      <c r="TW13" s="1864"/>
      <c r="TX13" s="1864"/>
      <c r="TY13" s="1864"/>
      <c r="TZ13" s="1864"/>
      <c r="UA13" s="1864"/>
      <c r="UB13" s="1864"/>
      <c r="UC13" s="1864"/>
      <c r="UD13" s="1864"/>
      <c r="UE13" s="1864"/>
      <c r="UF13" s="1864"/>
      <c r="UG13" s="1864"/>
      <c r="UH13" s="1864"/>
      <c r="UI13" s="1864"/>
      <c r="UJ13" s="1864"/>
      <c r="UK13" s="1864"/>
      <c r="UL13" s="1864"/>
      <c r="UM13" s="1864"/>
      <c r="UN13" s="1864"/>
      <c r="UO13" s="1864"/>
      <c r="UP13" s="1864"/>
      <c r="UQ13" s="1864"/>
      <c r="UR13" s="1864"/>
      <c r="US13" s="1864"/>
      <c r="UT13" s="1864"/>
      <c r="UU13" s="1864"/>
      <c r="UV13" s="1864"/>
      <c r="UW13" s="1864"/>
      <c r="UX13" s="1864"/>
      <c r="UY13" s="1864"/>
      <c r="UZ13" s="1864"/>
      <c r="VA13" s="1864"/>
      <c r="VB13" s="1864"/>
      <c r="VC13" s="1864"/>
      <c r="VD13" s="1864"/>
      <c r="VE13" s="1864"/>
      <c r="VF13" s="1864"/>
      <c r="VG13" s="1864"/>
      <c r="VH13" s="1864"/>
      <c r="VI13" s="1864"/>
      <c r="VJ13" s="1864"/>
      <c r="VK13" s="1864"/>
      <c r="VL13" s="1864"/>
      <c r="VM13" s="1864"/>
      <c r="VN13" s="1864"/>
      <c r="VO13" s="1864"/>
      <c r="VP13" s="1864"/>
      <c r="VQ13" s="1864"/>
      <c r="VR13" s="1864"/>
      <c r="VS13" s="1864"/>
      <c r="VT13" s="1864"/>
      <c r="VU13" s="1864"/>
      <c r="VV13" s="1864"/>
      <c r="VW13" s="1864"/>
      <c r="VX13" s="1864"/>
      <c r="VY13" s="1864"/>
      <c r="VZ13" s="1864"/>
      <c r="WA13" s="1864"/>
      <c r="WB13" s="1864"/>
      <c r="WC13" s="1864"/>
      <c r="WD13" s="1864"/>
      <c r="WE13" s="1864"/>
      <c r="WF13" s="1864"/>
      <c r="WG13" s="1864"/>
      <c r="WH13" s="1864"/>
      <c r="WI13" s="1864"/>
      <c r="WJ13" s="1864"/>
      <c r="WK13" s="1864"/>
      <c r="WL13" s="1864"/>
      <c r="WM13" s="1864"/>
      <c r="WN13" s="1864"/>
      <c r="WO13" s="1864"/>
      <c r="WP13" s="1864"/>
      <c r="WQ13" s="1864"/>
      <c r="WR13" s="1864"/>
      <c r="WS13" s="1864"/>
      <c r="WT13" s="1864"/>
      <c r="WU13" s="1864"/>
      <c r="WV13" s="1864"/>
      <c r="WW13" s="1864"/>
      <c r="WX13" s="1864"/>
      <c r="WY13" s="1864"/>
      <c r="WZ13" s="1864"/>
      <c r="XA13" s="1864"/>
      <c r="XB13" s="1864"/>
      <c r="XC13" s="1864"/>
      <c r="XD13" s="1864"/>
      <c r="XE13" s="1864"/>
      <c r="XF13" s="1864"/>
      <c r="XG13" s="1864"/>
      <c r="XH13" s="1864"/>
      <c r="XI13" s="1864"/>
      <c r="XJ13" s="1864"/>
      <c r="XK13" s="1864"/>
      <c r="XL13" s="1864"/>
      <c r="XM13" s="1864"/>
      <c r="XN13" s="1864"/>
      <c r="XO13" s="1864"/>
      <c r="XP13" s="1864"/>
      <c r="XQ13" s="1864"/>
      <c r="XR13" s="1864"/>
      <c r="XS13" s="1864"/>
      <c r="XT13" s="1864"/>
      <c r="XU13" s="1864"/>
      <c r="XV13" s="1864"/>
      <c r="XW13" s="1864"/>
      <c r="XX13" s="1864"/>
      <c r="XY13" s="1864"/>
      <c r="XZ13" s="1864"/>
      <c r="YA13" s="1864"/>
      <c r="YB13" s="1864"/>
      <c r="YC13" s="1864"/>
      <c r="YD13" s="1864"/>
      <c r="YE13" s="1864"/>
      <c r="YF13" s="1864"/>
      <c r="YG13" s="1864"/>
      <c r="YH13" s="1864"/>
      <c r="YI13" s="1864"/>
      <c r="YJ13" s="1864"/>
      <c r="YK13" s="1864"/>
      <c r="YL13" s="1864"/>
      <c r="YM13" s="1864"/>
      <c r="YN13" s="1864"/>
      <c r="YO13" s="1864"/>
      <c r="YP13" s="1864"/>
      <c r="YQ13" s="1864"/>
      <c r="YR13" s="1864"/>
      <c r="YS13" s="1864"/>
      <c r="YT13" s="1864"/>
      <c r="YU13" s="1864"/>
      <c r="YV13" s="1864"/>
      <c r="YW13" s="1864"/>
      <c r="YX13" s="1864"/>
      <c r="YY13" s="1864"/>
      <c r="YZ13" s="1864"/>
      <c r="ZA13" s="1864"/>
      <c r="ZB13" s="1864"/>
      <c r="ZC13" s="1864"/>
      <c r="ZD13" s="1864"/>
      <c r="ZE13" s="1864"/>
      <c r="ZF13" s="1864"/>
      <c r="ZG13" s="1864"/>
      <c r="ZH13" s="1864"/>
      <c r="ZI13" s="1864"/>
      <c r="ZJ13" s="1864"/>
      <c r="ZK13" s="1864"/>
      <c r="ZL13" s="1864"/>
      <c r="ZM13" s="1864"/>
      <c r="ZN13" s="1864"/>
      <c r="ZO13" s="1864"/>
      <c r="ZP13" s="1864"/>
      <c r="ZQ13" s="1864"/>
      <c r="ZR13" s="1864"/>
      <c r="ZS13" s="1864"/>
      <c r="ZT13" s="1864"/>
      <c r="ZU13" s="1864"/>
      <c r="ZV13" s="1864"/>
      <c r="ZW13" s="1864"/>
      <c r="ZX13" s="1864"/>
      <c r="ZY13" s="1864"/>
      <c r="ZZ13" s="1864"/>
      <c r="AAA13" s="1864"/>
      <c r="AAB13" s="1864"/>
      <c r="AAC13" s="1864"/>
      <c r="AAD13" s="1864"/>
      <c r="AAE13" s="1864"/>
      <c r="AAF13" s="1864"/>
      <c r="AAG13" s="1864"/>
      <c r="AAH13" s="1864"/>
      <c r="AAI13" s="1864"/>
      <c r="AAJ13" s="1864"/>
      <c r="AAK13" s="1864"/>
      <c r="AAL13" s="1864"/>
      <c r="AAM13" s="1864"/>
      <c r="AAN13" s="1864"/>
      <c r="AAO13" s="1864"/>
      <c r="AAP13" s="1864"/>
      <c r="AAQ13" s="1864"/>
      <c r="AAR13" s="1864"/>
      <c r="AAS13" s="1864"/>
      <c r="AAT13" s="1864"/>
      <c r="AAU13" s="1864"/>
      <c r="AAV13" s="1864"/>
      <c r="AAW13" s="1864"/>
      <c r="AAX13" s="1864"/>
      <c r="AAY13" s="1864"/>
      <c r="AAZ13" s="1864"/>
      <c r="ABA13" s="1864"/>
      <c r="ABB13" s="1864"/>
      <c r="ABC13" s="1864"/>
      <c r="ABD13" s="1864"/>
      <c r="ABE13" s="1864"/>
      <c r="ABF13" s="1864"/>
      <c r="ABG13" s="1864"/>
      <c r="ABH13" s="1864"/>
      <c r="ABI13" s="1864"/>
      <c r="ABJ13" s="1864"/>
      <c r="ABK13" s="1864"/>
      <c r="ABL13" s="1864"/>
      <c r="ABM13" s="1864"/>
      <c r="ABN13" s="1864"/>
      <c r="ABO13" s="1864"/>
      <c r="ABP13" s="1864"/>
      <c r="ABQ13" s="1864"/>
      <c r="ABR13" s="1864"/>
      <c r="ABS13" s="1864"/>
      <c r="ABT13" s="1864"/>
      <c r="ABU13" s="1864"/>
      <c r="ABV13" s="1864"/>
      <c r="ABW13" s="1864"/>
      <c r="ABX13" s="1864"/>
      <c r="ABY13" s="1864"/>
      <c r="ABZ13" s="1864"/>
      <c r="ACA13" s="1864"/>
      <c r="ACB13" s="1864"/>
      <c r="ACC13" s="1864"/>
      <c r="ACD13" s="1864"/>
      <c r="ACE13" s="1864"/>
      <c r="ACF13" s="1864"/>
      <c r="ACG13" s="1864"/>
      <c r="ACH13" s="1864"/>
      <c r="ACI13" s="1864"/>
      <c r="ACJ13" s="1864"/>
      <c r="ACK13" s="1864"/>
      <c r="ACL13" s="1864"/>
      <c r="ACM13" s="1864"/>
      <c r="ACN13" s="1864"/>
      <c r="ACO13" s="1864"/>
      <c r="ACP13" s="1864"/>
      <c r="ACQ13" s="1864"/>
      <c r="ACR13" s="1864"/>
      <c r="ACS13" s="1864"/>
      <c r="ACT13" s="1864"/>
      <c r="ACU13" s="1864"/>
      <c r="ACV13" s="1864"/>
      <c r="ACW13" s="1864"/>
      <c r="ACX13" s="1864"/>
      <c r="ACY13" s="1864"/>
      <c r="ACZ13" s="1864"/>
      <c r="ADA13" s="1864"/>
      <c r="ADB13" s="1864"/>
      <c r="ADC13" s="1864"/>
      <c r="ADD13" s="1864"/>
      <c r="ADE13" s="1864"/>
      <c r="ADF13" s="1864"/>
      <c r="ADG13" s="1864"/>
      <c r="ADH13" s="1864"/>
      <c r="ADI13" s="1864"/>
      <c r="ADJ13" s="1864"/>
      <c r="ADK13" s="1864"/>
      <c r="ADL13" s="1864"/>
      <c r="ADM13" s="1864"/>
      <c r="ADN13" s="1864"/>
      <c r="ADO13" s="1864"/>
      <c r="ADP13" s="1864"/>
      <c r="ADQ13" s="1864"/>
      <c r="ADR13" s="1864"/>
      <c r="ADS13" s="1864"/>
      <c r="ADT13" s="1864"/>
      <c r="ADU13" s="1864"/>
      <c r="ADV13" s="1864"/>
      <c r="ADW13" s="1864"/>
      <c r="ADX13" s="1864"/>
      <c r="ADY13" s="1864"/>
      <c r="ADZ13" s="1864"/>
      <c r="AEA13" s="1864"/>
      <c r="AEB13" s="1864"/>
      <c r="AEC13" s="1864"/>
      <c r="AED13" s="1864"/>
      <c r="AEE13" s="1864"/>
      <c r="AEF13" s="1864"/>
      <c r="AEG13" s="1864"/>
      <c r="AEH13" s="1864"/>
      <c r="AEI13" s="1864"/>
      <c r="AEJ13" s="1864"/>
      <c r="AEK13" s="1864"/>
      <c r="AEL13" s="1864"/>
      <c r="AEM13" s="1864"/>
      <c r="AEN13" s="1864"/>
      <c r="AEO13" s="1864"/>
      <c r="AEP13" s="1864"/>
      <c r="AEQ13" s="1864"/>
      <c r="AER13" s="1864"/>
      <c r="AES13" s="1864"/>
      <c r="AET13" s="1864"/>
      <c r="AEU13" s="1864"/>
      <c r="AEV13" s="1864"/>
      <c r="AEW13" s="1864"/>
      <c r="AEX13" s="1864"/>
      <c r="AEY13" s="1864"/>
      <c r="AEZ13" s="1864"/>
      <c r="AFA13" s="1864"/>
      <c r="AFB13" s="1864"/>
      <c r="AFC13" s="1864"/>
      <c r="AFD13" s="1864"/>
      <c r="AFE13" s="1864"/>
      <c r="AFF13" s="1864"/>
      <c r="AFG13" s="1864"/>
      <c r="AFH13" s="1864"/>
      <c r="AFI13" s="1864"/>
      <c r="AFJ13" s="1864"/>
      <c r="AFK13" s="1864"/>
      <c r="AFL13" s="1864"/>
      <c r="AFM13" s="1864"/>
      <c r="AFN13" s="1864"/>
      <c r="AFO13" s="1864"/>
      <c r="AFP13" s="1864"/>
      <c r="AFQ13" s="1864"/>
      <c r="AFR13" s="1864"/>
      <c r="AFS13" s="1864"/>
      <c r="AFT13" s="1864"/>
      <c r="AFU13" s="1864"/>
      <c r="AFV13" s="1864"/>
      <c r="AFW13" s="1864"/>
      <c r="AFX13" s="1864"/>
      <c r="AFY13" s="1864"/>
      <c r="AFZ13" s="1864"/>
      <c r="AGA13" s="1864"/>
      <c r="AGB13" s="1864"/>
      <c r="AGC13" s="1864"/>
      <c r="AGD13" s="1864"/>
      <c r="AGE13" s="1864"/>
      <c r="AGF13" s="1864"/>
      <c r="AGG13" s="1864"/>
      <c r="AGH13" s="1864"/>
      <c r="AGI13" s="1864"/>
      <c r="AGJ13" s="1864"/>
      <c r="AGK13" s="1864"/>
      <c r="AGL13" s="1864"/>
      <c r="AGM13" s="1864"/>
      <c r="AGN13" s="1864"/>
      <c r="AGO13" s="1864"/>
      <c r="AGP13" s="1864"/>
      <c r="AGQ13" s="1864"/>
      <c r="AGR13" s="1864"/>
      <c r="AGS13" s="1864"/>
      <c r="AGT13" s="1864"/>
      <c r="AGU13" s="1864"/>
      <c r="AGV13" s="1864"/>
      <c r="AGW13" s="1864"/>
      <c r="AGX13" s="1864"/>
      <c r="AGY13" s="1864"/>
      <c r="AGZ13" s="1864"/>
      <c r="AHA13" s="1864"/>
      <c r="AHB13" s="1864"/>
      <c r="AHC13" s="1864"/>
      <c r="AHD13" s="1864"/>
      <c r="AHE13" s="1864"/>
      <c r="AHF13" s="1864"/>
      <c r="AHG13" s="1864"/>
      <c r="AHH13" s="1864"/>
      <c r="AHI13" s="1864"/>
      <c r="AHJ13" s="1864"/>
      <c r="AHK13" s="1864"/>
      <c r="AHL13" s="1864"/>
      <c r="AHM13" s="1864"/>
      <c r="AHN13" s="1864"/>
      <c r="AHO13" s="1864"/>
      <c r="AHP13" s="1864"/>
      <c r="AHQ13" s="1864"/>
      <c r="AHR13" s="1864"/>
      <c r="AHS13" s="1864"/>
      <c r="AHT13" s="1864"/>
      <c r="AHU13" s="1864"/>
      <c r="AHV13" s="1864"/>
      <c r="AHW13" s="1864"/>
      <c r="AHX13" s="1864"/>
      <c r="AHY13" s="1864"/>
      <c r="AHZ13" s="1864"/>
      <c r="AIA13" s="1864"/>
      <c r="AIB13" s="1864"/>
      <c r="AIC13" s="1864"/>
      <c r="AID13" s="1864"/>
      <c r="AIE13" s="1864"/>
      <c r="AIF13" s="1864"/>
      <c r="AIG13" s="1864"/>
      <c r="AIH13" s="1864"/>
      <c r="AII13" s="1864"/>
      <c r="AIJ13" s="1864"/>
      <c r="AIK13" s="1864"/>
      <c r="AIL13" s="1864"/>
      <c r="AIM13" s="1864"/>
      <c r="AIN13" s="1864"/>
      <c r="AIO13" s="1864"/>
      <c r="AIP13" s="1864"/>
      <c r="AIQ13" s="1864"/>
      <c r="AIR13" s="1864"/>
      <c r="AIS13" s="1864"/>
      <c r="AIT13" s="1864"/>
      <c r="AIU13" s="1864"/>
      <c r="AIV13" s="1864"/>
      <c r="AIW13" s="1864"/>
      <c r="AIX13" s="1864"/>
      <c r="AIY13" s="1864"/>
      <c r="AIZ13" s="1864"/>
      <c r="AJA13" s="1864"/>
      <c r="AJB13" s="1864"/>
      <c r="AJC13" s="1864"/>
      <c r="AJD13" s="1864"/>
      <c r="AJE13" s="1864"/>
      <c r="AJF13" s="1864"/>
      <c r="AJG13" s="1864"/>
      <c r="AJH13" s="1864"/>
      <c r="AJI13" s="1864"/>
      <c r="AJJ13" s="1864"/>
      <c r="AJK13" s="1864"/>
      <c r="AJL13" s="1864"/>
      <c r="AJM13" s="1864"/>
      <c r="AJN13" s="1864"/>
      <c r="AJO13" s="1864"/>
      <c r="AJP13" s="1864"/>
      <c r="AJQ13" s="1864"/>
      <c r="AJR13" s="1864"/>
      <c r="AJS13" s="1864"/>
      <c r="AJT13" s="1864"/>
      <c r="AJU13" s="1864"/>
      <c r="AJV13" s="1864"/>
      <c r="AJW13" s="1864"/>
      <c r="AJX13" s="1864"/>
      <c r="AJY13" s="1864"/>
      <c r="AJZ13" s="1864"/>
      <c r="AKA13" s="1864"/>
      <c r="AKB13" s="1864"/>
      <c r="AKC13" s="1864"/>
      <c r="AKD13" s="1864"/>
      <c r="AKE13" s="1864"/>
      <c r="AKF13" s="1864"/>
      <c r="AKG13" s="1864"/>
      <c r="AKH13" s="1864"/>
      <c r="AKI13" s="1864"/>
      <c r="AKJ13" s="1864"/>
      <c r="AKK13" s="1864"/>
      <c r="AKL13" s="1864"/>
      <c r="AKM13" s="1864"/>
      <c r="AKN13" s="1864"/>
      <c r="AKO13" s="1864"/>
      <c r="AKP13" s="1864"/>
      <c r="AKQ13" s="1864"/>
      <c r="AKR13" s="1864"/>
      <c r="AKS13" s="1864"/>
      <c r="AKT13" s="1864"/>
      <c r="AKU13" s="1864"/>
      <c r="AKV13" s="1864"/>
      <c r="AKW13" s="1864"/>
      <c r="AKX13" s="1864"/>
      <c r="AKY13" s="1864"/>
      <c r="AKZ13" s="1864"/>
      <c r="ALA13" s="1864"/>
      <c r="ALB13" s="1864"/>
      <c r="ALC13" s="1864"/>
      <c r="ALD13" s="1864"/>
      <c r="ALE13" s="1864"/>
      <c r="ALF13" s="1864"/>
      <c r="ALG13" s="1864"/>
      <c r="ALH13" s="1864"/>
      <c r="ALI13" s="1864"/>
      <c r="ALJ13" s="1864"/>
      <c r="ALK13" s="1864"/>
      <c r="ALL13" s="1864"/>
      <c r="ALM13" s="1864"/>
      <c r="ALN13" s="1864"/>
      <c r="ALO13" s="1864"/>
      <c r="ALP13" s="1864"/>
      <c r="ALQ13" s="1864"/>
      <c r="ALR13" s="1864"/>
      <c r="ALS13" s="1864"/>
      <c r="ALT13" s="1864"/>
      <c r="ALU13" s="1864"/>
      <c r="ALV13" s="1864"/>
      <c r="ALW13" s="1864"/>
      <c r="ALX13" s="1864"/>
      <c r="ALY13" s="1864"/>
      <c r="ALZ13" s="1864"/>
      <c r="AMA13" s="1864"/>
      <c r="AMB13" s="1864"/>
      <c r="AMC13" s="1864"/>
      <c r="AMD13" s="1864"/>
      <c r="AME13" s="1864"/>
      <c r="AMF13" s="1864"/>
      <c r="AMG13" s="1864"/>
      <c r="AMH13" s="1864"/>
      <c r="AMI13" s="1864"/>
      <c r="AMJ13" s="1864"/>
      <c r="AMK13" s="1864"/>
      <c r="AML13" s="1864"/>
      <c r="AMM13" s="1864"/>
      <c r="AMN13" s="1864"/>
      <c r="AMO13" s="1864"/>
      <c r="AMP13" s="1864"/>
      <c r="AMQ13" s="1864"/>
      <c r="AMR13" s="1864"/>
      <c r="AMS13" s="1864"/>
      <c r="AMT13" s="1864"/>
      <c r="AMU13" s="1864"/>
      <c r="AMV13" s="1864"/>
      <c r="AMW13" s="1864"/>
      <c r="AMX13" s="1864"/>
      <c r="AMY13" s="1864"/>
      <c r="AMZ13" s="1864"/>
      <c r="ANA13" s="1864"/>
      <c r="ANB13" s="1864"/>
      <c r="ANC13" s="1864"/>
      <c r="AND13" s="1864"/>
      <c r="ANE13" s="1864"/>
      <c r="ANF13" s="1864"/>
      <c r="ANG13" s="1864"/>
      <c r="ANH13" s="1864"/>
      <c r="ANI13" s="1864"/>
      <c r="ANJ13" s="1864"/>
      <c r="ANK13" s="1864"/>
      <c r="ANL13" s="1864"/>
      <c r="ANM13" s="1864"/>
      <c r="ANN13" s="1864"/>
      <c r="ANO13" s="1864"/>
      <c r="ANP13" s="1864"/>
      <c r="ANQ13" s="1864"/>
      <c r="ANR13" s="1864"/>
      <c r="ANS13" s="1864"/>
      <c r="ANT13" s="1864"/>
      <c r="ANU13" s="1864"/>
      <c r="ANV13" s="1864"/>
      <c r="ANW13" s="1864"/>
      <c r="ANX13" s="1864"/>
      <c r="ANY13" s="1864"/>
      <c r="ANZ13" s="1864"/>
      <c r="AOA13" s="1864"/>
      <c r="AOB13" s="1864"/>
      <c r="AOC13" s="1864"/>
      <c r="AOD13" s="1864"/>
      <c r="AOE13" s="1864"/>
      <c r="AOF13" s="1864"/>
      <c r="AOG13" s="1864"/>
      <c r="AOH13" s="1864"/>
      <c r="AOI13" s="1864"/>
      <c r="AOJ13" s="1864"/>
      <c r="AOK13" s="1864"/>
      <c r="AOL13" s="1864"/>
      <c r="AOM13" s="1864"/>
      <c r="AON13" s="1864"/>
      <c r="AOO13" s="1864"/>
      <c r="AOP13" s="1864"/>
      <c r="AOQ13" s="1864"/>
      <c r="AOR13" s="1864"/>
      <c r="AOS13" s="1864"/>
      <c r="AOT13" s="1864"/>
      <c r="AOU13" s="1864"/>
      <c r="AOV13" s="1864"/>
      <c r="AOW13" s="1864"/>
      <c r="AOX13" s="1864"/>
      <c r="AOY13" s="1864"/>
      <c r="AOZ13" s="1864"/>
      <c r="APA13" s="1864"/>
      <c r="APB13" s="1864"/>
      <c r="APC13" s="1864"/>
      <c r="APD13" s="1864"/>
      <c r="APE13" s="1864"/>
      <c r="APF13" s="1864"/>
      <c r="APG13" s="1864"/>
      <c r="APH13" s="1864"/>
      <c r="API13" s="1864"/>
      <c r="APJ13" s="1864"/>
      <c r="APK13" s="1864"/>
      <c r="APL13" s="1864"/>
      <c r="APM13" s="1864"/>
      <c r="APN13" s="1864"/>
      <c r="APO13" s="1864"/>
      <c r="APP13" s="1864"/>
      <c r="APQ13" s="1864"/>
      <c r="APR13" s="1864"/>
      <c r="APS13" s="1864"/>
      <c r="APT13" s="1864"/>
      <c r="APU13" s="1864"/>
      <c r="APV13" s="1864"/>
      <c r="APW13" s="1864"/>
      <c r="APX13" s="1864"/>
      <c r="APY13" s="1864"/>
      <c r="APZ13" s="1864"/>
      <c r="AQA13" s="1864"/>
      <c r="AQB13" s="1864"/>
      <c r="AQC13" s="1864"/>
      <c r="AQD13" s="1864"/>
      <c r="AQE13" s="1864"/>
      <c r="AQF13" s="1864"/>
      <c r="AQG13" s="1864"/>
      <c r="AQH13" s="1864"/>
      <c r="AQI13" s="1864"/>
      <c r="AQJ13" s="1864"/>
      <c r="AQK13" s="1864"/>
      <c r="AQL13" s="1864"/>
      <c r="AQM13" s="1864"/>
      <c r="AQN13" s="1864"/>
      <c r="AQO13" s="1864"/>
      <c r="AQP13" s="1864"/>
      <c r="AQQ13" s="1864"/>
      <c r="AQR13" s="1864"/>
      <c r="AQS13" s="1864"/>
      <c r="AQT13" s="1864"/>
      <c r="AQU13" s="1864"/>
      <c r="AQV13" s="1864"/>
      <c r="AQW13" s="1864"/>
      <c r="AQX13" s="1864"/>
      <c r="AQY13" s="1864"/>
      <c r="AQZ13" s="1864"/>
      <c r="ARA13" s="1864"/>
      <c r="ARB13" s="1864"/>
      <c r="ARC13" s="1864"/>
      <c r="ARD13" s="1864"/>
      <c r="ARE13" s="1864"/>
      <c r="ARF13" s="1864"/>
      <c r="ARG13" s="1864"/>
      <c r="ARH13" s="1864"/>
      <c r="ARI13" s="1864"/>
      <c r="ARJ13" s="1864"/>
      <c r="ARK13" s="1864"/>
      <c r="ARL13" s="1864"/>
      <c r="ARM13" s="1864"/>
      <c r="ARN13" s="1864"/>
      <c r="ARO13" s="1864"/>
      <c r="ARP13" s="1864"/>
      <c r="ARQ13" s="1864"/>
      <c r="ARR13" s="1864"/>
      <c r="ARS13" s="1864"/>
      <c r="ART13" s="1864"/>
      <c r="ARU13" s="1864"/>
      <c r="ARV13" s="1864"/>
      <c r="ARW13" s="1864"/>
      <c r="ARX13" s="1864"/>
      <c r="ARY13" s="1864"/>
      <c r="ARZ13" s="1864"/>
      <c r="ASA13" s="1864"/>
      <c r="ASB13" s="1864"/>
      <c r="ASC13" s="1864"/>
      <c r="ASD13" s="1864"/>
      <c r="ASE13" s="1864"/>
      <c r="ASF13" s="1864"/>
      <c r="ASG13" s="1864"/>
      <c r="ASH13" s="1864"/>
      <c r="ASI13" s="1864"/>
      <c r="ASJ13" s="1864"/>
      <c r="ASK13" s="1864"/>
      <c r="ASL13" s="1864"/>
      <c r="ASM13" s="1864"/>
      <c r="ASN13" s="1864"/>
      <c r="ASO13" s="1864"/>
      <c r="ASP13" s="1864"/>
      <c r="ASQ13" s="1864"/>
      <c r="ASR13" s="1864"/>
      <c r="ASS13" s="1864"/>
      <c r="AST13" s="1864"/>
      <c r="ASU13" s="1864"/>
      <c r="ASV13" s="1864"/>
      <c r="ASW13" s="1864"/>
      <c r="ASX13" s="1864"/>
      <c r="ASY13" s="1864"/>
      <c r="ASZ13" s="1864"/>
      <c r="ATA13" s="1864"/>
      <c r="ATB13" s="1864"/>
      <c r="ATC13" s="1864"/>
      <c r="ATD13" s="1864"/>
      <c r="ATE13" s="1864"/>
      <c r="ATF13" s="1864"/>
      <c r="ATG13" s="1864"/>
      <c r="ATH13" s="1864"/>
      <c r="ATI13" s="1864"/>
      <c r="ATJ13" s="1864"/>
      <c r="ATK13" s="1864"/>
      <c r="ATL13" s="1864"/>
      <c r="ATM13" s="1864"/>
      <c r="ATN13" s="1864"/>
      <c r="ATO13" s="1864"/>
      <c r="ATP13" s="1864"/>
      <c r="ATQ13" s="1864"/>
      <c r="ATR13" s="1864"/>
      <c r="ATS13" s="1864"/>
      <c r="ATT13" s="1864"/>
      <c r="ATU13" s="1864"/>
      <c r="ATV13" s="1864"/>
      <c r="ATW13" s="1864"/>
      <c r="ATX13" s="1864"/>
      <c r="ATY13" s="1864"/>
      <c r="ATZ13" s="1864"/>
      <c r="AUA13" s="1864"/>
      <c r="AUB13" s="1864"/>
      <c r="AUC13" s="1864"/>
      <c r="AUD13" s="1864"/>
      <c r="AUE13" s="1864"/>
      <c r="AUF13" s="1864"/>
      <c r="AUG13" s="1864"/>
      <c r="AUH13" s="1864"/>
      <c r="AUI13" s="1864"/>
      <c r="AUJ13" s="1864"/>
      <c r="AUK13" s="1864"/>
      <c r="AUL13" s="1864"/>
      <c r="AUM13" s="1864"/>
      <c r="AUN13" s="1864"/>
      <c r="AUO13" s="1864"/>
      <c r="AUP13" s="1864"/>
      <c r="AUQ13" s="1864"/>
      <c r="AUR13" s="1864"/>
      <c r="AUS13" s="1864"/>
      <c r="AUT13" s="1864"/>
      <c r="AUU13" s="1864"/>
      <c r="AUV13" s="1864"/>
      <c r="AUW13" s="1864"/>
      <c r="AUX13" s="1864"/>
      <c r="AUY13" s="1864"/>
      <c r="AUZ13" s="1864"/>
      <c r="AVA13" s="1864"/>
      <c r="AVB13" s="1864"/>
      <c r="AVC13" s="1864"/>
      <c r="AVD13" s="1864"/>
      <c r="AVE13" s="1864"/>
      <c r="AVF13" s="1864"/>
      <c r="AVG13" s="1864"/>
      <c r="AVH13" s="1864"/>
      <c r="AVI13" s="1864"/>
      <c r="AVJ13" s="1864"/>
      <c r="AVK13" s="1864"/>
      <c r="AVL13" s="1864"/>
      <c r="AVM13" s="1864"/>
      <c r="AVN13" s="1864"/>
      <c r="AVO13" s="1864"/>
      <c r="AVP13" s="1864"/>
      <c r="AVQ13" s="1864"/>
      <c r="AVR13" s="1864"/>
      <c r="AVS13" s="1864"/>
      <c r="AVT13" s="1864"/>
      <c r="AVU13" s="1864"/>
      <c r="AVV13" s="1864"/>
      <c r="AVW13" s="1864"/>
      <c r="AVX13" s="1864"/>
      <c r="AVY13" s="1864"/>
      <c r="AVZ13" s="1864"/>
      <c r="AWA13" s="1864"/>
      <c r="AWB13" s="1864"/>
      <c r="AWC13" s="1864"/>
      <c r="AWD13" s="1864"/>
      <c r="AWE13" s="1864"/>
      <c r="AWF13" s="1864"/>
      <c r="AWG13" s="1864"/>
      <c r="AWH13" s="1864"/>
      <c r="AWI13" s="1864"/>
      <c r="AWJ13" s="1864"/>
      <c r="AWK13" s="1864"/>
      <c r="AWL13" s="1864"/>
      <c r="AWM13" s="1864"/>
      <c r="AWN13" s="1864"/>
      <c r="AWO13" s="1864"/>
      <c r="AWP13" s="1864"/>
      <c r="AWQ13" s="1864"/>
    </row>
    <row r="14" spans="1:1291" s="1868" customFormat="1" ht="21" customHeight="1" x14ac:dyDescent="0.2">
      <c r="A14" s="1964"/>
      <c r="B14" s="1989"/>
      <c r="C14" s="1812" t="s">
        <v>748</v>
      </c>
      <c r="D14" s="1882"/>
      <c r="E14" s="1984"/>
      <c r="F14" s="1837">
        <v>0</v>
      </c>
      <c r="G14" s="1803">
        <v>0</v>
      </c>
      <c r="H14" s="1803">
        <v>0</v>
      </c>
      <c r="I14" s="1803">
        <v>0</v>
      </c>
      <c r="J14" s="1803">
        <v>0</v>
      </c>
      <c r="K14" s="1803">
        <v>0</v>
      </c>
      <c r="L14" s="1803">
        <v>0</v>
      </c>
      <c r="M14" s="1803">
        <v>0</v>
      </c>
      <c r="N14" s="1803">
        <v>0</v>
      </c>
      <c r="O14" s="1803">
        <v>0</v>
      </c>
      <c r="P14" s="1803">
        <v>0</v>
      </c>
      <c r="Q14" s="1803">
        <v>0</v>
      </c>
      <c r="R14" s="1803">
        <v>0</v>
      </c>
      <c r="S14" s="1803">
        <v>0</v>
      </c>
      <c r="T14" s="1803">
        <v>0</v>
      </c>
      <c r="U14" s="1803">
        <v>0</v>
      </c>
      <c r="V14" s="1803">
        <v>0</v>
      </c>
      <c r="W14" s="1803">
        <v>0</v>
      </c>
      <c r="X14" s="1803">
        <v>0</v>
      </c>
      <c r="Y14" s="1803">
        <v>0</v>
      </c>
      <c r="Z14" s="1803">
        <v>0</v>
      </c>
      <c r="AA14" s="1803">
        <v>0</v>
      </c>
      <c r="AB14" s="1803">
        <v>0</v>
      </c>
      <c r="AC14" s="1803">
        <v>0</v>
      </c>
      <c r="AD14" s="1803">
        <v>0</v>
      </c>
      <c r="AE14" s="1803">
        <v>0</v>
      </c>
      <c r="AF14" s="1803">
        <v>0</v>
      </c>
      <c r="AG14" s="1803">
        <v>0</v>
      </c>
      <c r="AH14" s="1803">
        <v>0</v>
      </c>
      <c r="AI14" s="1803">
        <v>0</v>
      </c>
      <c r="AJ14" s="1803">
        <v>0</v>
      </c>
      <c r="AK14" s="1803">
        <v>0</v>
      </c>
      <c r="AL14" s="1803">
        <v>0</v>
      </c>
      <c r="AM14" s="1803">
        <v>0</v>
      </c>
      <c r="AN14" s="1803">
        <v>0</v>
      </c>
      <c r="AO14" s="1803">
        <v>0</v>
      </c>
      <c r="AP14" s="1803">
        <v>0</v>
      </c>
      <c r="AQ14" s="1803">
        <v>0</v>
      </c>
      <c r="AR14" s="1803">
        <v>0</v>
      </c>
      <c r="AS14" s="1803">
        <v>0</v>
      </c>
      <c r="AT14" s="1803">
        <v>0</v>
      </c>
      <c r="AU14" s="1803">
        <v>0</v>
      </c>
      <c r="AV14" s="1803">
        <v>0</v>
      </c>
      <c r="AW14" s="1803">
        <v>0</v>
      </c>
      <c r="AX14" s="1803">
        <v>0</v>
      </c>
      <c r="AY14" s="1803">
        <v>0</v>
      </c>
      <c r="AZ14" s="1803">
        <v>0</v>
      </c>
      <c r="BA14" s="1803">
        <v>0</v>
      </c>
      <c r="BB14" s="1803">
        <v>0</v>
      </c>
      <c r="BC14" s="1803">
        <v>0</v>
      </c>
      <c r="BD14" s="1803">
        <v>0</v>
      </c>
      <c r="BE14" s="1803">
        <v>0</v>
      </c>
      <c r="BF14" s="1803">
        <v>0</v>
      </c>
      <c r="BG14" s="1803">
        <v>0</v>
      </c>
      <c r="BH14" s="1803">
        <v>0</v>
      </c>
      <c r="BI14" s="1803">
        <v>0</v>
      </c>
      <c r="BJ14" s="1803">
        <v>0</v>
      </c>
      <c r="BK14" s="1803">
        <v>0</v>
      </c>
      <c r="BL14" s="1803">
        <v>0</v>
      </c>
      <c r="BM14" s="1803">
        <v>0</v>
      </c>
      <c r="BN14" s="1803">
        <v>0</v>
      </c>
      <c r="BO14" s="1803">
        <v>0</v>
      </c>
      <c r="BP14" s="1803">
        <v>0</v>
      </c>
      <c r="BQ14" s="1803">
        <v>0</v>
      </c>
      <c r="BR14" s="1803">
        <v>0</v>
      </c>
      <c r="BS14" s="1803">
        <v>0</v>
      </c>
      <c r="BT14" s="1803">
        <v>0</v>
      </c>
      <c r="BU14" s="1803">
        <v>0</v>
      </c>
      <c r="BV14" s="1803">
        <v>0</v>
      </c>
      <c r="BW14" s="1803">
        <v>0</v>
      </c>
      <c r="BX14" s="1803">
        <v>0</v>
      </c>
      <c r="BY14" s="1803">
        <v>0</v>
      </c>
      <c r="BZ14" s="1803">
        <v>0</v>
      </c>
      <c r="CA14" s="1803">
        <v>0</v>
      </c>
      <c r="CB14" s="1803">
        <v>0</v>
      </c>
      <c r="CC14" s="1803">
        <v>0</v>
      </c>
      <c r="CD14" s="1803">
        <v>0</v>
      </c>
      <c r="CE14" s="1803">
        <v>0</v>
      </c>
      <c r="CF14" s="1803">
        <v>0</v>
      </c>
      <c r="CG14" s="1803">
        <v>0</v>
      </c>
      <c r="CH14" s="1803">
        <v>0</v>
      </c>
      <c r="CI14" s="1803">
        <v>0</v>
      </c>
      <c r="CJ14" s="1803">
        <v>0</v>
      </c>
      <c r="CK14" s="1803">
        <v>0</v>
      </c>
      <c r="CL14" s="1803">
        <v>0</v>
      </c>
      <c r="CM14" s="1803">
        <v>0</v>
      </c>
      <c r="CN14" s="1803">
        <v>0</v>
      </c>
      <c r="CO14" s="1803">
        <v>0</v>
      </c>
      <c r="CP14" s="1803">
        <v>0</v>
      </c>
      <c r="CQ14" s="1803">
        <v>0</v>
      </c>
      <c r="CR14" s="1803">
        <v>0</v>
      </c>
      <c r="CS14" s="1803">
        <v>0</v>
      </c>
      <c r="CT14" s="1803">
        <v>0</v>
      </c>
      <c r="CU14" s="1803">
        <v>0</v>
      </c>
      <c r="CV14" s="1803">
        <v>0</v>
      </c>
      <c r="CW14" s="1803">
        <v>0</v>
      </c>
      <c r="CX14" s="1803">
        <v>0</v>
      </c>
      <c r="CY14" s="1803">
        <v>0</v>
      </c>
      <c r="CZ14" s="1803">
        <v>0</v>
      </c>
      <c r="DA14" s="1803">
        <v>0</v>
      </c>
      <c r="DB14" s="1803">
        <v>0</v>
      </c>
      <c r="DC14" s="1803">
        <v>0</v>
      </c>
      <c r="DD14" s="1803">
        <v>0</v>
      </c>
      <c r="DE14" s="1803">
        <v>0</v>
      </c>
      <c r="DF14" s="1803">
        <v>0</v>
      </c>
      <c r="DG14" s="1803">
        <v>0</v>
      </c>
      <c r="DH14" s="1803">
        <v>0</v>
      </c>
      <c r="DI14" s="1803">
        <v>0</v>
      </c>
      <c r="DJ14" s="1803">
        <v>0</v>
      </c>
      <c r="DK14" s="1803">
        <v>0</v>
      </c>
      <c r="DL14" s="1803">
        <v>0</v>
      </c>
      <c r="DM14" s="1803">
        <v>0</v>
      </c>
      <c r="DN14" s="1803">
        <v>0</v>
      </c>
      <c r="DO14" s="1803">
        <v>0</v>
      </c>
      <c r="DP14" s="1803">
        <v>0</v>
      </c>
      <c r="DQ14" s="1803">
        <v>0</v>
      </c>
      <c r="DR14" s="1803">
        <v>0</v>
      </c>
      <c r="DS14" s="1803">
        <v>0</v>
      </c>
      <c r="DT14" s="1803">
        <v>0</v>
      </c>
      <c r="DU14" s="1803">
        <v>0</v>
      </c>
      <c r="DV14" s="1803">
        <v>0</v>
      </c>
      <c r="DW14" s="1803">
        <v>0</v>
      </c>
      <c r="DX14" s="1803">
        <v>0</v>
      </c>
      <c r="DY14" s="1803">
        <v>0</v>
      </c>
      <c r="DZ14" s="1803">
        <v>0</v>
      </c>
      <c r="EA14" s="1803">
        <v>0</v>
      </c>
      <c r="EB14" s="1803">
        <v>0</v>
      </c>
      <c r="EC14" s="1803">
        <v>0</v>
      </c>
      <c r="ED14" s="1803">
        <v>0</v>
      </c>
      <c r="EE14" s="1803">
        <v>0</v>
      </c>
      <c r="EF14" s="1803">
        <v>0</v>
      </c>
      <c r="EG14" s="1803">
        <v>0</v>
      </c>
      <c r="EH14" s="1803">
        <v>0</v>
      </c>
      <c r="EI14" s="1803">
        <v>0</v>
      </c>
      <c r="EJ14" s="1803">
        <v>0</v>
      </c>
      <c r="EK14" s="1803">
        <v>0</v>
      </c>
      <c r="EL14" s="1803">
        <v>0</v>
      </c>
      <c r="EM14" s="1803">
        <v>0</v>
      </c>
      <c r="EN14" s="1803">
        <v>0</v>
      </c>
      <c r="EO14" s="1803">
        <v>0</v>
      </c>
      <c r="EP14" s="1803">
        <v>0</v>
      </c>
      <c r="EQ14" s="1803">
        <v>0</v>
      </c>
      <c r="ER14" s="1803">
        <v>0</v>
      </c>
      <c r="ES14" s="1803">
        <v>0</v>
      </c>
      <c r="ET14" s="1803">
        <v>0</v>
      </c>
      <c r="EU14" s="1803">
        <v>0</v>
      </c>
      <c r="EV14" s="1803">
        <v>0</v>
      </c>
      <c r="EW14" s="1803">
        <v>0</v>
      </c>
      <c r="EX14" s="1803">
        <v>0</v>
      </c>
      <c r="EY14" s="1803">
        <v>0</v>
      </c>
      <c r="EZ14" s="1803">
        <v>0</v>
      </c>
      <c r="FA14" s="1803">
        <v>0</v>
      </c>
      <c r="FB14" s="1803">
        <v>0</v>
      </c>
      <c r="FC14" s="1803">
        <v>0</v>
      </c>
      <c r="FD14" s="1803">
        <v>0</v>
      </c>
      <c r="FE14" s="1803">
        <v>0</v>
      </c>
      <c r="FF14" s="1803">
        <v>0</v>
      </c>
      <c r="FG14" s="1803">
        <v>0</v>
      </c>
      <c r="FH14" s="1803">
        <v>0</v>
      </c>
      <c r="FI14" s="1803">
        <v>0</v>
      </c>
      <c r="FJ14" s="1803">
        <v>0</v>
      </c>
      <c r="FK14" s="1803">
        <v>0</v>
      </c>
      <c r="FL14" s="1803">
        <v>0</v>
      </c>
      <c r="FM14" s="1803">
        <v>0</v>
      </c>
      <c r="FN14" s="1803">
        <v>0</v>
      </c>
      <c r="FO14" s="1803">
        <v>0</v>
      </c>
      <c r="FP14" s="1803">
        <v>0</v>
      </c>
      <c r="FQ14" s="1803">
        <v>0</v>
      </c>
      <c r="FR14" s="1803">
        <v>0</v>
      </c>
      <c r="FS14" s="1803">
        <v>0</v>
      </c>
      <c r="FT14" s="1803">
        <v>0</v>
      </c>
      <c r="FU14" s="1803">
        <v>0</v>
      </c>
      <c r="FV14" s="1803">
        <v>0</v>
      </c>
      <c r="FW14" s="1803">
        <v>0</v>
      </c>
      <c r="FX14" s="1803">
        <v>0</v>
      </c>
      <c r="FY14" s="1803">
        <v>0</v>
      </c>
      <c r="FZ14" s="1803">
        <v>0</v>
      </c>
      <c r="GA14" s="1803">
        <v>0</v>
      </c>
      <c r="GB14" s="1803">
        <v>0</v>
      </c>
      <c r="GC14" s="1803">
        <v>0</v>
      </c>
      <c r="GD14" s="1803">
        <v>0</v>
      </c>
      <c r="GE14" s="1803">
        <v>0</v>
      </c>
      <c r="GF14" s="1803">
        <v>0</v>
      </c>
      <c r="GG14" s="1803">
        <v>0</v>
      </c>
      <c r="GH14" s="1803">
        <v>0</v>
      </c>
      <c r="GI14" s="1803">
        <v>0</v>
      </c>
      <c r="GJ14" s="1803">
        <v>0</v>
      </c>
      <c r="GK14" s="1803">
        <v>0</v>
      </c>
      <c r="GL14" s="1803">
        <v>0</v>
      </c>
      <c r="GM14" s="1803">
        <v>0</v>
      </c>
      <c r="GN14" s="1803">
        <v>0</v>
      </c>
      <c r="GO14" s="1803">
        <v>0</v>
      </c>
      <c r="GP14" s="1803">
        <v>0</v>
      </c>
      <c r="GQ14" s="1803">
        <v>0</v>
      </c>
      <c r="GR14" s="1803">
        <v>0</v>
      </c>
      <c r="GS14" s="1803">
        <v>0</v>
      </c>
      <c r="GT14" s="1803">
        <v>0</v>
      </c>
      <c r="GU14" s="1803">
        <v>0</v>
      </c>
      <c r="GV14" s="1803">
        <v>0</v>
      </c>
      <c r="GW14" s="1803">
        <v>0</v>
      </c>
      <c r="GX14" s="1803">
        <v>0</v>
      </c>
      <c r="GY14" s="1803">
        <v>0</v>
      </c>
      <c r="GZ14" s="1803">
        <v>0</v>
      </c>
      <c r="HA14" s="1803">
        <v>0</v>
      </c>
      <c r="HB14" s="1803">
        <v>0</v>
      </c>
      <c r="HC14" s="1803">
        <v>0</v>
      </c>
      <c r="HD14" s="1803">
        <v>0</v>
      </c>
      <c r="HE14" s="1803">
        <v>0</v>
      </c>
      <c r="HF14" s="1864"/>
      <c r="HG14" s="1864"/>
      <c r="HH14" s="1864"/>
      <c r="HI14" s="1864"/>
      <c r="HJ14" s="1864"/>
      <c r="HK14" s="1864"/>
      <c r="HL14" s="1864"/>
      <c r="HM14" s="1864"/>
      <c r="HN14" s="1864"/>
      <c r="HO14" s="1864"/>
      <c r="HP14" s="1864"/>
      <c r="HQ14" s="1864"/>
      <c r="HR14" s="1864"/>
      <c r="HS14" s="1864"/>
      <c r="HT14" s="1864"/>
      <c r="HU14" s="1864"/>
      <c r="HV14" s="1864"/>
      <c r="HW14" s="1864"/>
      <c r="HX14" s="1864"/>
      <c r="HY14" s="1864"/>
      <c r="HZ14" s="1864"/>
      <c r="IA14" s="1864"/>
      <c r="IB14" s="1864"/>
      <c r="IC14" s="1864"/>
      <c r="ID14" s="1864"/>
      <c r="IE14" s="1864"/>
      <c r="IF14" s="1864"/>
      <c r="IG14" s="1864"/>
      <c r="IH14" s="1864"/>
      <c r="II14" s="1864"/>
      <c r="IJ14" s="1864"/>
      <c r="IK14" s="1864"/>
      <c r="IL14" s="1864"/>
      <c r="IM14" s="1864"/>
      <c r="IN14" s="1864"/>
      <c r="IO14" s="1864"/>
      <c r="IP14" s="1864"/>
      <c r="IQ14" s="1864"/>
      <c r="IR14" s="1864"/>
      <c r="IS14" s="1864"/>
      <c r="IT14" s="1864"/>
      <c r="IU14" s="1864"/>
      <c r="IV14" s="1864"/>
      <c r="IW14" s="1864"/>
      <c r="IX14" s="1864"/>
      <c r="IY14" s="1864"/>
      <c r="IZ14" s="1864"/>
      <c r="JA14" s="1864"/>
      <c r="JB14" s="1864"/>
      <c r="JC14" s="1864"/>
      <c r="JD14" s="1864"/>
      <c r="JE14" s="1864"/>
      <c r="JF14" s="1864"/>
      <c r="JG14" s="1864"/>
      <c r="JH14" s="1864"/>
      <c r="JI14" s="1864"/>
      <c r="JJ14" s="1864"/>
      <c r="JK14" s="1864"/>
      <c r="JL14" s="1864"/>
      <c r="JM14" s="1864"/>
      <c r="JN14" s="1864"/>
      <c r="JO14" s="1864"/>
      <c r="JP14" s="1864"/>
      <c r="JQ14" s="1864"/>
      <c r="JR14" s="1864"/>
      <c r="JS14" s="1864"/>
      <c r="JT14" s="1864"/>
      <c r="JU14" s="1864"/>
      <c r="JV14" s="1864"/>
      <c r="JW14" s="1864"/>
      <c r="JX14" s="1864"/>
      <c r="JY14" s="1864"/>
      <c r="JZ14" s="1864"/>
      <c r="KA14" s="1864"/>
      <c r="KB14" s="1864"/>
      <c r="KC14" s="1864"/>
      <c r="KD14" s="1864"/>
      <c r="KE14" s="1864"/>
      <c r="KF14" s="1864"/>
      <c r="KG14" s="1864"/>
      <c r="KH14" s="1864"/>
      <c r="KI14" s="1864"/>
      <c r="KJ14" s="1864"/>
      <c r="KK14" s="1864"/>
      <c r="KL14" s="1864"/>
      <c r="KM14" s="1864"/>
      <c r="KN14" s="1864"/>
      <c r="KO14" s="1864"/>
      <c r="KP14" s="1864"/>
      <c r="KQ14" s="1864"/>
      <c r="KR14" s="1864"/>
      <c r="KS14" s="1864"/>
      <c r="KT14" s="1864"/>
      <c r="KU14" s="1864"/>
      <c r="KV14" s="1864"/>
      <c r="KW14" s="1864"/>
      <c r="KX14" s="1864"/>
      <c r="KY14" s="1864"/>
      <c r="KZ14" s="1864"/>
      <c r="LA14" s="1864"/>
      <c r="LB14" s="1864"/>
      <c r="LC14" s="1864"/>
      <c r="LD14" s="1864"/>
      <c r="LE14" s="1864"/>
      <c r="LF14" s="1864"/>
      <c r="LG14" s="1864"/>
      <c r="LH14" s="1864"/>
      <c r="LI14" s="1864"/>
      <c r="LJ14" s="1864"/>
      <c r="LK14" s="1864"/>
      <c r="LL14" s="1864"/>
      <c r="LM14" s="1864"/>
      <c r="LN14" s="1864"/>
      <c r="LO14" s="1864"/>
      <c r="LP14" s="1864"/>
      <c r="LQ14" s="1864"/>
      <c r="LR14" s="1864"/>
      <c r="LS14" s="1864"/>
      <c r="LT14" s="1864"/>
      <c r="LU14" s="1864"/>
      <c r="LV14" s="1864"/>
      <c r="LW14" s="1864"/>
      <c r="LX14" s="1864"/>
      <c r="LY14" s="1864"/>
      <c r="LZ14" s="1864"/>
      <c r="MA14" s="1864"/>
      <c r="MB14" s="1864"/>
      <c r="MC14" s="1864"/>
      <c r="MD14" s="1864"/>
      <c r="ME14" s="1864"/>
      <c r="MF14" s="1864"/>
      <c r="MG14" s="1864"/>
      <c r="MH14" s="1864"/>
      <c r="MI14" s="1864"/>
      <c r="MJ14" s="1864"/>
      <c r="MK14" s="1864"/>
      <c r="ML14" s="1864"/>
      <c r="MM14" s="1864"/>
      <c r="MN14" s="1864"/>
      <c r="MO14" s="1864"/>
      <c r="MP14" s="1864"/>
      <c r="MQ14" s="1864"/>
      <c r="MR14" s="1864"/>
      <c r="MS14" s="1864"/>
      <c r="MT14" s="1864"/>
      <c r="MU14" s="1864"/>
      <c r="MV14" s="1864"/>
      <c r="MW14" s="1864"/>
      <c r="MX14" s="1864"/>
      <c r="MY14" s="1864"/>
      <c r="MZ14" s="1864"/>
      <c r="NA14" s="1864"/>
      <c r="NB14" s="1864"/>
      <c r="NC14" s="1864"/>
      <c r="ND14" s="1864"/>
      <c r="NE14" s="1864"/>
      <c r="NF14" s="1864"/>
      <c r="NG14" s="1864"/>
      <c r="NH14" s="1864"/>
      <c r="NI14" s="1864"/>
      <c r="NJ14" s="1864"/>
      <c r="NK14" s="1864"/>
      <c r="NL14" s="1864"/>
      <c r="NM14" s="1864"/>
      <c r="NN14" s="1864"/>
      <c r="NO14" s="1864"/>
      <c r="NP14" s="1864"/>
      <c r="NQ14" s="1864"/>
      <c r="NR14" s="1864"/>
      <c r="NS14" s="1864"/>
      <c r="NT14" s="1864"/>
      <c r="NU14" s="1864"/>
      <c r="NV14" s="1864"/>
      <c r="NW14" s="1864"/>
      <c r="NX14" s="1864"/>
      <c r="NY14" s="1864"/>
      <c r="NZ14" s="1864"/>
      <c r="OA14" s="1864"/>
      <c r="OB14" s="1864"/>
      <c r="OC14" s="1864"/>
      <c r="OD14" s="1864"/>
      <c r="OE14" s="1864"/>
      <c r="OF14" s="1864"/>
      <c r="OG14" s="1864"/>
      <c r="OH14" s="1864"/>
      <c r="OI14" s="1864"/>
      <c r="OJ14" s="1864"/>
      <c r="OK14" s="1864"/>
      <c r="OL14" s="1864"/>
      <c r="OM14" s="1864"/>
      <c r="ON14" s="1864"/>
      <c r="OO14" s="1864"/>
      <c r="OP14" s="1864"/>
      <c r="OQ14" s="1864"/>
      <c r="OR14" s="1864"/>
      <c r="OS14" s="1864"/>
      <c r="OT14" s="1864"/>
      <c r="OU14" s="1864"/>
      <c r="OV14" s="1864"/>
      <c r="OW14" s="1864"/>
      <c r="OX14" s="1864"/>
      <c r="OY14" s="1864"/>
      <c r="OZ14" s="1864"/>
      <c r="PA14" s="1864"/>
      <c r="PB14" s="1864"/>
      <c r="PC14" s="1864"/>
      <c r="PD14" s="1864"/>
      <c r="PE14" s="1864"/>
      <c r="PF14" s="1864"/>
      <c r="PG14" s="1864"/>
      <c r="PH14" s="1864"/>
      <c r="PI14" s="1864"/>
      <c r="PJ14" s="1864"/>
      <c r="PK14" s="1864"/>
      <c r="PL14" s="1864"/>
      <c r="PM14" s="1864"/>
      <c r="PN14" s="1864"/>
      <c r="PO14" s="1864"/>
      <c r="PP14" s="1864"/>
      <c r="PQ14" s="1864"/>
      <c r="PR14" s="1864"/>
      <c r="PS14" s="1864"/>
      <c r="PT14" s="1864"/>
      <c r="PU14" s="1864"/>
      <c r="PV14" s="1864"/>
      <c r="PW14" s="1864"/>
      <c r="PX14" s="1864"/>
      <c r="PY14" s="1864"/>
      <c r="PZ14" s="1864"/>
      <c r="QA14" s="1864"/>
      <c r="QB14" s="1864"/>
      <c r="QC14" s="1864"/>
      <c r="QD14" s="1864"/>
      <c r="QE14" s="1864"/>
      <c r="QF14" s="1864"/>
      <c r="QG14" s="1864"/>
      <c r="QH14" s="1864"/>
      <c r="QI14" s="1864"/>
      <c r="QJ14" s="1864"/>
      <c r="QK14" s="1864"/>
      <c r="QL14" s="1864"/>
      <c r="QM14" s="1864"/>
      <c r="QN14" s="1864"/>
      <c r="QO14" s="1864"/>
      <c r="QP14" s="1864"/>
      <c r="QQ14" s="1864"/>
      <c r="QR14" s="1864"/>
      <c r="QS14" s="1864"/>
      <c r="QT14" s="1864"/>
      <c r="QU14" s="1864"/>
      <c r="QV14" s="1864"/>
      <c r="QW14" s="1864"/>
      <c r="QX14" s="1864"/>
      <c r="QY14" s="1864"/>
      <c r="QZ14" s="1864"/>
      <c r="RA14" s="1864"/>
      <c r="RB14" s="1864"/>
      <c r="RC14" s="1864"/>
      <c r="RD14" s="1864"/>
      <c r="RE14" s="1864"/>
      <c r="RF14" s="1864"/>
      <c r="RG14" s="1864"/>
      <c r="RH14" s="1864"/>
      <c r="RI14" s="1864"/>
      <c r="RJ14" s="1864"/>
      <c r="RK14" s="1864"/>
      <c r="RL14" s="1864"/>
      <c r="RM14" s="1864"/>
      <c r="RN14" s="1864"/>
      <c r="RO14" s="1864"/>
      <c r="RP14" s="1864"/>
      <c r="RQ14" s="1864"/>
      <c r="RR14" s="1864"/>
      <c r="RS14" s="1864"/>
      <c r="RT14" s="1864"/>
      <c r="RU14" s="1864"/>
      <c r="RV14" s="1864"/>
      <c r="RW14" s="1864"/>
      <c r="RX14" s="1864"/>
      <c r="RY14" s="1864"/>
      <c r="RZ14" s="1864"/>
      <c r="SA14" s="1864"/>
      <c r="SB14" s="1864"/>
      <c r="SC14" s="1864"/>
      <c r="SD14" s="1864"/>
      <c r="SE14" s="1864"/>
      <c r="SF14" s="1864"/>
      <c r="SG14" s="1864"/>
      <c r="SH14" s="1864"/>
      <c r="SI14" s="1864"/>
      <c r="SJ14" s="1864"/>
      <c r="SK14" s="1864"/>
      <c r="SL14" s="1864"/>
      <c r="SM14" s="1864"/>
      <c r="SN14" s="1864"/>
      <c r="SO14" s="1864"/>
      <c r="SP14" s="1864"/>
      <c r="SQ14" s="1864"/>
      <c r="SR14" s="1864"/>
      <c r="SS14" s="1864"/>
      <c r="ST14" s="1864"/>
      <c r="SU14" s="1864"/>
      <c r="SV14" s="1864"/>
      <c r="SW14" s="1864"/>
      <c r="SX14" s="1864"/>
      <c r="SY14" s="1864"/>
      <c r="SZ14" s="1864"/>
      <c r="TA14" s="1864"/>
      <c r="TB14" s="1864"/>
      <c r="TC14" s="1864"/>
      <c r="TD14" s="1864"/>
      <c r="TE14" s="1864"/>
      <c r="TF14" s="1864"/>
      <c r="TG14" s="1864"/>
      <c r="TH14" s="1864"/>
      <c r="TI14" s="1864"/>
      <c r="TJ14" s="1864"/>
      <c r="TK14" s="1864"/>
      <c r="TL14" s="1864"/>
      <c r="TM14" s="1864"/>
      <c r="TN14" s="1864"/>
      <c r="TO14" s="1864"/>
      <c r="TP14" s="1864"/>
      <c r="TQ14" s="1864"/>
      <c r="TR14" s="1864"/>
      <c r="TS14" s="1864"/>
      <c r="TT14" s="1864"/>
      <c r="TU14" s="1864"/>
      <c r="TV14" s="1864"/>
      <c r="TW14" s="1864"/>
      <c r="TX14" s="1864"/>
      <c r="TY14" s="1864"/>
      <c r="TZ14" s="1864"/>
      <c r="UA14" s="1864"/>
      <c r="UB14" s="1864"/>
      <c r="UC14" s="1864"/>
      <c r="UD14" s="1864"/>
      <c r="UE14" s="1864"/>
      <c r="UF14" s="1864"/>
      <c r="UG14" s="1864"/>
      <c r="UH14" s="1864"/>
      <c r="UI14" s="1864"/>
      <c r="UJ14" s="1864"/>
      <c r="UK14" s="1864"/>
      <c r="UL14" s="1864"/>
      <c r="UM14" s="1864"/>
      <c r="UN14" s="1864"/>
      <c r="UO14" s="1864"/>
      <c r="UP14" s="1864"/>
      <c r="UQ14" s="1864"/>
      <c r="UR14" s="1864"/>
      <c r="US14" s="1864"/>
      <c r="UT14" s="1864"/>
      <c r="UU14" s="1864"/>
      <c r="UV14" s="1864"/>
      <c r="UW14" s="1864"/>
      <c r="UX14" s="1864"/>
      <c r="UY14" s="1864"/>
      <c r="UZ14" s="1864"/>
      <c r="VA14" s="1864"/>
      <c r="VB14" s="1864"/>
      <c r="VC14" s="1864"/>
      <c r="VD14" s="1864"/>
      <c r="VE14" s="1864"/>
      <c r="VF14" s="1864"/>
      <c r="VG14" s="1864"/>
      <c r="VH14" s="1864"/>
      <c r="VI14" s="1864"/>
      <c r="VJ14" s="1864"/>
      <c r="VK14" s="1864"/>
      <c r="VL14" s="1864"/>
      <c r="VM14" s="1864"/>
      <c r="VN14" s="1864"/>
      <c r="VO14" s="1864"/>
      <c r="VP14" s="1864"/>
      <c r="VQ14" s="1864"/>
      <c r="VR14" s="1864"/>
      <c r="VS14" s="1864"/>
      <c r="VT14" s="1864"/>
      <c r="VU14" s="1864"/>
      <c r="VV14" s="1864"/>
      <c r="VW14" s="1864"/>
      <c r="VX14" s="1864"/>
      <c r="VY14" s="1864"/>
      <c r="VZ14" s="1864"/>
      <c r="WA14" s="1864"/>
      <c r="WB14" s="1864"/>
      <c r="WC14" s="1864"/>
      <c r="WD14" s="1864"/>
      <c r="WE14" s="1864"/>
      <c r="WF14" s="1864"/>
      <c r="WG14" s="1864"/>
      <c r="WH14" s="1864"/>
      <c r="WI14" s="1864"/>
      <c r="WJ14" s="1864"/>
      <c r="WK14" s="1864"/>
      <c r="WL14" s="1864"/>
      <c r="WM14" s="1864"/>
      <c r="WN14" s="1864"/>
      <c r="WO14" s="1864"/>
      <c r="WP14" s="1864"/>
      <c r="WQ14" s="1864"/>
      <c r="WR14" s="1864"/>
      <c r="WS14" s="1864"/>
      <c r="WT14" s="1864"/>
      <c r="WU14" s="1864"/>
      <c r="WV14" s="1864"/>
      <c r="WW14" s="1864"/>
      <c r="WX14" s="1864"/>
      <c r="WY14" s="1864"/>
      <c r="WZ14" s="1864"/>
      <c r="XA14" s="1864"/>
      <c r="XB14" s="1864"/>
      <c r="XC14" s="1864"/>
      <c r="XD14" s="1864"/>
      <c r="XE14" s="1864"/>
      <c r="XF14" s="1864"/>
      <c r="XG14" s="1864"/>
      <c r="XH14" s="1864"/>
      <c r="XI14" s="1864"/>
      <c r="XJ14" s="1864"/>
      <c r="XK14" s="1864"/>
      <c r="XL14" s="1864"/>
      <c r="XM14" s="1864"/>
      <c r="XN14" s="1864"/>
      <c r="XO14" s="1864"/>
      <c r="XP14" s="1864"/>
      <c r="XQ14" s="1864"/>
      <c r="XR14" s="1864"/>
      <c r="XS14" s="1864"/>
      <c r="XT14" s="1864"/>
      <c r="XU14" s="1864"/>
      <c r="XV14" s="1864"/>
      <c r="XW14" s="1864"/>
      <c r="XX14" s="1864"/>
      <c r="XY14" s="1864"/>
      <c r="XZ14" s="1864"/>
      <c r="YA14" s="1864"/>
      <c r="YB14" s="1864"/>
      <c r="YC14" s="1864"/>
      <c r="YD14" s="1864"/>
      <c r="YE14" s="1864"/>
      <c r="YF14" s="1864"/>
      <c r="YG14" s="1864"/>
      <c r="YH14" s="1864"/>
      <c r="YI14" s="1864"/>
      <c r="YJ14" s="1864"/>
      <c r="YK14" s="1864"/>
      <c r="YL14" s="1864"/>
      <c r="YM14" s="1864"/>
      <c r="YN14" s="1864"/>
      <c r="YO14" s="1864"/>
      <c r="YP14" s="1864"/>
      <c r="YQ14" s="1864"/>
      <c r="YR14" s="1864"/>
      <c r="YS14" s="1864"/>
      <c r="YT14" s="1864"/>
      <c r="YU14" s="1864"/>
      <c r="YV14" s="1864"/>
      <c r="YW14" s="1864"/>
      <c r="YX14" s="1864"/>
      <c r="YY14" s="1864"/>
      <c r="YZ14" s="1864"/>
      <c r="ZA14" s="1864"/>
      <c r="ZB14" s="1864"/>
      <c r="ZC14" s="1864"/>
      <c r="ZD14" s="1864"/>
      <c r="ZE14" s="1864"/>
      <c r="ZF14" s="1864"/>
      <c r="ZG14" s="1864"/>
      <c r="ZH14" s="1864"/>
      <c r="ZI14" s="1864"/>
      <c r="ZJ14" s="1864"/>
      <c r="ZK14" s="1864"/>
      <c r="ZL14" s="1864"/>
      <c r="ZM14" s="1864"/>
      <c r="ZN14" s="1864"/>
      <c r="ZO14" s="1864"/>
      <c r="ZP14" s="1864"/>
      <c r="ZQ14" s="1864"/>
      <c r="ZR14" s="1864"/>
      <c r="ZS14" s="1864"/>
      <c r="ZT14" s="1864"/>
      <c r="ZU14" s="1864"/>
      <c r="ZV14" s="1864"/>
      <c r="ZW14" s="1864"/>
      <c r="ZX14" s="1864"/>
      <c r="ZY14" s="1864"/>
      <c r="ZZ14" s="1864"/>
      <c r="AAA14" s="1864"/>
      <c r="AAB14" s="1864"/>
      <c r="AAC14" s="1864"/>
      <c r="AAD14" s="1864"/>
      <c r="AAE14" s="1864"/>
      <c r="AAF14" s="1864"/>
      <c r="AAG14" s="1864"/>
      <c r="AAH14" s="1864"/>
      <c r="AAI14" s="1864"/>
      <c r="AAJ14" s="1864"/>
      <c r="AAK14" s="1864"/>
      <c r="AAL14" s="1864"/>
      <c r="AAM14" s="1864"/>
      <c r="AAN14" s="1864"/>
      <c r="AAO14" s="1864"/>
      <c r="AAP14" s="1864"/>
      <c r="AAQ14" s="1864"/>
      <c r="AAR14" s="1864"/>
      <c r="AAS14" s="1864"/>
      <c r="AAT14" s="1864"/>
      <c r="AAU14" s="1864"/>
      <c r="AAV14" s="1864"/>
      <c r="AAW14" s="1864"/>
      <c r="AAX14" s="1864"/>
      <c r="AAY14" s="1864"/>
      <c r="AAZ14" s="1864"/>
      <c r="ABA14" s="1864"/>
      <c r="ABB14" s="1864"/>
      <c r="ABC14" s="1864"/>
      <c r="ABD14" s="1864"/>
      <c r="ABE14" s="1864"/>
      <c r="ABF14" s="1864"/>
      <c r="ABG14" s="1864"/>
      <c r="ABH14" s="1864"/>
      <c r="ABI14" s="1864"/>
      <c r="ABJ14" s="1864"/>
      <c r="ABK14" s="1864"/>
      <c r="ABL14" s="1864"/>
      <c r="ABM14" s="1864"/>
      <c r="ABN14" s="1864"/>
      <c r="ABO14" s="1864"/>
      <c r="ABP14" s="1864"/>
      <c r="ABQ14" s="1864"/>
      <c r="ABR14" s="1864"/>
      <c r="ABS14" s="1864"/>
      <c r="ABT14" s="1864"/>
      <c r="ABU14" s="1864"/>
      <c r="ABV14" s="1864"/>
      <c r="ABW14" s="1864"/>
      <c r="ABX14" s="1864"/>
      <c r="ABY14" s="1864"/>
      <c r="ABZ14" s="1864"/>
      <c r="ACA14" s="1864"/>
      <c r="ACB14" s="1864"/>
      <c r="ACC14" s="1864"/>
      <c r="ACD14" s="1864"/>
      <c r="ACE14" s="1864"/>
      <c r="ACF14" s="1864"/>
      <c r="ACG14" s="1864"/>
      <c r="ACH14" s="1864"/>
      <c r="ACI14" s="1864"/>
      <c r="ACJ14" s="1864"/>
      <c r="ACK14" s="1864"/>
      <c r="ACL14" s="1864"/>
      <c r="ACM14" s="1864"/>
      <c r="ACN14" s="1864"/>
      <c r="ACO14" s="1864"/>
      <c r="ACP14" s="1864"/>
      <c r="ACQ14" s="1864"/>
      <c r="ACR14" s="1864"/>
      <c r="ACS14" s="1864"/>
      <c r="ACT14" s="1864"/>
      <c r="ACU14" s="1864"/>
      <c r="ACV14" s="1864"/>
      <c r="ACW14" s="1864"/>
      <c r="ACX14" s="1864"/>
      <c r="ACY14" s="1864"/>
      <c r="ACZ14" s="1864"/>
      <c r="ADA14" s="1864"/>
      <c r="ADB14" s="1864"/>
      <c r="ADC14" s="1864"/>
      <c r="ADD14" s="1864"/>
      <c r="ADE14" s="1864"/>
      <c r="ADF14" s="1864"/>
      <c r="ADG14" s="1864"/>
      <c r="ADH14" s="1864"/>
      <c r="ADI14" s="1864"/>
      <c r="ADJ14" s="1864"/>
      <c r="ADK14" s="1864"/>
      <c r="ADL14" s="1864"/>
      <c r="ADM14" s="1864"/>
      <c r="ADN14" s="1864"/>
      <c r="ADO14" s="1864"/>
      <c r="ADP14" s="1864"/>
      <c r="ADQ14" s="1864"/>
      <c r="ADR14" s="1864"/>
      <c r="ADS14" s="1864"/>
      <c r="ADT14" s="1864"/>
      <c r="ADU14" s="1864"/>
      <c r="ADV14" s="1864"/>
      <c r="ADW14" s="1864"/>
      <c r="ADX14" s="1864"/>
      <c r="ADY14" s="1864"/>
      <c r="ADZ14" s="1864"/>
      <c r="AEA14" s="1864"/>
      <c r="AEB14" s="1864"/>
      <c r="AEC14" s="1864"/>
      <c r="AED14" s="1864"/>
      <c r="AEE14" s="1864"/>
      <c r="AEF14" s="1864"/>
      <c r="AEG14" s="1864"/>
      <c r="AEH14" s="1864"/>
      <c r="AEI14" s="1864"/>
      <c r="AEJ14" s="1864"/>
      <c r="AEK14" s="1864"/>
      <c r="AEL14" s="1864"/>
      <c r="AEM14" s="1864"/>
      <c r="AEN14" s="1864"/>
      <c r="AEO14" s="1864"/>
      <c r="AEP14" s="1864"/>
      <c r="AEQ14" s="1864"/>
      <c r="AER14" s="1864"/>
      <c r="AES14" s="1864"/>
      <c r="AET14" s="1864"/>
      <c r="AEU14" s="1864"/>
      <c r="AEV14" s="1864"/>
      <c r="AEW14" s="1864"/>
      <c r="AEX14" s="1864"/>
      <c r="AEY14" s="1864"/>
      <c r="AEZ14" s="1864"/>
      <c r="AFA14" s="1864"/>
      <c r="AFB14" s="1864"/>
      <c r="AFC14" s="1864"/>
      <c r="AFD14" s="1864"/>
      <c r="AFE14" s="1864"/>
      <c r="AFF14" s="1864"/>
      <c r="AFG14" s="1864"/>
      <c r="AFH14" s="1864"/>
      <c r="AFI14" s="1864"/>
      <c r="AFJ14" s="1864"/>
      <c r="AFK14" s="1864"/>
      <c r="AFL14" s="1864"/>
      <c r="AFM14" s="1864"/>
      <c r="AFN14" s="1864"/>
      <c r="AFO14" s="1864"/>
      <c r="AFP14" s="1864"/>
      <c r="AFQ14" s="1864"/>
      <c r="AFR14" s="1864"/>
      <c r="AFS14" s="1864"/>
      <c r="AFT14" s="1864"/>
      <c r="AFU14" s="1864"/>
      <c r="AFV14" s="1864"/>
      <c r="AFW14" s="1864"/>
      <c r="AFX14" s="1864"/>
      <c r="AFY14" s="1864"/>
      <c r="AFZ14" s="1864"/>
      <c r="AGA14" s="1864"/>
      <c r="AGB14" s="1864"/>
      <c r="AGC14" s="1864"/>
      <c r="AGD14" s="1864"/>
      <c r="AGE14" s="1864"/>
      <c r="AGF14" s="1864"/>
      <c r="AGG14" s="1864"/>
      <c r="AGH14" s="1864"/>
      <c r="AGI14" s="1864"/>
      <c r="AGJ14" s="1864"/>
      <c r="AGK14" s="1864"/>
      <c r="AGL14" s="1864"/>
      <c r="AGM14" s="1864"/>
      <c r="AGN14" s="1864"/>
      <c r="AGO14" s="1864"/>
      <c r="AGP14" s="1864"/>
      <c r="AGQ14" s="1864"/>
      <c r="AGR14" s="1864"/>
      <c r="AGS14" s="1864"/>
      <c r="AGT14" s="1864"/>
      <c r="AGU14" s="1864"/>
      <c r="AGV14" s="1864"/>
      <c r="AGW14" s="1864"/>
      <c r="AGX14" s="1864"/>
      <c r="AGY14" s="1864"/>
      <c r="AGZ14" s="1864"/>
      <c r="AHA14" s="1864"/>
      <c r="AHB14" s="1864"/>
      <c r="AHC14" s="1864"/>
      <c r="AHD14" s="1864"/>
      <c r="AHE14" s="1864"/>
      <c r="AHF14" s="1864"/>
      <c r="AHG14" s="1864"/>
      <c r="AHH14" s="1864"/>
      <c r="AHI14" s="1864"/>
      <c r="AHJ14" s="1864"/>
      <c r="AHK14" s="1864"/>
      <c r="AHL14" s="1864"/>
      <c r="AHM14" s="1864"/>
      <c r="AHN14" s="1864"/>
      <c r="AHO14" s="1864"/>
      <c r="AHP14" s="1864"/>
      <c r="AHQ14" s="1864"/>
      <c r="AHR14" s="1864"/>
      <c r="AHS14" s="1864"/>
      <c r="AHT14" s="1864"/>
      <c r="AHU14" s="1864"/>
      <c r="AHV14" s="1864"/>
      <c r="AHW14" s="1864"/>
      <c r="AHX14" s="1864"/>
      <c r="AHY14" s="1864"/>
      <c r="AHZ14" s="1864"/>
      <c r="AIA14" s="1864"/>
      <c r="AIB14" s="1864"/>
      <c r="AIC14" s="1864"/>
      <c r="AID14" s="1864"/>
      <c r="AIE14" s="1864"/>
      <c r="AIF14" s="1864"/>
      <c r="AIG14" s="1864"/>
      <c r="AIH14" s="1864"/>
      <c r="AII14" s="1864"/>
      <c r="AIJ14" s="1864"/>
      <c r="AIK14" s="1864"/>
      <c r="AIL14" s="1864"/>
      <c r="AIM14" s="1864"/>
      <c r="AIN14" s="1864"/>
      <c r="AIO14" s="1864"/>
      <c r="AIP14" s="1864"/>
      <c r="AIQ14" s="1864"/>
      <c r="AIR14" s="1864"/>
      <c r="AIS14" s="1864"/>
      <c r="AIT14" s="1864"/>
      <c r="AIU14" s="1864"/>
      <c r="AIV14" s="1864"/>
      <c r="AIW14" s="1864"/>
      <c r="AIX14" s="1864"/>
      <c r="AIY14" s="1864"/>
      <c r="AIZ14" s="1864"/>
      <c r="AJA14" s="1864"/>
      <c r="AJB14" s="1864"/>
      <c r="AJC14" s="1864"/>
      <c r="AJD14" s="1864"/>
      <c r="AJE14" s="1864"/>
      <c r="AJF14" s="1864"/>
      <c r="AJG14" s="1864"/>
      <c r="AJH14" s="1864"/>
      <c r="AJI14" s="1864"/>
      <c r="AJJ14" s="1864"/>
      <c r="AJK14" s="1864"/>
      <c r="AJL14" s="1864"/>
      <c r="AJM14" s="1864"/>
      <c r="AJN14" s="1864"/>
      <c r="AJO14" s="1864"/>
      <c r="AJP14" s="1864"/>
      <c r="AJQ14" s="1864"/>
      <c r="AJR14" s="1864"/>
      <c r="AJS14" s="1864"/>
      <c r="AJT14" s="1864"/>
      <c r="AJU14" s="1864"/>
      <c r="AJV14" s="1864"/>
      <c r="AJW14" s="1864"/>
      <c r="AJX14" s="1864"/>
      <c r="AJY14" s="1864"/>
      <c r="AJZ14" s="1864"/>
      <c r="AKA14" s="1864"/>
      <c r="AKB14" s="1864"/>
      <c r="AKC14" s="1864"/>
      <c r="AKD14" s="1864"/>
      <c r="AKE14" s="1864"/>
      <c r="AKF14" s="1864"/>
      <c r="AKG14" s="1864"/>
      <c r="AKH14" s="1864"/>
      <c r="AKI14" s="1864"/>
      <c r="AKJ14" s="1864"/>
      <c r="AKK14" s="1864"/>
      <c r="AKL14" s="1864"/>
      <c r="AKM14" s="1864"/>
      <c r="AKN14" s="1864"/>
      <c r="AKO14" s="1864"/>
      <c r="AKP14" s="1864"/>
      <c r="AKQ14" s="1864"/>
      <c r="AKR14" s="1864"/>
      <c r="AKS14" s="1864"/>
      <c r="AKT14" s="1864"/>
      <c r="AKU14" s="1864"/>
      <c r="AKV14" s="1864"/>
      <c r="AKW14" s="1864"/>
      <c r="AKX14" s="1864"/>
      <c r="AKY14" s="1864"/>
      <c r="AKZ14" s="1864"/>
      <c r="ALA14" s="1864"/>
      <c r="ALB14" s="1864"/>
      <c r="ALC14" s="1864"/>
      <c r="ALD14" s="1864"/>
      <c r="ALE14" s="1864"/>
      <c r="ALF14" s="1864"/>
      <c r="ALG14" s="1864"/>
      <c r="ALH14" s="1864"/>
      <c r="ALI14" s="1864"/>
      <c r="ALJ14" s="1864"/>
      <c r="ALK14" s="1864"/>
      <c r="ALL14" s="1864"/>
      <c r="ALM14" s="1864"/>
      <c r="ALN14" s="1864"/>
      <c r="ALO14" s="1864"/>
      <c r="ALP14" s="1864"/>
      <c r="ALQ14" s="1864"/>
      <c r="ALR14" s="1864"/>
      <c r="ALS14" s="1864"/>
      <c r="ALT14" s="1864"/>
      <c r="ALU14" s="1864"/>
      <c r="ALV14" s="1864"/>
      <c r="ALW14" s="1864"/>
      <c r="ALX14" s="1864"/>
      <c r="ALY14" s="1864"/>
      <c r="ALZ14" s="1864"/>
      <c r="AMA14" s="1864"/>
      <c r="AMB14" s="1864"/>
      <c r="AMC14" s="1864"/>
      <c r="AMD14" s="1864"/>
      <c r="AME14" s="1864"/>
      <c r="AMF14" s="1864"/>
      <c r="AMG14" s="1864"/>
      <c r="AMH14" s="1864"/>
      <c r="AMI14" s="1864"/>
      <c r="AMJ14" s="1864"/>
      <c r="AMK14" s="1864"/>
      <c r="AML14" s="1864"/>
      <c r="AMM14" s="1864"/>
      <c r="AMN14" s="1864"/>
      <c r="AMO14" s="1864"/>
      <c r="AMP14" s="1864"/>
      <c r="AMQ14" s="1864"/>
      <c r="AMR14" s="1864"/>
      <c r="AMS14" s="1864"/>
      <c r="AMT14" s="1864"/>
      <c r="AMU14" s="1864"/>
      <c r="AMV14" s="1864"/>
      <c r="AMW14" s="1864"/>
      <c r="AMX14" s="1864"/>
      <c r="AMY14" s="1864"/>
      <c r="AMZ14" s="1864"/>
      <c r="ANA14" s="1864"/>
      <c r="ANB14" s="1864"/>
      <c r="ANC14" s="1864"/>
      <c r="AND14" s="1864"/>
      <c r="ANE14" s="1864"/>
      <c r="ANF14" s="1864"/>
      <c r="ANG14" s="1864"/>
      <c r="ANH14" s="1864"/>
      <c r="ANI14" s="1864"/>
      <c r="ANJ14" s="1864"/>
      <c r="ANK14" s="1864"/>
      <c r="ANL14" s="1864"/>
      <c r="ANM14" s="1864"/>
      <c r="ANN14" s="1864"/>
      <c r="ANO14" s="1864"/>
      <c r="ANP14" s="1864"/>
      <c r="ANQ14" s="1864"/>
      <c r="ANR14" s="1864"/>
      <c r="ANS14" s="1864"/>
      <c r="ANT14" s="1864"/>
      <c r="ANU14" s="1864"/>
      <c r="ANV14" s="1864"/>
      <c r="ANW14" s="1864"/>
      <c r="ANX14" s="1864"/>
      <c r="ANY14" s="1864"/>
      <c r="ANZ14" s="1864"/>
      <c r="AOA14" s="1864"/>
      <c r="AOB14" s="1864"/>
      <c r="AOC14" s="1864"/>
      <c r="AOD14" s="1864"/>
      <c r="AOE14" s="1864"/>
      <c r="AOF14" s="1864"/>
      <c r="AOG14" s="1864"/>
      <c r="AOH14" s="1864"/>
      <c r="AOI14" s="1864"/>
      <c r="AOJ14" s="1864"/>
      <c r="AOK14" s="1864"/>
      <c r="AOL14" s="1864"/>
      <c r="AOM14" s="1864"/>
      <c r="AON14" s="1864"/>
      <c r="AOO14" s="1864"/>
      <c r="AOP14" s="1864"/>
      <c r="AOQ14" s="1864"/>
      <c r="AOR14" s="1864"/>
      <c r="AOS14" s="1864"/>
      <c r="AOT14" s="1864"/>
      <c r="AOU14" s="1864"/>
      <c r="AOV14" s="1864"/>
      <c r="AOW14" s="1864"/>
      <c r="AOX14" s="1864"/>
      <c r="AOY14" s="1864"/>
      <c r="AOZ14" s="1864"/>
      <c r="APA14" s="1864"/>
      <c r="APB14" s="1864"/>
      <c r="APC14" s="1864"/>
      <c r="APD14" s="1864"/>
      <c r="APE14" s="1864"/>
      <c r="APF14" s="1864"/>
      <c r="APG14" s="1864"/>
      <c r="APH14" s="1864"/>
      <c r="API14" s="1864"/>
      <c r="APJ14" s="1864"/>
      <c r="APK14" s="1864"/>
      <c r="APL14" s="1864"/>
      <c r="APM14" s="1864"/>
      <c r="APN14" s="1864"/>
      <c r="APO14" s="1864"/>
      <c r="APP14" s="1864"/>
      <c r="APQ14" s="1864"/>
      <c r="APR14" s="1864"/>
      <c r="APS14" s="1864"/>
      <c r="APT14" s="1864"/>
      <c r="APU14" s="1864"/>
      <c r="APV14" s="1864"/>
      <c r="APW14" s="1864"/>
      <c r="APX14" s="1864"/>
      <c r="APY14" s="1864"/>
      <c r="APZ14" s="1864"/>
      <c r="AQA14" s="1864"/>
      <c r="AQB14" s="1864"/>
      <c r="AQC14" s="1864"/>
      <c r="AQD14" s="1864"/>
      <c r="AQE14" s="1864"/>
      <c r="AQF14" s="1864"/>
      <c r="AQG14" s="1864"/>
      <c r="AQH14" s="1864"/>
      <c r="AQI14" s="1864"/>
      <c r="AQJ14" s="1864"/>
      <c r="AQK14" s="1864"/>
      <c r="AQL14" s="1864"/>
      <c r="AQM14" s="1864"/>
      <c r="AQN14" s="1864"/>
      <c r="AQO14" s="1864"/>
      <c r="AQP14" s="1864"/>
      <c r="AQQ14" s="1864"/>
      <c r="AQR14" s="1864"/>
      <c r="AQS14" s="1864"/>
      <c r="AQT14" s="1864"/>
      <c r="AQU14" s="1864"/>
      <c r="AQV14" s="1864"/>
      <c r="AQW14" s="1864"/>
      <c r="AQX14" s="1864"/>
      <c r="AQY14" s="1864"/>
      <c r="AQZ14" s="1864"/>
      <c r="ARA14" s="1864"/>
      <c r="ARB14" s="1864"/>
      <c r="ARC14" s="1864"/>
      <c r="ARD14" s="1864"/>
      <c r="ARE14" s="1864"/>
      <c r="ARF14" s="1864"/>
      <c r="ARG14" s="1864"/>
      <c r="ARH14" s="1864"/>
      <c r="ARI14" s="1864"/>
      <c r="ARJ14" s="1864"/>
      <c r="ARK14" s="1864"/>
      <c r="ARL14" s="1864"/>
      <c r="ARM14" s="1864"/>
      <c r="ARN14" s="1864"/>
      <c r="ARO14" s="1864"/>
      <c r="ARP14" s="1864"/>
      <c r="ARQ14" s="1864"/>
      <c r="ARR14" s="1864"/>
      <c r="ARS14" s="1864"/>
      <c r="ART14" s="1864"/>
      <c r="ARU14" s="1864"/>
      <c r="ARV14" s="1864"/>
      <c r="ARW14" s="1864"/>
      <c r="ARX14" s="1864"/>
      <c r="ARY14" s="1864"/>
      <c r="ARZ14" s="1864"/>
      <c r="ASA14" s="1864"/>
      <c r="ASB14" s="1864"/>
      <c r="ASC14" s="1864"/>
      <c r="ASD14" s="1864"/>
      <c r="ASE14" s="1864"/>
      <c r="ASF14" s="1864"/>
      <c r="ASG14" s="1864"/>
      <c r="ASH14" s="1864"/>
      <c r="ASI14" s="1864"/>
      <c r="ASJ14" s="1864"/>
      <c r="ASK14" s="1864"/>
      <c r="ASL14" s="1864"/>
      <c r="ASM14" s="1864"/>
      <c r="ASN14" s="1864"/>
      <c r="ASO14" s="1864"/>
      <c r="ASP14" s="1864"/>
      <c r="ASQ14" s="1864"/>
      <c r="ASR14" s="1864"/>
      <c r="ASS14" s="1864"/>
      <c r="AST14" s="1864"/>
      <c r="ASU14" s="1864"/>
      <c r="ASV14" s="1864"/>
      <c r="ASW14" s="1864"/>
      <c r="ASX14" s="1864"/>
      <c r="ASY14" s="1864"/>
      <c r="ASZ14" s="1864"/>
      <c r="ATA14" s="1864"/>
      <c r="ATB14" s="1864"/>
      <c r="ATC14" s="1864"/>
      <c r="ATD14" s="1864"/>
      <c r="ATE14" s="1864"/>
      <c r="ATF14" s="1864"/>
      <c r="ATG14" s="1864"/>
      <c r="ATH14" s="1864"/>
      <c r="ATI14" s="1864"/>
      <c r="ATJ14" s="1864"/>
      <c r="ATK14" s="1864"/>
      <c r="ATL14" s="1864"/>
      <c r="ATM14" s="1864"/>
      <c r="ATN14" s="1864"/>
      <c r="ATO14" s="1864"/>
      <c r="ATP14" s="1864"/>
      <c r="ATQ14" s="1864"/>
      <c r="ATR14" s="1864"/>
      <c r="ATS14" s="1864"/>
      <c r="ATT14" s="1864"/>
      <c r="ATU14" s="1864"/>
      <c r="ATV14" s="1864"/>
      <c r="ATW14" s="1864"/>
      <c r="ATX14" s="1864"/>
      <c r="ATY14" s="1864"/>
      <c r="ATZ14" s="1864"/>
      <c r="AUA14" s="1864"/>
      <c r="AUB14" s="1864"/>
      <c r="AUC14" s="1864"/>
      <c r="AUD14" s="1864"/>
      <c r="AUE14" s="1864"/>
      <c r="AUF14" s="1864"/>
      <c r="AUG14" s="1864"/>
      <c r="AUH14" s="1864"/>
      <c r="AUI14" s="1864"/>
      <c r="AUJ14" s="1864"/>
      <c r="AUK14" s="1864"/>
      <c r="AUL14" s="1864"/>
      <c r="AUM14" s="1864"/>
      <c r="AUN14" s="1864"/>
      <c r="AUO14" s="1864"/>
      <c r="AUP14" s="1864"/>
      <c r="AUQ14" s="1864"/>
      <c r="AUR14" s="1864"/>
      <c r="AUS14" s="1864"/>
      <c r="AUT14" s="1864"/>
      <c r="AUU14" s="1864"/>
      <c r="AUV14" s="1864"/>
      <c r="AUW14" s="1864"/>
      <c r="AUX14" s="1864"/>
      <c r="AUY14" s="1864"/>
      <c r="AUZ14" s="1864"/>
      <c r="AVA14" s="1864"/>
      <c r="AVB14" s="1864"/>
      <c r="AVC14" s="1864"/>
      <c r="AVD14" s="1864"/>
      <c r="AVE14" s="1864"/>
      <c r="AVF14" s="1864"/>
      <c r="AVG14" s="1864"/>
      <c r="AVH14" s="1864"/>
      <c r="AVI14" s="1864"/>
      <c r="AVJ14" s="1864"/>
      <c r="AVK14" s="1864"/>
      <c r="AVL14" s="1864"/>
      <c r="AVM14" s="1864"/>
      <c r="AVN14" s="1864"/>
      <c r="AVO14" s="1864"/>
      <c r="AVP14" s="1864"/>
      <c r="AVQ14" s="1864"/>
      <c r="AVR14" s="1864"/>
      <c r="AVS14" s="1864"/>
      <c r="AVT14" s="1864"/>
      <c r="AVU14" s="1864"/>
      <c r="AVV14" s="1864"/>
      <c r="AVW14" s="1864"/>
      <c r="AVX14" s="1864"/>
      <c r="AVY14" s="1864"/>
      <c r="AVZ14" s="1864"/>
      <c r="AWA14" s="1864"/>
      <c r="AWB14" s="1864"/>
      <c r="AWC14" s="1864"/>
      <c r="AWD14" s="1864"/>
      <c r="AWE14" s="1864"/>
      <c r="AWF14" s="1864"/>
      <c r="AWG14" s="1864"/>
      <c r="AWH14" s="1864"/>
      <c r="AWI14" s="1864"/>
      <c r="AWJ14" s="1864"/>
      <c r="AWK14" s="1864"/>
      <c r="AWL14" s="1864"/>
      <c r="AWM14" s="1864"/>
      <c r="AWN14" s="1864"/>
      <c r="AWO14" s="1864"/>
      <c r="AWP14" s="1864"/>
      <c r="AWQ14" s="1864"/>
    </row>
    <row r="15" spans="1:1291" s="1868" customFormat="1" ht="15" customHeight="1" x14ac:dyDescent="0.2">
      <c r="A15" s="1964"/>
      <c r="B15" s="1989"/>
      <c r="C15" s="1812" t="s">
        <v>2419</v>
      </c>
      <c r="D15" s="1881"/>
      <c r="E15" s="1984"/>
      <c r="F15" s="1837">
        <v>0</v>
      </c>
      <c r="G15" s="1803">
        <v>0</v>
      </c>
      <c r="H15" s="1803">
        <v>0</v>
      </c>
      <c r="I15" s="1803">
        <v>0</v>
      </c>
      <c r="J15" s="1803">
        <v>0</v>
      </c>
      <c r="K15" s="1803">
        <v>0</v>
      </c>
      <c r="L15" s="1803">
        <v>0</v>
      </c>
      <c r="M15" s="1803">
        <v>0</v>
      </c>
      <c r="N15" s="1803">
        <v>0</v>
      </c>
      <c r="O15" s="1803">
        <v>0</v>
      </c>
      <c r="P15" s="1803">
        <v>0</v>
      </c>
      <c r="Q15" s="1803">
        <v>0</v>
      </c>
      <c r="R15" s="1803">
        <v>0</v>
      </c>
      <c r="S15" s="1803">
        <v>0</v>
      </c>
      <c r="T15" s="1803">
        <v>0</v>
      </c>
      <c r="U15" s="1803">
        <v>0</v>
      </c>
      <c r="V15" s="1803">
        <v>0</v>
      </c>
      <c r="W15" s="1803">
        <v>0</v>
      </c>
      <c r="X15" s="1803">
        <v>0</v>
      </c>
      <c r="Y15" s="1803">
        <v>0</v>
      </c>
      <c r="Z15" s="1803">
        <v>0</v>
      </c>
      <c r="AA15" s="1803">
        <v>0</v>
      </c>
      <c r="AB15" s="1803">
        <v>0</v>
      </c>
      <c r="AC15" s="1803">
        <v>0</v>
      </c>
      <c r="AD15" s="1803">
        <v>0</v>
      </c>
      <c r="AE15" s="1803">
        <v>0</v>
      </c>
      <c r="AF15" s="1803">
        <v>0</v>
      </c>
      <c r="AG15" s="1803">
        <v>0</v>
      </c>
      <c r="AH15" s="1803">
        <v>0</v>
      </c>
      <c r="AI15" s="1803">
        <v>0</v>
      </c>
      <c r="AJ15" s="1803">
        <v>0</v>
      </c>
      <c r="AK15" s="1803">
        <v>0</v>
      </c>
      <c r="AL15" s="1803">
        <v>0</v>
      </c>
      <c r="AM15" s="1803">
        <v>0</v>
      </c>
      <c r="AN15" s="1803">
        <v>0</v>
      </c>
      <c r="AO15" s="1803">
        <v>0</v>
      </c>
      <c r="AP15" s="1803">
        <v>0</v>
      </c>
      <c r="AQ15" s="1803">
        <v>0</v>
      </c>
      <c r="AR15" s="1803">
        <v>0</v>
      </c>
      <c r="AS15" s="1803">
        <v>0</v>
      </c>
      <c r="AT15" s="1803">
        <v>0</v>
      </c>
      <c r="AU15" s="1803">
        <v>0</v>
      </c>
      <c r="AV15" s="1803">
        <v>0</v>
      </c>
      <c r="AW15" s="1803">
        <v>0</v>
      </c>
      <c r="AX15" s="1803">
        <v>0</v>
      </c>
      <c r="AY15" s="1803">
        <v>0</v>
      </c>
      <c r="AZ15" s="1803">
        <v>0</v>
      </c>
      <c r="BA15" s="1803">
        <v>0</v>
      </c>
      <c r="BB15" s="1803">
        <v>0</v>
      </c>
      <c r="BC15" s="1803">
        <v>0</v>
      </c>
      <c r="BD15" s="1803">
        <v>0</v>
      </c>
      <c r="BE15" s="1803">
        <v>0</v>
      </c>
      <c r="BF15" s="1803">
        <v>0</v>
      </c>
      <c r="BG15" s="1803">
        <v>0</v>
      </c>
      <c r="BH15" s="1803">
        <v>0</v>
      </c>
      <c r="BI15" s="1803">
        <v>0</v>
      </c>
      <c r="BJ15" s="1803">
        <v>0</v>
      </c>
      <c r="BK15" s="1803">
        <v>0</v>
      </c>
      <c r="BL15" s="1803">
        <v>0</v>
      </c>
      <c r="BM15" s="1803">
        <v>0</v>
      </c>
      <c r="BN15" s="1803">
        <v>0</v>
      </c>
      <c r="BO15" s="1803">
        <v>0</v>
      </c>
      <c r="BP15" s="1803">
        <v>0</v>
      </c>
      <c r="BQ15" s="1803">
        <v>0</v>
      </c>
      <c r="BR15" s="1803">
        <v>0</v>
      </c>
      <c r="BS15" s="1803">
        <v>0</v>
      </c>
      <c r="BT15" s="1803">
        <v>0</v>
      </c>
      <c r="BU15" s="1803">
        <v>0</v>
      </c>
      <c r="BV15" s="1803">
        <v>0</v>
      </c>
      <c r="BW15" s="1803">
        <v>0</v>
      </c>
      <c r="BX15" s="1803">
        <v>0</v>
      </c>
      <c r="BY15" s="1803">
        <v>0</v>
      </c>
      <c r="BZ15" s="1803">
        <v>0</v>
      </c>
      <c r="CA15" s="1803">
        <v>0</v>
      </c>
      <c r="CB15" s="1803">
        <v>0</v>
      </c>
      <c r="CC15" s="1803">
        <v>0</v>
      </c>
      <c r="CD15" s="1803">
        <v>0</v>
      </c>
      <c r="CE15" s="1803">
        <v>0</v>
      </c>
      <c r="CF15" s="1803">
        <v>0</v>
      </c>
      <c r="CG15" s="1803">
        <v>0</v>
      </c>
      <c r="CH15" s="1803">
        <v>0</v>
      </c>
      <c r="CI15" s="1803">
        <v>0</v>
      </c>
      <c r="CJ15" s="1803">
        <v>0</v>
      </c>
      <c r="CK15" s="1803">
        <v>0</v>
      </c>
      <c r="CL15" s="1803">
        <v>0</v>
      </c>
      <c r="CM15" s="1803">
        <v>0</v>
      </c>
      <c r="CN15" s="1803">
        <v>0</v>
      </c>
      <c r="CO15" s="1803">
        <v>0</v>
      </c>
      <c r="CP15" s="1803">
        <v>0</v>
      </c>
      <c r="CQ15" s="1803">
        <v>0</v>
      </c>
      <c r="CR15" s="1803">
        <v>0</v>
      </c>
      <c r="CS15" s="1803">
        <v>0</v>
      </c>
      <c r="CT15" s="1803">
        <v>0</v>
      </c>
      <c r="CU15" s="1803">
        <v>0</v>
      </c>
      <c r="CV15" s="1803">
        <v>0</v>
      </c>
      <c r="CW15" s="1803">
        <v>0</v>
      </c>
      <c r="CX15" s="1803">
        <v>0</v>
      </c>
      <c r="CY15" s="1803">
        <v>0</v>
      </c>
      <c r="CZ15" s="1803">
        <v>0</v>
      </c>
      <c r="DA15" s="1803">
        <v>0</v>
      </c>
      <c r="DB15" s="1803">
        <v>0</v>
      </c>
      <c r="DC15" s="1803">
        <v>0</v>
      </c>
      <c r="DD15" s="1803">
        <v>0</v>
      </c>
      <c r="DE15" s="1803">
        <v>0</v>
      </c>
      <c r="DF15" s="1803">
        <v>0</v>
      </c>
      <c r="DG15" s="1803">
        <v>0</v>
      </c>
      <c r="DH15" s="1803">
        <v>0</v>
      </c>
      <c r="DI15" s="1803">
        <v>0</v>
      </c>
      <c r="DJ15" s="1803">
        <v>0</v>
      </c>
      <c r="DK15" s="1803">
        <v>0</v>
      </c>
      <c r="DL15" s="1803">
        <v>0</v>
      </c>
      <c r="DM15" s="1803">
        <v>0</v>
      </c>
      <c r="DN15" s="1803">
        <v>0</v>
      </c>
      <c r="DO15" s="1803">
        <v>0</v>
      </c>
      <c r="DP15" s="1803">
        <v>0</v>
      </c>
      <c r="DQ15" s="1803">
        <v>0</v>
      </c>
      <c r="DR15" s="1803">
        <v>0</v>
      </c>
      <c r="DS15" s="1803">
        <v>0</v>
      </c>
      <c r="DT15" s="1803">
        <v>0</v>
      </c>
      <c r="DU15" s="1803">
        <v>0</v>
      </c>
      <c r="DV15" s="1803">
        <v>0</v>
      </c>
      <c r="DW15" s="1803">
        <v>0</v>
      </c>
      <c r="DX15" s="1803">
        <v>0</v>
      </c>
      <c r="DY15" s="1803">
        <v>0</v>
      </c>
      <c r="DZ15" s="1803">
        <v>0</v>
      </c>
      <c r="EA15" s="1803">
        <v>0</v>
      </c>
      <c r="EB15" s="1803">
        <v>0</v>
      </c>
      <c r="EC15" s="1803">
        <v>0</v>
      </c>
      <c r="ED15" s="1803">
        <v>0</v>
      </c>
      <c r="EE15" s="1803">
        <v>0</v>
      </c>
      <c r="EF15" s="1803">
        <v>0</v>
      </c>
      <c r="EG15" s="1803">
        <v>0</v>
      </c>
      <c r="EH15" s="1803">
        <v>0</v>
      </c>
      <c r="EI15" s="1803">
        <v>0</v>
      </c>
      <c r="EJ15" s="1803">
        <v>0</v>
      </c>
      <c r="EK15" s="1803">
        <v>0</v>
      </c>
      <c r="EL15" s="1803">
        <v>0</v>
      </c>
      <c r="EM15" s="1803">
        <v>0</v>
      </c>
      <c r="EN15" s="1803">
        <v>0</v>
      </c>
      <c r="EO15" s="1803">
        <v>0</v>
      </c>
      <c r="EP15" s="1803">
        <v>0</v>
      </c>
      <c r="EQ15" s="1803">
        <v>0</v>
      </c>
      <c r="ER15" s="1803">
        <v>0</v>
      </c>
      <c r="ES15" s="1803">
        <v>0</v>
      </c>
      <c r="ET15" s="1803">
        <v>0</v>
      </c>
      <c r="EU15" s="1803">
        <v>0</v>
      </c>
      <c r="EV15" s="1803">
        <v>0</v>
      </c>
      <c r="EW15" s="1803">
        <v>0</v>
      </c>
      <c r="EX15" s="1803">
        <v>0</v>
      </c>
      <c r="EY15" s="1803">
        <v>0</v>
      </c>
      <c r="EZ15" s="1803">
        <v>0</v>
      </c>
      <c r="FA15" s="1803">
        <v>0</v>
      </c>
      <c r="FB15" s="1803">
        <v>0</v>
      </c>
      <c r="FC15" s="1803">
        <v>0</v>
      </c>
      <c r="FD15" s="1803">
        <v>0</v>
      </c>
      <c r="FE15" s="1803">
        <v>0</v>
      </c>
      <c r="FF15" s="1803">
        <v>0</v>
      </c>
      <c r="FG15" s="1803">
        <v>0</v>
      </c>
      <c r="FH15" s="1803">
        <v>0</v>
      </c>
      <c r="FI15" s="1803">
        <v>0</v>
      </c>
      <c r="FJ15" s="1803">
        <v>0</v>
      </c>
      <c r="FK15" s="1803">
        <v>0</v>
      </c>
      <c r="FL15" s="1803">
        <v>0</v>
      </c>
      <c r="FM15" s="1803">
        <v>0</v>
      </c>
      <c r="FN15" s="1803">
        <v>0</v>
      </c>
      <c r="FO15" s="1803">
        <v>0</v>
      </c>
      <c r="FP15" s="1803">
        <v>0</v>
      </c>
      <c r="FQ15" s="1803">
        <v>0</v>
      </c>
      <c r="FR15" s="1803">
        <v>0</v>
      </c>
      <c r="FS15" s="1803">
        <v>0</v>
      </c>
      <c r="FT15" s="1803">
        <v>0</v>
      </c>
      <c r="FU15" s="1803">
        <v>0</v>
      </c>
      <c r="FV15" s="1803">
        <v>0</v>
      </c>
      <c r="FW15" s="1803">
        <v>0</v>
      </c>
      <c r="FX15" s="1803">
        <v>0</v>
      </c>
      <c r="FY15" s="1803">
        <v>0</v>
      </c>
      <c r="FZ15" s="1803">
        <v>0</v>
      </c>
      <c r="GA15" s="1803">
        <v>0</v>
      </c>
      <c r="GB15" s="1803">
        <v>0</v>
      </c>
      <c r="GC15" s="1803">
        <v>0</v>
      </c>
      <c r="GD15" s="1803">
        <v>0</v>
      </c>
      <c r="GE15" s="1803">
        <v>0</v>
      </c>
      <c r="GF15" s="1803">
        <v>0</v>
      </c>
      <c r="GG15" s="1803">
        <v>0</v>
      </c>
      <c r="GH15" s="1803">
        <v>0</v>
      </c>
      <c r="GI15" s="1803">
        <v>0</v>
      </c>
      <c r="GJ15" s="1803">
        <v>0</v>
      </c>
      <c r="GK15" s="1803">
        <v>0</v>
      </c>
      <c r="GL15" s="1803">
        <v>0</v>
      </c>
      <c r="GM15" s="1803">
        <v>0</v>
      </c>
      <c r="GN15" s="1803">
        <v>0</v>
      </c>
      <c r="GO15" s="1803">
        <v>0</v>
      </c>
      <c r="GP15" s="1803">
        <v>0</v>
      </c>
      <c r="GQ15" s="1803">
        <v>0</v>
      </c>
      <c r="GR15" s="1803">
        <v>0</v>
      </c>
      <c r="GS15" s="1803">
        <v>0</v>
      </c>
      <c r="GT15" s="1803">
        <v>0</v>
      </c>
      <c r="GU15" s="1803">
        <v>0</v>
      </c>
      <c r="GV15" s="1803">
        <v>0</v>
      </c>
      <c r="GW15" s="1803">
        <v>0</v>
      </c>
      <c r="GX15" s="1803">
        <v>0</v>
      </c>
      <c r="GY15" s="1803">
        <v>0</v>
      </c>
      <c r="GZ15" s="1803">
        <v>0</v>
      </c>
      <c r="HA15" s="1803">
        <v>0</v>
      </c>
      <c r="HB15" s="1803">
        <v>0</v>
      </c>
      <c r="HC15" s="1803">
        <v>0</v>
      </c>
      <c r="HD15" s="1803">
        <v>0</v>
      </c>
      <c r="HE15" s="1803">
        <v>0</v>
      </c>
      <c r="HF15" s="1864"/>
      <c r="HG15" s="1864"/>
      <c r="HH15" s="1864"/>
      <c r="HI15" s="1864"/>
      <c r="HJ15" s="1864"/>
      <c r="HK15" s="1864"/>
      <c r="HL15" s="1864"/>
      <c r="HM15" s="1864"/>
      <c r="HN15" s="1864"/>
      <c r="HO15" s="1864"/>
      <c r="HP15" s="1864"/>
      <c r="HQ15" s="1864"/>
      <c r="HR15" s="1864"/>
      <c r="HS15" s="1864"/>
      <c r="HT15" s="1864"/>
      <c r="HU15" s="1864"/>
      <c r="HV15" s="1864"/>
      <c r="HW15" s="1864"/>
      <c r="HX15" s="1864"/>
      <c r="HY15" s="1864"/>
      <c r="HZ15" s="1864"/>
      <c r="IA15" s="1864"/>
      <c r="IB15" s="1864"/>
      <c r="IC15" s="1864"/>
      <c r="ID15" s="1864"/>
      <c r="IE15" s="1864"/>
      <c r="IF15" s="1864"/>
      <c r="IG15" s="1864"/>
      <c r="IH15" s="1864"/>
      <c r="II15" s="1864"/>
      <c r="IJ15" s="1864"/>
      <c r="IK15" s="1864"/>
      <c r="IL15" s="1864"/>
      <c r="IM15" s="1864"/>
      <c r="IN15" s="1864"/>
      <c r="IO15" s="1864"/>
      <c r="IP15" s="1864"/>
      <c r="IQ15" s="1864"/>
      <c r="IR15" s="1864"/>
      <c r="IS15" s="1864"/>
      <c r="IT15" s="1864"/>
      <c r="IU15" s="1864"/>
      <c r="IV15" s="1864"/>
      <c r="IW15" s="1864"/>
      <c r="IX15" s="1864"/>
      <c r="IY15" s="1864"/>
      <c r="IZ15" s="1864"/>
      <c r="JA15" s="1864"/>
      <c r="JB15" s="1864"/>
      <c r="JC15" s="1864"/>
      <c r="JD15" s="1864"/>
      <c r="JE15" s="1864"/>
      <c r="JF15" s="1864"/>
      <c r="JG15" s="1864"/>
      <c r="JH15" s="1864"/>
      <c r="JI15" s="1864"/>
      <c r="JJ15" s="1864"/>
      <c r="JK15" s="1864"/>
      <c r="JL15" s="1864"/>
      <c r="JM15" s="1864"/>
      <c r="JN15" s="1864"/>
      <c r="JO15" s="1864"/>
      <c r="JP15" s="1864"/>
      <c r="JQ15" s="1864"/>
      <c r="JR15" s="1864"/>
      <c r="JS15" s="1864"/>
      <c r="JT15" s="1864"/>
      <c r="JU15" s="1864"/>
      <c r="JV15" s="1864"/>
      <c r="JW15" s="1864"/>
      <c r="JX15" s="1864"/>
      <c r="JY15" s="1864"/>
      <c r="JZ15" s="1864"/>
      <c r="KA15" s="1864"/>
      <c r="KB15" s="1864"/>
      <c r="KC15" s="1864"/>
      <c r="KD15" s="1864"/>
      <c r="KE15" s="1864"/>
      <c r="KF15" s="1864"/>
      <c r="KG15" s="1864"/>
      <c r="KH15" s="1864"/>
      <c r="KI15" s="1864"/>
      <c r="KJ15" s="1864"/>
      <c r="KK15" s="1864"/>
      <c r="KL15" s="1864"/>
      <c r="KM15" s="1864"/>
      <c r="KN15" s="1864"/>
      <c r="KO15" s="1864"/>
      <c r="KP15" s="1864"/>
      <c r="KQ15" s="1864"/>
      <c r="KR15" s="1864"/>
      <c r="KS15" s="1864"/>
      <c r="KT15" s="1864"/>
      <c r="KU15" s="1864"/>
      <c r="KV15" s="1864"/>
      <c r="KW15" s="1864"/>
      <c r="KX15" s="1864"/>
      <c r="KY15" s="1864"/>
      <c r="KZ15" s="1864"/>
      <c r="LA15" s="1864"/>
      <c r="LB15" s="1864"/>
      <c r="LC15" s="1864"/>
      <c r="LD15" s="1864"/>
      <c r="LE15" s="1864"/>
      <c r="LF15" s="1864"/>
      <c r="LG15" s="1864"/>
      <c r="LH15" s="1864"/>
      <c r="LI15" s="1864"/>
      <c r="LJ15" s="1864"/>
      <c r="LK15" s="1864"/>
      <c r="LL15" s="1864"/>
      <c r="LM15" s="1864"/>
      <c r="LN15" s="1864"/>
      <c r="LO15" s="1864"/>
      <c r="LP15" s="1864"/>
      <c r="LQ15" s="1864"/>
      <c r="LR15" s="1864"/>
      <c r="LS15" s="1864"/>
      <c r="LT15" s="1864"/>
      <c r="LU15" s="1864"/>
      <c r="LV15" s="1864"/>
      <c r="LW15" s="1864"/>
      <c r="LX15" s="1864"/>
      <c r="LY15" s="1864"/>
      <c r="LZ15" s="1864"/>
      <c r="MA15" s="1864"/>
      <c r="MB15" s="1864"/>
      <c r="MC15" s="1864"/>
      <c r="MD15" s="1864"/>
      <c r="ME15" s="1864"/>
      <c r="MF15" s="1864"/>
      <c r="MG15" s="1864"/>
      <c r="MH15" s="1864"/>
      <c r="MI15" s="1864"/>
      <c r="MJ15" s="1864"/>
      <c r="MK15" s="1864"/>
      <c r="ML15" s="1864"/>
      <c r="MM15" s="1864"/>
      <c r="MN15" s="1864"/>
      <c r="MO15" s="1864"/>
      <c r="MP15" s="1864"/>
      <c r="MQ15" s="1864"/>
      <c r="MR15" s="1864"/>
      <c r="MS15" s="1864"/>
      <c r="MT15" s="1864"/>
      <c r="MU15" s="1864"/>
      <c r="MV15" s="1864"/>
      <c r="MW15" s="1864"/>
      <c r="MX15" s="1864"/>
      <c r="MY15" s="1864"/>
      <c r="MZ15" s="1864"/>
      <c r="NA15" s="1864"/>
      <c r="NB15" s="1864"/>
      <c r="NC15" s="1864"/>
      <c r="ND15" s="1864"/>
      <c r="NE15" s="1864"/>
      <c r="NF15" s="1864"/>
      <c r="NG15" s="1864"/>
      <c r="NH15" s="1864"/>
      <c r="NI15" s="1864"/>
      <c r="NJ15" s="1864"/>
      <c r="NK15" s="1864"/>
      <c r="NL15" s="1864"/>
      <c r="NM15" s="1864"/>
      <c r="NN15" s="1864"/>
      <c r="NO15" s="1864"/>
      <c r="NP15" s="1864"/>
      <c r="NQ15" s="1864"/>
      <c r="NR15" s="1864"/>
      <c r="NS15" s="1864"/>
      <c r="NT15" s="1864"/>
      <c r="NU15" s="1864"/>
      <c r="NV15" s="1864"/>
      <c r="NW15" s="1864"/>
      <c r="NX15" s="1864"/>
      <c r="NY15" s="1864"/>
      <c r="NZ15" s="1864"/>
      <c r="OA15" s="1864"/>
      <c r="OB15" s="1864"/>
      <c r="OC15" s="1864"/>
      <c r="OD15" s="1864"/>
      <c r="OE15" s="1864"/>
      <c r="OF15" s="1864"/>
      <c r="OG15" s="1864"/>
      <c r="OH15" s="1864"/>
      <c r="OI15" s="1864"/>
      <c r="OJ15" s="1864"/>
      <c r="OK15" s="1864"/>
      <c r="OL15" s="1864"/>
      <c r="OM15" s="1864"/>
      <c r="ON15" s="1864"/>
      <c r="OO15" s="1864"/>
      <c r="OP15" s="1864"/>
      <c r="OQ15" s="1864"/>
      <c r="OR15" s="1864"/>
      <c r="OS15" s="1864"/>
      <c r="OT15" s="1864"/>
      <c r="OU15" s="1864"/>
      <c r="OV15" s="1864"/>
      <c r="OW15" s="1864"/>
      <c r="OX15" s="1864"/>
      <c r="OY15" s="1864"/>
      <c r="OZ15" s="1864"/>
      <c r="PA15" s="1864"/>
      <c r="PB15" s="1864"/>
      <c r="PC15" s="1864"/>
      <c r="PD15" s="1864"/>
      <c r="PE15" s="1864"/>
      <c r="PF15" s="1864"/>
      <c r="PG15" s="1864"/>
      <c r="PH15" s="1864"/>
      <c r="PI15" s="1864"/>
      <c r="PJ15" s="1864"/>
      <c r="PK15" s="1864"/>
      <c r="PL15" s="1864"/>
      <c r="PM15" s="1864"/>
      <c r="PN15" s="1864"/>
      <c r="PO15" s="1864"/>
      <c r="PP15" s="1864"/>
      <c r="PQ15" s="1864"/>
      <c r="PR15" s="1864"/>
      <c r="PS15" s="1864"/>
      <c r="PT15" s="1864"/>
      <c r="PU15" s="1864"/>
      <c r="PV15" s="1864"/>
      <c r="PW15" s="1864"/>
      <c r="PX15" s="1864"/>
      <c r="PY15" s="1864"/>
      <c r="PZ15" s="1864"/>
      <c r="QA15" s="1864"/>
      <c r="QB15" s="1864"/>
      <c r="QC15" s="1864"/>
      <c r="QD15" s="1864"/>
      <c r="QE15" s="1864"/>
      <c r="QF15" s="1864"/>
      <c r="QG15" s="1864"/>
      <c r="QH15" s="1864"/>
      <c r="QI15" s="1864"/>
      <c r="QJ15" s="1864"/>
      <c r="QK15" s="1864"/>
      <c r="QL15" s="1864"/>
      <c r="QM15" s="1864"/>
      <c r="QN15" s="1864"/>
      <c r="QO15" s="1864"/>
      <c r="QP15" s="1864"/>
      <c r="QQ15" s="1864"/>
      <c r="QR15" s="1864"/>
      <c r="QS15" s="1864"/>
      <c r="QT15" s="1864"/>
      <c r="QU15" s="1864"/>
      <c r="QV15" s="1864"/>
      <c r="QW15" s="1864"/>
      <c r="QX15" s="1864"/>
      <c r="QY15" s="1864"/>
      <c r="QZ15" s="1864"/>
      <c r="RA15" s="1864"/>
      <c r="RB15" s="1864"/>
      <c r="RC15" s="1864"/>
      <c r="RD15" s="1864"/>
      <c r="RE15" s="1864"/>
      <c r="RF15" s="1864"/>
      <c r="RG15" s="1864"/>
      <c r="RH15" s="1864"/>
      <c r="RI15" s="1864"/>
      <c r="RJ15" s="1864"/>
      <c r="RK15" s="1864"/>
      <c r="RL15" s="1864"/>
      <c r="RM15" s="1864"/>
      <c r="RN15" s="1864"/>
      <c r="RO15" s="1864"/>
      <c r="RP15" s="1864"/>
      <c r="RQ15" s="1864"/>
      <c r="RR15" s="1864"/>
      <c r="RS15" s="1864"/>
      <c r="RT15" s="1864"/>
      <c r="RU15" s="1864"/>
      <c r="RV15" s="1864"/>
      <c r="RW15" s="1864"/>
      <c r="RX15" s="1864"/>
      <c r="RY15" s="1864"/>
      <c r="RZ15" s="1864"/>
      <c r="SA15" s="1864"/>
      <c r="SB15" s="1864"/>
      <c r="SC15" s="1864"/>
      <c r="SD15" s="1864"/>
      <c r="SE15" s="1864"/>
      <c r="SF15" s="1864"/>
      <c r="SG15" s="1864"/>
      <c r="SH15" s="1864"/>
      <c r="SI15" s="1864"/>
      <c r="SJ15" s="1864"/>
      <c r="SK15" s="1864"/>
      <c r="SL15" s="1864"/>
      <c r="SM15" s="1864"/>
      <c r="SN15" s="1864"/>
      <c r="SO15" s="1864"/>
      <c r="SP15" s="1864"/>
      <c r="SQ15" s="1864"/>
      <c r="SR15" s="1864"/>
      <c r="SS15" s="1864"/>
      <c r="ST15" s="1864"/>
      <c r="SU15" s="1864"/>
      <c r="SV15" s="1864"/>
      <c r="SW15" s="1864"/>
      <c r="SX15" s="1864"/>
      <c r="SY15" s="1864"/>
      <c r="SZ15" s="1864"/>
      <c r="TA15" s="1864"/>
      <c r="TB15" s="1864"/>
      <c r="TC15" s="1864"/>
      <c r="TD15" s="1864"/>
      <c r="TE15" s="1864"/>
      <c r="TF15" s="1864"/>
      <c r="TG15" s="1864"/>
      <c r="TH15" s="1864"/>
      <c r="TI15" s="1864"/>
      <c r="TJ15" s="1864"/>
      <c r="TK15" s="1864"/>
      <c r="TL15" s="1864"/>
      <c r="TM15" s="1864"/>
      <c r="TN15" s="1864"/>
      <c r="TO15" s="1864"/>
      <c r="TP15" s="1864"/>
      <c r="TQ15" s="1864"/>
      <c r="TR15" s="1864"/>
      <c r="TS15" s="1864"/>
      <c r="TT15" s="1864"/>
      <c r="TU15" s="1864"/>
      <c r="TV15" s="1864"/>
      <c r="TW15" s="1864"/>
      <c r="TX15" s="1864"/>
      <c r="TY15" s="1864"/>
      <c r="TZ15" s="1864"/>
      <c r="UA15" s="1864"/>
      <c r="UB15" s="1864"/>
      <c r="UC15" s="1864"/>
      <c r="UD15" s="1864"/>
      <c r="UE15" s="1864"/>
      <c r="UF15" s="1864"/>
      <c r="UG15" s="1864"/>
      <c r="UH15" s="1864"/>
      <c r="UI15" s="1864"/>
      <c r="UJ15" s="1864"/>
      <c r="UK15" s="1864"/>
      <c r="UL15" s="1864"/>
      <c r="UM15" s="1864"/>
      <c r="UN15" s="1864"/>
      <c r="UO15" s="1864"/>
      <c r="UP15" s="1864"/>
      <c r="UQ15" s="1864"/>
      <c r="UR15" s="1864"/>
      <c r="US15" s="1864"/>
      <c r="UT15" s="1864"/>
      <c r="UU15" s="1864"/>
      <c r="UV15" s="1864"/>
      <c r="UW15" s="1864"/>
      <c r="UX15" s="1864"/>
      <c r="UY15" s="1864"/>
      <c r="UZ15" s="1864"/>
      <c r="VA15" s="1864"/>
      <c r="VB15" s="1864"/>
      <c r="VC15" s="1864"/>
      <c r="VD15" s="1864"/>
      <c r="VE15" s="1864"/>
      <c r="VF15" s="1864"/>
      <c r="VG15" s="1864"/>
      <c r="VH15" s="1864"/>
      <c r="VI15" s="1864"/>
      <c r="VJ15" s="1864"/>
      <c r="VK15" s="1864"/>
      <c r="VL15" s="1864"/>
      <c r="VM15" s="1864"/>
      <c r="VN15" s="1864"/>
      <c r="VO15" s="1864"/>
      <c r="VP15" s="1864"/>
      <c r="VQ15" s="1864"/>
      <c r="VR15" s="1864"/>
      <c r="VS15" s="1864"/>
      <c r="VT15" s="1864"/>
      <c r="VU15" s="1864"/>
      <c r="VV15" s="1864"/>
      <c r="VW15" s="1864"/>
      <c r="VX15" s="1864"/>
      <c r="VY15" s="1864"/>
      <c r="VZ15" s="1864"/>
      <c r="WA15" s="1864"/>
      <c r="WB15" s="1864"/>
      <c r="WC15" s="1864"/>
      <c r="WD15" s="1864"/>
      <c r="WE15" s="1864"/>
      <c r="WF15" s="1864"/>
      <c r="WG15" s="1864"/>
      <c r="WH15" s="1864"/>
      <c r="WI15" s="1864"/>
      <c r="WJ15" s="1864"/>
      <c r="WK15" s="1864"/>
      <c r="WL15" s="1864"/>
      <c r="WM15" s="1864"/>
      <c r="WN15" s="1864"/>
      <c r="WO15" s="1864"/>
      <c r="WP15" s="1864"/>
      <c r="WQ15" s="1864"/>
      <c r="WR15" s="1864"/>
      <c r="WS15" s="1864"/>
      <c r="WT15" s="1864"/>
      <c r="WU15" s="1864"/>
      <c r="WV15" s="1864"/>
      <c r="WW15" s="1864"/>
      <c r="WX15" s="1864"/>
      <c r="WY15" s="1864"/>
      <c r="WZ15" s="1864"/>
      <c r="XA15" s="1864"/>
      <c r="XB15" s="1864"/>
      <c r="XC15" s="1864"/>
      <c r="XD15" s="1864"/>
      <c r="XE15" s="1864"/>
      <c r="XF15" s="1864"/>
      <c r="XG15" s="1864"/>
      <c r="XH15" s="1864"/>
      <c r="XI15" s="1864"/>
      <c r="XJ15" s="1864"/>
      <c r="XK15" s="1864"/>
      <c r="XL15" s="1864"/>
      <c r="XM15" s="1864"/>
      <c r="XN15" s="1864"/>
      <c r="XO15" s="1864"/>
      <c r="XP15" s="1864"/>
      <c r="XQ15" s="1864"/>
      <c r="XR15" s="1864"/>
      <c r="XS15" s="1864"/>
      <c r="XT15" s="1864"/>
      <c r="XU15" s="1864"/>
      <c r="XV15" s="1864"/>
      <c r="XW15" s="1864"/>
      <c r="XX15" s="1864"/>
      <c r="XY15" s="1864"/>
      <c r="XZ15" s="1864"/>
      <c r="YA15" s="1864"/>
      <c r="YB15" s="1864"/>
      <c r="YC15" s="1864"/>
      <c r="YD15" s="1864"/>
      <c r="YE15" s="1864"/>
      <c r="YF15" s="1864"/>
      <c r="YG15" s="1864"/>
      <c r="YH15" s="1864"/>
      <c r="YI15" s="1864"/>
      <c r="YJ15" s="1864"/>
      <c r="YK15" s="1864"/>
      <c r="YL15" s="1864"/>
      <c r="YM15" s="1864"/>
      <c r="YN15" s="1864"/>
      <c r="YO15" s="1864"/>
      <c r="YP15" s="1864"/>
      <c r="YQ15" s="1864"/>
      <c r="YR15" s="1864"/>
      <c r="YS15" s="1864"/>
      <c r="YT15" s="1864"/>
      <c r="YU15" s="1864"/>
      <c r="YV15" s="1864"/>
      <c r="YW15" s="1864"/>
      <c r="YX15" s="1864"/>
      <c r="YY15" s="1864"/>
      <c r="YZ15" s="1864"/>
      <c r="ZA15" s="1864"/>
      <c r="ZB15" s="1864"/>
      <c r="ZC15" s="1864"/>
      <c r="ZD15" s="1864"/>
      <c r="ZE15" s="1864"/>
      <c r="ZF15" s="1864"/>
      <c r="ZG15" s="1864"/>
      <c r="ZH15" s="1864"/>
      <c r="ZI15" s="1864"/>
      <c r="ZJ15" s="1864"/>
      <c r="ZK15" s="1864"/>
      <c r="ZL15" s="1864"/>
      <c r="ZM15" s="1864"/>
      <c r="ZN15" s="1864"/>
      <c r="ZO15" s="1864"/>
      <c r="ZP15" s="1864"/>
      <c r="ZQ15" s="1864"/>
      <c r="ZR15" s="1864"/>
      <c r="ZS15" s="1864"/>
      <c r="ZT15" s="1864"/>
      <c r="ZU15" s="1864"/>
      <c r="ZV15" s="1864"/>
      <c r="ZW15" s="1864"/>
      <c r="ZX15" s="1864"/>
      <c r="ZY15" s="1864"/>
      <c r="ZZ15" s="1864"/>
      <c r="AAA15" s="1864"/>
      <c r="AAB15" s="1864"/>
      <c r="AAC15" s="1864"/>
      <c r="AAD15" s="1864"/>
      <c r="AAE15" s="1864"/>
      <c r="AAF15" s="1864"/>
      <c r="AAG15" s="1864"/>
      <c r="AAH15" s="1864"/>
      <c r="AAI15" s="1864"/>
      <c r="AAJ15" s="1864"/>
      <c r="AAK15" s="1864"/>
      <c r="AAL15" s="1864"/>
      <c r="AAM15" s="1864"/>
      <c r="AAN15" s="1864"/>
      <c r="AAO15" s="1864"/>
      <c r="AAP15" s="1864"/>
      <c r="AAQ15" s="1864"/>
      <c r="AAR15" s="1864"/>
      <c r="AAS15" s="1864"/>
      <c r="AAT15" s="1864"/>
      <c r="AAU15" s="1864"/>
      <c r="AAV15" s="1864"/>
      <c r="AAW15" s="1864"/>
      <c r="AAX15" s="1864"/>
      <c r="AAY15" s="1864"/>
      <c r="AAZ15" s="1864"/>
      <c r="ABA15" s="1864"/>
      <c r="ABB15" s="1864"/>
      <c r="ABC15" s="1864"/>
      <c r="ABD15" s="1864"/>
      <c r="ABE15" s="1864"/>
      <c r="ABF15" s="1864"/>
      <c r="ABG15" s="1864"/>
      <c r="ABH15" s="1864"/>
      <c r="ABI15" s="1864"/>
      <c r="ABJ15" s="1864"/>
      <c r="ABK15" s="1864"/>
      <c r="ABL15" s="1864"/>
      <c r="ABM15" s="1864"/>
      <c r="ABN15" s="1864"/>
      <c r="ABO15" s="1864"/>
      <c r="ABP15" s="1864"/>
      <c r="ABQ15" s="1864"/>
      <c r="ABR15" s="1864"/>
      <c r="ABS15" s="1864"/>
      <c r="ABT15" s="1864"/>
      <c r="ABU15" s="1864"/>
      <c r="ABV15" s="1864"/>
      <c r="ABW15" s="1864"/>
      <c r="ABX15" s="1864"/>
      <c r="ABY15" s="1864"/>
      <c r="ABZ15" s="1864"/>
      <c r="ACA15" s="1864"/>
      <c r="ACB15" s="1864"/>
      <c r="ACC15" s="1864"/>
      <c r="ACD15" s="1864"/>
      <c r="ACE15" s="1864"/>
      <c r="ACF15" s="1864"/>
      <c r="ACG15" s="1864"/>
      <c r="ACH15" s="1864"/>
      <c r="ACI15" s="1864"/>
      <c r="ACJ15" s="1864"/>
      <c r="ACK15" s="1864"/>
      <c r="ACL15" s="1864"/>
      <c r="ACM15" s="1864"/>
      <c r="ACN15" s="1864"/>
      <c r="ACO15" s="1864"/>
      <c r="ACP15" s="1864"/>
      <c r="ACQ15" s="1864"/>
      <c r="ACR15" s="1864"/>
      <c r="ACS15" s="1864"/>
      <c r="ACT15" s="1864"/>
      <c r="ACU15" s="1864"/>
      <c r="ACV15" s="1864"/>
      <c r="ACW15" s="1864"/>
      <c r="ACX15" s="1864"/>
      <c r="ACY15" s="1864"/>
      <c r="ACZ15" s="1864"/>
      <c r="ADA15" s="1864"/>
      <c r="ADB15" s="1864"/>
      <c r="ADC15" s="1864"/>
      <c r="ADD15" s="1864"/>
      <c r="ADE15" s="1864"/>
      <c r="ADF15" s="1864"/>
      <c r="ADG15" s="1864"/>
      <c r="ADH15" s="1864"/>
      <c r="ADI15" s="1864"/>
      <c r="ADJ15" s="1864"/>
      <c r="ADK15" s="1864"/>
      <c r="ADL15" s="1864"/>
      <c r="ADM15" s="1864"/>
      <c r="ADN15" s="1864"/>
      <c r="ADO15" s="1864"/>
      <c r="ADP15" s="1864"/>
      <c r="ADQ15" s="1864"/>
      <c r="ADR15" s="1864"/>
      <c r="ADS15" s="1864"/>
      <c r="ADT15" s="1864"/>
      <c r="ADU15" s="1864"/>
      <c r="ADV15" s="1864"/>
      <c r="ADW15" s="1864"/>
      <c r="ADX15" s="1864"/>
      <c r="ADY15" s="1864"/>
      <c r="ADZ15" s="1864"/>
      <c r="AEA15" s="1864"/>
      <c r="AEB15" s="1864"/>
      <c r="AEC15" s="1864"/>
      <c r="AED15" s="1864"/>
      <c r="AEE15" s="1864"/>
      <c r="AEF15" s="1864"/>
      <c r="AEG15" s="1864"/>
      <c r="AEH15" s="1864"/>
      <c r="AEI15" s="1864"/>
      <c r="AEJ15" s="1864"/>
      <c r="AEK15" s="1864"/>
      <c r="AEL15" s="1864"/>
      <c r="AEM15" s="1864"/>
      <c r="AEN15" s="1864"/>
      <c r="AEO15" s="1864"/>
      <c r="AEP15" s="1864"/>
      <c r="AEQ15" s="1864"/>
      <c r="AER15" s="1864"/>
      <c r="AES15" s="1864"/>
      <c r="AET15" s="1864"/>
      <c r="AEU15" s="1864"/>
      <c r="AEV15" s="1864"/>
      <c r="AEW15" s="1864"/>
      <c r="AEX15" s="1864"/>
      <c r="AEY15" s="1864"/>
      <c r="AEZ15" s="1864"/>
      <c r="AFA15" s="1864"/>
      <c r="AFB15" s="1864"/>
      <c r="AFC15" s="1864"/>
      <c r="AFD15" s="1864"/>
      <c r="AFE15" s="1864"/>
      <c r="AFF15" s="1864"/>
      <c r="AFG15" s="1864"/>
      <c r="AFH15" s="1864"/>
      <c r="AFI15" s="1864"/>
      <c r="AFJ15" s="1864"/>
      <c r="AFK15" s="1864"/>
      <c r="AFL15" s="1864"/>
      <c r="AFM15" s="1864"/>
      <c r="AFN15" s="1864"/>
      <c r="AFO15" s="1864"/>
      <c r="AFP15" s="1864"/>
      <c r="AFQ15" s="1864"/>
      <c r="AFR15" s="1864"/>
      <c r="AFS15" s="1864"/>
      <c r="AFT15" s="1864"/>
      <c r="AFU15" s="1864"/>
      <c r="AFV15" s="1864"/>
      <c r="AFW15" s="1864"/>
      <c r="AFX15" s="1864"/>
      <c r="AFY15" s="1864"/>
      <c r="AFZ15" s="1864"/>
      <c r="AGA15" s="1864"/>
      <c r="AGB15" s="1864"/>
      <c r="AGC15" s="1864"/>
      <c r="AGD15" s="1864"/>
      <c r="AGE15" s="1864"/>
      <c r="AGF15" s="1864"/>
      <c r="AGG15" s="1864"/>
      <c r="AGH15" s="1864"/>
      <c r="AGI15" s="1864"/>
      <c r="AGJ15" s="1864"/>
      <c r="AGK15" s="1864"/>
      <c r="AGL15" s="1864"/>
      <c r="AGM15" s="1864"/>
      <c r="AGN15" s="1864"/>
      <c r="AGO15" s="1864"/>
      <c r="AGP15" s="1864"/>
      <c r="AGQ15" s="1864"/>
      <c r="AGR15" s="1864"/>
      <c r="AGS15" s="1864"/>
      <c r="AGT15" s="1864"/>
      <c r="AGU15" s="1864"/>
      <c r="AGV15" s="1864"/>
      <c r="AGW15" s="1864"/>
      <c r="AGX15" s="1864"/>
      <c r="AGY15" s="1864"/>
      <c r="AGZ15" s="1864"/>
      <c r="AHA15" s="1864"/>
      <c r="AHB15" s="1864"/>
      <c r="AHC15" s="1864"/>
      <c r="AHD15" s="1864"/>
      <c r="AHE15" s="1864"/>
      <c r="AHF15" s="1864"/>
      <c r="AHG15" s="1864"/>
      <c r="AHH15" s="1864"/>
      <c r="AHI15" s="1864"/>
      <c r="AHJ15" s="1864"/>
      <c r="AHK15" s="1864"/>
      <c r="AHL15" s="1864"/>
      <c r="AHM15" s="1864"/>
      <c r="AHN15" s="1864"/>
      <c r="AHO15" s="1864"/>
      <c r="AHP15" s="1864"/>
      <c r="AHQ15" s="1864"/>
      <c r="AHR15" s="1864"/>
      <c r="AHS15" s="1864"/>
      <c r="AHT15" s="1864"/>
      <c r="AHU15" s="1864"/>
      <c r="AHV15" s="1864"/>
      <c r="AHW15" s="1864"/>
      <c r="AHX15" s="1864"/>
      <c r="AHY15" s="1864"/>
      <c r="AHZ15" s="1864"/>
      <c r="AIA15" s="1864"/>
      <c r="AIB15" s="1864"/>
      <c r="AIC15" s="1864"/>
      <c r="AID15" s="1864"/>
      <c r="AIE15" s="1864"/>
      <c r="AIF15" s="1864"/>
      <c r="AIG15" s="1864"/>
      <c r="AIH15" s="1864"/>
      <c r="AII15" s="1864"/>
      <c r="AIJ15" s="1864"/>
      <c r="AIK15" s="1864"/>
      <c r="AIL15" s="1864"/>
      <c r="AIM15" s="1864"/>
      <c r="AIN15" s="1864"/>
      <c r="AIO15" s="1864"/>
      <c r="AIP15" s="1864"/>
      <c r="AIQ15" s="1864"/>
      <c r="AIR15" s="1864"/>
      <c r="AIS15" s="1864"/>
      <c r="AIT15" s="1864"/>
      <c r="AIU15" s="1864"/>
      <c r="AIV15" s="1864"/>
      <c r="AIW15" s="1864"/>
      <c r="AIX15" s="1864"/>
      <c r="AIY15" s="1864"/>
      <c r="AIZ15" s="1864"/>
      <c r="AJA15" s="1864"/>
      <c r="AJB15" s="1864"/>
      <c r="AJC15" s="1864"/>
      <c r="AJD15" s="1864"/>
      <c r="AJE15" s="1864"/>
      <c r="AJF15" s="1864"/>
      <c r="AJG15" s="1864"/>
      <c r="AJH15" s="1864"/>
      <c r="AJI15" s="1864"/>
      <c r="AJJ15" s="1864"/>
      <c r="AJK15" s="1864"/>
      <c r="AJL15" s="1864"/>
      <c r="AJM15" s="1864"/>
      <c r="AJN15" s="1864"/>
      <c r="AJO15" s="1864"/>
      <c r="AJP15" s="1864"/>
      <c r="AJQ15" s="1864"/>
      <c r="AJR15" s="1864"/>
      <c r="AJS15" s="1864"/>
      <c r="AJT15" s="1864"/>
      <c r="AJU15" s="1864"/>
      <c r="AJV15" s="1864"/>
      <c r="AJW15" s="1864"/>
      <c r="AJX15" s="1864"/>
      <c r="AJY15" s="1864"/>
      <c r="AJZ15" s="1864"/>
      <c r="AKA15" s="1864"/>
      <c r="AKB15" s="1864"/>
      <c r="AKC15" s="1864"/>
      <c r="AKD15" s="1864"/>
      <c r="AKE15" s="1864"/>
      <c r="AKF15" s="1864"/>
      <c r="AKG15" s="1864"/>
      <c r="AKH15" s="1864"/>
      <c r="AKI15" s="1864"/>
      <c r="AKJ15" s="1864"/>
      <c r="AKK15" s="1864"/>
      <c r="AKL15" s="1864"/>
      <c r="AKM15" s="1864"/>
      <c r="AKN15" s="1864"/>
      <c r="AKO15" s="1864"/>
      <c r="AKP15" s="1864"/>
      <c r="AKQ15" s="1864"/>
      <c r="AKR15" s="1864"/>
      <c r="AKS15" s="1864"/>
      <c r="AKT15" s="1864"/>
      <c r="AKU15" s="1864"/>
      <c r="AKV15" s="1864"/>
      <c r="AKW15" s="1864"/>
      <c r="AKX15" s="1864"/>
      <c r="AKY15" s="1864"/>
      <c r="AKZ15" s="1864"/>
      <c r="ALA15" s="1864"/>
      <c r="ALB15" s="1864"/>
      <c r="ALC15" s="1864"/>
      <c r="ALD15" s="1864"/>
      <c r="ALE15" s="1864"/>
      <c r="ALF15" s="1864"/>
      <c r="ALG15" s="1864"/>
      <c r="ALH15" s="1864"/>
      <c r="ALI15" s="1864"/>
      <c r="ALJ15" s="1864"/>
      <c r="ALK15" s="1864"/>
      <c r="ALL15" s="1864"/>
      <c r="ALM15" s="1864"/>
      <c r="ALN15" s="1864"/>
      <c r="ALO15" s="1864"/>
      <c r="ALP15" s="1864"/>
      <c r="ALQ15" s="1864"/>
      <c r="ALR15" s="1864"/>
      <c r="ALS15" s="1864"/>
      <c r="ALT15" s="1864"/>
      <c r="ALU15" s="1864"/>
      <c r="ALV15" s="1864"/>
      <c r="ALW15" s="1864"/>
      <c r="ALX15" s="1864"/>
      <c r="ALY15" s="1864"/>
      <c r="ALZ15" s="1864"/>
      <c r="AMA15" s="1864"/>
      <c r="AMB15" s="1864"/>
      <c r="AMC15" s="1864"/>
      <c r="AMD15" s="1864"/>
      <c r="AME15" s="1864"/>
      <c r="AMF15" s="1864"/>
      <c r="AMG15" s="1864"/>
      <c r="AMH15" s="1864"/>
      <c r="AMI15" s="1864"/>
      <c r="AMJ15" s="1864"/>
      <c r="AMK15" s="1864"/>
      <c r="AML15" s="1864"/>
      <c r="AMM15" s="1864"/>
      <c r="AMN15" s="1864"/>
      <c r="AMO15" s="1864"/>
      <c r="AMP15" s="1864"/>
      <c r="AMQ15" s="1864"/>
      <c r="AMR15" s="1864"/>
      <c r="AMS15" s="1864"/>
      <c r="AMT15" s="1864"/>
      <c r="AMU15" s="1864"/>
      <c r="AMV15" s="1864"/>
      <c r="AMW15" s="1864"/>
      <c r="AMX15" s="1864"/>
      <c r="AMY15" s="1864"/>
      <c r="AMZ15" s="1864"/>
      <c r="ANA15" s="1864"/>
      <c r="ANB15" s="1864"/>
      <c r="ANC15" s="1864"/>
      <c r="AND15" s="1864"/>
      <c r="ANE15" s="1864"/>
      <c r="ANF15" s="1864"/>
      <c r="ANG15" s="1864"/>
      <c r="ANH15" s="1864"/>
      <c r="ANI15" s="1864"/>
      <c r="ANJ15" s="1864"/>
      <c r="ANK15" s="1864"/>
      <c r="ANL15" s="1864"/>
      <c r="ANM15" s="1864"/>
      <c r="ANN15" s="1864"/>
      <c r="ANO15" s="1864"/>
      <c r="ANP15" s="1864"/>
      <c r="ANQ15" s="1864"/>
      <c r="ANR15" s="1864"/>
      <c r="ANS15" s="1864"/>
      <c r="ANT15" s="1864"/>
      <c r="ANU15" s="1864"/>
      <c r="ANV15" s="1864"/>
      <c r="ANW15" s="1864"/>
      <c r="ANX15" s="1864"/>
      <c r="ANY15" s="1864"/>
      <c r="ANZ15" s="1864"/>
      <c r="AOA15" s="1864"/>
      <c r="AOB15" s="1864"/>
      <c r="AOC15" s="1864"/>
      <c r="AOD15" s="1864"/>
      <c r="AOE15" s="1864"/>
      <c r="AOF15" s="1864"/>
      <c r="AOG15" s="1864"/>
      <c r="AOH15" s="1864"/>
      <c r="AOI15" s="1864"/>
      <c r="AOJ15" s="1864"/>
      <c r="AOK15" s="1864"/>
      <c r="AOL15" s="1864"/>
      <c r="AOM15" s="1864"/>
      <c r="AON15" s="1864"/>
      <c r="AOO15" s="1864"/>
      <c r="AOP15" s="1864"/>
      <c r="AOQ15" s="1864"/>
      <c r="AOR15" s="1864"/>
      <c r="AOS15" s="1864"/>
      <c r="AOT15" s="1864"/>
      <c r="AOU15" s="1864"/>
      <c r="AOV15" s="1864"/>
      <c r="AOW15" s="1864"/>
      <c r="AOX15" s="1864"/>
      <c r="AOY15" s="1864"/>
      <c r="AOZ15" s="1864"/>
      <c r="APA15" s="1864"/>
      <c r="APB15" s="1864"/>
      <c r="APC15" s="1864"/>
      <c r="APD15" s="1864"/>
      <c r="APE15" s="1864"/>
      <c r="APF15" s="1864"/>
      <c r="APG15" s="1864"/>
      <c r="APH15" s="1864"/>
      <c r="API15" s="1864"/>
      <c r="APJ15" s="1864"/>
      <c r="APK15" s="1864"/>
      <c r="APL15" s="1864"/>
      <c r="APM15" s="1864"/>
      <c r="APN15" s="1864"/>
      <c r="APO15" s="1864"/>
      <c r="APP15" s="1864"/>
      <c r="APQ15" s="1864"/>
      <c r="APR15" s="1864"/>
      <c r="APS15" s="1864"/>
      <c r="APT15" s="1864"/>
      <c r="APU15" s="1864"/>
      <c r="APV15" s="1864"/>
      <c r="APW15" s="1864"/>
      <c r="APX15" s="1864"/>
      <c r="APY15" s="1864"/>
      <c r="APZ15" s="1864"/>
      <c r="AQA15" s="1864"/>
      <c r="AQB15" s="1864"/>
      <c r="AQC15" s="1864"/>
      <c r="AQD15" s="1864"/>
      <c r="AQE15" s="1864"/>
      <c r="AQF15" s="1864"/>
      <c r="AQG15" s="1864"/>
      <c r="AQH15" s="1864"/>
      <c r="AQI15" s="1864"/>
      <c r="AQJ15" s="1864"/>
      <c r="AQK15" s="1864"/>
      <c r="AQL15" s="1864"/>
      <c r="AQM15" s="1864"/>
      <c r="AQN15" s="1864"/>
      <c r="AQO15" s="1864"/>
      <c r="AQP15" s="1864"/>
      <c r="AQQ15" s="1864"/>
      <c r="AQR15" s="1864"/>
      <c r="AQS15" s="1864"/>
      <c r="AQT15" s="1864"/>
      <c r="AQU15" s="1864"/>
      <c r="AQV15" s="1864"/>
      <c r="AQW15" s="1864"/>
      <c r="AQX15" s="1864"/>
      <c r="AQY15" s="1864"/>
      <c r="AQZ15" s="1864"/>
      <c r="ARA15" s="1864"/>
      <c r="ARB15" s="1864"/>
      <c r="ARC15" s="1864"/>
      <c r="ARD15" s="1864"/>
      <c r="ARE15" s="1864"/>
      <c r="ARF15" s="1864"/>
      <c r="ARG15" s="1864"/>
      <c r="ARH15" s="1864"/>
      <c r="ARI15" s="1864"/>
      <c r="ARJ15" s="1864"/>
      <c r="ARK15" s="1864"/>
      <c r="ARL15" s="1864"/>
      <c r="ARM15" s="1864"/>
      <c r="ARN15" s="1864"/>
      <c r="ARO15" s="1864"/>
      <c r="ARP15" s="1864"/>
      <c r="ARQ15" s="1864"/>
      <c r="ARR15" s="1864"/>
      <c r="ARS15" s="1864"/>
      <c r="ART15" s="1864"/>
      <c r="ARU15" s="1864"/>
      <c r="ARV15" s="1864"/>
      <c r="ARW15" s="1864"/>
      <c r="ARX15" s="1864"/>
      <c r="ARY15" s="1864"/>
      <c r="ARZ15" s="1864"/>
      <c r="ASA15" s="1864"/>
      <c r="ASB15" s="1864"/>
      <c r="ASC15" s="1864"/>
      <c r="ASD15" s="1864"/>
      <c r="ASE15" s="1864"/>
      <c r="ASF15" s="1864"/>
      <c r="ASG15" s="1864"/>
      <c r="ASH15" s="1864"/>
      <c r="ASI15" s="1864"/>
      <c r="ASJ15" s="1864"/>
      <c r="ASK15" s="1864"/>
      <c r="ASL15" s="1864"/>
      <c r="ASM15" s="1864"/>
      <c r="ASN15" s="1864"/>
      <c r="ASO15" s="1864"/>
      <c r="ASP15" s="1864"/>
      <c r="ASQ15" s="1864"/>
      <c r="ASR15" s="1864"/>
      <c r="ASS15" s="1864"/>
      <c r="AST15" s="1864"/>
      <c r="ASU15" s="1864"/>
      <c r="ASV15" s="1864"/>
      <c r="ASW15" s="1864"/>
      <c r="ASX15" s="1864"/>
      <c r="ASY15" s="1864"/>
      <c r="ASZ15" s="1864"/>
      <c r="ATA15" s="1864"/>
      <c r="ATB15" s="1864"/>
      <c r="ATC15" s="1864"/>
      <c r="ATD15" s="1864"/>
      <c r="ATE15" s="1864"/>
      <c r="ATF15" s="1864"/>
      <c r="ATG15" s="1864"/>
      <c r="ATH15" s="1864"/>
      <c r="ATI15" s="1864"/>
      <c r="ATJ15" s="1864"/>
      <c r="ATK15" s="1864"/>
      <c r="ATL15" s="1864"/>
      <c r="ATM15" s="1864"/>
      <c r="ATN15" s="1864"/>
      <c r="ATO15" s="1864"/>
      <c r="ATP15" s="1864"/>
      <c r="ATQ15" s="1864"/>
      <c r="ATR15" s="1864"/>
      <c r="ATS15" s="1864"/>
      <c r="ATT15" s="1864"/>
      <c r="ATU15" s="1864"/>
      <c r="ATV15" s="1864"/>
      <c r="ATW15" s="1864"/>
      <c r="ATX15" s="1864"/>
      <c r="ATY15" s="1864"/>
      <c r="ATZ15" s="1864"/>
      <c r="AUA15" s="1864"/>
      <c r="AUB15" s="1864"/>
      <c r="AUC15" s="1864"/>
      <c r="AUD15" s="1864"/>
      <c r="AUE15" s="1864"/>
      <c r="AUF15" s="1864"/>
      <c r="AUG15" s="1864"/>
      <c r="AUH15" s="1864"/>
      <c r="AUI15" s="1864"/>
      <c r="AUJ15" s="1864"/>
      <c r="AUK15" s="1864"/>
      <c r="AUL15" s="1864"/>
      <c r="AUM15" s="1864"/>
      <c r="AUN15" s="1864"/>
      <c r="AUO15" s="1864"/>
      <c r="AUP15" s="1864"/>
      <c r="AUQ15" s="1864"/>
      <c r="AUR15" s="1864"/>
      <c r="AUS15" s="1864"/>
      <c r="AUT15" s="1864"/>
      <c r="AUU15" s="1864"/>
      <c r="AUV15" s="1864"/>
      <c r="AUW15" s="1864"/>
      <c r="AUX15" s="1864"/>
      <c r="AUY15" s="1864"/>
      <c r="AUZ15" s="1864"/>
      <c r="AVA15" s="1864"/>
      <c r="AVB15" s="1864"/>
      <c r="AVC15" s="1864"/>
      <c r="AVD15" s="1864"/>
      <c r="AVE15" s="1864"/>
      <c r="AVF15" s="1864"/>
      <c r="AVG15" s="1864"/>
      <c r="AVH15" s="1864"/>
      <c r="AVI15" s="1864"/>
      <c r="AVJ15" s="1864"/>
      <c r="AVK15" s="1864"/>
      <c r="AVL15" s="1864"/>
      <c r="AVM15" s="1864"/>
      <c r="AVN15" s="1864"/>
      <c r="AVO15" s="1864"/>
      <c r="AVP15" s="1864"/>
      <c r="AVQ15" s="1864"/>
      <c r="AVR15" s="1864"/>
      <c r="AVS15" s="1864"/>
      <c r="AVT15" s="1864"/>
      <c r="AVU15" s="1864"/>
      <c r="AVV15" s="1864"/>
      <c r="AVW15" s="1864"/>
      <c r="AVX15" s="1864"/>
      <c r="AVY15" s="1864"/>
      <c r="AVZ15" s="1864"/>
      <c r="AWA15" s="1864"/>
      <c r="AWB15" s="1864"/>
      <c r="AWC15" s="1864"/>
      <c r="AWD15" s="1864"/>
      <c r="AWE15" s="1864"/>
      <c r="AWF15" s="1864"/>
      <c r="AWG15" s="1864"/>
      <c r="AWH15" s="1864"/>
      <c r="AWI15" s="1864"/>
      <c r="AWJ15" s="1864"/>
      <c r="AWK15" s="1864"/>
      <c r="AWL15" s="1864"/>
      <c r="AWM15" s="1864"/>
      <c r="AWN15" s="1864"/>
      <c r="AWO15" s="1864"/>
      <c r="AWP15" s="1864"/>
      <c r="AWQ15" s="1864"/>
    </row>
    <row r="16" spans="1:1291" s="1868" customFormat="1" ht="15" customHeight="1" thickBot="1" x14ac:dyDescent="0.25">
      <c r="A16" s="1965"/>
      <c r="B16" s="1991"/>
      <c r="C16" s="1815" t="s">
        <v>752</v>
      </c>
      <c r="D16" s="1881"/>
      <c r="E16" s="1984"/>
      <c r="F16" s="1837">
        <v>0</v>
      </c>
      <c r="G16" s="1803">
        <v>0</v>
      </c>
      <c r="H16" s="1803">
        <v>0</v>
      </c>
      <c r="I16" s="1803">
        <v>0</v>
      </c>
      <c r="J16" s="1803">
        <v>0</v>
      </c>
      <c r="K16" s="1803">
        <v>0</v>
      </c>
      <c r="L16" s="1803">
        <v>0</v>
      </c>
      <c r="M16" s="1803">
        <v>0</v>
      </c>
      <c r="N16" s="1803">
        <v>0</v>
      </c>
      <c r="O16" s="1803">
        <v>0</v>
      </c>
      <c r="P16" s="1803">
        <v>0</v>
      </c>
      <c r="Q16" s="1803">
        <v>0</v>
      </c>
      <c r="R16" s="1803">
        <v>0</v>
      </c>
      <c r="S16" s="1803">
        <v>0</v>
      </c>
      <c r="T16" s="1803">
        <v>0</v>
      </c>
      <c r="U16" s="1803">
        <v>0</v>
      </c>
      <c r="V16" s="1803">
        <v>0</v>
      </c>
      <c r="W16" s="1803">
        <v>0</v>
      </c>
      <c r="X16" s="1803">
        <v>0</v>
      </c>
      <c r="Y16" s="1803">
        <v>0</v>
      </c>
      <c r="Z16" s="1803">
        <v>0</v>
      </c>
      <c r="AA16" s="1803">
        <v>0</v>
      </c>
      <c r="AB16" s="1803">
        <v>0</v>
      </c>
      <c r="AC16" s="1803">
        <v>0</v>
      </c>
      <c r="AD16" s="1803">
        <v>0</v>
      </c>
      <c r="AE16" s="1803">
        <v>0</v>
      </c>
      <c r="AF16" s="1803">
        <v>0</v>
      </c>
      <c r="AG16" s="1803">
        <v>0</v>
      </c>
      <c r="AH16" s="1803">
        <v>0</v>
      </c>
      <c r="AI16" s="1803">
        <v>0</v>
      </c>
      <c r="AJ16" s="1803">
        <v>0</v>
      </c>
      <c r="AK16" s="1803">
        <v>0</v>
      </c>
      <c r="AL16" s="1803">
        <v>0</v>
      </c>
      <c r="AM16" s="1803">
        <v>0</v>
      </c>
      <c r="AN16" s="1803">
        <v>0</v>
      </c>
      <c r="AO16" s="1803">
        <v>0</v>
      </c>
      <c r="AP16" s="1803">
        <v>0</v>
      </c>
      <c r="AQ16" s="1803">
        <v>0</v>
      </c>
      <c r="AR16" s="1803">
        <v>0</v>
      </c>
      <c r="AS16" s="1803">
        <v>0</v>
      </c>
      <c r="AT16" s="1803">
        <v>0</v>
      </c>
      <c r="AU16" s="1803">
        <v>0</v>
      </c>
      <c r="AV16" s="1803">
        <v>0</v>
      </c>
      <c r="AW16" s="1803">
        <v>0</v>
      </c>
      <c r="AX16" s="1803">
        <v>0</v>
      </c>
      <c r="AY16" s="1803">
        <v>0</v>
      </c>
      <c r="AZ16" s="1803">
        <v>0</v>
      </c>
      <c r="BA16" s="1803">
        <v>0</v>
      </c>
      <c r="BB16" s="1803">
        <v>0</v>
      </c>
      <c r="BC16" s="1803">
        <v>0</v>
      </c>
      <c r="BD16" s="1803">
        <v>0</v>
      </c>
      <c r="BE16" s="1803">
        <v>0</v>
      </c>
      <c r="BF16" s="1803">
        <v>0</v>
      </c>
      <c r="BG16" s="1803">
        <v>0</v>
      </c>
      <c r="BH16" s="1803">
        <v>0</v>
      </c>
      <c r="BI16" s="1803">
        <v>0</v>
      </c>
      <c r="BJ16" s="1803">
        <v>0</v>
      </c>
      <c r="BK16" s="1803">
        <v>0</v>
      </c>
      <c r="BL16" s="1803">
        <v>0</v>
      </c>
      <c r="BM16" s="1803">
        <v>0</v>
      </c>
      <c r="BN16" s="1803">
        <v>0</v>
      </c>
      <c r="BO16" s="1803">
        <v>0</v>
      </c>
      <c r="BP16" s="1803">
        <v>0</v>
      </c>
      <c r="BQ16" s="1803">
        <v>0</v>
      </c>
      <c r="BR16" s="1803">
        <v>0</v>
      </c>
      <c r="BS16" s="1803">
        <v>0</v>
      </c>
      <c r="BT16" s="1803">
        <v>0</v>
      </c>
      <c r="BU16" s="1803">
        <v>0</v>
      </c>
      <c r="BV16" s="1803">
        <v>0</v>
      </c>
      <c r="BW16" s="1803">
        <v>0</v>
      </c>
      <c r="BX16" s="1803">
        <v>0</v>
      </c>
      <c r="BY16" s="1803">
        <v>0</v>
      </c>
      <c r="BZ16" s="1803">
        <v>0</v>
      </c>
      <c r="CA16" s="1803">
        <v>0</v>
      </c>
      <c r="CB16" s="1803">
        <v>0</v>
      </c>
      <c r="CC16" s="1803">
        <v>0</v>
      </c>
      <c r="CD16" s="1803">
        <v>0</v>
      </c>
      <c r="CE16" s="1803">
        <v>0</v>
      </c>
      <c r="CF16" s="1803">
        <v>0</v>
      </c>
      <c r="CG16" s="1803">
        <v>0</v>
      </c>
      <c r="CH16" s="1803">
        <v>0</v>
      </c>
      <c r="CI16" s="1803">
        <v>0</v>
      </c>
      <c r="CJ16" s="1803">
        <v>0</v>
      </c>
      <c r="CK16" s="1803">
        <v>0</v>
      </c>
      <c r="CL16" s="1803">
        <v>0</v>
      </c>
      <c r="CM16" s="1803">
        <v>0</v>
      </c>
      <c r="CN16" s="1803">
        <v>0</v>
      </c>
      <c r="CO16" s="1803">
        <v>0</v>
      </c>
      <c r="CP16" s="1803">
        <v>0</v>
      </c>
      <c r="CQ16" s="1803">
        <v>0</v>
      </c>
      <c r="CR16" s="1803">
        <v>0</v>
      </c>
      <c r="CS16" s="1803">
        <v>0</v>
      </c>
      <c r="CT16" s="1803">
        <v>0</v>
      </c>
      <c r="CU16" s="1803">
        <v>0</v>
      </c>
      <c r="CV16" s="1803">
        <v>0</v>
      </c>
      <c r="CW16" s="1803">
        <v>0</v>
      </c>
      <c r="CX16" s="1803">
        <v>0</v>
      </c>
      <c r="CY16" s="1803">
        <v>0</v>
      </c>
      <c r="CZ16" s="1803">
        <v>0</v>
      </c>
      <c r="DA16" s="1803">
        <v>0</v>
      </c>
      <c r="DB16" s="1803">
        <v>0</v>
      </c>
      <c r="DC16" s="1803">
        <v>0</v>
      </c>
      <c r="DD16" s="1803">
        <v>0</v>
      </c>
      <c r="DE16" s="1803">
        <v>0</v>
      </c>
      <c r="DF16" s="1803">
        <v>0</v>
      </c>
      <c r="DG16" s="1803">
        <v>0</v>
      </c>
      <c r="DH16" s="1803">
        <v>0</v>
      </c>
      <c r="DI16" s="1803">
        <v>0</v>
      </c>
      <c r="DJ16" s="1803">
        <v>0</v>
      </c>
      <c r="DK16" s="1803">
        <v>0</v>
      </c>
      <c r="DL16" s="1803">
        <v>0</v>
      </c>
      <c r="DM16" s="1803">
        <v>0</v>
      </c>
      <c r="DN16" s="1803">
        <v>0</v>
      </c>
      <c r="DO16" s="1803">
        <v>0</v>
      </c>
      <c r="DP16" s="1803">
        <v>0</v>
      </c>
      <c r="DQ16" s="1803">
        <v>0</v>
      </c>
      <c r="DR16" s="1803">
        <v>0</v>
      </c>
      <c r="DS16" s="1803">
        <v>0</v>
      </c>
      <c r="DT16" s="1803">
        <v>0</v>
      </c>
      <c r="DU16" s="1803">
        <v>0</v>
      </c>
      <c r="DV16" s="1803">
        <v>0</v>
      </c>
      <c r="DW16" s="1803">
        <v>0</v>
      </c>
      <c r="DX16" s="1803">
        <v>0</v>
      </c>
      <c r="DY16" s="1803">
        <v>0</v>
      </c>
      <c r="DZ16" s="1803">
        <v>0</v>
      </c>
      <c r="EA16" s="1803">
        <v>0</v>
      </c>
      <c r="EB16" s="1803">
        <v>0</v>
      </c>
      <c r="EC16" s="1803">
        <v>0</v>
      </c>
      <c r="ED16" s="1803">
        <v>0</v>
      </c>
      <c r="EE16" s="1803">
        <v>0</v>
      </c>
      <c r="EF16" s="1803">
        <v>0</v>
      </c>
      <c r="EG16" s="1803">
        <v>0</v>
      </c>
      <c r="EH16" s="1803">
        <v>0</v>
      </c>
      <c r="EI16" s="1803">
        <v>0</v>
      </c>
      <c r="EJ16" s="1803">
        <v>0</v>
      </c>
      <c r="EK16" s="1803">
        <v>0</v>
      </c>
      <c r="EL16" s="1803">
        <v>0</v>
      </c>
      <c r="EM16" s="1803">
        <v>0</v>
      </c>
      <c r="EN16" s="1803">
        <v>0</v>
      </c>
      <c r="EO16" s="1803">
        <v>0</v>
      </c>
      <c r="EP16" s="1803">
        <v>0</v>
      </c>
      <c r="EQ16" s="1803">
        <v>0</v>
      </c>
      <c r="ER16" s="1803">
        <v>0</v>
      </c>
      <c r="ES16" s="1803">
        <v>0</v>
      </c>
      <c r="ET16" s="1803">
        <v>0</v>
      </c>
      <c r="EU16" s="1803">
        <v>0</v>
      </c>
      <c r="EV16" s="1803">
        <v>0</v>
      </c>
      <c r="EW16" s="1803">
        <v>0</v>
      </c>
      <c r="EX16" s="1803">
        <v>0</v>
      </c>
      <c r="EY16" s="1803">
        <v>0</v>
      </c>
      <c r="EZ16" s="1803">
        <v>0</v>
      </c>
      <c r="FA16" s="1803">
        <v>0</v>
      </c>
      <c r="FB16" s="1803">
        <v>0</v>
      </c>
      <c r="FC16" s="1803">
        <v>0</v>
      </c>
      <c r="FD16" s="1803">
        <v>0</v>
      </c>
      <c r="FE16" s="1803">
        <v>0</v>
      </c>
      <c r="FF16" s="1803">
        <v>0</v>
      </c>
      <c r="FG16" s="1803">
        <v>0</v>
      </c>
      <c r="FH16" s="1803">
        <v>0</v>
      </c>
      <c r="FI16" s="1803">
        <v>0</v>
      </c>
      <c r="FJ16" s="1803">
        <v>0</v>
      </c>
      <c r="FK16" s="1803">
        <v>0</v>
      </c>
      <c r="FL16" s="1803">
        <v>0</v>
      </c>
      <c r="FM16" s="1803">
        <v>0</v>
      </c>
      <c r="FN16" s="1803">
        <v>0</v>
      </c>
      <c r="FO16" s="1803">
        <v>0</v>
      </c>
      <c r="FP16" s="1803">
        <v>0</v>
      </c>
      <c r="FQ16" s="1803">
        <v>0</v>
      </c>
      <c r="FR16" s="1803">
        <v>0</v>
      </c>
      <c r="FS16" s="1803">
        <v>0</v>
      </c>
      <c r="FT16" s="1803">
        <v>0</v>
      </c>
      <c r="FU16" s="1803">
        <v>0</v>
      </c>
      <c r="FV16" s="1803">
        <v>0</v>
      </c>
      <c r="FW16" s="1803">
        <v>0</v>
      </c>
      <c r="FX16" s="1803">
        <v>0</v>
      </c>
      <c r="FY16" s="1803">
        <v>0</v>
      </c>
      <c r="FZ16" s="1803">
        <v>0</v>
      </c>
      <c r="GA16" s="1803">
        <v>0</v>
      </c>
      <c r="GB16" s="1803">
        <v>0</v>
      </c>
      <c r="GC16" s="1803">
        <v>0</v>
      </c>
      <c r="GD16" s="1803">
        <v>0</v>
      </c>
      <c r="GE16" s="1803">
        <v>0</v>
      </c>
      <c r="GF16" s="1803">
        <v>0</v>
      </c>
      <c r="GG16" s="1803">
        <v>0</v>
      </c>
      <c r="GH16" s="1803">
        <v>0</v>
      </c>
      <c r="GI16" s="1803">
        <v>0</v>
      </c>
      <c r="GJ16" s="1803">
        <v>0</v>
      </c>
      <c r="GK16" s="1803">
        <v>0</v>
      </c>
      <c r="GL16" s="1803">
        <v>0</v>
      </c>
      <c r="GM16" s="1803">
        <v>0</v>
      </c>
      <c r="GN16" s="1803">
        <v>0</v>
      </c>
      <c r="GO16" s="1803">
        <v>0</v>
      </c>
      <c r="GP16" s="1803">
        <v>0</v>
      </c>
      <c r="GQ16" s="1803">
        <v>0</v>
      </c>
      <c r="GR16" s="1803">
        <v>0</v>
      </c>
      <c r="GS16" s="1803">
        <v>0</v>
      </c>
      <c r="GT16" s="1803">
        <v>0</v>
      </c>
      <c r="GU16" s="1803">
        <v>0</v>
      </c>
      <c r="GV16" s="1803">
        <v>0</v>
      </c>
      <c r="GW16" s="1803">
        <v>0</v>
      </c>
      <c r="GX16" s="1803">
        <v>0</v>
      </c>
      <c r="GY16" s="1803">
        <v>0</v>
      </c>
      <c r="GZ16" s="1803">
        <v>0</v>
      </c>
      <c r="HA16" s="1803">
        <v>0</v>
      </c>
      <c r="HB16" s="1803">
        <v>0</v>
      </c>
      <c r="HC16" s="1803">
        <v>0</v>
      </c>
      <c r="HD16" s="1803">
        <v>0</v>
      </c>
      <c r="HE16" s="1803">
        <v>0</v>
      </c>
      <c r="HF16" s="1864"/>
      <c r="HG16" s="1864"/>
      <c r="HH16" s="1864"/>
      <c r="HI16" s="1864"/>
      <c r="HJ16" s="1864"/>
      <c r="HK16" s="1864"/>
      <c r="HL16" s="1864"/>
      <c r="HM16" s="1864"/>
      <c r="HN16" s="1864"/>
      <c r="HO16" s="1864"/>
      <c r="HP16" s="1864"/>
      <c r="HQ16" s="1864"/>
      <c r="HR16" s="1864"/>
      <c r="HS16" s="1864"/>
      <c r="HT16" s="1864"/>
      <c r="HU16" s="1864"/>
      <c r="HV16" s="1864"/>
      <c r="HW16" s="1864"/>
      <c r="HX16" s="1864"/>
      <c r="HY16" s="1864"/>
      <c r="HZ16" s="1864"/>
      <c r="IA16" s="1864"/>
      <c r="IB16" s="1864"/>
      <c r="IC16" s="1864"/>
      <c r="ID16" s="1864"/>
      <c r="IE16" s="1864"/>
      <c r="IF16" s="1864"/>
      <c r="IG16" s="1864"/>
      <c r="IH16" s="1864"/>
      <c r="II16" s="1864"/>
      <c r="IJ16" s="1864"/>
      <c r="IK16" s="1864"/>
      <c r="IL16" s="1864"/>
      <c r="IM16" s="1864"/>
      <c r="IN16" s="1864"/>
      <c r="IO16" s="1864"/>
      <c r="IP16" s="1864"/>
      <c r="IQ16" s="1864"/>
      <c r="IR16" s="1864"/>
      <c r="IS16" s="1864"/>
      <c r="IT16" s="1864"/>
      <c r="IU16" s="1864"/>
      <c r="IV16" s="1864"/>
      <c r="IW16" s="1864"/>
      <c r="IX16" s="1864"/>
      <c r="IY16" s="1864"/>
      <c r="IZ16" s="1864"/>
      <c r="JA16" s="1864"/>
      <c r="JB16" s="1864"/>
      <c r="JC16" s="1864"/>
      <c r="JD16" s="1864"/>
      <c r="JE16" s="1864"/>
      <c r="JF16" s="1864"/>
      <c r="JG16" s="1864"/>
      <c r="JH16" s="1864"/>
      <c r="JI16" s="1864"/>
      <c r="JJ16" s="1864"/>
      <c r="JK16" s="1864"/>
      <c r="JL16" s="1864"/>
      <c r="JM16" s="1864"/>
      <c r="JN16" s="1864"/>
      <c r="JO16" s="1864"/>
      <c r="JP16" s="1864"/>
      <c r="JQ16" s="1864"/>
      <c r="JR16" s="1864"/>
      <c r="JS16" s="1864"/>
      <c r="JT16" s="1864"/>
      <c r="JU16" s="1864"/>
      <c r="JV16" s="1864"/>
      <c r="JW16" s="1864"/>
      <c r="JX16" s="1864"/>
      <c r="JY16" s="1864"/>
      <c r="JZ16" s="1864"/>
      <c r="KA16" s="1864"/>
      <c r="KB16" s="1864"/>
      <c r="KC16" s="1864"/>
      <c r="KD16" s="1864"/>
      <c r="KE16" s="1864"/>
      <c r="KF16" s="1864"/>
      <c r="KG16" s="1864"/>
      <c r="KH16" s="1864"/>
      <c r="KI16" s="1864"/>
      <c r="KJ16" s="1864"/>
      <c r="KK16" s="1864"/>
      <c r="KL16" s="1864"/>
      <c r="KM16" s="1864"/>
      <c r="KN16" s="1864"/>
      <c r="KO16" s="1864"/>
      <c r="KP16" s="1864"/>
      <c r="KQ16" s="1864"/>
      <c r="KR16" s="1864"/>
      <c r="KS16" s="1864"/>
      <c r="KT16" s="1864"/>
      <c r="KU16" s="1864"/>
      <c r="KV16" s="1864"/>
      <c r="KW16" s="1864"/>
      <c r="KX16" s="1864"/>
      <c r="KY16" s="1864"/>
      <c r="KZ16" s="1864"/>
      <c r="LA16" s="1864"/>
      <c r="LB16" s="1864"/>
      <c r="LC16" s="1864"/>
      <c r="LD16" s="1864"/>
      <c r="LE16" s="1864"/>
      <c r="LF16" s="1864"/>
      <c r="LG16" s="1864"/>
      <c r="LH16" s="1864"/>
      <c r="LI16" s="1864"/>
      <c r="LJ16" s="1864"/>
      <c r="LK16" s="1864"/>
      <c r="LL16" s="1864"/>
      <c r="LM16" s="1864"/>
      <c r="LN16" s="1864"/>
      <c r="LO16" s="1864"/>
      <c r="LP16" s="1864"/>
      <c r="LQ16" s="1864"/>
      <c r="LR16" s="1864"/>
      <c r="LS16" s="1864"/>
      <c r="LT16" s="1864"/>
      <c r="LU16" s="1864"/>
      <c r="LV16" s="1864"/>
      <c r="LW16" s="1864"/>
      <c r="LX16" s="1864"/>
      <c r="LY16" s="1864"/>
      <c r="LZ16" s="1864"/>
      <c r="MA16" s="1864"/>
      <c r="MB16" s="1864"/>
      <c r="MC16" s="1864"/>
      <c r="MD16" s="1864"/>
      <c r="ME16" s="1864"/>
      <c r="MF16" s="1864"/>
      <c r="MG16" s="1864"/>
      <c r="MH16" s="1864"/>
      <c r="MI16" s="1864"/>
      <c r="MJ16" s="1864"/>
      <c r="MK16" s="1864"/>
      <c r="ML16" s="1864"/>
      <c r="MM16" s="1864"/>
      <c r="MN16" s="1864"/>
      <c r="MO16" s="1864"/>
      <c r="MP16" s="1864"/>
      <c r="MQ16" s="1864"/>
      <c r="MR16" s="1864"/>
      <c r="MS16" s="1864"/>
      <c r="MT16" s="1864"/>
      <c r="MU16" s="1864"/>
      <c r="MV16" s="1864"/>
      <c r="MW16" s="1864"/>
      <c r="MX16" s="1864"/>
      <c r="MY16" s="1864"/>
      <c r="MZ16" s="1864"/>
      <c r="NA16" s="1864"/>
      <c r="NB16" s="1864"/>
      <c r="NC16" s="1864"/>
      <c r="ND16" s="1864"/>
      <c r="NE16" s="1864"/>
      <c r="NF16" s="1864"/>
      <c r="NG16" s="1864"/>
      <c r="NH16" s="1864"/>
      <c r="NI16" s="1864"/>
      <c r="NJ16" s="1864"/>
      <c r="NK16" s="1864"/>
      <c r="NL16" s="1864"/>
      <c r="NM16" s="1864"/>
      <c r="NN16" s="1864"/>
      <c r="NO16" s="1864"/>
      <c r="NP16" s="1864"/>
      <c r="NQ16" s="1864"/>
      <c r="NR16" s="1864"/>
      <c r="NS16" s="1864"/>
      <c r="NT16" s="1864"/>
      <c r="NU16" s="1864"/>
      <c r="NV16" s="1864"/>
      <c r="NW16" s="1864"/>
      <c r="NX16" s="1864"/>
      <c r="NY16" s="1864"/>
      <c r="NZ16" s="1864"/>
      <c r="OA16" s="1864"/>
      <c r="OB16" s="1864"/>
      <c r="OC16" s="1864"/>
      <c r="OD16" s="1864"/>
      <c r="OE16" s="1864"/>
      <c r="OF16" s="1864"/>
      <c r="OG16" s="1864"/>
      <c r="OH16" s="1864"/>
      <c r="OI16" s="1864"/>
      <c r="OJ16" s="1864"/>
      <c r="OK16" s="1864"/>
      <c r="OL16" s="1864"/>
      <c r="OM16" s="1864"/>
      <c r="ON16" s="1864"/>
      <c r="OO16" s="1864"/>
      <c r="OP16" s="1864"/>
      <c r="OQ16" s="1864"/>
      <c r="OR16" s="1864"/>
      <c r="OS16" s="1864"/>
      <c r="OT16" s="1864"/>
      <c r="OU16" s="1864"/>
      <c r="OV16" s="1864"/>
      <c r="OW16" s="1864"/>
      <c r="OX16" s="1864"/>
      <c r="OY16" s="1864"/>
      <c r="OZ16" s="1864"/>
      <c r="PA16" s="1864"/>
      <c r="PB16" s="1864"/>
      <c r="PC16" s="1864"/>
      <c r="PD16" s="1864"/>
      <c r="PE16" s="1864"/>
      <c r="PF16" s="1864"/>
      <c r="PG16" s="1864"/>
      <c r="PH16" s="1864"/>
      <c r="PI16" s="1864"/>
      <c r="PJ16" s="1864"/>
      <c r="PK16" s="1864"/>
      <c r="PL16" s="1864"/>
      <c r="PM16" s="1864"/>
      <c r="PN16" s="1864"/>
      <c r="PO16" s="1864"/>
      <c r="PP16" s="1864"/>
      <c r="PQ16" s="1864"/>
      <c r="PR16" s="1864"/>
      <c r="PS16" s="1864"/>
      <c r="PT16" s="1864"/>
      <c r="PU16" s="1864"/>
      <c r="PV16" s="1864"/>
      <c r="PW16" s="1864"/>
      <c r="PX16" s="1864"/>
      <c r="PY16" s="1864"/>
      <c r="PZ16" s="1864"/>
      <c r="QA16" s="1864"/>
      <c r="QB16" s="1864"/>
      <c r="QC16" s="1864"/>
      <c r="QD16" s="1864"/>
      <c r="QE16" s="1864"/>
      <c r="QF16" s="1864"/>
      <c r="QG16" s="1864"/>
      <c r="QH16" s="1864"/>
      <c r="QI16" s="1864"/>
      <c r="QJ16" s="1864"/>
      <c r="QK16" s="1864"/>
      <c r="QL16" s="1864"/>
      <c r="QM16" s="1864"/>
      <c r="QN16" s="1864"/>
      <c r="QO16" s="1864"/>
      <c r="QP16" s="1864"/>
      <c r="QQ16" s="1864"/>
      <c r="QR16" s="1864"/>
      <c r="QS16" s="1864"/>
      <c r="QT16" s="1864"/>
      <c r="QU16" s="1864"/>
      <c r="QV16" s="1864"/>
      <c r="QW16" s="1864"/>
      <c r="QX16" s="1864"/>
      <c r="QY16" s="1864"/>
      <c r="QZ16" s="1864"/>
      <c r="RA16" s="1864"/>
      <c r="RB16" s="1864"/>
      <c r="RC16" s="1864"/>
      <c r="RD16" s="1864"/>
      <c r="RE16" s="1864"/>
      <c r="RF16" s="1864"/>
      <c r="RG16" s="1864"/>
      <c r="RH16" s="1864"/>
      <c r="RI16" s="1864"/>
      <c r="RJ16" s="1864"/>
      <c r="RK16" s="1864"/>
      <c r="RL16" s="1864"/>
      <c r="RM16" s="1864"/>
      <c r="RN16" s="1864"/>
      <c r="RO16" s="1864"/>
      <c r="RP16" s="1864"/>
      <c r="RQ16" s="1864"/>
      <c r="RR16" s="1864"/>
      <c r="RS16" s="1864"/>
      <c r="RT16" s="1864"/>
      <c r="RU16" s="1864"/>
      <c r="RV16" s="1864"/>
      <c r="RW16" s="1864"/>
      <c r="RX16" s="1864"/>
      <c r="RY16" s="1864"/>
      <c r="RZ16" s="1864"/>
      <c r="SA16" s="1864"/>
      <c r="SB16" s="1864"/>
      <c r="SC16" s="1864"/>
      <c r="SD16" s="1864"/>
      <c r="SE16" s="1864"/>
      <c r="SF16" s="1864"/>
      <c r="SG16" s="1864"/>
      <c r="SH16" s="1864"/>
      <c r="SI16" s="1864"/>
      <c r="SJ16" s="1864"/>
      <c r="SK16" s="1864"/>
      <c r="SL16" s="1864"/>
      <c r="SM16" s="1864"/>
      <c r="SN16" s="1864"/>
      <c r="SO16" s="1864"/>
      <c r="SP16" s="1864"/>
      <c r="SQ16" s="1864"/>
      <c r="SR16" s="1864"/>
      <c r="SS16" s="1864"/>
      <c r="ST16" s="1864"/>
      <c r="SU16" s="1864"/>
      <c r="SV16" s="1864"/>
      <c r="SW16" s="1864"/>
      <c r="SX16" s="1864"/>
      <c r="SY16" s="1864"/>
      <c r="SZ16" s="1864"/>
      <c r="TA16" s="1864"/>
      <c r="TB16" s="1864"/>
      <c r="TC16" s="1864"/>
      <c r="TD16" s="1864"/>
      <c r="TE16" s="1864"/>
      <c r="TF16" s="1864"/>
      <c r="TG16" s="1864"/>
      <c r="TH16" s="1864"/>
      <c r="TI16" s="1864"/>
      <c r="TJ16" s="1864"/>
      <c r="TK16" s="1864"/>
      <c r="TL16" s="1864"/>
      <c r="TM16" s="1864"/>
      <c r="TN16" s="1864"/>
      <c r="TO16" s="1864"/>
      <c r="TP16" s="1864"/>
      <c r="TQ16" s="1864"/>
      <c r="TR16" s="1864"/>
      <c r="TS16" s="1864"/>
      <c r="TT16" s="1864"/>
      <c r="TU16" s="1864"/>
      <c r="TV16" s="1864"/>
      <c r="TW16" s="1864"/>
      <c r="TX16" s="1864"/>
      <c r="TY16" s="1864"/>
      <c r="TZ16" s="1864"/>
      <c r="UA16" s="1864"/>
      <c r="UB16" s="1864"/>
      <c r="UC16" s="1864"/>
      <c r="UD16" s="1864"/>
      <c r="UE16" s="1864"/>
      <c r="UF16" s="1864"/>
      <c r="UG16" s="1864"/>
      <c r="UH16" s="1864"/>
      <c r="UI16" s="1864"/>
      <c r="UJ16" s="1864"/>
      <c r="UK16" s="1864"/>
      <c r="UL16" s="1864"/>
      <c r="UM16" s="1864"/>
      <c r="UN16" s="1864"/>
      <c r="UO16" s="1864"/>
      <c r="UP16" s="1864"/>
      <c r="UQ16" s="1864"/>
      <c r="UR16" s="1864"/>
      <c r="US16" s="1864"/>
      <c r="UT16" s="1864"/>
      <c r="UU16" s="1864"/>
      <c r="UV16" s="1864"/>
      <c r="UW16" s="1864"/>
      <c r="UX16" s="1864"/>
      <c r="UY16" s="1864"/>
      <c r="UZ16" s="1864"/>
      <c r="VA16" s="1864"/>
      <c r="VB16" s="1864"/>
      <c r="VC16" s="1864"/>
      <c r="VD16" s="1864"/>
      <c r="VE16" s="1864"/>
      <c r="VF16" s="1864"/>
      <c r="VG16" s="1864"/>
      <c r="VH16" s="1864"/>
      <c r="VI16" s="1864"/>
      <c r="VJ16" s="1864"/>
      <c r="VK16" s="1864"/>
      <c r="VL16" s="1864"/>
      <c r="VM16" s="1864"/>
      <c r="VN16" s="1864"/>
      <c r="VO16" s="1864"/>
      <c r="VP16" s="1864"/>
      <c r="VQ16" s="1864"/>
      <c r="VR16" s="1864"/>
      <c r="VS16" s="1864"/>
      <c r="VT16" s="1864"/>
      <c r="VU16" s="1864"/>
      <c r="VV16" s="1864"/>
      <c r="VW16" s="1864"/>
      <c r="VX16" s="1864"/>
      <c r="VY16" s="1864"/>
      <c r="VZ16" s="1864"/>
      <c r="WA16" s="1864"/>
      <c r="WB16" s="1864"/>
      <c r="WC16" s="1864"/>
      <c r="WD16" s="1864"/>
      <c r="WE16" s="1864"/>
      <c r="WF16" s="1864"/>
      <c r="WG16" s="1864"/>
      <c r="WH16" s="1864"/>
      <c r="WI16" s="1864"/>
      <c r="WJ16" s="1864"/>
      <c r="WK16" s="1864"/>
      <c r="WL16" s="1864"/>
      <c r="WM16" s="1864"/>
      <c r="WN16" s="1864"/>
      <c r="WO16" s="1864"/>
      <c r="WP16" s="1864"/>
      <c r="WQ16" s="1864"/>
      <c r="WR16" s="1864"/>
      <c r="WS16" s="1864"/>
      <c r="WT16" s="1864"/>
      <c r="WU16" s="1864"/>
      <c r="WV16" s="1864"/>
      <c r="WW16" s="1864"/>
      <c r="WX16" s="1864"/>
      <c r="WY16" s="1864"/>
      <c r="WZ16" s="1864"/>
      <c r="XA16" s="1864"/>
      <c r="XB16" s="1864"/>
      <c r="XC16" s="1864"/>
      <c r="XD16" s="1864"/>
      <c r="XE16" s="1864"/>
      <c r="XF16" s="1864"/>
      <c r="XG16" s="1864"/>
      <c r="XH16" s="1864"/>
      <c r="XI16" s="1864"/>
      <c r="XJ16" s="1864"/>
      <c r="XK16" s="1864"/>
      <c r="XL16" s="1864"/>
      <c r="XM16" s="1864"/>
      <c r="XN16" s="1864"/>
      <c r="XO16" s="1864"/>
      <c r="XP16" s="1864"/>
      <c r="XQ16" s="1864"/>
      <c r="XR16" s="1864"/>
      <c r="XS16" s="1864"/>
      <c r="XT16" s="1864"/>
      <c r="XU16" s="1864"/>
      <c r="XV16" s="1864"/>
      <c r="XW16" s="1864"/>
      <c r="XX16" s="1864"/>
      <c r="XY16" s="1864"/>
      <c r="XZ16" s="1864"/>
      <c r="YA16" s="1864"/>
      <c r="YB16" s="1864"/>
      <c r="YC16" s="1864"/>
      <c r="YD16" s="1864"/>
      <c r="YE16" s="1864"/>
      <c r="YF16" s="1864"/>
      <c r="YG16" s="1864"/>
      <c r="YH16" s="1864"/>
      <c r="YI16" s="1864"/>
      <c r="YJ16" s="1864"/>
      <c r="YK16" s="1864"/>
      <c r="YL16" s="1864"/>
      <c r="YM16" s="1864"/>
      <c r="YN16" s="1864"/>
      <c r="YO16" s="1864"/>
      <c r="YP16" s="1864"/>
      <c r="YQ16" s="1864"/>
      <c r="YR16" s="1864"/>
      <c r="YS16" s="1864"/>
      <c r="YT16" s="1864"/>
      <c r="YU16" s="1864"/>
      <c r="YV16" s="1864"/>
      <c r="YW16" s="1864"/>
      <c r="YX16" s="1864"/>
      <c r="YY16" s="1864"/>
      <c r="YZ16" s="1864"/>
      <c r="ZA16" s="1864"/>
      <c r="ZB16" s="1864"/>
      <c r="ZC16" s="1864"/>
      <c r="ZD16" s="1864"/>
      <c r="ZE16" s="1864"/>
      <c r="ZF16" s="1864"/>
      <c r="ZG16" s="1864"/>
      <c r="ZH16" s="1864"/>
      <c r="ZI16" s="1864"/>
      <c r="ZJ16" s="1864"/>
      <c r="ZK16" s="1864"/>
      <c r="ZL16" s="1864"/>
      <c r="ZM16" s="1864"/>
      <c r="ZN16" s="1864"/>
      <c r="ZO16" s="1864"/>
      <c r="ZP16" s="1864"/>
      <c r="ZQ16" s="1864"/>
      <c r="ZR16" s="1864"/>
      <c r="ZS16" s="1864"/>
      <c r="ZT16" s="1864"/>
      <c r="ZU16" s="1864"/>
      <c r="ZV16" s="1864"/>
      <c r="ZW16" s="1864"/>
      <c r="ZX16" s="1864"/>
      <c r="ZY16" s="1864"/>
      <c r="ZZ16" s="1864"/>
      <c r="AAA16" s="1864"/>
      <c r="AAB16" s="1864"/>
      <c r="AAC16" s="1864"/>
      <c r="AAD16" s="1864"/>
      <c r="AAE16" s="1864"/>
      <c r="AAF16" s="1864"/>
      <c r="AAG16" s="1864"/>
      <c r="AAH16" s="1864"/>
      <c r="AAI16" s="1864"/>
      <c r="AAJ16" s="1864"/>
      <c r="AAK16" s="1864"/>
      <c r="AAL16" s="1864"/>
      <c r="AAM16" s="1864"/>
      <c r="AAN16" s="1864"/>
      <c r="AAO16" s="1864"/>
      <c r="AAP16" s="1864"/>
      <c r="AAQ16" s="1864"/>
      <c r="AAR16" s="1864"/>
      <c r="AAS16" s="1864"/>
      <c r="AAT16" s="1864"/>
      <c r="AAU16" s="1864"/>
      <c r="AAV16" s="1864"/>
      <c r="AAW16" s="1864"/>
      <c r="AAX16" s="1864"/>
      <c r="AAY16" s="1864"/>
      <c r="AAZ16" s="1864"/>
      <c r="ABA16" s="1864"/>
      <c r="ABB16" s="1864"/>
      <c r="ABC16" s="1864"/>
      <c r="ABD16" s="1864"/>
      <c r="ABE16" s="1864"/>
      <c r="ABF16" s="1864"/>
      <c r="ABG16" s="1864"/>
      <c r="ABH16" s="1864"/>
      <c r="ABI16" s="1864"/>
      <c r="ABJ16" s="1864"/>
      <c r="ABK16" s="1864"/>
      <c r="ABL16" s="1864"/>
      <c r="ABM16" s="1864"/>
      <c r="ABN16" s="1864"/>
      <c r="ABO16" s="1864"/>
      <c r="ABP16" s="1864"/>
      <c r="ABQ16" s="1864"/>
      <c r="ABR16" s="1864"/>
      <c r="ABS16" s="1864"/>
      <c r="ABT16" s="1864"/>
      <c r="ABU16" s="1864"/>
      <c r="ABV16" s="1864"/>
      <c r="ABW16" s="1864"/>
      <c r="ABX16" s="1864"/>
      <c r="ABY16" s="1864"/>
      <c r="ABZ16" s="1864"/>
      <c r="ACA16" s="1864"/>
      <c r="ACB16" s="1864"/>
      <c r="ACC16" s="1864"/>
      <c r="ACD16" s="1864"/>
      <c r="ACE16" s="1864"/>
      <c r="ACF16" s="1864"/>
      <c r="ACG16" s="1864"/>
      <c r="ACH16" s="1864"/>
      <c r="ACI16" s="1864"/>
      <c r="ACJ16" s="1864"/>
      <c r="ACK16" s="1864"/>
      <c r="ACL16" s="1864"/>
      <c r="ACM16" s="1864"/>
      <c r="ACN16" s="1864"/>
      <c r="ACO16" s="1864"/>
      <c r="ACP16" s="1864"/>
      <c r="ACQ16" s="1864"/>
      <c r="ACR16" s="1864"/>
      <c r="ACS16" s="1864"/>
      <c r="ACT16" s="1864"/>
      <c r="ACU16" s="1864"/>
      <c r="ACV16" s="1864"/>
      <c r="ACW16" s="1864"/>
      <c r="ACX16" s="1864"/>
      <c r="ACY16" s="1864"/>
      <c r="ACZ16" s="1864"/>
      <c r="ADA16" s="1864"/>
      <c r="ADB16" s="1864"/>
      <c r="ADC16" s="1864"/>
      <c r="ADD16" s="1864"/>
      <c r="ADE16" s="1864"/>
      <c r="ADF16" s="1864"/>
      <c r="ADG16" s="1864"/>
      <c r="ADH16" s="1864"/>
      <c r="ADI16" s="1864"/>
      <c r="ADJ16" s="1864"/>
      <c r="ADK16" s="1864"/>
      <c r="ADL16" s="1864"/>
      <c r="ADM16" s="1864"/>
      <c r="ADN16" s="1864"/>
      <c r="ADO16" s="1864"/>
      <c r="ADP16" s="1864"/>
      <c r="ADQ16" s="1864"/>
      <c r="ADR16" s="1864"/>
      <c r="ADS16" s="1864"/>
      <c r="ADT16" s="1864"/>
      <c r="ADU16" s="1864"/>
      <c r="ADV16" s="1864"/>
      <c r="ADW16" s="1864"/>
      <c r="ADX16" s="1864"/>
      <c r="ADY16" s="1864"/>
      <c r="ADZ16" s="1864"/>
      <c r="AEA16" s="1864"/>
      <c r="AEB16" s="1864"/>
      <c r="AEC16" s="1864"/>
      <c r="AED16" s="1864"/>
      <c r="AEE16" s="1864"/>
      <c r="AEF16" s="1864"/>
      <c r="AEG16" s="1864"/>
      <c r="AEH16" s="1864"/>
      <c r="AEI16" s="1864"/>
      <c r="AEJ16" s="1864"/>
      <c r="AEK16" s="1864"/>
      <c r="AEL16" s="1864"/>
      <c r="AEM16" s="1864"/>
      <c r="AEN16" s="1864"/>
      <c r="AEO16" s="1864"/>
      <c r="AEP16" s="1864"/>
      <c r="AEQ16" s="1864"/>
      <c r="AER16" s="1864"/>
      <c r="AES16" s="1864"/>
      <c r="AET16" s="1864"/>
      <c r="AEU16" s="1864"/>
      <c r="AEV16" s="1864"/>
      <c r="AEW16" s="1864"/>
      <c r="AEX16" s="1864"/>
      <c r="AEY16" s="1864"/>
      <c r="AEZ16" s="1864"/>
      <c r="AFA16" s="1864"/>
      <c r="AFB16" s="1864"/>
      <c r="AFC16" s="1864"/>
      <c r="AFD16" s="1864"/>
      <c r="AFE16" s="1864"/>
      <c r="AFF16" s="1864"/>
      <c r="AFG16" s="1864"/>
      <c r="AFH16" s="1864"/>
      <c r="AFI16" s="1864"/>
      <c r="AFJ16" s="1864"/>
      <c r="AFK16" s="1864"/>
      <c r="AFL16" s="1864"/>
      <c r="AFM16" s="1864"/>
      <c r="AFN16" s="1864"/>
      <c r="AFO16" s="1864"/>
      <c r="AFP16" s="1864"/>
      <c r="AFQ16" s="1864"/>
      <c r="AFR16" s="1864"/>
      <c r="AFS16" s="1864"/>
      <c r="AFT16" s="1864"/>
      <c r="AFU16" s="1864"/>
      <c r="AFV16" s="1864"/>
      <c r="AFW16" s="1864"/>
      <c r="AFX16" s="1864"/>
      <c r="AFY16" s="1864"/>
      <c r="AFZ16" s="1864"/>
      <c r="AGA16" s="1864"/>
      <c r="AGB16" s="1864"/>
      <c r="AGC16" s="1864"/>
      <c r="AGD16" s="1864"/>
      <c r="AGE16" s="1864"/>
      <c r="AGF16" s="1864"/>
      <c r="AGG16" s="1864"/>
      <c r="AGH16" s="1864"/>
      <c r="AGI16" s="1864"/>
      <c r="AGJ16" s="1864"/>
      <c r="AGK16" s="1864"/>
      <c r="AGL16" s="1864"/>
      <c r="AGM16" s="1864"/>
      <c r="AGN16" s="1864"/>
      <c r="AGO16" s="1864"/>
      <c r="AGP16" s="1864"/>
      <c r="AGQ16" s="1864"/>
      <c r="AGR16" s="1864"/>
      <c r="AGS16" s="1864"/>
      <c r="AGT16" s="1864"/>
      <c r="AGU16" s="1864"/>
      <c r="AGV16" s="1864"/>
      <c r="AGW16" s="1864"/>
      <c r="AGX16" s="1864"/>
      <c r="AGY16" s="1864"/>
      <c r="AGZ16" s="1864"/>
      <c r="AHA16" s="1864"/>
      <c r="AHB16" s="1864"/>
      <c r="AHC16" s="1864"/>
      <c r="AHD16" s="1864"/>
      <c r="AHE16" s="1864"/>
      <c r="AHF16" s="1864"/>
      <c r="AHG16" s="1864"/>
      <c r="AHH16" s="1864"/>
      <c r="AHI16" s="1864"/>
      <c r="AHJ16" s="1864"/>
      <c r="AHK16" s="1864"/>
      <c r="AHL16" s="1864"/>
      <c r="AHM16" s="1864"/>
      <c r="AHN16" s="1864"/>
      <c r="AHO16" s="1864"/>
      <c r="AHP16" s="1864"/>
      <c r="AHQ16" s="1864"/>
      <c r="AHR16" s="1864"/>
      <c r="AHS16" s="1864"/>
      <c r="AHT16" s="1864"/>
      <c r="AHU16" s="1864"/>
      <c r="AHV16" s="1864"/>
      <c r="AHW16" s="1864"/>
      <c r="AHX16" s="1864"/>
      <c r="AHY16" s="1864"/>
      <c r="AHZ16" s="1864"/>
      <c r="AIA16" s="1864"/>
      <c r="AIB16" s="1864"/>
      <c r="AIC16" s="1864"/>
      <c r="AID16" s="1864"/>
      <c r="AIE16" s="1864"/>
      <c r="AIF16" s="1864"/>
      <c r="AIG16" s="1864"/>
      <c r="AIH16" s="1864"/>
      <c r="AII16" s="1864"/>
      <c r="AIJ16" s="1864"/>
      <c r="AIK16" s="1864"/>
      <c r="AIL16" s="1864"/>
      <c r="AIM16" s="1864"/>
      <c r="AIN16" s="1864"/>
      <c r="AIO16" s="1864"/>
      <c r="AIP16" s="1864"/>
      <c r="AIQ16" s="1864"/>
      <c r="AIR16" s="1864"/>
      <c r="AIS16" s="1864"/>
      <c r="AIT16" s="1864"/>
      <c r="AIU16" s="1864"/>
      <c r="AIV16" s="1864"/>
      <c r="AIW16" s="1864"/>
      <c r="AIX16" s="1864"/>
      <c r="AIY16" s="1864"/>
      <c r="AIZ16" s="1864"/>
      <c r="AJA16" s="1864"/>
      <c r="AJB16" s="1864"/>
      <c r="AJC16" s="1864"/>
      <c r="AJD16" s="1864"/>
      <c r="AJE16" s="1864"/>
      <c r="AJF16" s="1864"/>
      <c r="AJG16" s="1864"/>
      <c r="AJH16" s="1864"/>
      <c r="AJI16" s="1864"/>
      <c r="AJJ16" s="1864"/>
      <c r="AJK16" s="1864"/>
      <c r="AJL16" s="1864"/>
      <c r="AJM16" s="1864"/>
      <c r="AJN16" s="1864"/>
      <c r="AJO16" s="1864"/>
      <c r="AJP16" s="1864"/>
      <c r="AJQ16" s="1864"/>
      <c r="AJR16" s="1864"/>
      <c r="AJS16" s="1864"/>
      <c r="AJT16" s="1864"/>
      <c r="AJU16" s="1864"/>
      <c r="AJV16" s="1864"/>
      <c r="AJW16" s="1864"/>
      <c r="AJX16" s="1864"/>
      <c r="AJY16" s="1864"/>
      <c r="AJZ16" s="1864"/>
      <c r="AKA16" s="1864"/>
      <c r="AKB16" s="1864"/>
      <c r="AKC16" s="1864"/>
      <c r="AKD16" s="1864"/>
      <c r="AKE16" s="1864"/>
      <c r="AKF16" s="1864"/>
      <c r="AKG16" s="1864"/>
      <c r="AKH16" s="1864"/>
      <c r="AKI16" s="1864"/>
      <c r="AKJ16" s="1864"/>
      <c r="AKK16" s="1864"/>
      <c r="AKL16" s="1864"/>
      <c r="AKM16" s="1864"/>
      <c r="AKN16" s="1864"/>
      <c r="AKO16" s="1864"/>
      <c r="AKP16" s="1864"/>
      <c r="AKQ16" s="1864"/>
      <c r="AKR16" s="1864"/>
      <c r="AKS16" s="1864"/>
      <c r="AKT16" s="1864"/>
      <c r="AKU16" s="1864"/>
      <c r="AKV16" s="1864"/>
      <c r="AKW16" s="1864"/>
      <c r="AKX16" s="1864"/>
      <c r="AKY16" s="1864"/>
      <c r="AKZ16" s="1864"/>
      <c r="ALA16" s="1864"/>
      <c r="ALB16" s="1864"/>
      <c r="ALC16" s="1864"/>
      <c r="ALD16" s="1864"/>
      <c r="ALE16" s="1864"/>
      <c r="ALF16" s="1864"/>
      <c r="ALG16" s="1864"/>
      <c r="ALH16" s="1864"/>
      <c r="ALI16" s="1864"/>
      <c r="ALJ16" s="1864"/>
      <c r="ALK16" s="1864"/>
      <c r="ALL16" s="1864"/>
      <c r="ALM16" s="1864"/>
      <c r="ALN16" s="1864"/>
      <c r="ALO16" s="1864"/>
      <c r="ALP16" s="1864"/>
      <c r="ALQ16" s="1864"/>
      <c r="ALR16" s="1864"/>
      <c r="ALS16" s="1864"/>
      <c r="ALT16" s="1864"/>
      <c r="ALU16" s="1864"/>
      <c r="ALV16" s="1864"/>
      <c r="ALW16" s="1864"/>
      <c r="ALX16" s="1864"/>
      <c r="ALY16" s="1864"/>
      <c r="ALZ16" s="1864"/>
      <c r="AMA16" s="1864"/>
      <c r="AMB16" s="1864"/>
      <c r="AMC16" s="1864"/>
      <c r="AMD16" s="1864"/>
      <c r="AME16" s="1864"/>
      <c r="AMF16" s="1864"/>
      <c r="AMG16" s="1864"/>
      <c r="AMH16" s="1864"/>
      <c r="AMI16" s="1864"/>
      <c r="AMJ16" s="1864"/>
      <c r="AMK16" s="1864"/>
      <c r="AML16" s="1864"/>
      <c r="AMM16" s="1864"/>
      <c r="AMN16" s="1864"/>
      <c r="AMO16" s="1864"/>
      <c r="AMP16" s="1864"/>
      <c r="AMQ16" s="1864"/>
      <c r="AMR16" s="1864"/>
      <c r="AMS16" s="1864"/>
      <c r="AMT16" s="1864"/>
      <c r="AMU16" s="1864"/>
      <c r="AMV16" s="1864"/>
      <c r="AMW16" s="1864"/>
      <c r="AMX16" s="1864"/>
      <c r="AMY16" s="1864"/>
      <c r="AMZ16" s="1864"/>
      <c r="ANA16" s="1864"/>
      <c r="ANB16" s="1864"/>
      <c r="ANC16" s="1864"/>
      <c r="AND16" s="1864"/>
      <c r="ANE16" s="1864"/>
      <c r="ANF16" s="1864"/>
      <c r="ANG16" s="1864"/>
      <c r="ANH16" s="1864"/>
      <c r="ANI16" s="1864"/>
      <c r="ANJ16" s="1864"/>
      <c r="ANK16" s="1864"/>
      <c r="ANL16" s="1864"/>
      <c r="ANM16" s="1864"/>
      <c r="ANN16" s="1864"/>
      <c r="ANO16" s="1864"/>
      <c r="ANP16" s="1864"/>
      <c r="ANQ16" s="1864"/>
      <c r="ANR16" s="1864"/>
      <c r="ANS16" s="1864"/>
      <c r="ANT16" s="1864"/>
      <c r="ANU16" s="1864"/>
      <c r="ANV16" s="1864"/>
      <c r="ANW16" s="1864"/>
      <c r="ANX16" s="1864"/>
      <c r="ANY16" s="1864"/>
      <c r="ANZ16" s="1864"/>
      <c r="AOA16" s="1864"/>
      <c r="AOB16" s="1864"/>
      <c r="AOC16" s="1864"/>
      <c r="AOD16" s="1864"/>
      <c r="AOE16" s="1864"/>
      <c r="AOF16" s="1864"/>
      <c r="AOG16" s="1864"/>
      <c r="AOH16" s="1864"/>
      <c r="AOI16" s="1864"/>
      <c r="AOJ16" s="1864"/>
      <c r="AOK16" s="1864"/>
      <c r="AOL16" s="1864"/>
      <c r="AOM16" s="1864"/>
      <c r="AON16" s="1864"/>
      <c r="AOO16" s="1864"/>
      <c r="AOP16" s="1864"/>
      <c r="AOQ16" s="1864"/>
      <c r="AOR16" s="1864"/>
      <c r="AOS16" s="1864"/>
      <c r="AOT16" s="1864"/>
      <c r="AOU16" s="1864"/>
      <c r="AOV16" s="1864"/>
      <c r="AOW16" s="1864"/>
      <c r="AOX16" s="1864"/>
      <c r="AOY16" s="1864"/>
      <c r="AOZ16" s="1864"/>
      <c r="APA16" s="1864"/>
      <c r="APB16" s="1864"/>
      <c r="APC16" s="1864"/>
      <c r="APD16" s="1864"/>
      <c r="APE16" s="1864"/>
      <c r="APF16" s="1864"/>
      <c r="APG16" s="1864"/>
      <c r="APH16" s="1864"/>
      <c r="API16" s="1864"/>
      <c r="APJ16" s="1864"/>
      <c r="APK16" s="1864"/>
      <c r="APL16" s="1864"/>
      <c r="APM16" s="1864"/>
      <c r="APN16" s="1864"/>
      <c r="APO16" s="1864"/>
      <c r="APP16" s="1864"/>
      <c r="APQ16" s="1864"/>
      <c r="APR16" s="1864"/>
      <c r="APS16" s="1864"/>
      <c r="APT16" s="1864"/>
      <c r="APU16" s="1864"/>
      <c r="APV16" s="1864"/>
      <c r="APW16" s="1864"/>
      <c r="APX16" s="1864"/>
      <c r="APY16" s="1864"/>
      <c r="APZ16" s="1864"/>
      <c r="AQA16" s="1864"/>
      <c r="AQB16" s="1864"/>
      <c r="AQC16" s="1864"/>
      <c r="AQD16" s="1864"/>
      <c r="AQE16" s="1864"/>
      <c r="AQF16" s="1864"/>
      <c r="AQG16" s="1864"/>
      <c r="AQH16" s="1864"/>
      <c r="AQI16" s="1864"/>
      <c r="AQJ16" s="1864"/>
      <c r="AQK16" s="1864"/>
      <c r="AQL16" s="1864"/>
      <c r="AQM16" s="1864"/>
      <c r="AQN16" s="1864"/>
      <c r="AQO16" s="1864"/>
      <c r="AQP16" s="1864"/>
      <c r="AQQ16" s="1864"/>
      <c r="AQR16" s="1864"/>
      <c r="AQS16" s="1864"/>
      <c r="AQT16" s="1864"/>
      <c r="AQU16" s="1864"/>
      <c r="AQV16" s="1864"/>
      <c r="AQW16" s="1864"/>
      <c r="AQX16" s="1864"/>
      <c r="AQY16" s="1864"/>
      <c r="AQZ16" s="1864"/>
      <c r="ARA16" s="1864"/>
      <c r="ARB16" s="1864"/>
      <c r="ARC16" s="1864"/>
      <c r="ARD16" s="1864"/>
      <c r="ARE16" s="1864"/>
      <c r="ARF16" s="1864"/>
      <c r="ARG16" s="1864"/>
      <c r="ARH16" s="1864"/>
      <c r="ARI16" s="1864"/>
      <c r="ARJ16" s="1864"/>
      <c r="ARK16" s="1864"/>
      <c r="ARL16" s="1864"/>
      <c r="ARM16" s="1864"/>
      <c r="ARN16" s="1864"/>
      <c r="ARO16" s="1864"/>
      <c r="ARP16" s="1864"/>
      <c r="ARQ16" s="1864"/>
      <c r="ARR16" s="1864"/>
      <c r="ARS16" s="1864"/>
      <c r="ART16" s="1864"/>
      <c r="ARU16" s="1864"/>
      <c r="ARV16" s="1864"/>
      <c r="ARW16" s="1864"/>
      <c r="ARX16" s="1864"/>
      <c r="ARY16" s="1864"/>
      <c r="ARZ16" s="1864"/>
      <c r="ASA16" s="1864"/>
      <c r="ASB16" s="1864"/>
      <c r="ASC16" s="1864"/>
      <c r="ASD16" s="1864"/>
      <c r="ASE16" s="1864"/>
      <c r="ASF16" s="1864"/>
      <c r="ASG16" s="1864"/>
      <c r="ASH16" s="1864"/>
      <c r="ASI16" s="1864"/>
      <c r="ASJ16" s="1864"/>
      <c r="ASK16" s="1864"/>
      <c r="ASL16" s="1864"/>
      <c r="ASM16" s="1864"/>
      <c r="ASN16" s="1864"/>
      <c r="ASO16" s="1864"/>
      <c r="ASP16" s="1864"/>
      <c r="ASQ16" s="1864"/>
      <c r="ASR16" s="1864"/>
      <c r="ASS16" s="1864"/>
      <c r="AST16" s="1864"/>
      <c r="ASU16" s="1864"/>
      <c r="ASV16" s="1864"/>
      <c r="ASW16" s="1864"/>
      <c r="ASX16" s="1864"/>
      <c r="ASY16" s="1864"/>
      <c r="ASZ16" s="1864"/>
      <c r="ATA16" s="1864"/>
      <c r="ATB16" s="1864"/>
      <c r="ATC16" s="1864"/>
      <c r="ATD16" s="1864"/>
      <c r="ATE16" s="1864"/>
      <c r="ATF16" s="1864"/>
      <c r="ATG16" s="1864"/>
      <c r="ATH16" s="1864"/>
      <c r="ATI16" s="1864"/>
      <c r="ATJ16" s="1864"/>
      <c r="ATK16" s="1864"/>
      <c r="ATL16" s="1864"/>
      <c r="ATM16" s="1864"/>
      <c r="ATN16" s="1864"/>
      <c r="ATO16" s="1864"/>
      <c r="ATP16" s="1864"/>
      <c r="ATQ16" s="1864"/>
      <c r="ATR16" s="1864"/>
      <c r="ATS16" s="1864"/>
      <c r="ATT16" s="1864"/>
      <c r="ATU16" s="1864"/>
      <c r="ATV16" s="1864"/>
      <c r="ATW16" s="1864"/>
      <c r="ATX16" s="1864"/>
      <c r="ATY16" s="1864"/>
      <c r="ATZ16" s="1864"/>
      <c r="AUA16" s="1864"/>
      <c r="AUB16" s="1864"/>
      <c r="AUC16" s="1864"/>
      <c r="AUD16" s="1864"/>
      <c r="AUE16" s="1864"/>
      <c r="AUF16" s="1864"/>
      <c r="AUG16" s="1864"/>
      <c r="AUH16" s="1864"/>
      <c r="AUI16" s="1864"/>
      <c r="AUJ16" s="1864"/>
      <c r="AUK16" s="1864"/>
      <c r="AUL16" s="1864"/>
      <c r="AUM16" s="1864"/>
      <c r="AUN16" s="1864"/>
      <c r="AUO16" s="1864"/>
      <c r="AUP16" s="1864"/>
      <c r="AUQ16" s="1864"/>
      <c r="AUR16" s="1864"/>
      <c r="AUS16" s="1864"/>
      <c r="AUT16" s="1864"/>
      <c r="AUU16" s="1864"/>
      <c r="AUV16" s="1864"/>
      <c r="AUW16" s="1864"/>
      <c r="AUX16" s="1864"/>
      <c r="AUY16" s="1864"/>
      <c r="AUZ16" s="1864"/>
      <c r="AVA16" s="1864"/>
      <c r="AVB16" s="1864"/>
      <c r="AVC16" s="1864"/>
      <c r="AVD16" s="1864"/>
      <c r="AVE16" s="1864"/>
      <c r="AVF16" s="1864"/>
      <c r="AVG16" s="1864"/>
      <c r="AVH16" s="1864"/>
      <c r="AVI16" s="1864"/>
      <c r="AVJ16" s="1864"/>
      <c r="AVK16" s="1864"/>
      <c r="AVL16" s="1864"/>
      <c r="AVM16" s="1864"/>
      <c r="AVN16" s="1864"/>
      <c r="AVO16" s="1864"/>
      <c r="AVP16" s="1864"/>
      <c r="AVQ16" s="1864"/>
      <c r="AVR16" s="1864"/>
      <c r="AVS16" s="1864"/>
      <c r="AVT16" s="1864"/>
      <c r="AVU16" s="1864"/>
      <c r="AVV16" s="1864"/>
      <c r="AVW16" s="1864"/>
      <c r="AVX16" s="1864"/>
      <c r="AVY16" s="1864"/>
      <c r="AVZ16" s="1864"/>
      <c r="AWA16" s="1864"/>
      <c r="AWB16" s="1864"/>
      <c r="AWC16" s="1864"/>
      <c r="AWD16" s="1864"/>
      <c r="AWE16" s="1864"/>
      <c r="AWF16" s="1864"/>
      <c r="AWG16" s="1864"/>
      <c r="AWH16" s="1864"/>
      <c r="AWI16" s="1864"/>
      <c r="AWJ16" s="1864"/>
      <c r="AWK16" s="1864"/>
      <c r="AWL16" s="1864"/>
      <c r="AWM16" s="1864"/>
      <c r="AWN16" s="1864"/>
      <c r="AWO16" s="1864"/>
      <c r="AWP16" s="1864"/>
      <c r="AWQ16" s="1864"/>
    </row>
    <row r="17" spans="1:213" ht="28.5" customHeight="1" thickBot="1" x14ac:dyDescent="0.25">
      <c r="A17" s="1964" t="s">
        <v>2326</v>
      </c>
      <c r="B17" s="1969" t="s">
        <v>733</v>
      </c>
      <c r="C17" s="1693" t="s">
        <v>567</v>
      </c>
      <c r="D17" s="1880"/>
      <c r="E17" s="1984"/>
      <c r="F17" s="1865"/>
      <c r="G17" s="1866"/>
      <c r="H17" s="1866"/>
      <c r="I17" s="1866"/>
      <c r="J17" s="1866"/>
      <c r="K17" s="1866"/>
      <c r="L17" s="1866"/>
      <c r="M17" s="1866"/>
      <c r="N17" s="1866"/>
      <c r="O17" s="1866"/>
      <c r="P17" s="1866"/>
      <c r="Q17" s="1866"/>
      <c r="R17" s="1866"/>
      <c r="S17" s="1866"/>
      <c r="T17" s="1866"/>
      <c r="U17" s="1866"/>
      <c r="V17" s="1866"/>
      <c r="W17" s="1866"/>
      <c r="X17" s="1866"/>
      <c r="Y17" s="1866"/>
      <c r="Z17" s="1866"/>
      <c r="AA17" s="1866"/>
      <c r="AB17" s="1866"/>
      <c r="AC17" s="1866"/>
      <c r="AD17" s="1866"/>
      <c r="AE17" s="1866"/>
      <c r="AF17" s="1866"/>
      <c r="AG17" s="1866"/>
      <c r="AH17" s="1866"/>
      <c r="AI17" s="1866"/>
      <c r="AJ17" s="1866"/>
      <c r="AK17" s="1866"/>
      <c r="AL17" s="1866"/>
      <c r="AM17" s="1866"/>
      <c r="AN17" s="1866"/>
      <c r="AO17" s="1866"/>
      <c r="AP17" s="1866"/>
      <c r="AQ17" s="1866"/>
      <c r="AR17" s="1866"/>
      <c r="AS17" s="1866"/>
      <c r="AT17" s="1866"/>
      <c r="AU17" s="1866"/>
      <c r="AV17" s="1866"/>
      <c r="AW17" s="1866"/>
      <c r="AX17" s="1866"/>
      <c r="AY17" s="1866"/>
      <c r="AZ17" s="1866"/>
      <c r="BA17" s="1866"/>
      <c r="BB17" s="1866"/>
      <c r="BC17" s="1866"/>
      <c r="BD17" s="1866"/>
      <c r="BE17" s="1866"/>
      <c r="BF17" s="1866"/>
      <c r="BG17" s="1866"/>
      <c r="BH17" s="1866"/>
      <c r="BI17" s="1866"/>
      <c r="BJ17" s="1866"/>
      <c r="BK17" s="1866"/>
      <c r="BL17" s="1866"/>
      <c r="BM17" s="1866"/>
      <c r="BN17" s="1866"/>
      <c r="BO17" s="1866"/>
      <c r="BP17" s="1866"/>
      <c r="BQ17" s="1866"/>
      <c r="BR17" s="1866"/>
      <c r="BS17" s="1866"/>
      <c r="BT17" s="1866"/>
      <c r="BU17" s="1866"/>
      <c r="BV17" s="1866"/>
      <c r="BW17" s="1866"/>
      <c r="BX17" s="1866"/>
      <c r="BY17" s="1866"/>
      <c r="BZ17" s="1866"/>
      <c r="CA17" s="1866"/>
      <c r="CB17" s="1866"/>
      <c r="CC17" s="1866"/>
      <c r="CD17" s="1866"/>
      <c r="CE17" s="1866"/>
      <c r="CF17" s="1866"/>
      <c r="CG17" s="1866"/>
      <c r="CH17" s="1866"/>
      <c r="CI17" s="1866"/>
      <c r="CJ17" s="1866"/>
      <c r="CK17" s="1866"/>
      <c r="CL17" s="1866"/>
      <c r="CM17" s="1866"/>
      <c r="CN17" s="1866"/>
      <c r="CO17" s="1866"/>
      <c r="CP17" s="1866"/>
      <c r="CQ17" s="1866"/>
      <c r="CR17" s="1866"/>
      <c r="CS17" s="1866"/>
      <c r="CT17" s="1866"/>
      <c r="CU17" s="1866"/>
      <c r="CV17" s="1866"/>
      <c r="CW17" s="1866"/>
      <c r="CX17" s="1866"/>
      <c r="CY17" s="1866"/>
      <c r="CZ17" s="1866"/>
      <c r="DA17" s="1866"/>
      <c r="DB17" s="1866"/>
      <c r="DC17" s="1866"/>
      <c r="DD17" s="1866"/>
      <c r="DE17" s="1866"/>
      <c r="DF17" s="1866"/>
      <c r="DG17" s="1866"/>
      <c r="DH17" s="1866"/>
      <c r="DI17" s="1866"/>
      <c r="DJ17" s="1866"/>
      <c r="DK17" s="1866"/>
      <c r="DL17" s="1866"/>
      <c r="DM17" s="1866"/>
      <c r="DN17" s="1866"/>
      <c r="DO17" s="1866"/>
      <c r="DP17" s="1866"/>
      <c r="DQ17" s="1866"/>
      <c r="DR17" s="1866"/>
      <c r="DS17" s="1866"/>
      <c r="DT17" s="1866"/>
      <c r="DU17" s="1866"/>
      <c r="DV17" s="1866"/>
      <c r="DW17" s="1866"/>
      <c r="DX17" s="1866"/>
      <c r="DY17" s="1866"/>
      <c r="DZ17" s="1866"/>
      <c r="EA17" s="1866"/>
      <c r="EB17" s="1866"/>
      <c r="EC17" s="1866"/>
      <c r="ED17" s="1866"/>
      <c r="EE17" s="1866"/>
      <c r="EF17" s="1866"/>
      <c r="EG17" s="1866"/>
      <c r="EH17" s="1866"/>
      <c r="EI17" s="1866"/>
      <c r="EJ17" s="1866"/>
      <c r="EK17" s="1866"/>
      <c r="EL17" s="1866"/>
      <c r="EM17" s="1866"/>
      <c r="EN17" s="1866"/>
      <c r="EO17" s="1866"/>
      <c r="EP17" s="1866"/>
      <c r="EQ17" s="1866"/>
      <c r="ER17" s="1866"/>
      <c r="ES17" s="1866"/>
      <c r="ET17" s="1866"/>
      <c r="EU17" s="1866"/>
      <c r="EV17" s="1866"/>
      <c r="EW17" s="1866"/>
      <c r="EX17" s="1866"/>
      <c r="EY17" s="1866"/>
      <c r="EZ17" s="1866"/>
      <c r="FA17" s="1866"/>
      <c r="FB17" s="1866"/>
      <c r="FC17" s="1866"/>
      <c r="FD17" s="1866"/>
      <c r="FE17" s="1866"/>
      <c r="FF17" s="1866"/>
      <c r="FG17" s="1866"/>
      <c r="FH17" s="1866"/>
      <c r="FI17" s="1866"/>
      <c r="FJ17" s="1866"/>
      <c r="FK17" s="1866"/>
      <c r="FL17" s="1866"/>
      <c r="FM17" s="1866"/>
      <c r="FN17" s="1866"/>
      <c r="FO17" s="1866"/>
      <c r="FP17" s="1866"/>
      <c r="FQ17" s="1866"/>
      <c r="FR17" s="1866"/>
      <c r="FS17" s="1866"/>
      <c r="FT17" s="1866"/>
      <c r="FU17" s="1866"/>
      <c r="FV17" s="1866"/>
      <c r="FW17" s="1866"/>
      <c r="FX17" s="1866"/>
      <c r="FY17" s="1866"/>
      <c r="FZ17" s="1866"/>
      <c r="GA17" s="1866"/>
      <c r="GB17" s="1866"/>
      <c r="GC17" s="1866"/>
      <c r="GD17" s="1866"/>
      <c r="GE17" s="1866"/>
      <c r="GF17" s="1866"/>
      <c r="GG17" s="1866"/>
      <c r="GH17" s="1866"/>
      <c r="GI17" s="1866"/>
      <c r="GJ17" s="1866"/>
      <c r="GK17" s="1866"/>
      <c r="GL17" s="1866"/>
      <c r="GM17" s="1866"/>
      <c r="GN17" s="1866"/>
      <c r="GO17" s="1866"/>
      <c r="GP17" s="1866"/>
      <c r="GQ17" s="1866"/>
      <c r="GR17" s="1866"/>
      <c r="GS17" s="1866"/>
      <c r="GT17" s="1866"/>
      <c r="GU17" s="1866"/>
      <c r="GV17" s="1866"/>
      <c r="GW17" s="1866"/>
      <c r="GX17" s="1866"/>
      <c r="GY17" s="1866"/>
      <c r="GZ17" s="1866"/>
      <c r="HA17" s="1866"/>
      <c r="HB17" s="1866"/>
      <c r="HC17" s="1866"/>
      <c r="HD17" s="1866"/>
      <c r="HE17" s="1866"/>
    </row>
    <row r="18" spans="1:213" ht="15" customHeight="1" x14ac:dyDescent="0.2">
      <c r="A18" s="1964"/>
      <c r="B18" s="1970"/>
      <c r="C18" s="1690" t="s">
        <v>791</v>
      </c>
      <c r="D18" s="1882"/>
      <c r="E18" s="1984"/>
      <c r="F18" s="1837">
        <v>0</v>
      </c>
      <c r="G18" s="1803">
        <v>0</v>
      </c>
      <c r="H18" s="1803">
        <v>0</v>
      </c>
      <c r="I18" s="1803">
        <v>0</v>
      </c>
      <c r="J18" s="1803">
        <v>0</v>
      </c>
      <c r="K18" s="1803">
        <v>0</v>
      </c>
      <c r="L18" s="1803">
        <v>0</v>
      </c>
      <c r="M18" s="1803">
        <v>0</v>
      </c>
      <c r="N18" s="1803">
        <v>0</v>
      </c>
      <c r="O18" s="1803">
        <v>0</v>
      </c>
      <c r="P18" s="1803">
        <v>0</v>
      </c>
      <c r="Q18" s="1803">
        <v>0</v>
      </c>
      <c r="R18" s="1803">
        <v>0</v>
      </c>
      <c r="S18" s="1803">
        <v>0</v>
      </c>
      <c r="T18" s="1803">
        <v>0</v>
      </c>
      <c r="U18" s="1803">
        <v>0</v>
      </c>
      <c r="V18" s="1803">
        <v>0</v>
      </c>
      <c r="W18" s="1803">
        <v>0</v>
      </c>
      <c r="X18" s="1803">
        <v>0</v>
      </c>
      <c r="Y18" s="1803">
        <v>0</v>
      </c>
      <c r="Z18" s="1803">
        <v>0</v>
      </c>
      <c r="AA18" s="1803">
        <v>0</v>
      </c>
      <c r="AB18" s="1803">
        <v>0</v>
      </c>
      <c r="AC18" s="1803">
        <v>0</v>
      </c>
      <c r="AD18" s="1803">
        <v>0</v>
      </c>
      <c r="AE18" s="1803">
        <v>0</v>
      </c>
      <c r="AF18" s="1803">
        <v>0</v>
      </c>
      <c r="AG18" s="1803">
        <v>0</v>
      </c>
      <c r="AH18" s="1803">
        <v>0</v>
      </c>
      <c r="AI18" s="1803">
        <v>0</v>
      </c>
      <c r="AJ18" s="1803">
        <v>0</v>
      </c>
      <c r="AK18" s="1803">
        <v>0</v>
      </c>
      <c r="AL18" s="1803">
        <v>0</v>
      </c>
      <c r="AM18" s="1803">
        <v>0</v>
      </c>
      <c r="AN18" s="1803">
        <v>0</v>
      </c>
      <c r="AO18" s="1803">
        <v>0</v>
      </c>
      <c r="AP18" s="1803">
        <v>0</v>
      </c>
      <c r="AQ18" s="1803">
        <v>0</v>
      </c>
      <c r="AR18" s="1803">
        <v>0</v>
      </c>
      <c r="AS18" s="1803">
        <v>0</v>
      </c>
      <c r="AT18" s="1803">
        <v>0</v>
      </c>
      <c r="AU18" s="1803">
        <v>0</v>
      </c>
      <c r="AV18" s="1803">
        <v>0</v>
      </c>
      <c r="AW18" s="1803">
        <v>0</v>
      </c>
      <c r="AX18" s="1803">
        <v>0</v>
      </c>
      <c r="AY18" s="1803">
        <v>0</v>
      </c>
      <c r="AZ18" s="1803">
        <v>0</v>
      </c>
      <c r="BA18" s="1803">
        <v>0</v>
      </c>
      <c r="BB18" s="1803">
        <v>0</v>
      </c>
      <c r="BC18" s="1803">
        <v>0</v>
      </c>
      <c r="BD18" s="1803">
        <v>0</v>
      </c>
      <c r="BE18" s="1803">
        <v>0</v>
      </c>
      <c r="BF18" s="1803">
        <v>0</v>
      </c>
      <c r="BG18" s="1803">
        <v>0</v>
      </c>
      <c r="BH18" s="1803">
        <v>0</v>
      </c>
      <c r="BI18" s="1803">
        <v>0</v>
      </c>
      <c r="BJ18" s="1803">
        <v>0</v>
      </c>
      <c r="BK18" s="1803">
        <v>0</v>
      </c>
      <c r="BL18" s="1803">
        <v>0</v>
      </c>
      <c r="BM18" s="1803">
        <v>0</v>
      </c>
      <c r="BN18" s="1803">
        <v>0</v>
      </c>
      <c r="BO18" s="1803">
        <v>0</v>
      </c>
      <c r="BP18" s="1803">
        <v>0</v>
      </c>
      <c r="BQ18" s="1803">
        <v>0</v>
      </c>
      <c r="BR18" s="1803">
        <v>0</v>
      </c>
      <c r="BS18" s="1803">
        <v>0</v>
      </c>
      <c r="BT18" s="1803">
        <v>0</v>
      </c>
      <c r="BU18" s="1803">
        <v>0</v>
      </c>
      <c r="BV18" s="1803">
        <v>0</v>
      </c>
      <c r="BW18" s="1803">
        <v>0</v>
      </c>
      <c r="BX18" s="1803">
        <v>0</v>
      </c>
      <c r="BY18" s="1803">
        <v>0</v>
      </c>
      <c r="BZ18" s="1803">
        <v>0</v>
      </c>
      <c r="CA18" s="1803">
        <v>0</v>
      </c>
      <c r="CB18" s="1803">
        <v>0</v>
      </c>
      <c r="CC18" s="1803">
        <v>0</v>
      </c>
      <c r="CD18" s="1803">
        <v>0</v>
      </c>
      <c r="CE18" s="1803">
        <v>0</v>
      </c>
      <c r="CF18" s="1803">
        <v>0</v>
      </c>
      <c r="CG18" s="1803">
        <v>0</v>
      </c>
      <c r="CH18" s="1803">
        <v>0</v>
      </c>
      <c r="CI18" s="1803">
        <v>0</v>
      </c>
      <c r="CJ18" s="1803">
        <v>0</v>
      </c>
      <c r="CK18" s="1803">
        <v>0</v>
      </c>
      <c r="CL18" s="1803">
        <v>0</v>
      </c>
      <c r="CM18" s="1803">
        <v>0</v>
      </c>
      <c r="CN18" s="1803">
        <v>0</v>
      </c>
      <c r="CO18" s="1803">
        <v>0</v>
      </c>
      <c r="CP18" s="1803">
        <v>0</v>
      </c>
      <c r="CQ18" s="1803">
        <v>0</v>
      </c>
      <c r="CR18" s="1803">
        <v>0</v>
      </c>
      <c r="CS18" s="1803">
        <v>0</v>
      </c>
      <c r="CT18" s="1803">
        <v>0</v>
      </c>
      <c r="CU18" s="1803">
        <v>0</v>
      </c>
      <c r="CV18" s="1803">
        <v>0</v>
      </c>
      <c r="CW18" s="1803">
        <v>0</v>
      </c>
      <c r="CX18" s="1803">
        <v>0</v>
      </c>
      <c r="CY18" s="1803">
        <v>0</v>
      </c>
      <c r="CZ18" s="1803">
        <v>0</v>
      </c>
      <c r="DA18" s="1803">
        <v>0</v>
      </c>
      <c r="DB18" s="1803">
        <v>0</v>
      </c>
      <c r="DC18" s="1803">
        <v>0</v>
      </c>
      <c r="DD18" s="1803">
        <v>0</v>
      </c>
      <c r="DE18" s="1803">
        <v>0</v>
      </c>
      <c r="DF18" s="1803">
        <v>0</v>
      </c>
      <c r="DG18" s="1803">
        <v>0</v>
      </c>
      <c r="DH18" s="1803">
        <v>0</v>
      </c>
      <c r="DI18" s="1803">
        <v>0</v>
      </c>
      <c r="DJ18" s="1803">
        <v>0</v>
      </c>
      <c r="DK18" s="1803">
        <v>0</v>
      </c>
      <c r="DL18" s="1803">
        <v>0</v>
      </c>
      <c r="DM18" s="1803">
        <v>0</v>
      </c>
      <c r="DN18" s="1803">
        <v>0</v>
      </c>
      <c r="DO18" s="1803">
        <v>0</v>
      </c>
      <c r="DP18" s="1803">
        <v>0</v>
      </c>
      <c r="DQ18" s="1803">
        <v>0</v>
      </c>
      <c r="DR18" s="1803">
        <v>0</v>
      </c>
      <c r="DS18" s="1803">
        <v>0</v>
      </c>
      <c r="DT18" s="1803">
        <v>0</v>
      </c>
      <c r="DU18" s="1803">
        <v>0</v>
      </c>
      <c r="DV18" s="1803">
        <v>0</v>
      </c>
      <c r="DW18" s="1803">
        <v>0</v>
      </c>
      <c r="DX18" s="1803">
        <v>0</v>
      </c>
      <c r="DY18" s="1803">
        <v>0</v>
      </c>
      <c r="DZ18" s="1803">
        <v>0</v>
      </c>
      <c r="EA18" s="1803">
        <v>0</v>
      </c>
      <c r="EB18" s="1803">
        <v>0</v>
      </c>
      <c r="EC18" s="1803">
        <v>0</v>
      </c>
      <c r="ED18" s="1803">
        <v>0</v>
      </c>
      <c r="EE18" s="1803">
        <v>0</v>
      </c>
      <c r="EF18" s="1803">
        <v>0</v>
      </c>
      <c r="EG18" s="1803">
        <v>0</v>
      </c>
      <c r="EH18" s="1803">
        <v>0</v>
      </c>
      <c r="EI18" s="1803">
        <v>0</v>
      </c>
      <c r="EJ18" s="1803">
        <v>0</v>
      </c>
      <c r="EK18" s="1803">
        <v>0</v>
      </c>
      <c r="EL18" s="1803">
        <v>0</v>
      </c>
      <c r="EM18" s="1803">
        <v>0</v>
      </c>
      <c r="EN18" s="1803">
        <v>0</v>
      </c>
      <c r="EO18" s="1803">
        <v>0</v>
      </c>
      <c r="EP18" s="1803">
        <v>0</v>
      </c>
      <c r="EQ18" s="1803">
        <v>0</v>
      </c>
      <c r="ER18" s="1803">
        <v>0</v>
      </c>
      <c r="ES18" s="1803">
        <v>0</v>
      </c>
      <c r="ET18" s="1803">
        <v>0</v>
      </c>
      <c r="EU18" s="1803">
        <v>0</v>
      </c>
      <c r="EV18" s="1803">
        <v>0</v>
      </c>
      <c r="EW18" s="1803">
        <v>0</v>
      </c>
      <c r="EX18" s="1803">
        <v>0</v>
      </c>
      <c r="EY18" s="1803">
        <v>0</v>
      </c>
      <c r="EZ18" s="1803">
        <v>0</v>
      </c>
      <c r="FA18" s="1803">
        <v>0</v>
      </c>
      <c r="FB18" s="1803">
        <v>0</v>
      </c>
      <c r="FC18" s="1803">
        <v>0</v>
      </c>
      <c r="FD18" s="1803">
        <v>0</v>
      </c>
      <c r="FE18" s="1803">
        <v>0</v>
      </c>
      <c r="FF18" s="1803">
        <v>0</v>
      </c>
      <c r="FG18" s="1803">
        <v>0</v>
      </c>
      <c r="FH18" s="1803">
        <v>0</v>
      </c>
      <c r="FI18" s="1803">
        <v>0</v>
      </c>
      <c r="FJ18" s="1803">
        <v>0</v>
      </c>
      <c r="FK18" s="1803">
        <v>0</v>
      </c>
      <c r="FL18" s="1803">
        <v>0</v>
      </c>
      <c r="FM18" s="1803">
        <v>0</v>
      </c>
      <c r="FN18" s="1803">
        <v>0</v>
      </c>
      <c r="FO18" s="1803">
        <v>0</v>
      </c>
      <c r="FP18" s="1803">
        <v>0</v>
      </c>
      <c r="FQ18" s="1803">
        <v>0</v>
      </c>
      <c r="FR18" s="1803">
        <v>0</v>
      </c>
      <c r="FS18" s="1803">
        <v>0</v>
      </c>
      <c r="FT18" s="1803">
        <v>0</v>
      </c>
      <c r="FU18" s="1803">
        <v>0</v>
      </c>
      <c r="FV18" s="1803">
        <v>0</v>
      </c>
      <c r="FW18" s="1803">
        <v>0</v>
      </c>
      <c r="FX18" s="1803">
        <v>0</v>
      </c>
      <c r="FY18" s="1803">
        <v>0</v>
      </c>
      <c r="FZ18" s="1803">
        <v>0</v>
      </c>
      <c r="GA18" s="1803">
        <v>0</v>
      </c>
      <c r="GB18" s="1803">
        <v>0</v>
      </c>
      <c r="GC18" s="1803">
        <v>0</v>
      </c>
      <c r="GD18" s="1803">
        <v>0</v>
      </c>
      <c r="GE18" s="1803">
        <v>0</v>
      </c>
      <c r="GF18" s="1803">
        <v>0</v>
      </c>
      <c r="GG18" s="1803">
        <v>0</v>
      </c>
      <c r="GH18" s="1803">
        <v>0</v>
      </c>
      <c r="GI18" s="1803">
        <v>0</v>
      </c>
      <c r="GJ18" s="1803">
        <v>0</v>
      </c>
      <c r="GK18" s="1803">
        <v>0</v>
      </c>
      <c r="GL18" s="1803">
        <v>0</v>
      </c>
      <c r="GM18" s="1803">
        <v>0</v>
      </c>
      <c r="GN18" s="1803">
        <v>0</v>
      </c>
      <c r="GO18" s="1803">
        <v>0</v>
      </c>
      <c r="GP18" s="1803">
        <v>0</v>
      </c>
      <c r="GQ18" s="1803">
        <v>0</v>
      </c>
      <c r="GR18" s="1803">
        <v>0</v>
      </c>
      <c r="GS18" s="1803">
        <v>0</v>
      </c>
      <c r="GT18" s="1803">
        <v>0</v>
      </c>
      <c r="GU18" s="1803">
        <v>0</v>
      </c>
      <c r="GV18" s="1803">
        <v>0</v>
      </c>
      <c r="GW18" s="1803">
        <v>0</v>
      </c>
      <c r="GX18" s="1803">
        <v>0</v>
      </c>
      <c r="GY18" s="1803">
        <v>0</v>
      </c>
      <c r="GZ18" s="1803">
        <v>0</v>
      </c>
      <c r="HA18" s="1803">
        <v>0</v>
      </c>
      <c r="HB18" s="1803">
        <v>0</v>
      </c>
      <c r="HC18" s="1803">
        <v>0</v>
      </c>
      <c r="HD18" s="1803">
        <v>0</v>
      </c>
      <c r="HE18" s="1803">
        <v>0</v>
      </c>
    </row>
    <row r="19" spans="1:213" ht="15" customHeight="1" x14ac:dyDescent="0.2">
      <c r="A19" s="1964"/>
      <c r="B19" s="1970"/>
      <c r="C19" s="1816" t="s">
        <v>562</v>
      </c>
      <c r="D19" s="1882"/>
      <c r="E19" s="1984"/>
      <c r="F19" s="1837">
        <v>0</v>
      </c>
      <c r="G19" s="1803">
        <v>0</v>
      </c>
      <c r="H19" s="1803">
        <v>0</v>
      </c>
      <c r="I19" s="1803">
        <v>0</v>
      </c>
      <c r="J19" s="1803">
        <v>0</v>
      </c>
      <c r="K19" s="1803">
        <v>0</v>
      </c>
      <c r="L19" s="1803">
        <v>0</v>
      </c>
      <c r="M19" s="1803">
        <v>0</v>
      </c>
      <c r="N19" s="1803">
        <v>0</v>
      </c>
      <c r="O19" s="1803">
        <v>0</v>
      </c>
      <c r="P19" s="1803">
        <v>0</v>
      </c>
      <c r="Q19" s="1803">
        <v>0</v>
      </c>
      <c r="R19" s="1803">
        <v>0</v>
      </c>
      <c r="S19" s="1803">
        <v>0</v>
      </c>
      <c r="T19" s="1803">
        <v>0</v>
      </c>
      <c r="U19" s="1803">
        <v>0</v>
      </c>
      <c r="V19" s="1803">
        <v>0</v>
      </c>
      <c r="W19" s="1803">
        <v>0</v>
      </c>
      <c r="X19" s="1803">
        <v>0</v>
      </c>
      <c r="Y19" s="1803">
        <v>0</v>
      </c>
      <c r="Z19" s="1803">
        <v>0</v>
      </c>
      <c r="AA19" s="1803">
        <v>0</v>
      </c>
      <c r="AB19" s="1803">
        <v>0</v>
      </c>
      <c r="AC19" s="1803">
        <v>0</v>
      </c>
      <c r="AD19" s="1803">
        <v>0</v>
      </c>
      <c r="AE19" s="1803">
        <v>0</v>
      </c>
      <c r="AF19" s="1803">
        <v>0</v>
      </c>
      <c r="AG19" s="1803">
        <v>0</v>
      </c>
      <c r="AH19" s="1803">
        <v>0</v>
      </c>
      <c r="AI19" s="1803">
        <v>0</v>
      </c>
      <c r="AJ19" s="1803">
        <v>0</v>
      </c>
      <c r="AK19" s="1803">
        <v>0</v>
      </c>
      <c r="AL19" s="1803">
        <v>0</v>
      </c>
      <c r="AM19" s="1803">
        <v>0</v>
      </c>
      <c r="AN19" s="1803">
        <v>0</v>
      </c>
      <c r="AO19" s="1803">
        <v>0</v>
      </c>
      <c r="AP19" s="1803">
        <v>0</v>
      </c>
      <c r="AQ19" s="1803">
        <v>0</v>
      </c>
      <c r="AR19" s="1803">
        <v>0</v>
      </c>
      <c r="AS19" s="1803">
        <v>0</v>
      </c>
      <c r="AT19" s="1803">
        <v>0</v>
      </c>
      <c r="AU19" s="1803">
        <v>0</v>
      </c>
      <c r="AV19" s="1803">
        <v>0</v>
      </c>
      <c r="AW19" s="1803">
        <v>0</v>
      </c>
      <c r="AX19" s="1803">
        <v>0</v>
      </c>
      <c r="AY19" s="1803">
        <v>0</v>
      </c>
      <c r="AZ19" s="1803">
        <v>0</v>
      </c>
      <c r="BA19" s="1803">
        <v>0</v>
      </c>
      <c r="BB19" s="1803">
        <v>0</v>
      </c>
      <c r="BC19" s="1803">
        <v>0</v>
      </c>
      <c r="BD19" s="1803">
        <v>0</v>
      </c>
      <c r="BE19" s="1803">
        <v>0</v>
      </c>
      <c r="BF19" s="1803">
        <v>0</v>
      </c>
      <c r="BG19" s="1803">
        <v>0</v>
      </c>
      <c r="BH19" s="1803">
        <v>0</v>
      </c>
      <c r="BI19" s="1803">
        <v>0</v>
      </c>
      <c r="BJ19" s="1803">
        <v>0</v>
      </c>
      <c r="BK19" s="1803">
        <v>0</v>
      </c>
      <c r="BL19" s="1803">
        <v>0</v>
      </c>
      <c r="BM19" s="1803">
        <v>0</v>
      </c>
      <c r="BN19" s="1803">
        <v>0</v>
      </c>
      <c r="BO19" s="1803">
        <v>0</v>
      </c>
      <c r="BP19" s="1803">
        <v>0</v>
      </c>
      <c r="BQ19" s="1803">
        <v>0</v>
      </c>
      <c r="BR19" s="1803">
        <v>0</v>
      </c>
      <c r="BS19" s="1803">
        <v>0</v>
      </c>
      <c r="BT19" s="1803">
        <v>0</v>
      </c>
      <c r="BU19" s="1803">
        <v>0</v>
      </c>
      <c r="BV19" s="1803">
        <v>0</v>
      </c>
      <c r="BW19" s="1803">
        <v>0</v>
      </c>
      <c r="BX19" s="1803">
        <v>0</v>
      </c>
      <c r="BY19" s="1803">
        <v>0</v>
      </c>
      <c r="BZ19" s="1803">
        <v>0</v>
      </c>
      <c r="CA19" s="1803">
        <v>0</v>
      </c>
      <c r="CB19" s="1803">
        <v>0</v>
      </c>
      <c r="CC19" s="1803">
        <v>0</v>
      </c>
      <c r="CD19" s="1803">
        <v>0</v>
      </c>
      <c r="CE19" s="1803">
        <v>0</v>
      </c>
      <c r="CF19" s="1803">
        <v>0</v>
      </c>
      <c r="CG19" s="1803">
        <v>0</v>
      </c>
      <c r="CH19" s="1803">
        <v>0</v>
      </c>
      <c r="CI19" s="1803">
        <v>0</v>
      </c>
      <c r="CJ19" s="1803">
        <v>0</v>
      </c>
      <c r="CK19" s="1803">
        <v>0</v>
      </c>
      <c r="CL19" s="1803">
        <v>0</v>
      </c>
      <c r="CM19" s="1803">
        <v>0</v>
      </c>
      <c r="CN19" s="1803">
        <v>0</v>
      </c>
      <c r="CO19" s="1803">
        <v>0</v>
      </c>
      <c r="CP19" s="1803">
        <v>0</v>
      </c>
      <c r="CQ19" s="1803">
        <v>0</v>
      </c>
      <c r="CR19" s="1803">
        <v>0</v>
      </c>
      <c r="CS19" s="1803">
        <v>0</v>
      </c>
      <c r="CT19" s="1803">
        <v>0</v>
      </c>
      <c r="CU19" s="1803">
        <v>0</v>
      </c>
      <c r="CV19" s="1803">
        <v>0</v>
      </c>
      <c r="CW19" s="1803">
        <v>0</v>
      </c>
      <c r="CX19" s="1803">
        <v>0</v>
      </c>
      <c r="CY19" s="1803">
        <v>0</v>
      </c>
      <c r="CZ19" s="1803">
        <v>0</v>
      </c>
      <c r="DA19" s="1803">
        <v>0</v>
      </c>
      <c r="DB19" s="1803">
        <v>0</v>
      </c>
      <c r="DC19" s="1803">
        <v>0</v>
      </c>
      <c r="DD19" s="1803">
        <v>0</v>
      </c>
      <c r="DE19" s="1803">
        <v>0</v>
      </c>
      <c r="DF19" s="1803">
        <v>0</v>
      </c>
      <c r="DG19" s="1803">
        <v>0</v>
      </c>
      <c r="DH19" s="1803">
        <v>0</v>
      </c>
      <c r="DI19" s="1803">
        <v>0</v>
      </c>
      <c r="DJ19" s="1803">
        <v>0</v>
      </c>
      <c r="DK19" s="1803">
        <v>0</v>
      </c>
      <c r="DL19" s="1803">
        <v>0</v>
      </c>
      <c r="DM19" s="1803">
        <v>0</v>
      </c>
      <c r="DN19" s="1803">
        <v>0</v>
      </c>
      <c r="DO19" s="1803">
        <v>0</v>
      </c>
      <c r="DP19" s="1803">
        <v>0</v>
      </c>
      <c r="DQ19" s="1803">
        <v>0</v>
      </c>
      <c r="DR19" s="1803">
        <v>0</v>
      </c>
      <c r="DS19" s="1803">
        <v>0</v>
      </c>
      <c r="DT19" s="1803">
        <v>0</v>
      </c>
      <c r="DU19" s="1803">
        <v>0</v>
      </c>
      <c r="DV19" s="1803">
        <v>0</v>
      </c>
      <c r="DW19" s="1803">
        <v>0</v>
      </c>
      <c r="DX19" s="1803">
        <v>0</v>
      </c>
      <c r="DY19" s="1803">
        <v>0</v>
      </c>
      <c r="DZ19" s="1803">
        <v>0</v>
      </c>
      <c r="EA19" s="1803">
        <v>0</v>
      </c>
      <c r="EB19" s="1803">
        <v>0</v>
      </c>
      <c r="EC19" s="1803">
        <v>0</v>
      </c>
      <c r="ED19" s="1803">
        <v>0</v>
      </c>
      <c r="EE19" s="1803">
        <v>0</v>
      </c>
      <c r="EF19" s="1803">
        <v>0</v>
      </c>
      <c r="EG19" s="1803">
        <v>0</v>
      </c>
      <c r="EH19" s="1803">
        <v>0</v>
      </c>
      <c r="EI19" s="1803">
        <v>0</v>
      </c>
      <c r="EJ19" s="1803">
        <v>0</v>
      </c>
      <c r="EK19" s="1803">
        <v>0</v>
      </c>
      <c r="EL19" s="1803">
        <v>0</v>
      </c>
      <c r="EM19" s="1803">
        <v>0</v>
      </c>
      <c r="EN19" s="1803">
        <v>0</v>
      </c>
      <c r="EO19" s="1803">
        <v>0</v>
      </c>
      <c r="EP19" s="1803">
        <v>0</v>
      </c>
      <c r="EQ19" s="1803">
        <v>0</v>
      </c>
      <c r="ER19" s="1803">
        <v>0</v>
      </c>
      <c r="ES19" s="1803">
        <v>0</v>
      </c>
      <c r="ET19" s="1803">
        <v>0</v>
      </c>
      <c r="EU19" s="1803">
        <v>0</v>
      </c>
      <c r="EV19" s="1803">
        <v>0</v>
      </c>
      <c r="EW19" s="1803">
        <v>0</v>
      </c>
      <c r="EX19" s="1803">
        <v>0</v>
      </c>
      <c r="EY19" s="1803">
        <v>0</v>
      </c>
      <c r="EZ19" s="1803">
        <v>0</v>
      </c>
      <c r="FA19" s="1803">
        <v>0</v>
      </c>
      <c r="FB19" s="1803">
        <v>0</v>
      </c>
      <c r="FC19" s="1803">
        <v>0</v>
      </c>
      <c r="FD19" s="1803">
        <v>0</v>
      </c>
      <c r="FE19" s="1803">
        <v>0</v>
      </c>
      <c r="FF19" s="1803">
        <v>0</v>
      </c>
      <c r="FG19" s="1803">
        <v>0</v>
      </c>
      <c r="FH19" s="1803">
        <v>0</v>
      </c>
      <c r="FI19" s="1803">
        <v>0</v>
      </c>
      <c r="FJ19" s="1803">
        <v>0</v>
      </c>
      <c r="FK19" s="1803">
        <v>0</v>
      </c>
      <c r="FL19" s="1803">
        <v>0</v>
      </c>
      <c r="FM19" s="1803">
        <v>0</v>
      </c>
      <c r="FN19" s="1803">
        <v>0</v>
      </c>
      <c r="FO19" s="1803">
        <v>0</v>
      </c>
      <c r="FP19" s="1803">
        <v>0</v>
      </c>
      <c r="FQ19" s="1803">
        <v>0</v>
      </c>
      <c r="FR19" s="1803">
        <v>0</v>
      </c>
      <c r="FS19" s="1803">
        <v>0</v>
      </c>
      <c r="FT19" s="1803">
        <v>0</v>
      </c>
      <c r="FU19" s="1803">
        <v>0</v>
      </c>
      <c r="FV19" s="1803">
        <v>0</v>
      </c>
      <c r="FW19" s="1803">
        <v>0</v>
      </c>
      <c r="FX19" s="1803">
        <v>0</v>
      </c>
      <c r="FY19" s="1803">
        <v>0</v>
      </c>
      <c r="FZ19" s="1803">
        <v>0</v>
      </c>
      <c r="GA19" s="1803">
        <v>0</v>
      </c>
      <c r="GB19" s="1803">
        <v>0</v>
      </c>
      <c r="GC19" s="1803">
        <v>0</v>
      </c>
      <c r="GD19" s="1803">
        <v>0</v>
      </c>
      <c r="GE19" s="1803">
        <v>0</v>
      </c>
      <c r="GF19" s="1803">
        <v>0</v>
      </c>
      <c r="GG19" s="1803">
        <v>0</v>
      </c>
      <c r="GH19" s="1803">
        <v>0</v>
      </c>
      <c r="GI19" s="1803">
        <v>0</v>
      </c>
      <c r="GJ19" s="1803">
        <v>0</v>
      </c>
      <c r="GK19" s="1803">
        <v>0</v>
      </c>
      <c r="GL19" s="1803">
        <v>0</v>
      </c>
      <c r="GM19" s="1803">
        <v>0</v>
      </c>
      <c r="GN19" s="1803">
        <v>0</v>
      </c>
      <c r="GO19" s="1803">
        <v>0</v>
      </c>
      <c r="GP19" s="1803">
        <v>0</v>
      </c>
      <c r="GQ19" s="1803">
        <v>0</v>
      </c>
      <c r="GR19" s="1803">
        <v>0</v>
      </c>
      <c r="GS19" s="1803">
        <v>0</v>
      </c>
      <c r="GT19" s="1803">
        <v>0</v>
      </c>
      <c r="GU19" s="1803">
        <v>0</v>
      </c>
      <c r="GV19" s="1803">
        <v>0</v>
      </c>
      <c r="GW19" s="1803">
        <v>0</v>
      </c>
      <c r="GX19" s="1803">
        <v>0</v>
      </c>
      <c r="GY19" s="1803">
        <v>0</v>
      </c>
      <c r="GZ19" s="1803">
        <v>0</v>
      </c>
      <c r="HA19" s="1803">
        <v>0</v>
      </c>
      <c r="HB19" s="1803">
        <v>0</v>
      </c>
      <c r="HC19" s="1803">
        <v>0</v>
      </c>
      <c r="HD19" s="1803">
        <v>0</v>
      </c>
      <c r="HE19" s="1803">
        <v>0</v>
      </c>
    </row>
    <row r="20" spans="1:213" ht="15" customHeight="1" x14ac:dyDescent="0.2">
      <c r="A20" s="1964"/>
      <c r="B20" s="1970"/>
      <c r="C20" s="1816" t="s">
        <v>563</v>
      </c>
      <c r="D20" s="1882"/>
      <c r="E20" s="1984"/>
      <c r="F20" s="1837">
        <v>0</v>
      </c>
      <c r="G20" s="1803">
        <v>0</v>
      </c>
      <c r="H20" s="1803">
        <v>0</v>
      </c>
      <c r="I20" s="1803">
        <v>0</v>
      </c>
      <c r="J20" s="1803">
        <v>0</v>
      </c>
      <c r="K20" s="1803">
        <v>0</v>
      </c>
      <c r="L20" s="1803">
        <v>0</v>
      </c>
      <c r="M20" s="1803">
        <v>0</v>
      </c>
      <c r="N20" s="1803">
        <v>0</v>
      </c>
      <c r="O20" s="1803">
        <v>0</v>
      </c>
      <c r="P20" s="1803">
        <v>0</v>
      </c>
      <c r="Q20" s="1803">
        <v>0</v>
      </c>
      <c r="R20" s="1803">
        <v>0</v>
      </c>
      <c r="S20" s="1803">
        <v>0</v>
      </c>
      <c r="T20" s="1803">
        <v>0</v>
      </c>
      <c r="U20" s="1803">
        <v>0</v>
      </c>
      <c r="V20" s="1803">
        <v>0</v>
      </c>
      <c r="W20" s="1803">
        <v>0</v>
      </c>
      <c r="X20" s="1803">
        <v>0</v>
      </c>
      <c r="Y20" s="1803">
        <v>0</v>
      </c>
      <c r="Z20" s="1803">
        <v>0</v>
      </c>
      <c r="AA20" s="1803">
        <v>0</v>
      </c>
      <c r="AB20" s="1803">
        <v>0</v>
      </c>
      <c r="AC20" s="1803">
        <v>0</v>
      </c>
      <c r="AD20" s="1803">
        <v>0</v>
      </c>
      <c r="AE20" s="1803">
        <v>0</v>
      </c>
      <c r="AF20" s="1803">
        <v>0</v>
      </c>
      <c r="AG20" s="1803">
        <v>0</v>
      </c>
      <c r="AH20" s="1803">
        <v>0</v>
      </c>
      <c r="AI20" s="1803">
        <v>0</v>
      </c>
      <c r="AJ20" s="1803">
        <v>0</v>
      </c>
      <c r="AK20" s="1803">
        <v>0</v>
      </c>
      <c r="AL20" s="1803">
        <v>0</v>
      </c>
      <c r="AM20" s="1803">
        <v>0</v>
      </c>
      <c r="AN20" s="1803">
        <v>0</v>
      </c>
      <c r="AO20" s="1803">
        <v>0</v>
      </c>
      <c r="AP20" s="1803">
        <v>0</v>
      </c>
      <c r="AQ20" s="1803">
        <v>0</v>
      </c>
      <c r="AR20" s="1803">
        <v>0</v>
      </c>
      <c r="AS20" s="1803">
        <v>0</v>
      </c>
      <c r="AT20" s="1803">
        <v>0</v>
      </c>
      <c r="AU20" s="1803">
        <v>0</v>
      </c>
      <c r="AV20" s="1803">
        <v>0</v>
      </c>
      <c r="AW20" s="1803">
        <v>0</v>
      </c>
      <c r="AX20" s="1803">
        <v>0</v>
      </c>
      <c r="AY20" s="1803">
        <v>0</v>
      </c>
      <c r="AZ20" s="1803">
        <v>0</v>
      </c>
      <c r="BA20" s="1803">
        <v>0</v>
      </c>
      <c r="BB20" s="1803">
        <v>0</v>
      </c>
      <c r="BC20" s="1803">
        <v>0</v>
      </c>
      <c r="BD20" s="1803">
        <v>0</v>
      </c>
      <c r="BE20" s="1803">
        <v>0</v>
      </c>
      <c r="BF20" s="1803">
        <v>0</v>
      </c>
      <c r="BG20" s="1803">
        <v>0</v>
      </c>
      <c r="BH20" s="1803">
        <v>0</v>
      </c>
      <c r="BI20" s="1803">
        <v>0</v>
      </c>
      <c r="BJ20" s="1803">
        <v>0</v>
      </c>
      <c r="BK20" s="1803">
        <v>0</v>
      </c>
      <c r="BL20" s="1803">
        <v>0</v>
      </c>
      <c r="BM20" s="1803">
        <v>0</v>
      </c>
      <c r="BN20" s="1803">
        <v>0</v>
      </c>
      <c r="BO20" s="1803">
        <v>0</v>
      </c>
      <c r="BP20" s="1803">
        <v>0</v>
      </c>
      <c r="BQ20" s="1803">
        <v>0</v>
      </c>
      <c r="BR20" s="1803">
        <v>0</v>
      </c>
      <c r="BS20" s="1803">
        <v>0</v>
      </c>
      <c r="BT20" s="1803">
        <v>0</v>
      </c>
      <c r="BU20" s="1803">
        <v>0</v>
      </c>
      <c r="BV20" s="1803">
        <v>0</v>
      </c>
      <c r="BW20" s="1803">
        <v>0</v>
      </c>
      <c r="BX20" s="1803">
        <v>0</v>
      </c>
      <c r="BY20" s="1803">
        <v>0</v>
      </c>
      <c r="BZ20" s="1803">
        <v>0</v>
      </c>
      <c r="CA20" s="1803">
        <v>0</v>
      </c>
      <c r="CB20" s="1803">
        <v>0</v>
      </c>
      <c r="CC20" s="1803">
        <v>0</v>
      </c>
      <c r="CD20" s="1803">
        <v>0</v>
      </c>
      <c r="CE20" s="1803">
        <v>0</v>
      </c>
      <c r="CF20" s="1803">
        <v>0</v>
      </c>
      <c r="CG20" s="1803">
        <v>0</v>
      </c>
      <c r="CH20" s="1803">
        <v>0</v>
      </c>
      <c r="CI20" s="1803">
        <v>0</v>
      </c>
      <c r="CJ20" s="1803">
        <v>0</v>
      </c>
      <c r="CK20" s="1803">
        <v>0</v>
      </c>
      <c r="CL20" s="1803">
        <v>0</v>
      </c>
      <c r="CM20" s="1803">
        <v>0</v>
      </c>
      <c r="CN20" s="1803">
        <v>0</v>
      </c>
      <c r="CO20" s="1803">
        <v>0</v>
      </c>
      <c r="CP20" s="1803">
        <v>0</v>
      </c>
      <c r="CQ20" s="1803">
        <v>0</v>
      </c>
      <c r="CR20" s="1803">
        <v>0</v>
      </c>
      <c r="CS20" s="1803">
        <v>0</v>
      </c>
      <c r="CT20" s="1803">
        <v>0</v>
      </c>
      <c r="CU20" s="1803">
        <v>0</v>
      </c>
      <c r="CV20" s="1803">
        <v>0</v>
      </c>
      <c r="CW20" s="1803">
        <v>0</v>
      </c>
      <c r="CX20" s="1803">
        <v>0</v>
      </c>
      <c r="CY20" s="1803">
        <v>0</v>
      </c>
      <c r="CZ20" s="1803">
        <v>0</v>
      </c>
      <c r="DA20" s="1803">
        <v>0</v>
      </c>
      <c r="DB20" s="1803">
        <v>0</v>
      </c>
      <c r="DC20" s="1803">
        <v>0</v>
      </c>
      <c r="DD20" s="1803">
        <v>0</v>
      </c>
      <c r="DE20" s="1803">
        <v>0</v>
      </c>
      <c r="DF20" s="1803">
        <v>0</v>
      </c>
      <c r="DG20" s="1803">
        <v>0</v>
      </c>
      <c r="DH20" s="1803">
        <v>0</v>
      </c>
      <c r="DI20" s="1803">
        <v>0</v>
      </c>
      <c r="DJ20" s="1803">
        <v>0</v>
      </c>
      <c r="DK20" s="1803">
        <v>0</v>
      </c>
      <c r="DL20" s="1803">
        <v>0</v>
      </c>
      <c r="DM20" s="1803">
        <v>0</v>
      </c>
      <c r="DN20" s="1803">
        <v>0</v>
      </c>
      <c r="DO20" s="1803">
        <v>0</v>
      </c>
      <c r="DP20" s="1803">
        <v>0</v>
      </c>
      <c r="DQ20" s="1803">
        <v>0</v>
      </c>
      <c r="DR20" s="1803">
        <v>0</v>
      </c>
      <c r="DS20" s="1803">
        <v>0</v>
      </c>
      <c r="DT20" s="1803">
        <v>0</v>
      </c>
      <c r="DU20" s="1803">
        <v>0</v>
      </c>
      <c r="DV20" s="1803">
        <v>0</v>
      </c>
      <c r="DW20" s="1803">
        <v>0</v>
      </c>
      <c r="DX20" s="1803">
        <v>0</v>
      </c>
      <c r="DY20" s="1803">
        <v>0</v>
      </c>
      <c r="DZ20" s="1803">
        <v>0</v>
      </c>
      <c r="EA20" s="1803">
        <v>0</v>
      </c>
      <c r="EB20" s="1803">
        <v>0</v>
      </c>
      <c r="EC20" s="1803">
        <v>0</v>
      </c>
      <c r="ED20" s="1803">
        <v>0</v>
      </c>
      <c r="EE20" s="1803">
        <v>0</v>
      </c>
      <c r="EF20" s="1803">
        <v>0</v>
      </c>
      <c r="EG20" s="1803">
        <v>0</v>
      </c>
      <c r="EH20" s="1803">
        <v>0</v>
      </c>
      <c r="EI20" s="1803">
        <v>0</v>
      </c>
      <c r="EJ20" s="1803">
        <v>0</v>
      </c>
      <c r="EK20" s="1803">
        <v>0</v>
      </c>
      <c r="EL20" s="1803">
        <v>0</v>
      </c>
      <c r="EM20" s="1803">
        <v>0</v>
      </c>
      <c r="EN20" s="1803">
        <v>0</v>
      </c>
      <c r="EO20" s="1803">
        <v>0</v>
      </c>
      <c r="EP20" s="1803">
        <v>0</v>
      </c>
      <c r="EQ20" s="1803">
        <v>0</v>
      </c>
      <c r="ER20" s="1803">
        <v>0</v>
      </c>
      <c r="ES20" s="1803">
        <v>0</v>
      </c>
      <c r="ET20" s="1803">
        <v>0</v>
      </c>
      <c r="EU20" s="1803">
        <v>0</v>
      </c>
      <c r="EV20" s="1803">
        <v>0</v>
      </c>
      <c r="EW20" s="1803">
        <v>0</v>
      </c>
      <c r="EX20" s="1803">
        <v>0</v>
      </c>
      <c r="EY20" s="1803">
        <v>0</v>
      </c>
      <c r="EZ20" s="1803">
        <v>0</v>
      </c>
      <c r="FA20" s="1803">
        <v>0</v>
      </c>
      <c r="FB20" s="1803">
        <v>0</v>
      </c>
      <c r="FC20" s="1803">
        <v>0</v>
      </c>
      <c r="FD20" s="1803">
        <v>0</v>
      </c>
      <c r="FE20" s="1803">
        <v>0</v>
      </c>
      <c r="FF20" s="1803">
        <v>0</v>
      </c>
      <c r="FG20" s="1803">
        <v>0</v>
      </c>
      <c r="FH20" s="1803">
        <v>0</v>
      </c>
      <c r="FI20" s="1803">
        <v>0</v>
      </c>
      <c r="FJ20" s="1803">
        <v>0</v>
      </c>
      <c r="FK20" s="1803">
        <v>0</v>
      </c>
      <c r="FL20" s="1803">
        <v>0</v>
      </c>
      <c r="FM20" s="1803">
        <v>0</v>
      </c>
      <c r="FN20" s="1803">
        <v>0</v>
      </c>
      <c r="FO20" s="1803">
        <v>0</v>
      </c>
      <c r="FP20" s="1803">
        <v>0</v>
      </c>
      <c r="FQ20" s="1803">
        <v>0</v>
      </c>
      <c r="FR20" s="1803">
        <v>0</v>
      </c>
      <c r="FS20" s="1803">
        <v>0</v>
      </c>
      <c r="FT20" s="1803">
        <v>0</v>
      </c>
      <c r="FU20" s="1803">
        <v>0</v>
      </c>
      <c r="FV20" s="1803">
        <v>0</v>
      </c>
      <c r="FW20" s="1803">
        <v>0</v>
      </c>
      <c r="FX20" s="1803">
        <v>0</v>
      </c>
      <c r="FY20" s="1803">
        <v>0</v>
      </c>
      <c r="FZ20" s="1803">
        <v>0</v>
      </c>
      <c r="GA20" s="1803">
        <v>0</v>
      </c>
      <c r="GB20" s="1803">
        <v>0</v>
      </c>
      <c r="GC20" s="1803">
        <v>0</v>
      </c>
      <c r="GD20" s="1803">
        <v>0</v>
      </c>
      <c r="GE20" s="1803">
        <v>0</v>
      </c>
      <c r="GF20" s="1803">
        <v>0</v>
      </c>
      <c r="GG20" s="1803">
        <v>0</v>
      </c>
      <c r="GH20" s="1803">
        <v>0</v>
      </c>
      <c r="GI20" s="1803">
        <v>0</v>
      </c>
      <c r="GJ20" s="1803">
        <v>0</v>
      </c>
      <c r="GK20" s="1803">
        <v>0</v>
      </c>
      <c r="GL20" s="1803">
        <v>0</v>
      </c>
      <c r="GM20" s="1803">
        <v>0</v>
      </c>
      <c r="GN20" s="1803">
        <v>0</v>
      </c>
      <c r="GO20" s="1803">
        <v>0</v>
      </c>
      <c r="GP20" s="1803">
        <v>0</v>
      </c>
      <c r="GQ20" s="1803">
        <v>0</v>
      </c>
      <c r="GR20" s="1803">
        <v>0</v>
      </c>
      <c r="GS20" s="1803">
        <v>0</v>
      </c>
      <c r="GT20" s="1803">
        <v>0</v>
      </c>
      <c r="GU20" s="1803">
        <v>0</v>
      </c>
      <c r="GV20" s="1803">
        <v>0</v>
      </c>
      <c r="GW20" s="1803">
        <v>0</v>
      </c>
      <c r="GX20" s="1803">
        <v>0</v>
      </c>
      <c r="GY20" s="1803">
        <v>0</v>
      </c>
      <c r="GZ20" s="1803">
        <v>0</v>
      </c>
      <c r="HA20" s="1803">
        <v>0</v>
      </c>
      <c r="HB20" s="1803">
        <v>0</v>
      </c>
      <c r="HC20" s="1803">
        <v>0</v>
      </c>
      <c r="HD20" s="1803">
        <v>0</v>
      </c>
      <c r="HE20" s="1803">
        <v>0</v>
      </c>
    </row>
    <row r="21" spans="1:213" ht="15" customHeight="1" x14ac:dyDescent="0.2">
      <c r="A21" s="1964"/>
      <c r="B21" s="1970"/>
      <c r="C21" s="1816" t="s">
        <v>651</v>
      </c>
      <c r="D21" s="1882"/>
      <c r="E21" s="1984"/>
      <c r="F21" s="1837">
        <v>0</v>
      </c>
      <c r="G21" s="1803">
        <v>0</v>
      </c>
      <c r="H21" s="1803">
        <v>0</v>
      </c>
      <c r="I21" s="1803">
        <v>0</v>
      </c>
      <c r="J21" s="1803">
        <v>0</v>
      </c>
      <c r="K21" s="1803">
        <v>0</v>
      </c>
      <c r="L21" s="1803">
        <v>0</v>
      </c>
      <c r="M21" s="1803">
        <v>0</v>
      </c>
      <c r="N21" s="1803">
        <v>0</v>
      </c>
      <c r="O21" s="1803">
        <v>0</v>
      </c>
      <c r="P21" s="1803">
        <v>0</v>
      </c>
      <c r="Q21" s="1803">
        <v>0</v>
      </c>
      <c r="R21" s="1803">
        <v>0</v>
      </c>
      <c r="S21" s="1803">
        <v>0</v>
      </c>
      <c r="T21" s="1803">
        <v>0</v>
      </c>
      <c r="U21" s="1803">
        <v>0</v>
      </c>
      <c r="V21" s="1803">
        <v>0</v>
      </c>
      <c r="W21" s="1803">
        <v>0</v>
      </c>
      <c r="X21" s="1803">
        <v>0</v>
      </c>
      <c r="Y21" s="1803">
        <v>0</v>
      </c>
      <c r="Z21" s="1803">
        <v>0</v>
      </c>
      <c r="AA21" s="1803">
        <v>0</v>
      </c>
      <c r="AB21" s="1803">
        <v>0</v>
      </c>
      <c r="AC21" s="1803">
        <v>0</v>
      </c>
      <c r="AD21" s="1803">
        <v>0</v>
      </c>
      <c r="AE21" s="1803">
        <v>0</v>
      </c>
      <c r="AF21" s="1803">
        <v>0</v>
      </c>
      <c r="AG21" s="1803">
        <v>0</v>
      </c>
      <c r="AH21" s="1803">
        <v>0</v>
      </c>
      <c r="AI21" s="1803">
        <v>0</v>
      </c>
      <c r="AJ21" s="1803">
        <v>0</v>
      </c>
      <c r="AK21" s="1803">
        <v>0</v>
      </c>
      <c r="AL21" s="1803">
        <v>0</v>
      </c>
      <c r="AM21" s="1803">
        <v>0</v>
      </c>
      <c r="AN21" s="1803">
        <v>0</v>
      </c>
      <c r="AO21" s="1803">
        <v>0</v>
      </c>
      <c r="AP21" s="1803">
        <v>0</v>
      </c>
      <c r="AQ21" s="1803">
        <v>0</v>
      </c>
      <c r="AR21" s="1803">
        <v>0</v>
      </c>
      <c r="AS21" s="1803">
        <v>0</v>
      </c>
      <c r="AT21" s="1803">
        <v>0</v>
      </c>
      <c r="AU21" s="1803">
        <v>0</v>
      </c>
      <c r="AV21" s="1803">
        <v>0</v>
      </c>
      <c r="AW21" s="1803">
        <v>0</v>
      </c>
      <c r="AX21" s="1803">
        <v>0</v>
      </c>
      <c r="AY21" s="1803">
        <v>0</v>
      </c>
      <c r="AZ21" s="1803">
        <v>0</v>
      </c>
      <c r="BA21" s="1803">
        <v>0</v>
      </c>
      <c r="BB21" s="1803">
        <v>0</v>
      </c>
      <c r="BC21" s="1803">
        <v>0</v>
      </c>
      <c r="BD21" s="1803">
        <v>0</v>
      </c>
      <c r="BE21" s="1803">
        <v>0</v>
      </c>
      <c r="BF21" s="1803">
        <v>0</v>
      </c>
      <c r="BG21" s="1803">
        <v>0</v>
      </c>
      <c r="BH21" s="1803">
        <v>0</v>
      </c>
      <c r="BI21" s="1803">
        <v>0</v>
      </c>
      <c r="BJ21" s="1803">
        <v>0</v>
      </c>
      <c r="BK21" s="1803">
        <v>0</v>
      </c>
      <c r="BL21" s="1803">
        <v>0</v>
      </c>
      <c r="BM21" s="1803">
        <v>0</v>
      </c>
      <c r="BN21" s="1803">
        <v>0</v>
      </c>
      <c r="BO21" s="1803">
        <v>0</v>
      </c>
      <c r="BP21" s="1803">
        <v>0</v>
      </c>
      <c r="BQ21" s="1803">
        <v>0</v>
      </c>
      <c r="BR21" s="1803">
        <v>0</v>
      </c>
      <c r="BS21" s="1803">
        <v>0</v>
      </c>
      <c r="BT21" s="1803">
        <v>0</v>
      </c>
      <c r="BU21" s="1803">
        <v>0</v>
      </c>
      <c r="BV21" s="1803">
        <v>0</v>
      </c>
      <c r="BW21" s="1803">
        <v>0</v>
      </c>
      <c r="BX21" s="1803">
        <v>0</v>
      </c>
      <c r="BY21" s="1803">
        <v>0</v>
      </c>
      <c r="BZ21" s="1803">
        <v>0</v>
      </c>
      <c r="CA21" s="1803">
        <v>0</v>
      </c>
      <c r="CB21" s="1803">
        <v>0</v>
      </c>
      <c r="CC21" s="1803">
        <v>0</v>
      </c>
      <c r="CD21" s="1803">
        <v>0</v>
      </c>
      <c r="CE21" s="1803">
        <v>0</v>
      </c>
      <c r="CF21" s="1803">
        <v>0</v>
      </c>
      <c r="CG21" s="1803">
        <v>0</v>
      </c>
      <c r="CH21" s="1803">
        <v>0</v>
      </c>
      <c r="CI21" s="1803">
        <v>0</v>
      </c>
      <c r="CJ21" s="1803">
        <v>0</v>
      </c>
      <c r="CK21" s="1803">
        <v>0</v>
      </c>
      <c r="CL21" s="1803">
        <v>0</v>
      </c>
      <c r="CM21" s="1803">
        <v>0</v>
      </c>
      <c r="CN21" s="1803">
        <v>0</v>
      </c>
      <c r="CO21" s="1803">
        <v>0</v>
      </c>
      <c r="CP21" s="1803">
        <v>0</v>
      </c>
      <c r="CQ21" s="1803">
        <v>0</v>
      </c>
      <c r="CR21" s="1803">
        <v>0</v>
      </c>
      <c r="CS21" s="1803">
        <v>0</v>
      </c>
      <c r="CT21" s="1803">
        <v>0</v>
      </c>
      <c r="CU21" s="1803">
        <v>0</v>
      </c>
      <c r="CV21" s="1803">
        <v>0</v>
      </c>
      <c r="CW21" s="1803">
        <v>0</v>
      </c>
      <c r="CX21" s="1803">
        <v>0</v>
      </c>
      <c r="CY21" s="1803">
        <v>0</v>
      </c>
      <c r="CZ21" s="1803">
        <v>0</v>
      </c>
      <c r="DA21" s="1803">
        <v>0</v>
      </c>
      <c r="DB21" s="1803">
        <v>0</v>
      </c>
      <c r="DC21" s="1803">
        <v>0</v>
      </c>
      <c r="DD21" s="1803">
        <v>0</v>
      </c>
      <c r="DE21" s="1803">
        <v>0</v>
      </c>
      <c r="DF21" s="1803">
        <v>0</v>
      </c>
      <c r="DG21" s="1803">
        <v>0</v>
      </c>
      <c r="DH21" s="1803">
        <v>0</v>
      </c>
      <c r="DI21" s="1803">
        <v>0</v>
      </c>
      <c r="DJ21" s="1803">
        <v>0</v>
      </c>
      <c r="DK21" s="1803">
        <v>0</v>
      </c>
      <c r="DL21" s="1803">
        <v>0</v>
      </c>
      <c r="DM21" s="1803">
        <v>0</v>
      </c>
      <c r="DN21" s="1803">
        <v>0</v>
      </c>
      <c r="DO21" s="1803">
        <v>0</v>
      </c>
      <c r="DP21" s="1803">
        <v>0</v>
      </c>
      <c r="DQ21" s="1803">
        <v>0</v>
      </c>
      <c r="DR21" s="1803">
        <v>0</v>
      </c>
      <c r="DS21" s="1803">
        <v>0</v>
      </c>
      <c r="DT21" s="1803">
        <v>0</v>
      </c>
      <c r="DU21" s="1803">
        <v>0</v>
      </c>
      <c r="DV21" s="1803">
        <v>0</v>
      </c>
      <c r="DW21" s="1803">
        <v>0</v>
      </c>
      <c r="DX21" s="1803">
        <v>0</v>
      </c>
      <c r="DY21" s="1803">
        <v>0</v>
      </c>
      <c r="DZ21" s="1803">
        <v>0</v>
      </c>
      <c r="EA21" s="1803">
        <v>0</v>
      </c>
      <c r="EB21" s="1803">
        <v>0</v>
      </c>
      <c r="EC21" s="1803">
        <v>0</v>
      </c>
      <c r="ED21" s="1803">
        <v>0</v>
      </c>
      <c r="EE21" s="1803">
        <v>0</v>
      </c>
      <c r="EF21" s="1803">
        <v>0</v>
      </c>
      <c r="EG21" s="1803">
        <v>0</v>
      </c>
      <c r="EH21" s="1803">
        <v>0</v>
      </c>
      <c r="EI21" s="1803">
        <v>0</v>
      </c>
      <c r="EJ21" s="1803">
        <v>0</v>
      </c>
      <c r="EK21" s="1803">
        <v>0</v>
      </c>
      <c r="EL21" s="1803">
        <v>0</v>
      </c>
      <c r="EM21" s="1803">
        <v>0</v>
      </c>
      <c r="EN21" s="1803">
        <v>0</v>
      </c>
      <c r="EO21" s="1803">
        <v>0</v>
      </c>
      <c r="EP21" s="1803">
        <v>0</v>
      </c>
      <c r="EQ21" s="1803">
        <v>0</v>
      </c>
      <c r="ER21" s="1803">
        <v>0</v>
      </c>
      <c r="ES21" s="1803">
        <v>0</v>
      </c>
      <c r="ET21" s="1803">
        <v>0</v>
      </c>
      <c r="EU21" s="1803">
        <v>0</v>
      </c>
      <c r="EV21" s="1803">
        <v>0</v>
      </c>
      <c r="EW21" s="1803">
        <v>0</v>
      </c>
      <c r="EX21" s="1803">
        <v>0</v>
      </c>
      <c r="EY21" s="1803">
        <v>0</v>
      </c>
      <c r="EZ21" s="1803">
        <v>0</v>
      </c>
      <c r="FA21" s="1803">
        <v>0</v>
      </c>
      <c r="FB21" s="1803">
        <v>0</v>
      </c>
      <c r="FC21" s="1803">
        <v>0</v>
      </c>
      <c r="FD21" s="1803">
        <v>0</v>
      </c>
      <c r="FE21" s="1803">
        <v>0</v>
      </c>
      <c r="FF21" s="1803">
        <v>0</v>
      </c>
      <c r="FG21" s="1803">
        <v>0</v>
      </c>
      <c r="FH21" s="1803">
        <v>0</v>
      </c>
      <c r="FI21" s="1803">
        <v>0</v>
      </c>
      <c r="FJ21" s="1803">
        <v>0</v>
      </c>
      <c r="FK21" s="1803">
        <v>0</v>
      </c>
      <c r="FL21" s="1803">
        <v>0</v>
      </c>
      <c r="FM21" s="1803">
        <v>0</v>
      </c>
      <c r="FN21" s="1803">
        <v>0</v>
      </c>
      <c r="FO21" s="1803">
        <v>0</v>
      </c>
      <c r="FP21" s="1803">
        <v>0</v>
      </c>
      <c r="FQ21" s="1803">
        <v>0</v>
      </c>
      <c r="FR21" s="1803">
        <v>0</v>
      </c>
      <c r="FS21" s="1803">
        <v>0</v>
      </c>
      <c r="FT21" s="1803">
        <v>0</v>
      </c>
      <c r="FU21" s="1803">
        <v>0</v>
      </c>
      <c r="FV21" s="1803">
        <v>0</v>
      </c>
      <c r="FW21" s="1803">
        <v>0</v>
      </c>
      <c r="FX21" s="1803">
        <v>0</v>
      </c>
      <c r="FY21" s="1803">
        <v>0</v>
      </c>
      <c r="FZ21" s="1803">
        <v>0</v>
      </c>
      <c r="GA21" s="1803">
        <v>0</v>
      </c>
      <c r="GB21" s="1803">
        <v>0</v>
      </c>
      <c r="GC21" s="1803">
        <v>0</v>
      </c>
      <c r="GD21" s="1803">
        <v>0</v>
      </c>
      <c r="GE21" s="1803">
        <v>0</v>
      </c>
      <c r="GF21" s="1803">
        <v>0</v>
      </c>
      <c r="GG21" s="1803">
        <v>0</v>
      </c>
      <c r="GH21" s="1803">
        <v>0</v>
      </c>
      <c r="GI21" s="1803">
        <v>0</v>
      </c>
      <c r="GJ21" s="1803">
        <v>0</v>
      </c>
      <c r="GK21" s="1803">
        <v>0</v>
      </c>
      <c r="GL21" s="1803">
        <v>0</v>
      </c>
      <c r="GM21" s="1803">
        <v>0</v>
      </c>
      <c r="GN21" s="1803">
        <v>0</v>
      </c>
      <c r="GO21" s="1803">
        <v>0</v>
      </c>
      <c r="GP21" s="1803">
        <v>0</v>
      </c>
      <c r="GQ21" s="1803">
        <v>0</v>
      </c>
      <c r="GR21" s="1803">
        <v>0</v>
      </c>
      <c r="GS21" s="1803">
        <v>0</v>
      </c>
      <c r="GT21" s="1803">
        <v>0</v>
      </c>
      <c r="GU21" s="1803">
        <v>0</v>
      </c>
      <c r="GV21" s="1803">
        <v>0</v>
      </c>
      <c r="GW21" s="1803">
        <v>0</v>
      </c>
      <c r="GX21" s="1803">
        <v>0</v>
      </c>
      <c r="GY21" s="1803">
        <v>0</v>
      </c>
      <c r="GZ21" s="1803">
        <v>0</v>
      </c>
      <c r="HA21" s="1803">
        <v>0</v>
      </c>
      <c r="HB21" s="1803">
        <v>0</v>
      </c>
      <c r="HC21" s="1803">
        <v>0</v>
      </c>
      <c r="HD21" s="1803">
        <v>0</v>
      </c>
      <c r="HE21" s="1803">
        <v>0</v>
      </c>
    </row>
    <row r="22" spans="1:213" ht="15" customHeight="1" x14ac:dyDescent="0.2">
      <c r="A22" s="1964"/>
      <c r="B22" s="1970"/>
      <c r="C22" s="1816" t="s">
        <v>1358</v>
      </c>
      <c r="D22" s="1882"/>
      <c r="E22" s="1984"/>
      <c r="F22" s="1837">
        <v>0</v>
      </c>
      <c r="G22" s="1803">
        <v>0</v>
      </c>
      <c r="H22" s="1803">
        <v>0</v>
      </c>
      <c r="I22" s="1803">
        <v>0</v>
      </c>
      <c r="J22" s="1803">
        <v>0</v>
      </c>
      <c r="K22" s="1803">
        <v>0</v>
      </c>
      <c r="L22" s="1803">
        <v>0</v>
      </c>
      <c r="M22" s="1803">
        <v>0</v>
      </c>
      <c r="N22" s="1803">
        <v>0</v>
      </c>
      <c r="O22" s="1803">
        <v>0</v>
      </c>
      <c r="P22" s="1803">
        <v>0</v>
      </c>
      <c r="Q22" s="1803">
        <v>0</v>
      </c>
      <c r="R22" s="1803">
        <v>0</v>
      </c>
      <c r="S22" s="1803">
        <v>0</v>
      </c>
      <c r="T22" s="1803">
        <v>0</v>
      </c>
      <c r="U22" s="1803">
        <v>0</v>
      </c>
      <c r="V22" s="1803">
        <v>0</v>
      </c>
      <c r="W22" s="1803">
        <v>0</v>
      </c>
      <c r="X22" s="1803">
        <v>0</v>
      </c>
      <c r="Y22" s="1803">
        <v>0</v>
      </c>
      <c r="Z22" s="1803">
        <v>0</v>
      </c>
      <c r="AA22" s="1803">
        <v>0</v>
      </c>
      <c r="AB22" s="1803">
        <v>0</v>
      </c>
      <c r="AC22" s="1803">
        <v>0</v>
      </c>
      <c r="AD22" s="1803">
        <v>0</v>
      </c>
      <c r="AE22" s="1803">
        <v>0</v>
      </c>
      <c r="AF22" s="1803">
        <v>0</v>
      </c>
      <c r="AG22" s="1803">
        <v>0</v>
      </c>
      <c r="AH22" s="1803">
        <v>0</v>
      </c>
      <c r="AI22" s="1803">
        <v>0</v>
      </c>
      <c r="AJ22" s="1803">
        <v>0</v>
      </c>
      <c r="AK22" s="1803">
        <v>0</v>
      </c>
      <c r="AL22" s="1803">
        <v>0</v>
      </c>
      <c r="AM22" s="1803">
        <v>0</v>
      </c>
      <c r="AN22" s="1803">
        <v>0</v>
      </c>
      <c r="AO22" s="1803">
        <v>0</v>
      </c>
      <c r="AP22" s="1803">
        <v>0</v>
      </c>
      <c r="AQ22" s="1803">
        <v>0</v>
      </c>
      <c r="AR22" s="1803">
        <v>0</v>
      </c>
      <c r="AS22" s="1803">
        <v>0</v>
      </c>
      <c r="AT22" s="1803">
        <v>0</v>
      </c>
      <c r="AU22" s="1803">
        <v>0</v>
      </c>
      <c r="AV22" s="1803">
        <v>0</v>
      </c>
      <c r="AW22" s="1803">
        <v>0</v>
      </c>
      <c r="AX22" s="1803">
        <v>0</v>
      </c>
      <c r="AY22" s="1803">
        <v>0</v>
      </c>
      <c r="AZ22" s="1803">
        <v>0</v>
      </c>
      <c r="BA22" s="1803">
        <v>0</v>
      </c>
      <c r="BB22" s="1803">
        <v>0</v>
      </c>
      <c r="BC22" s="1803">
        <v>0</v>
      </c>
      <c r="BD22" s="1803">
        <v>0</v>
      </c>
      <c r="BE22" s="1803">
        <v>0</v>
      </c>
      <c r="BF22" s="1803">
        <v>0</v>
      </c>
      <c r="BG22" s="1803">
        <v>0</v>
      </c>
      <c r="BH22" s="1803">
        <v>0</v>
      </c>
      <c r="BI22" s="1803">
        <v>0</v>
      </c>
      <c r="BJ22" s="1803">
        <v>0</v>
      </c>
      <c r="BK22" s="1803">
        <v>0</v>
      </c>
      <c r="BL22" s="1803">
        <v>0</v>
      </c>
      <c r="BM22" s="1803">
        <v>0</v>
      </c>
      <c r="BN22" s="1803">
        <v>0</v>
      </c>
      <c r="BO22" s="1803">
        <v>0</v>
      </c>
      <c r="BP22" s="1803">
        <v>0</v>
      </c>
      <c r="BQ22" s="1803">
        <v>0</v>
      </c>
      <c r="BR22" s="1803">
        <v>0</v>
      </c>
      <c r="BS22" s="1803">
        <v>0</v>
      </c>
      <c r="BT22" s="1803">
        <v>0</v>
      </c>
      <c r="BU22" s="1803">
        <v>0</v>
      </c>
      <c r="BV22" s="1803">
        <v>0</v>
      </c>
      <c r="BW22" s="1803">
        <v>0</v>
      </c>
      <c r="BX22" s="1803">
        <v>0</v>
      </c>
      <c r="BY22" s="1803">
        <v>0</v>
      </c>
      <c r="BZ22" s="1803">
        <v>0</v>
      </c>
      <c r="CA22" s="1803">
        <v>0</v>
      </c>
      <c r="CB22" s="1803">
        <v>0</v>
      </c>
      <c r="CC22" s="1803">
        <v>0</v>
      </c>
      <c r="CD22" s="1803">
        <v>0</v>
      </c>
      <c r="CE22" s="1803">
        <v>0</v>
      </c>
      <c r="CF22" s="1803">
        <v>0</v>
      </c>
      <c r="CG22" s="1803">
        <v>0</v>
      </c>
      <c r="CH22" s="1803">
        <v>0</v>
      </c>
      <c r="CI22" s="1803">
        <v>0</v>
      </c>
      <c r="CJ22" s="1803">
        <v>0</v>
      </c>
      <c r="CK22" s="1803">
        <v>0</v>
      </c>
      <c r="CL22" s="1803">
        <v>0</v>
      </c>
      <c r="CM22" s="1803">
        <v>0</v>
      </c>
      <c r="CN22" s="1803">
        <v>0</v>
      </c>
      <c r="CO22" s="1803">
        <v>0</v>
      </c>
      <c r="CP22" s="1803">
        <v>0</v>
      </c>
      <c r="CQ22" s="1803">
        <v>0</v>
      </c>
      <c r="CR22" s="1803">
        <v>0</v>
      </c>
      <c r="CS22" s="1803">
        <v>0</v>
      </c>
      <c r="CT22" s="1803">
        <v>0</v>
      </c>
      <c r="CU22" s="1803">
        <v>0</v>
      </c>
      <c r="CV22" s="1803">
        <v>0</v>
      </c>
      <c r="CW22" s="1803">
        <v>0</v>
      </c>
      <c r="CX22" s="1803">
        <v>0</v>
      </c>
      <c r="CY22" s="1803">
        <v>0</v>
      </c>
      <c r="CZ22" s="1803">
        <v>0</v>
      </c>
      <c r="DA22" s="1803">
        <v>0</v>
      </c>
      <c r="DB22" s="1803">
        <v>0</v>
      </c>
      <c r="DC22" s="1803">
        <v>0</v>
      </c>
      <c r="DD22" s="1803">
        <v>0</v>
      </c>
      <c r="DE22" s="1803">
        <v>0</v>
      </c>
      <c r="DF22" s="1803">
        <v>0</v>
      </c>
      <c r="DG22" s="1803">
        <v>0</v>
      </c>
      <c r="DH22" s="1803">
        <v>0</v>
      </c>
      <c r="DI22" s="1803">
        <v>0</v>
      </c>
      <c r="DJ22" s="1803">
        <v>0</v>
      </c>
      <c r="DK22" s="1803">
        <v>0</v>
      </c>
      <c r="DL22" s="1803">
        <v>0</v>
      </c>
      <c r="DM22" s="1803">
        <v>0</v>
      </c>
      <c r="DN22" s="1803">
        <v>0</v>
      </c>
      <c r="DO22" s="1803">
        <v>0</v>
      </c>
      <c r="DP22" s="1803">
        <v>0</v>
      </c>
      <c r="DQ22" s="1803">
        <v>0</v>
      </c>
      <c r="DR22" s="1803">
        <v>0</v>
      </c>
      <c r="DS22" s="1803">
        <v>0</v>
      </c>
      <c r="DT22" s="1803">
        <v>0</v>
      </c>
      <c r="DU22" s="1803">
        <v>0</v>
      </c>
      <c r="DV22" s="1803">
        <v>0</v>
      </c>
      <c r="DW22" s="1803">
        <v>0</v>
      </c>
      <c r="DX22" s="1803">
        <v>0</v>
      </c>
      <c r="DY22" s="1803">
        <v>0</v>
      </c>
      <c r="DZ22" s="1803">
        <v>0</v>
      </c>
      <c r="EA22" s="1803">
        <v>0</v>
      </c>
      <c r="EB22" s="1803">
        <v>0</v>
      </c>
      <c r="EC22" s="1803">
        <v>0</v>
      </c>
      <c r="ED22" s="1803">
        <v>0</v>
      </c>
      <c r="EE22" s="1803">
        <v>0</v>
      </c>
      <c r="EF22" s="1803">
        <v>0</v>
      </c>
      <c r="EG22" s="1803">
        <v>0</v>
      </c>
      <c r="EH22" s="1803">
        <v>0</v>
      </c>
      <c r="EI22" s="1803">
        <v>0</v>
      </c>
      <c r="EJ22" s="1803">
        <v>0</v>
      </c>
      <c r="EK22" s="1803">
        <v>0</v>
      </c>
      <c r="EL22" s="1803">
        <v>0</v>
      </c>
      <c r="EM22" s="1803">
        <v>0</v>
      </c>
      <c r="EN22" s="1803">
        <v>0</v>
      </c>
      <c r="EO22" s="1803">
        <v>0</v>
      </c>
      <c r="EP22" s="1803">
        <v>0</v>
      </c>
      <c r="EQ22" s="1803">
        <v>0</v>
      </c>
      <c r="ER22" s="1803">
        <v>0</v>
      </c>
      <c r="ES22" s="1803">
        <v>0</v>
      </c>
      <c r="ET22" s="1803">
        <v>0</v>
      </c>
      <c r="EU22" s="1803">
        <v>0</v>
      </c>
      <c r="EV22" s="1803">
        <v>0</v>
      </c>
      <c r="EW22" s="1803">
        <v>0</v>
      </c>
      <c r="EX22" s="1803">
        <v>0</v>
      </c>
      <c r="EY22" s="1803">
        <v>0</v>
      </c>
      <c r="EZ22" s="1803">
        <v>0</v>
      </c>
      <c r="FA22" s="1803">
        <v>0</v>
      </c>
      <c r="FB22" s="1803">
        <v>0</v>
      </c>
      <c r="FC22" s="1803">
        <v>0</v>
      </c>
      <c r="FD22" s="1803">
        <v>0</v>
      </c>
      <c r="FE22" s="1803">
        <v>0</v>
      </c>
      <c r="FF22" s="1803">
        <v>0</v>
      </c>
      <c r="FG22" s="1803">
        <v>0</v>
      </c>
      <c r="FH22" s="1803">
        <v>0</v>
      </c>
      <c r="FI22" s="1803">
        <v>0</v>
      </c>
      <c r="FJ22" s="1803">
        <v>0</v>
      </c>
      <c r="FK22" s="1803">
        <v>0</v>
      </c>
      <c r="FL22" s="1803">
        <v>0</v>
      </c>
      <c r="FM22" s="1803">
        <v>0</v>
      </c>
      <c r="FN22" s="1803">
        <v>0</v>
      </c>
      <c r="FO22" s="1803">
        <v>0</v>
      </c>
      <c r="FP22" s="1803">
        <v>0</v>
      </c>
      <c r="FQ22" s="1803">
        <v>0</v>
      </c>
      <c r="FR22" s="1803">
        <v>0</v>
      </c>
      <c r="FS22" s="1803">
        <v>0</v>
      </c>
      <c r="FT22" s="1803">
        <v>0</v>
      </c>
      <c r="FU22" s="1803">
        <v>0</v>
      </c>
      <c r="FV22" s="1803">
        <v>0</v>
      </c>
      <c r="FW22" s="1803">
        <v>0</v>
      </c>
      <c r="FX22" s="1803">
        <v>0</v>
      </c>
      <c r="FY22" s="1803">
        <v>0</v>
      </c>
      <c r="FZ22" s="1803">
        <v>0</v>
      </c>
      <c r="GA22" s="1803">
        <v>0</v>
      </c>
      <c r="GB22" s="1803">
        <v>0</v>
      </c>
      <c r="GC22" s="1803">
        <v>0</v>
      </c>
      <c r="GD22" s="1803">
        <v>0</v>
      </c>
      <c r="GE22" s="1803">
        <v>0</v>
      </c>
      <c r="GF22" s="1803">
        <v>0</v>
      </c>
      <c r="GG22" s="1803">
        <v>0</v>
      </c>
      <c r="GH22" s="1803">
        <v>0</v>
      </c>
      <c r="GI22" s="1803">
        <v>0</v>
      </c>
      <c r="GJ22" s="1803">
        <v>0</v>
      </c>
      <c r="GK22" s="1803">
        <v>0</v>
      </c>
      <c r="GL22" s="1803">
        <v>0</v>
      </c>
      <c r="GM22" s="1803">
        <v>0</v>
      </c>
      <c r="GN22" s="1803">
        <v>0</v>
      </c>
      <c r="GO22" s="1803">
        <v>0</v>
      </c>
      <c r="GP22" s="1803">
        <v>0</v>
      </c>
      <c r="GQ22" s="1803">
        <v>0</v>
      </c>
      <c r="GR22" s="1803">
        <v>0</v>
      </c>
      <c r="GS22" s="1803">
        <v>0</v>
      </c>
      <c r="GT22" s="1803">
        <v>0</v>
      </c>
      <c r="GU22" s="1803">
        <v>0</v>
      </c>
      <c r="GV22" s="1803">
        <v>0</v>
      </c>
      <c r="GW22" s="1803">
        <v>0</v>
      </c>
      <c r="GX22" s="1803">
        <v>0</v>
      </c>
      <c r="GY22" s="1803">
        <v>0</v>
      </c>
      <c r="GZ22" s="1803">
        <v>0</v>
      </c>
      <c r="HA22" s="1803">
        <v>0</v>
      </c>
      <c r="HB22" s="1803">
        <v>0</v>
      </c>
      <c r="HC22" s="1803">
        <v>0</v>
      </c>
      <c r="HD22" s="1803">
        <v>0</v>
      </c>
      <c r="HE22" s="1803">
        <v>0</v>
      </c>
    </row>
    <row r="23" spans="1:213" ht="15" customHeight="1" thickBot="1" x14ac:dyDescent="0.25">
      <c r="A23" s="1965"/>
      <c r="B23" s="1971"/>
      <c r="C23" s="1691" t="s">
        <v>940</v>
      </c>
      <c r="D23" s="1882"/>
      <c r="E23" s="1984"/>
      <c r="F23" s="1837">
        <v>0</v>
      </c>
      <c r="G23" s="1803">
        <v>0</v>
      </c>
      <c r="H23" s="1803">
        <v>0</v>
      </c>
      <c r="I23" s="1803">
        <v>0</v>
      </c>
      <c r="J23" s="1803">
        <v>0</v>
      </c>
      <c r="K23" s="1803">
        <v>0</v>
      </c>
      <c r="L23" s="1803">
        <v>0</v>
      </c>
      <c r="M23" s="1803">
        <v>0</v>
      </c>
      <c r="N23" s="1803">
        <v>0</v>
      </c>
      <c r="O23" s="1803">
        <v>0</v>
      </c>
      <c r="P23" s="1803">
        <v>0</v>
      </c>
      <c r="Q23" s="1803">
        <v>0</v>
      </c>
      <c r="R23" s="1803">
        <v>0</v>
      </c>
      <c r="S23" s="1803">
        <v>0</v>
      </c>
      <c r="T23" s="1803">
        <v>0</v>
      </c>
      <c r="U23" s="1803">
        <v>0</v>
      </c>
      <c r="V23" s="1803">
        <v>0</v>
      </c>
      <c r="W23" s="1803">
        <v>0</v>
      </c>
      <c r="X23" s="1803">
        <v>0</v>
      </c>
      <c r="Y23" s="1803">
        <v>0</v>
      </c>
      <c r="Z23" s="1803">
        <v>0</v>
      </c>
      <c r="AA23" s="1803">
        <v>0</v>
      </c>
      <c r="AB23" s="1803">
        <v>0</v>
      </c>
      <c r="AC23" s="1803">
        <v>0</v>
      </c>
      <c r="AD23" s="1803">
        <v>0</v>
      </c>
      <c r="AE23" s="1803">
        <v>0</v>
      </c>
      <c r="AF23" s="1803">
        <v>0</v>
      </c>
      <c r="AG23" s="1803">
        <v>0</v>
      </c>
      <c r="AH23" s="1803">
        <v>0</v>
      </c>
      <c r="AI23" s="1803">
        <v>0</v>
      </c>
      <c r="AJ23" s="1803">
        <v>0</v>
      </c>
      <c r="AK23" s="1803">
        <v>0</v>
      </c>
      <c r="AL23" s="1803">
        <v>0</v>
      </c>
      <c r="AM23" s="1803">
        <v>0</v>
      </c>
      <c r="AN23" s="1803">
        <v>0</v>
      </c>
      <c r="AO23" s="1803">
        <v>0</v>
      </c>
      <c r="AP23" s="1803">
        <v>0</v>
      </c>
      <c r="AQ23" s="1803">
        <v>0</v>
      </c>
      <c r="AR23" s="1803">
        <v>0</v>
      </c>
      <c r="AS23" s="1803">
        <v>0</v>
      </c>
      <c r="AT23" s="1803">
        <v>0</v>
      </c>
      <c r="AU23" s="1803">
        <v>0</v>
      </c>
      <c r="AV23" s="1803">
        <v>0</v>
      </c>
      <c r="AW23" s="1803">
        <v>0</v>
      </c>
      <c r="AX23" s="1803">
        <v>0</v>
      </c>
      <c r="AY23" s="1803">
        <v>0</v>
      </c>
      <c r="AZ23" s="1803">
        <v>0</v>
      </c>
      <c r="BA23" s="1803">
        <v>0</v>
      </c>
      <c r="BB23" s="1803">
        <v>0</v>
      </c>
      <c r="BC23" s="1803">
        <v>0</v>
      </c>
      <c r="BD23" s="1803">
        <v>0</v>
      </c>
      <c r="BE23" s="1803">
        <v>0</v>
      </c>
      <c r="BF23" s="1803">
        <v>0</v>
      </c>
      <c r="BG23" s="1803">
        <v>0</v>
      </c>
      <c r="BH23" s="1803">
        <v>0</v>
      </c>
      <c r="BI23" s="1803">
        <v>0</v>
      </c>
      <c r="BJ23" s="1803">
        <v>0</v>
      </c>
      <c r="BK23" s="1803">
        <v>0</v>
      </c>
      <c r="BL23" s="1803">
        <v>0</v>
      </c>
      <c r="BM23" s="1803">
        <v>0</v>
      </c>
      <c r="BN23" s="1803">
        <v>0</v>
      </c>
      <c r="BO23" s="1803">
        <v>0</v>
      </c>
      <c r="BP23" s="1803">
        <v>0</v>
      </c>
      <c r="BQ23" s="1803">
        <v>0</v>
      </c>
      <c r="BR23" s="1803">
        <v>0</v>
      </c>
      <c r="BS23" s="1803">
        <v>0</v>
      </c>
      <c r="BT23" s="1803">
        <v>0</v>
      </c>
      <c r="BU23" s="1803">
        <v>0</v>
      </c>
      <c r="BV23" s="1803">
        <v>0</v>
      </c>
      <c r="BW23" s="1803">
        <v>0</v>
      </c>
      <c r="BX23" s="1803">
        <v>0</v>
      </c>
      <c r="BY23" s="1803">
        <v>0</v>
      </c>
      <c r="BZ23" s="1803">
        <v>0</v>
      </c>
      <c r="CA23" s="1803">
        <v>0</v>
      </c>
      <c r="CB23" s="1803">
        <v>0</v>
      </c>
      <c r="CC23" s="1803">
        <v>0</v>
      </c>
      <c r="CD23" s="1803">
        <v>0</v>
      </c>
      <c r="CE23" s="1803">
        <v>0</v>
      </c>
      <c r="CF23" s="1803">
        <v>0</v>
      </c>
      <c r="CG23" s="1803">
        <v>0</v>
      </c>
      <c r="CH23" s="1803">
        <v>0</v>
      </c>
      <c r="CI23" s="1803">
        <v>0</v>
      </c>
      <c r="CJ23" s="1803">
        <v>0</v>
      </c>
      <c r="CK23" s="1803">
        <v>0</v>
      </c>
      <c r="CL23" s="1803">
        <v>0</v>
      </c>
      <c r="CM23" s="1803">
        <v>0</v>
      </c>
      <c r="CN23" s="1803">
        <v>0</v>
      </c>
      <c r="CO23" s="1803">
        <v>0</v>
      </c>
      <c r="CP23" s="1803">
        <v>0</v>
      </c>
      <c r="CQ23" s="1803">
        <v>0</v>
      </c>
      <c r="CR23" s="1803">
        <v>0</v>
      </c>
      <c r="CS23" s="1803">
        <v>0</v>
      </c>
      <c r="CT23" s="1803">
        <v>0</v>
      </c>
      <c r="CU23" s="1803">
        <v>0</v>
      </c>
      <c r="CV23" s="1803">
        <v>0</v>
      </c>
      <c r="CW23" s="1803">
        <v>0</v>
      </c>
      <c r="CX23" s="1803">
        <v>0</v>
      </c>
      <c r="CY23" s="1803">
        <v>0</v>
      </c>
      <c r="CZ23" s="1803">
        <v>0</v>
      </c>
      <c r="DA23" s="1803">
        <v>0</v>
      </c>
      <c r="DB23" s="1803">
        <v>0</v>
      </c>
      <c r="DC23" s="1803">
        <v>0</v>
      </c>
      <c r="DD23" s="1803">
        <v>0</v>
      </c>
      <c r="DE23" s="1803">
        <v>0</v>
      </c>
      <c r="DF23" s="1803">
        <v>0</v>
      </c>
      <c r="DG23" s="1803">
        <v>0</v>
      </c>
      <c r="DH23" s="1803">
        <v>0</v>
      </c>
      <c r="DI23" s="1803">
        <v>0</v>
      </c>
      <c r="DJ23" s="1803">
        <v>0</v>
      </c>
      <c r="DK23" s="1803">
        <v>0</v>
      </c>
      <c r="DL23" s="1803">
        <v>0</v>
      </c>
      <c r="DM23" s="1803">
        <v>0</v>
      </c>
      <c r="DN23" s="1803">
        <v>0</v>
      </c>
      <c r="DO23" s="1803">
        <v>0</v>
      </c>
      <c r="DP23" s="1803">
        <v>0</v>
      </c>
      <c r="DQ23" s="1803">
        <v>0</v>
      </c>
      <c r="DR23" s="1803">
        <v>0</v>
      </c>
      <c r="DS23" s="1803">
        <v>0</v>
      </c>
      <c r="DT23" s="1803">
        <v>0</v>
      </c>
      <c r="DU23" s="1803">
        <v>0</v>
      </c>
      <c r="DV23" s="1803">
        <v>0</v>
      </c>
      <c r="DW23" s="1803">
        <v>0</v>
      </c>
      <c r="DX23" s="1803">
        <v>0</v>
      </c>
      <c r="DY23" s="1803">
        <v>0</v>
      </c>
      <c r="DZ23" s="1803">
        <v>0</v>
      </c>
      <c r="EA23" s="1803">
        <v>0</v>
      </c>
      <c r="EB23" s="1803">
        <v>0</v>
      </c>
      <c r="EC23" s="1803">
        <v>0</v>
      </c>
      <c r="ED23" s="1803">
        <v>0</v>
      </c>
      <c r="EE23" s="1803">
        <v>0</v>
      </c>
      <c r="EF23" s="1803">
        <v>0</v>
      </c>
      <c r="EG23" s="1803">
        <v>0</v>
      </c>
      <c r="EH23" s="1803">
        <v>0</v>
      </c>
      <c r="EI23" s="1803">
        <v>0</v>
      </c>
      <c r="EJ23" s="1803">
        <v>0</v>
      </c>
      <c r="EK23" s="1803">
        <v>0</v>
      </c>
      <c r="EL23" s="1803">
        <v>0</v>
      </c>
      <c r="EM23" s="1803">
        <v>0</v>
      </c>
      <c r="EN23" s="1803">
        <v>0</v>
      </c>
      <c r="EO23" s="1803">
        <v>0</v>
      </c>
      <c r="EP23" s="1803">
        <v>0</v>
      </c>
      <c r="EQ23" s="1803">
        <v>0</v>
      </c>
      <c r="ER23" s="1803">
        <v>0</v>
      </c>
      <c r="ES23" s="1803">
        <v>0</v>
      </c>
      <c r="ET23" s="1803">
        <v>0</v>
      </c>
      <c r="EU23" s="1803">
        <v>0</v>
      </c>
      <c r="EV23" s="1803">
        <v>0</v>
      </c>
      <c r="EW23" s="1803">
        <v>0</v>
      </c>
      <c r="EX23" s="1803">
        <v>0</v>
      </c>
      <c r="EY23" s="1803">
        <v>0</v>
      </c>
      <c r="EZ23" s="1803">
        <v>0</v>
      </c>
      <c r="FA23" s="1803">
        <v>0</v>
      </c>
      <c r="FB23" s="1803">
        <v>0</v>
      </c>
      <c r="FC23" s="1803">
        <v>0</v>
      </c>
      <c r="FD23" s="1803">
        <v>0</v>
      </c>
      <c r="FE23" s="1803">
        <v>0</v>
      </c>
      <c r="FF23" s="1803">
        <v>0</v>
      </c>
      <c r="FG23" s="1803">
        <v>0</v>
      </c>
      <c r="FH23" s="1803">
        <v>0</v>
      </c>
      <c r="FI23" s="1803">
        <v>0</v>
      </c>
      <c r="FJ23" s="1803">
        <v>0</v>
      </c>
      <c r="FK23" s="1803">
        <v>0</v>
      </c>
      <c r="FL23" s="1803">
        <v>0</v>
      </c>
      <c r="FM23" s="1803">
        <v>0</v>
      </c>
      <c r="FN23" s="1803">
        <v>0</v>
      </c>
      <c r="FO23" s="1803">
        <v>0</v>
      </c>
      <c r="FP23" s="1803">
        <v>0</v>
      </c>
      <c r="FQ23" s="1803">
        <v>0</v>
      </c>
      <c r="FR23" s="1803">
        <v>0</v>
      </c>
      <c r="FS23" s="1803">
        <v>0</v>
      </c>
      <c r="FT23" s="1803">
        <v>0</v>
      </c>
      <c r="FU23" s="1803">
        <v>0</v>
      </c>
      <c r="FV23" s="1803">
        <v>0</v>
      </c>
      <c r="FW23" s="1803">
        <v>0</v>
      </c>
      <c r="FX23" s="1803">
        <v>0</v>
      </c>
      <c r="FY23" s="1803">
        <v>0</v>
      </c>
      <c r="FZ23" s="1803">
        <v>0</v>
      </c>
      <c r="GA23" s="1803">
        <v>0</v>
      </c>
      <c r="GB23" s="1803">
        <v>0</v>
      </c>
      <c r="GC23" s="1803">
        <v>0</v>
      </c>
      <c r="GD23" s="1803">
        <v>0</v>
      </c>
      <c r="GE23" s="1803">
        <v>0</v>
      </c>
      <c r="GF23" s="1803">
        <v>0</v>
      </c>
      <c r="GG23" s="1803">
        <v>0</v>
      </c>
      <c r="GH23" s="1803">
        <v>0</v>
      </c>
      <c r="GI23" s="1803">
        <v>0</v>
      </c>
      <c r="GJ23" s="1803">
        <v>0</v>
      </c>
      <c r="GK23" s="1803">
        <v>0</v>
      </c>
      <c r="GL23" s="1803">
        <v>0</v>
      </c>
      <c r="GM23" s="1803">
        <v>0</v>
      </c>
      <c r="GN23" s="1803">
        <v>0</v>
      </c>
      <c r="GO23" s="1803">
        <v>0</v>
      </c>
      <c r="GP23" s="1803">
        <v>0</v>
      </c>
      <c r="GQ23" s="1803">
        <v>0</v>
      </c>
      <c r="GR23" s="1803">
        <v>0</v>
      </c>
      <c r="GS23" s="1803">
        <v>0</v>
      </c>
      <c r="GT23" s="1803">
        <v>0</v>
      </c>
      <c r="GU23" s="1803">
        <v>0</v>
      </c>
      <c r="GV23" s="1803">
        <v>0</v>
      </c>
      <c r="GW23" s="1803">
        <v>0</v>
      </c>
      <c r="GX23" s="1803">
        <v>0</v>
      </c>
      <c r="GY23" s="1803">
        <v>0</v>
      </c>
      <c r="GZ23" s="1803">
        <v>0</v>
      </c>
      <c r="HA23" s="1803">
        <v>0</v>
      </c>
      <c r="HB23" s="1803">
        <v>0</v>
      </c>
      <c r="HC23" s="1803">
        <v>0</v>
      </c>
      <c r="HD23" s="1803">
        <v>0</v>
      </c>
      <c r="HE23" s="1803">
        <v>0</v>
      </c>
    </row>
    <row r="24" spans="1:213" ht="21" customHeight="1" thickBot="1" x14ac:dyDescent="0.25">
      <c r="A24" s="1968" t="s">
        <v>2327</v>
      </c>
      <c r="B24" s="1970" t="s">
        <v>649</v>
      </c>
      <c r="C24" s="1691" t="s">
        <v>574</v>
      </c>
      <c r="D24" s="1880"/>
      <c r="E24" s="1984"/>
      <c r="F24" s="1865"/>
      <c r="G24" s="1866"/>
      <c r="H24" s="1866"/>
      <c r="I24" s="1866"/>
      <c r="J24" s="1866"/>
      <c r="K24" s="1866"/>
      <c r="L24" s="1866"/>
      <c r="M24" s="1866"/>
      <c r="N24" s="1866"/>
      <c r="O24" s="1866"/>
      <c r="P24" s="1866"/>
      <c r="Q24" s="1866"/>
      <c r="R24" s="1866"/>
      <c r="S24" s="1866"/>
      <c r="T24" s="1866"/>
      <c r="U24" s="1866"/>
      <c r="V24" s="1866"/>
      <c r="W24" s="1866"/>
      <c r="X24" s="1866"/>
      <c r="Y24" s="1866"/>
      <c r="Z24" s="1866"/>
      <c r="AA24" s="1866"/>
      <c r="AB24" s="1866"/>
      <c r="AC24" s="1866"/>
      <c r="AD24" s="1866"/>
      <c r="AE24" s="1866"/>
      <c r="AF24" s="1866"/>
      <c r="AG24" s="1866"/>
      <c r="AH24" s="1866"/>
      <c r="AI24" s="1866"/>
      <c r="AJ24" s="1866"/>
      <c r="AK24" s="1866"/>
      <c r="AL24" s="1866"/>
      <c r="AM24" s="1866"/>
      <c r="AN24" s="1866"/>
      <c r="AO24" s="1866"/>
      <c r="AP24" s="1866"/>
      <c r="AQ24" s="1866"/>
      <c r="AR24" s="1866"/>
      <c r="AS24" s="1866"/>
      <c r="AT24" s="1866"/>
      <c r="AU24" s="1866"/>
      <c r="AV24" s="1866"/>
      <c r="AW24" s="1866"/>
      <c r="AX24" s="1866"/>
      <c r="AY24" s="1866"/>
      <c r="AZ24" s="1866"/>
      <c r="BA24" s="1866"/>
      <c r="BB24" s="1866"/>
      <c r="BC24" s="1866"/>
      <c r="BD24" s="1866"/>
      <c r="BE24" s="1866"/>
      <c r="BF24" s="1866"/>
      <c r="BG24" s="1866"/>
      <c r="BH24" s="1866"/>
      <c r="BI24" s="1866"/>
      <c r="BJ24" s="1866"/>
      <c r="BK24" s="1866"/>
      <c r="BL24" s="1866"/>
      <c r="BM24" s="1866"/>
      <c r="BN24" s="1866"/>
      <c r="BO24" s="1866"/>
      <c r="BP24" s="1866"/>
      <c r="BQ24" s="1866"/>
      <c r="BR24" s="1866"/>
      <c r="BS24" s="1866"/>
      <c r="BT24" s="1866"/>
      <c r="BU24" s="1866"/>
      <c r="BV24" s="1866"/>
      <c r="BW24" s="1866"/>
      <c r="BX24" s="1866"/>
      <c r="BY24" s="1866"/>
      <c r="BZ24" s="1866"/>
      <c r="CA24" s="1866"/>
      <c r="CB24" s="1866"/>
      <c r="CC24" s="1866"/>
      <c r="CD24" s="1866"/>
      <c r="CE24" s="1866"/>
      <c r="CF24" s="1866"/>
      <c r="CG24" s="1866"/>
      <c r="CH24" s="1866"/>
      <c r="CI24" s="1866"/>
      <c r="CJ24" s="1866"/>
      <c r="CK24" s="1866"/>
      <c r="CL24" s="1866"/>
      <c r="CM24" s="1866"/>
      <c r="CN24" s="1866"/>
      <c r="CO24" s="1866"/>
      <c r="CP24" s="1866"/>
      <c r="CQ24" s="1866"/>
      <c r="CR24" s="1866"/>
      <c r="CS24" s="1866"/>
      <c r="CT24" s="1866"/>
      <c r="CU24" s="1866"/>
      <c r="CV24" s="1866"/>
      <c r="CW24" s="1866"/>
      <c r="CX24" s="1866"/>
      <c r="CY24" s="1866"/>
      <c r="CZ24" s="1866"/>
      <c r="DA24" s="1866"/>
      <c r="DB24" s="1866"/>
      <c r="DC24" s="1866"/>
      <c r="DD24" s="1866"/>
      <c r="DE24" s="1866"/>
      <c r="DF24" s="1866"/>
      <c r="DG24" s="1866"/>
      <c r="DH24" s="1866"/>
      <c r="DI24" s="1866"/>
      <c r="DJ24" s="1866"/>
      <c r="DK24" s="1866"/>
      <c r="DL24" s="1866"/>
      <c r="DM24" s="1866"/>
      <c r="DN24" s="1866"/>
      <c r="DO24" s="1866"/>
      <c r="DP24" s="1866"/>
      <c r="DQ24" s="1866"/>
      <c r="DR24" s="1866"/>
      <c r="DS24" s="1866"/>
      <c r="DT24" s="1866"/>
      <c r="DU24" s="1866"/>
      <c r="DV24" s="1866"/>
      <c r="DW24" s="1866"/>
      <c r="DX24" s="1866"/>
      <c r="DY24" s="1866"/>
      <c r="DZ24" s="1866"/>
      <c r="EA24" s="1866"/>
      <c r="EB24" s="1866"/>
      <c r="EC24" s="1866"/>
      <c r="ED24" s="1866"/>
      <c r="EE24" s="1866"/>
      <c r="EF24" s="1866"/>
      <c r="EG24" s="1866"/>
      <c r="EH24" s="1866"/>
      <c r="EI24" s="1866"/>
      <c r="EJ24" s="1866"/>
      <c r="EK24" s="1866"/>
      <c r="EL24" s="1866"/>
      <c r="EM24" s="1866"/>
      <c r="EN24" s="1866"/>
      <c r="EO24" s="1866"/>
      <c r="EP24" s="1866"/>
      <c r="EQ24" s="1866"/>
      <c r="ER24" s="1866"/>
      <c r="ES24" s="1866"/>
      <c r="ET24" s="1866"/>
      <c r="EU24" s="1866"/>
      <c r="EV24" s="1866"/>
      <c r="EW24" s="1866"/>
      <c r="EX24" s="1866"/>
      <c r="EY24" s="1866"/>
      <c r="EZ24" s="1866"/>
      <c r="FA24" s="1866"/>
      <c r="FB24" s="1866"/>
      <c r="FC24" s="1866"/>
      <c r="FD24" s="1866"/>
      <c r="FE24" s="1866"/>
      <c r="FF24" s="1866"/>
      <c r="FG24" s="1866"/>
      <c r="FH24" s="1866"/>
      <c r="FI24" s="1866"/>
      <c r="FJ24" s="1866"/>
      <c r="FK24" s="1866"/>
      <c r="FL24" s="1866"/>
      <c r="FM24" s="1866"/>
      <c r="FN24" s="1866"/>
      <c r="FO24" s="1866"/>
      <c r="FP24" s="1866"/>
      <c r="FQ24" s="1866"/>
      <c r="FR24" s="1866"/>
      <c r="FS24" s="1866"/>
      <c r="FT24" s="1866"/>
      <c r="FU24" s="1866"/>
      <c r="FV24" s="1866"/>
      <c r="FW24" s="1866"/>
      <c r="FX24" s="1866"/>
      <c r="FY24" s="1866"/>
      <c r="FZ24" s="1866"/>
      <c r="GA24" s="1866"/>
      <c r="GB24" s="1866"/>
      <c r="GC24" s="1866"/>
      <c r="GD24" s="1866"/>
      <c r="GE24" s="1866"/>
      <c r="GF24" s="1866"/>
      <c r="GG24" s="1866"/>
      <c r="GH24" s="1866"/>
      <c r="GI24" s="1866"/>
      <c r="GJ24" s="1866"/>
      <c r="GK24" s="1866"/>
      <c r="GL24" s="1866"/>
      <c r="GM24" s="1866"/>
      <c r="GN24" s="1866"/>
      <c r="GO24" s="1866"/>
      <c r="GP24" s="1866"/>
      <c r="GQ24" s="1866"/>
      <c r="GR24" s="1866"/>
      <c r="GS24" s="1866"/>
      <c r="GT24" s="1866"/>
      <c r="GU24" s="1866"/>
      <c r="GV24" s="1866"/>
      <c r="GW24" s="1866"/>
      <c r="GX24" s="1866"/>
      <c r="GY24" s="1866"/>
      <c r="GZ24" s="1866"/>
      <c r="HA24" s="1866"/>
      <c r="HB24" s="1866"/>
      <c r="HC24" s="1866"/>
      <c r="HD24" s="1866"/>
      <c r="HE24" s="1866"/>
    </row>
    <row r="25" spans="1:213" ht="15" customHeight="1" x14ac:dyDescent="0.2">
      <c r="A25" s="1966"/>
      <c r="B25" s="1970"/>
      <c r="C25" s="1690" t="s">
        <v>1359</v>
      </c>
      <c r="D25" s="1881"/>
      <c r="E25" s="1984"/>
      <c r="F25" s="1838">
        <v>0</v>
      </c>
      <c r="G25" s="1804">
        <v>0</v>
      </c>
      <c r="H25" s="1804">
        <v>0</v>
      </c>
      <c r="I25" s="1804">
        <v>0</v>
      </c>
      <c r="J25" s="1804">
        <v>0</v>
      </c>
      <c r="K25" s="1804">
        <v>0</v>
      </c>
      <c r="L25" s="1804">
        <v>0</v>
      </c>
      <c r="M25" s="1804">
        <v>0</v>
      </c>
      <c r="N25" s="1804">
        <v>0</v>
      </c>
      <c r="O25" s="1804">
        <v>0</v>
      </c>
      <c r="P25" s="1804">
        <v>0</v>
      </c>
      <c r="Q25" s="1804">
        <v>0</v>
      </c>
      <c r="R25" s="1804">
        <v>0</v>
      </c>
      <c r="S25" s="1804">
        <v>0</v>
      </c>
      <c r="T25" s="1804">
        <v>0</v>
      </c>
      <c r="U25" s="1804">
        <v>0</v>
      </c>
      <c r="V25" s="1804">
        <v>0</v>
      </c>
      <c r="W25" s="1804">
        <v>0</v>
      </c>
      <c r="X25" s="1804">
        <v>0</v>
      </c>
      <c r="Y25" s="1804">
        <v>0</v>
      </c>
      <c r="Z25" s="1804">
        <v>0</v>
      </c>
      <c r="AA25" s="1804">
        <v>0</v>
      </c>
      <c r="AB25" s="1804">
        <v>0</v>
      </c>
      <c r="AC25" s="1804">
        <v>0</v>
      </c>
      <c r="AD25" s="1804">
        <v>0</v>
      </c>
      <c r="AE25" s="1804">
        <v>0</v>
      </c>
      <c r="AF25" s="1804">
        <v>0</v>
      </c>
      <c r="AG25" s="1804">
        <v>0</v>
      </c>
      <c r="AH25" s="1804">
        <v>0</v>
      </c>
      <c r="AI25" s="1804">
        <v>0</v>
      </c>
      <c r="AJ25" s="1804">
        <v>0</v>
      </c>
      <c r="AK25" s="1804">
        <v>0</v>
      </c>
      <c r="AL25" s="1804">
        <v>0</v>
      </c>
      <c r="AM25" s="1804">
        <v>0</v>
      </c>
      <c r="AN25" s="1804">
        <v>0</v>
      </c>
      <c r="AO25" s="1804">
        <v>0</v>
      </c>
      <c r="AP25" s="1804">
        <v>0</v>
      </c>
      <c r="AQ25" s="1804">
        <v>0</v>
      </c>
      <c r="AR25" s="1804">
        <v>0</v>
      </c>
      <c r="AS25" s="1804">
        <v>0</v>
      </c>
      <c r="AT25" s="1804">
        <v>0</v>
      </c>
      <c r="AU25" s="1804">
        <v>0</v>
      </c>
      <c r="AV25" s="1804">
        <v>0</v>
      </c>
      <c r="AW25" s="1804">
        <v>0</v>
      </c>
      <c r="AX25" s="1804">
        <v>0</v>
      </c>
      <c r="AY25" s="1804">
        <v>0</v>
      </c>
      <c r="AZ25" s="1804">
        <v>0</v>
      </c>
      <c r="BA25" s="1804">
        <v>0</v>
      </c>
      <c r="BB25" s="1804">
        <v>0</v>
      </c>
      <c r="BC25" s="1804">
        <v>0</v>
      </c>
      <c r="BD25" s="1804">
        <v>0</v>
      </c>
      <c r="BE25" s="1804">
        <v>0</v>
      </c>
      <c r="BF25" s="1804">
        <v>0</v>
      </c>
      <c r="BG25" s="1804">
        <v>0</v>
      </c>
      <c r="BH25" s="1804">
        <v>0</v>
      </c>
      <c r="BI25" s="1804">
        <v>0</v>
      </c>
      <c r="BJ25" s="1804">
        <v>0</v>
      </c>
      <c r="BK25" s="1804">
        <v>0</v>
      </c>
      <c r="BL25" s="1804">
        <v>0</v>
      </c>
      <c r="BM25" s="1804">
        <v>0</v>
      </c>
      <c r="BN25" s="1804">
        <v>0</v>
      </c>
      <c r="BO25" s="1804">
        <v>0</v>
      </c>
      <c r="BP25" s="1804">
        <v>0</v>
      </c>
      <c r="BQ25" s="1804">
        <v>0</v>
      </c>
      <c r="BR25" s="1804">
        <v>0</v>
      </c>
      <c r="BS25" s="1804">
        <v>0</v>
      </c>
      <c r="BT25" s="1804">
        <v>0</v>
      </c>
      <c r="BU25" s="1804">
        <v>0</v>
      </c>
      <c r="BV25" s="1804">
        <v>0</v>
      </c>
      <c r="BW25" s="1804">
        <v>0</v>
      </c>
      <c r="BX25" s="1804">
        <v>0</v>
      </c>
      <c r="BY25" s="1804">
        <v>0</v>
      </c>
      <c r="BZ25" s="1804">
        <v>0</v>
      </c>
      <c r="CA25" s="1804">
        <v>0</v>
      </c>
      <c r="CB25" s="1804">
        <v>0</v>
      </c>
      <c r="CC25" s="1804">
        <v>0</v>
      </c>
      <c r="CD25" s="1804">
        <v>0</v>
      </c>
      <c r="CE25" s="1804">
        <v>0</v>
      </c>
      <c r="CF25" s="1804">
        <v>0</v>
      </c>
      <c r="CG25" s="1804">
        <v>0</v>
      </c>
      <c r="CH25" s="1804">
        <v>0</v>
      </c>
      <c r="CI25" s="1804">
        <v>0</v>
      </c>
      <c r="CJ25" s="1804">
        <v>0</v>
      </c>
      <c r="CK25" s="1804">
        <v>0</v>
      </c>
      <c r="CL25" s="1804">
        <v>0</v>
      </c>
      <c r="CM25" s="1804">
        <v>0</v>
      </c>
      <c r="CN25" s="1804">
        <v>0</v>
      </c>
      <c r="CO25" s="1804">
        <v>0</v>
      </c>
      <c r="CP25" s="1804">
        <v>0</v>
      </c>
      <c r="CQ25" s="1804">
        <v>0</v>
      </c>
      <c r="CR25" s="1804">
        <v>0</v>
      </c>
      <c r="CS25" s="1804">
        <v>0</v>
      </c>
      <c r="CT25" s="1804">
        <v>0</v>
      </c>
      <c r="CU25" s="1804">
        <v>0</v>
      </c>
      <c r="CV25" s="1804">
        <v>0</v>
      </c>
      <c r="CW25" s="1804">
        <v>0</v>
      </c>
      <c r="CX25" s="1804">
        <v>0</v>
      </c>
      <c r="CY25" s="1804">
        <v>0</v>
      </c>
      <c r="CZ25" s="1804">
        <v>0</v>
      </c>
      <c r="DA25" s="1804">
        <v>0</v>
      </c>
      <c r="DB25" s="1804">
        <v>0</v>
      </c>
      <c r="DC25" s="1804">
        <v>0</v>
      </c>
      <c r="DD25" s="1804">
        <v>0</v>
      </c>
      <c r="DE25" s="1804">
        <v>0</v>
      </c>
      <c r="DF25" s="1804">
        <v>0</v>
      </c>
      <c r="DG25" s="1804">
        <v>0</v>
      </c>
      <c r="DH25" s="1804">
        <v>0</v>
      </c>
      <c r="DI25" s="1804">
        <v>0</v>
      </c>
      <c r="DJ25" s="1804">
        <v>0</v>
      </c>
      <c r="DK25" s="1804">
        <v>0</v>
      </c>
      <c r="DL25" s="1804">
        <v>0</v>
      </c>
      <c r="DM25" s="1804">
        <v>0</v>
      </c>
      <c r="DN25" s="1804">
        <v>0</v>
      </c>
      <c r="DO25" s="1804">
        <v>0</v>
      </c>
      <c r="DP25" s="1804">
        <v>0</v>
      </c>
      <c r="DQ25" s="1804">
        <v>0</v>
      </c>
      <c r="DR25" s="1804">
        <v>0</v>
      </c>
      <c r="DS25" s="1804">
        <v>0</v>
      </c>
      <c r="DT25" s="1804">
        <v>0</v>
      </c>
      <c r="DU25" s="1804">
        <v>0</v>
      </c>
      <c r="DV25" s="1804">
        <v>0</v>
      </c>
      <c r="DW25" s="1804">
        <v>0</v>
      </c>
      <c r="DX25" s="1804">
        <v>0</v>
      </c>
      <c r="DY25" s="1804">
        <v>0</v>
      </c>
      <c r="DZ25" s="1804">
        <v>0</v>
      </c>
      <c r="EA25" s="1804">
        <v>0</v>
      </c>
      <c r="EB25" s="1804">
        <v>0</v>
      </c>
      <c r="EC25" s="1804">
        <v>0</v>
      </c>
      <c r="ED25" s="1804">
        <v>0</v>
      </c>
      <c r="EE25" s="1804">
        <v>0</v>
      </c>
      <c r="EF25" s="1804">
        <v>0</v>
      </c>
      <c r="EG25" s="1804">
        <v>0</v>
      </c>
      <c r="EH25" s="1804">
        <v>0</v>
      </c>
      <c r="EI25" s="1804">
        <v>0</v>
      </c>
      <c r="EJ25" s="1804">
        <v>0</v>
      </c>
      <c r="EK25" s="1804">
        <v>0</v>
      </c>
      <c r="EL25" s="1804">
        <v>0</v>
      </c>
      <c r="EM25" s="1804">
        <v>0</v>
      </c>
      <c r="EN25" s="1804">
        <v>0</v>
      </c>
      <c r="EO25" s="1804">
        <v>0</v>
      </c>
      <c r="EP25" s="1804">
        <v>0</v>
      </c>
      <c r="EQ25" s="1804">
        <v>0</v>
      </c>
      <c r="ER25" s="1804">
        <v>0</v>
      </c>
      <c r="ES25" s="1804">
        <v>0</v>
      </c>
      <c r="ET25" s="1804">
        <v>0</v>
      </c>
      <c r="EU25" s="1804">
        <v>0</v>
      </c>
      <c r="EV25" s="1804">
        <v>0</v>
      </c>
      <c r="EW25" s="1804">
        <v>0</v>
      </c>
      <c r="EX25" s="1804">
        <v>0</v>
      </c>
      <c r="EY25" s="1804">
        <v>0</v>
      </c>
      <c r="EZ25" s="1804">
        <v>0</v>
      </c>
      <c r="FA25" s="1804">
        <v>0</v>
      </c>
      <c r="FB25" s="1804">
        <v>0</v>
      </c>
      <c r="FC25" s="1804">
        <v>0</v>
      </c>
      <c r="FD25" s="1804">
        <v>0</v>
      </c>
      <c r="FE25" s="1804">
        <v>0</v>
      </c>
      <c r="FF25" s="1804">
        <v>0</v>
      </c>
      <c r="FG25" s="1804">
        <v>0</v>
      </c>
      <c r="FH25" s="1804">
        <v>0</v>
      </c>
      <c r="FI25" s="1804">
        <v>0</v>
      </c>
      <c r="FJ25" s="1804">
        <v>0</v>
      </c>
      <c r="FK25" s="1804">
        <v>0</v>
      </c>
      <c r="FL25" s="1804">
        <v>0</v>
      </c>
      <c r="FM25" s="1804">
        <v>0</v>
      </c>
      <c r="FN25" s="1804">
        <v>0</v>
      </c>
      <c r="FO25" s="1804">
        <v>0</v>
      </c>
      <c r="FP25" s="1804">
        <v>0</v>
      </c>
      <c r="FQ25" s="1804">
        <v>0</v>
      </c>
      <c r="FR25" s="1804">
        <v>0</v>
      </c>
      <c r="FS25" s="1804">
        <v>0</v>
      </c>
      <c r="FT25" s="1804">
        <v>0</v>
      </c>
      <c r="FU25" s="1804">
        <v>0</v>
      </c>
      <c r="FV25" s="1804">
        <v>0</v>
      </c>
      <c r="FW25" s="1804">
        <v>0</v>
      </c>
      <c r="FX25" s="1804">
        <v>0</v>
      </c>
      <c r="FY25" s="1804">
        <v>0</v>
      </c>
      <c r="FZ25" s="1804">
        <v>0</v>
      </c>
      <c r="GA25" s="1804">
        <v>0</v>
      </c>
      <c r="GB25" s="1804">
        <v>0</v>
      </c>
      <c r="GC25" s="1804">
        <v>0</v>
      </c>
      <c r="GD25" s="1804">
        <v>0</v>
      </c>
      <c r="GE25" s="1804">
        <v>0</v>
      </c>
      <c r="GF25" s="1804">
        <v>0</v>
      </c>
      <c r="GG25" s="1804">
        <v>0</v>
      </c>
      <c r="GH25" s="1804">
        <v>0</v>
      </c>
      <c r="GI25" s="1804">
        <v>0</v>
      </c>
      <c r="GJ25" s="1804">
        <v>0</v>
      </c>
      <c r="GK25" s="1804">
        <v>0</v>
      </c>
      <c r="GL25" s="1804">
        <v>0</v>
      </c>
      <c r="GM25" s="1804">
        <v>0</v>
      </c>
      <c r="GN25" s="1804">
        <v>0</v>
      </c>
      <c r="GO25" s="1804">
        <v>0</v>
      </c>
      <c r="GP25" s="1804">
        <v>0</v>
      </c>
      <c r="GQ25" s="1804">
        <v>0</v>
      </c>
      <c r="GR25" s="1804">
        <v>0</v>
      </c>
      <c r="GS25" s="1804">
        <v>0</v>
      </c>
      <c r="GT25" s="1804">
        <v>0</v>
      </c>
      <c r="GU25" s="1804">
        <v>0</v>
      </c>
      <c r="GV25" s="1804">
        <v>0</v>
      </c>
      <c r="GW25" s="1804">
        <v>0</v>
      </c>
      <c r="GX25" s="1804">
        <v>0</v>
      </c>
      <c r="GY25" s="1804">
        <v>0</v>
      </c>
      <c r="GZ25" s="1804">
        <v>0</v>
      </c>
      <c r="HA25" s="1804">
        <v>0</v>
      </c>
      <c r="HB25" s="1804">
        <v>0</v>
      </c>
      <c r="HC25" s="1804">
        <v>0</v>
      </c>
      <c r="HD25" s="1804">
        <v>0</v>
      </c>
      <c r="HE25" s="1804">
        <v>0</v>
      </c>
    </row>
    <row r="26" spans="1:213" ht="15" customHeight="1" x14ac:dyDescent="0.2">
      <c r="A26" s="1966"/>
      <c r="B26" s="1970"/>
      <c r="C26" s="1816" t="s">
        <v>700</v>
      </c>
      <c r="D26" s="1881"/>
      <c r="E26" s="1984"/>
      <c r="F26" s="1838">
        <v>0</v>
      </c>
      <c r="G26" s="1804">
        <v>0</v>
      </c>
      <c r="H26" s="1804">
        <v>0</v>
      </c>
      <c r="I26" s="1804">
        <v>0</v>
      </c>
      <c r="J26" s="1804">
        <v>0</v>
      </c>
      <c r="K26" s="1804">
        <v>0</v>
      </c>
      <c r="L26" s="1804">
        <v>0</v>
      </c>
      <c r="M26" s="1804">
        <v>0</v>
      </c>
      <c r="N26" s="1804">
        <v>0</v>
      </c>
      <c r="O26" s="1804">
        <v>0</v>
      </c>
      <c r="P26" s="1804">
        <v>0</v>
      </c>
      <c r="Q26" s="1804">
        <v>0</v>
      </c>
      <c r="R26" s="1804">
        <v>0</v>
      </c>
      <c r="S26" s="1804">
        <v>0</v>
      </c>
      <c r="T26" s="1804">
        <v>0</v>
      </c>
      <c r="U26" s="1804">
        <v>0</v>
      </c>
      <c r="V26" s="1804">
        <v>0</v>
      </c>
      <c r="W26" s="1804">
        <v>0</v>
      </c>
      <c r="X26" s="1804">
        <v>0</v>
      </c>
      <c r="Y26" s="1804">
        <v>0</v>
      </c>
      <c r="Z26" s="1804">
        <v>0</v>
      </c>
      <c r="AA26" s="1804">
        <v>0</v>
      </c>
      <c r="AB26" s="1804">
        <v>0</v>
      </c>
      <c r="AC26" s="1804">
        <v>0</v>
      </c>
      <c r="AD26" s="1804">
        <v>0</v>
      </c>
      <c r="AE26" s="1804">
        <v>0</v>
      </c>
      <c r="AF26" s="1804">
        <v>0</v>
      </c>
      <c r="AG26" s="1804">
        <v>0</v>
      </c>
      <c r="AH26" s="1804">
        <v>0</v>
      </c>
      <c r="AI26" s="1804">
        <v>0</v>
      </c>
      <c r="AJ26" s="1804">
        <v>0</v>
      </c>
      <c r="AK26" s="1804">
        <v>0</v>
      </c>
      <c r="AL26" s="1804">
        <v>0</v>
      </c>
      <c r="AM26" s="1804">
        <v>0</v>
      </c>
      <c r="AN26" s="1804">
        <v>0</v>
      </c>
      <c r="AO26" s="1804">
        <v>0</v>
      </c>
      <c r="AP26" s="1804">
        <v>0</v>
      </c>
      <c r="AQ26" s="1804">
        <v>0</v>
      </c>
      <c r="AR26" s="1804">
        <v>0</v>
      </c>
      <c r="AS26" s="1804">
        <v>0</v>
      </c>
      <c r="AT26" s="1804">
        <v>0</v>
      </c>
      <c r="AU26" s="1804">
        <v>0</v>
      </c>
      <c r="AV26" s="1804">
        <v>0</v>
      </c>
      <c r="AW26" s="1804">
        <v>0</v>
      </c>
      <c r="AX26" s="1804">
        <v>0</v>
      </c>
      <c r="AY26" s="1804">
        <v>0</v>
      </c>
      <c r="AZ26" s="1804">
        <v>0</v>
      </c>
      <c r="BA26" s="1804">
        <v>0</v>
      </c>
      <c r="BB26" s="1804">
        <v>0</v>
      </c>
      <c r="BC26" s="1804">
        <v>0</v>
      </c>
      <c r="BD26" s="1804">
        <v>0</v>
      </c>
      <c r="BE26" s="1804">
        <v>0</v>
      </c>
      <c r="BF26" s="1804">
        <v>0</v>
      </c>
      <c r="BG26" s="1804">
        <v>0</v>
      </c>
      <c r="BH26" s="1804">
        <v>0</v>
      </c>
      <c r="BI26" s="1804">
        <v>0</v>
      </c>
      <c r="BJ26" s="1804">
        <v>0</v>
      </c>
      <c r="BK26" s="1804">
        <v>0</v>
      </c>
      <c r="BL26" s="1804">
        <v>0</v>
      </c>
      <c r="BM26" s="1804">
        <v>0</v>
      </c>
      <c r="BN26" s="1804">
        <v>0</v>
      </c>
      <c r="BO26" s="1804">
        <v>0</v>
      </c>
      <c r="BP26" s="1804">
        <v>0</v>
      </c>
      <c r="BQ26" s="1804">
        <v>0</v>
      </c>
      <c r="BR26" s="1804">
        <v>0</v>
      </c>
      <c r="BS26" s="1804">
        <v>0</v>
      </c>
      <c r="BT26" s="1804">
        <v>0</v>
      </c>
      <c r="BU26" s="1804">
        <v>0</v>
      </c>
      <c r="BV26" s="1804">
        <v>0</v>
      </c>
      <c r="BW26" s="1804">
        <v>0</v>
      </c>
      <c r="BX26" s="1804">
        <v>0</v>
      </c>
      <c r="BY26" s="1804">
        <v>0</v>
      </c>
      <c r="BZ26" s="1804">
        <v>0</v>
      </c>
      <c r="CA26" s="1804">
        <v>0</v>
      </c>
      <c r="CB26" s="1804">
        <v>0</v>
      </c>
      <c r="CC26" s="1804">
        <v>0</v>
      </c>
      <c r="CD26" s="1804">
        <v>0</v>
      </c>
      <c r="CE26" s="1804">
        <v>0</v>
      </c>
      <c r="CF26" s="1804">
        <v>0</v>
      </c>
      <c r="CG26" s="1804">
        <v>0</v>
      </c>
      <c r="CH26" s="1804">
        <v>0</v>
      </c>
      <c r="CI26" s="1804">
        <v>0</v>
      </c>
      <c r="CJ26" s="1804">
        <v>0</v>
      </c>
      <c r="CK26" s="1804">
        <v>0</v>
      </c>
      <c r="CL26" s="1804">
        <v>0</v>
      </c>
      <c r="CM26" s="1804">
        <v>0</v>
      </c>
      <c r="CN26" s="1804">
        <v>0</v>
      </c>
      <c r="CO26" s="1804">
        <v>0</v>
      </c>
      <c r="CP26" s="1804">
        <v>0</v>
      </c>
      <c r="CQ26" s="1804">
        <v>0</v>
      </c>
      <c r="CR26" s="1804">
        <v>0</v>
      </c>
      <c r="CS26" s="1804">
        <v>0</v>
      </c>
      <c r="CT26" s="1804">
        <v>0</v>
      </c>
      <c r="CU26" s="1804">
        <v>0</v>
      </c>
      <c r="CV26" s="1804">
        <v>0</v>
      </c>
      <c r="CW26" s="1804">
        <v>0</v>
      </c>
      <c r="CX26" s="1804">
        <v>0</v>
      </c>
      <c r="CY26" s="1804">
        <v>0</v>
      </c>
      <c r="CZ26" s="1804">
        <v>0</v>
      </c>
      <c r="DA26" s="1804">
        <v>0</v>
      </c>
      <c r="DB26" s="1804">
        <v>0</v>
      </c>
      <c r="DC26" s="1804">
        <v>0</v>
      </c>
      <c r="DD26" s="1804">
        <v>0</v>
      </c>
      <c r="DE26" s="1804">
        <v>0</v>
      </c>
      <c r="DF26" s="1804">
        <v>0</v>
      </c>
      <c r="DG26" s="1804">
        <v>0</v>
      </c>
      <c r="DH26" s="1804">
        <v>0</v>
      </c>
      <c r="DI26" s="1804">
        <v>0</v>
      </c>
      <c r="DJ26" s="1804">
        <v>0</v>
      </c>
      <c r="DK26" s="1804">
        <v>0</v>
      </c>
      <c r="DL26" s="1804">
        <v>0</v>
      </c>
      <c r="DM26" s="1804">
        <v>0</v>
      </c>
      <c r="DN26" s="1804">
        <v>0</v>
      </c>
      <c r="DO26" s="1804">
        <v>0</v>
      </c>
      <c r="DP26" s="1804">
        <v>0</v>
      </c>
      <c r="DQ26" s="1804">
        <v>0</v>
      </c>
      <c r="DR26" s="1804">
        <v>0</v>
      </c>
      <c r="DS26" s="1804">
        <v>0</v>
      </c>
      <c r="DT26" s="1804">
        <v>0</v>
      </c>
      <c r="DU26" s="1804">
        <v>0</v>
      </c>
      <c r="DV26" s="1804">
        <v>0</v>
      </c>
      <c r="DW26" s="1804">
        <v>0</v>
      </c>
      <c r="DX26" s="1804">
        <v>0</v>
      </c>
      <c r="DY26" s="1804">
        <v>0</v>
      </c>
      <c r="DZ26" s="1804">
        <v>0</v>
      </c>
      <c r="EA26" s="1804">
        <v>0</v>
      </c>
      <c r="EB26" s="1804">
        <v>0</v>
      </c>
      <c r="EC26" s="1804">
        <v>0</v>
      </c>
      <c r="ED26" s="1804">
        <v>0</v>
      </c>
      <c r="EE26" s="1804">
        <v>0</v>
      </c>
      <c r="EF26" s="1804">
        <v>0</v>
      </c>
      <c r="EG26" s="1804">
        <v>0</v>
      </c>
      <c r="EH26" s="1804">
        <v>0</v>
      </c>
      <c r="EI26" s="1804">
        <v>0</v>
      </c>
      <c r="EJ26" s="1804">
        <v>0</v>
      </c>
      <c r="EK26" s="1804">
        <v>0</v>
      </c>
      <c r="EL26" s="1804">
        <v>0</v>
      </c>
      <c r="EM26" s="1804">
        <v>0</v>
      </c>
      <c r="EN26" s="1804">
        <v>0</v>
      </c>
      <c r="EO26" s="1804">
        <v>0</v>
      </c>
      <c r="EP26" s="1804">
        <v>0</v>
      </c>
      <c r="EQ26" s="1804">
        <v>0</v>
      </c>
      <c r="ER26" s="1804">
        <v>0</v>
      </c>
      <c r="ES26" s="1804">
        <v>0</v>
      </c>
      <c r="ET26" s="1804">
        <v>0</v>
      </c>
      <c r="EU26" s="1804">
        <v>0</v>
      </c>
      <c r="EV26" s="1804">
        <v>0</v>
      </c>
      <c r="EW26" s="1804">
        <v>0</v>
      </c>
      <c r="EX26" s="1804">
        <v>0</v>
      </c>
      <c r="EY26" s="1804">
        <v>0</v>
      </c>
      <c r="EZ26" s="1804">
        <v>0</v>
      </c>
      <c r="FA26" s="1804">
        <v>0</v>
      </c>
      <c r="FB26" s="1804">
        <v>0</v>
      </c>
      <c r="FC26" s="1804">
        <v>0</v>
      </c>
      <c r="FD26" s="1804">
        <v>0</v>
      </c>
      <c r="FE26" s="1804">
        <v>0</v>
      </c>
      <c r="FF26" s="1804">
        <v>0</v>
      </c>
      <c r="FG26" s="1804">
        <v>0</v>
      </c>
      <c r="FH26" s="1804">
        <v>0</v>
      </c>
      <c r="FI26" s="1804">
        <v>0</v>
      </c>
      <c r="FJ26" s="1804">
        <v>0</v>
      </c>
      <c r="FK26" s="1804">
        <v>0</v>
      </c>
      <c r="FL26" s="1804">
        <v>0</v>
      </c>
      <c r="FM26" s="1804">
        <v>0</v>
      </c>
      <c r="FN26" s="1804">
        <v>0</v>
      </c>
      <c r="FO26" s="1804">
        <v>0</v>
      </c>
      <c r="FP26" s="1804">
        <v>0</v>
      </c>
      <c r="FQ26" s="1804">
        <v>0</v>
      </c>
      <c r="FR26" s="1804">
        <v>0</v>
      </c>
      <c r="FS26" s="1804">
        <v>0</v>
      </c>
      <c r="FT26" s="1804">
        <v>0</v>
      </c>
      <c r="FU26" s="1804">
        <v>0</v>
      </c>
      <c r="FV26" s="1804">
        <v>0</v>
      </c>
      <c r="FW26" s="1804">
        <v>0</v>
      </c>
      <c r="FX26" s="1804">
        <v>0</v>
      </c>
      <c r="FY26" s="1804">
        <v>0</v>
      </c>
      <c r="FZ26" s="1804">
        <v>0</v>
      </c>
      <c r="GA26" s="1804">
        <v>0</v>
      </c>
      <c r="GB26" s="1804">
        <v>0</v>
      </c>
      <c r="GC26" s="1804">
        <v>0</v>
      </c>
      <c r="GD26" s="1804">
        <v>0</v>
      </c>
      <c r="GE26" s="1804">
        <v>0</v>
      </c>
      <c r="GF26" s="1804">
        <v>0</v>
      </c>
      <c r="GG26" s="1804">
        <v>0</v>
      </c>
      <c r="GH26" s="1804">
        <v>0</v>
      </c>
      <c r="GI26" s="1804">
        <v>0</v>
      </c>
      <c r="GJ26" s="1804">
        <v>0</v>
      </c>
      <c r="GK26" s="1804">
        <v>0</v>
      </c>
      <c r="GL26" s="1804">
        <v>0</v>
      </c>
      <c r="GM26" s="1804">
        <v>0</v>
      </c>
      <c r="GN26" s="1804">
        <v>0</v>
      </c>
      <c r="GO26" s="1804">
        <v>0</v>
      </c>
      <c r="GP26" s="1804">
        <v>0</v>
      </c>
      <c r="GQ26" s="1804">
        <v>0</v>
      </c>
      <c r="GR26" s="1804">
        <v>0</v>
      </c>
      <c r="GS26" s="1804">
        <v>0</v>
      </c>
      <c r="GT26" s="1804">
        <v>0</v>
      </c>
      <c r="GU26" s="1804">
        <v>0</v>
      </c>
      <c r="GV26" s="1804">
        <v>0</v>
      </c>
      <c r="GW26" s="1804">
        <v>0</v>
      </c>
      <c r="GX26" s="1804">
        <v>0</v>
      </c>
      <c r="GY26" s="1804">
        <v>0</v>
      </c>
      <c r="GZ26" s="1804">
        <v>0</v>
      </c>
      <c r="HA26" s="1804">
        <v>0</v>
      </c>
      <c r="HB26" s="1804">
        <v>0</v>
      </c>
      <c r="HC26" s="1804">
        <v>0</v>
      </c>
      <c r="HD26" s="1804">
        <v>0</v>
      </c>
      <c r="HE26" s="1804">
        <v>0</v>
      </c>
    </row>
    <row r="27" spans="1:213" ht="15" customHeight="1" x14ac:dyDescent="0.2">
      <c r="A27" s="1966"/>
      <c r="B27" s="1970"/>
      <c r="C27" s="1816" t="s">
        <v>647</v>
      </c>
      <c r="D27" s="1881"/>
      <c r="E27" s="1984"/>
      <c r="F27" s="1838">
        <v>0</v>
      </c>
      <c r="G27" s="1804">
        <v>0</v>
      </c>
      <c r="H27" s="1804">
        <v>0</v>
      </c>
      <c r="I27" s="1804">
        <v>0</v>
      </c>
      <c r="J27" s="1804">
        <v>0</v>
      </c>
      <c r="K27" s="1804">
        <v>0</v>
      </c>
      <c r="L27" s="1804">
        <v>0</v>
      </c>
      <c r="M27" s="1804">
        <v>0</v>
      </c>
      <c r="N27" s="1804">
        <v>0</v>
      </c>
      <c r="O27" s="1804">
        <v>0</v>
      </c>
      <c r="P27" s="1804">
        <v>0</v>
      </c>
      <c r="Q27" s="1804">
        <v>0</v>
      </c>
      <c r="R27" s="1804">
        <v>0</v>
      </c>
      <c r="S27" s="1804">
        <v>0</v>
      </c>
      <c r="T27" s="1804">
        <v>0</v>
      </c>
      <c r="U27" s="1804">
        <v>0</v>
      </c>
      <c r="V27" s="1804">
        <v>0</v>
      </c>
      <c r="W27" s="1804">
        <v>0</v>
      </c>
      <c r="X27" s="1804">
        <v>0</v>
      </c>
      <c r="Y27" s="1804">
        <v>0</v>
      </c>
      <c r="Z27" s="1804">
        <v>0</v>
      </c>
      <c r="AA27" s="1804">
        <v>0</v>
      </c>
      <c r="AB27" s="1804">
        <v>0</v>
      </c>
      <c r="AC27" s="1804">
        <v>0</v>
      </c>
      <c r="AD27" s="1804">
        <v>0</v>
      </c>
      <c r="AE27" s="1804">
        <v>0</v>
      </c>
      <c r="AF27" s="1804">
        <v>0</v>
      </c>
      <c r="AG27" s="1804">
        <v>0</v>
      </c>
      <c r="AH27" s="1804">
        <v>0</v>
      </c>
      <c r="AI27" s="1804">
        <v>0</v>
      </c>
      <c r="AJ27" s="1804">
        <v>0</v>
      </c>
      <c r="AK27" s="1804">
        <v>0</v>
      </c>
      <c r="AL27" s="1804">
        <v>0</v>
      </c>
      <c r="AM27" s="1804">
        <v>0</v>
      </c>
      <c r="AN27" s="1804">
        <v>0</v>
      </c>
      <c r="AO27" s="1804">
        <v>0</v>
      </c>
      <c r="AP27" s="1804">
        <v>0</v>
      </c>
      <c r="AQ27" s="1804">
        <v>0</v>
      </c>
      <c r="AR27" s="1804">
        <v>0</v>
      </c>
      <c r="AS27" s="1804">
        <v>0</v>
      </c>
      <c r="AT27" s="1804">
        <v>0</v>
      </c>
      <c r="AU27" s="1804">
        <v>0</v>
      </c>
      <c r="AV27" s="1804">
        <v>0</v>
      </c>
      <c r="AW27" s="1804">
        <v>0</v>
      </c>
      <c r="AX27" s="1804">
        <v>0</v>
      </c>
      <c r="AY27" s="1804">
        <v>0</v>
      </c>
      <c r="AZ27" s="1804">
        <v>0</v>
      </c>
      <c r="BA27" s="1804">
        <v>0</v>
      </c>
      <c r="BB27" s="1804">
        <v>0</v>
      </c>
      <c r="BC27" s="1804">
        <v>0</v>
      </c>
      <c r="BD27" s="1804">
        <v>0</v>
      </c>
      <c r="BE27" s="1804">
        <v>0</v>
      </c>
      <c r="BF27" s="1804">
        <v>0</v>
      </c>
      <c r="BG27" s="1804">
        <v>0</v>
      </c>
      <c r="BH27" s="1804">
        <v>0</v>
      </c>
      <c r="BI27" s="1804">
        <v>0</v>
      </c>
      <c r="BJ27" s="1804">
        <v>0</v>
      </c>
      <c r="BK27" s="1804">
        <v>0</v>
      </c>
      <c r="BL27" s="1804">
        <v>0</v>
      </c>
      <c r="BM27" s="1804">
        <v>0</v>
      </c>
      <c r="BN27" s="1804">
        <v>0</v>
      </c>
      <c r="BO27" s="1804">
        <v>0</v>
      </c>
      <c r="BP27" s="1804">
        <v>0</v>
      </c>
      <c r="BQ27" s="1804">
        <v>0</v>
      </c>
      <c r="BR27" s="1804">
        <v>0</v>
      </c>
      <c r="BS27" s="1804">
        <v>0</v>
      </c>
      <c r="BT27" s="1804">
        <v>0</v>
      </c>
      <c r="BU27" s="1804">
        <v>0</v>
      </c>
      <c r="BV27" s="1804">
        <v>0</v>
      </c>
      <c r="BW27" s="1804">
        <v>0</v>
      </c>
      <c r="BX27" s="1804">
        <v>0</v>
      </c>
      <c r="BY27" s="1804">
        <v>0</v>
      </c>
      <c r="BZ27" s="1804">
        <v>0</v>
      </c>
      <c r="CA27" s="1804">
        <v>0</v>
      </c>
      <c r="CB27" s="1804">
        <v>0</v>
      </c>
      <c r="CC27" s="1804">
        <v>0</v>
      </c>
      <c r="CD27" s="1804">
        <v>0</v>
      </c>
      <c r="CE27" s="1804">
        <v>0</v>
      </c>
      <c r="CF27" s="1804">
        <v>0</v>
      </c>
      <c r="CG27" s="1804">
        <v>0</v>
      </c>
      <c r="CH27" s="1804">
        <v>0</v>
      </c>
      <c r="CI27" s="1804">
        <v>0</v>
      </c>
      <c r="CJ27" s="1804">
        <v>0</v>
      </c>
      <c r="CK27" s="1804">
        <v>0</v>
      </c>
      <c r="CL27" s="1804">
        <v>0</v>
      </c>
      <c r="CM27" s="1804">
        <v>0</v>
      </c>
      <c r="CN27" s="1804">
        <v>0</v>
      </c>
      <c r="CO27" s="1804">
        <v>0</v>
      </c>
      <c r="CP27" s="1804">
        <v>0</v>
      </c>
      <c r="CQ27" s="1804">
        <v>0</v>
      </c>
      <c r="CR27" s="1804">
        <v>0</v>
      </c>
      <c r="CS27" s="1804">
        <v>0</v>
      </c>
      <c r="CT27" s="1804">
        <v>0</v>
      </c>
      <c r="CU27" s="1804">
        <v>0</v>
      </c>
      <c r="CV27" s="1804">
        <v>0</v>
      </c>
      <c r="CW27" s="1804">
        <v>0</v>
      </c>
      <c r="CX27" s="1804">
        <v>0</v>
      </c>
      <c r="CY27" s="1804">
        <v>0</v>
      </c>
      <c r="CZ27" s="1804">
        <v>0</v>
      </c>
      <c r="DA27" s="1804">
        <v>0</v>
      </c>
      <c r="DB27" s="1804">
        <v>0</v>
      </c>
      <c r="DC27" s="1804">
        <v>0</v>
      </c>
      <c r="DD27" s="1804">
        <v>0</v>
      </c>
      <c r="DE27" s="1804">
        <v>0</v>
      </c>
      <c r="DF27" s="1804">
        <v>0</v>
      </c>
      <c r="DG27" s="1804">
        <v>0</v>
      </c>
      <c r="DH27" s="1804">
        <v>0</v>
      </c>
      <c r="DI27" s="1804">
        <v>0</v>
      </c>
      <c r="DJ27" s="1804">
        <v>0</v>
      </c>
      <c r="DK27" s="1804">
        <v>0</v>
      </c>
      <c r="DL27" s="1804">
        <v>0</v>
      </c>
      <c r="DM27" s="1804">
        <v>0</v>
      </c>
      <c r="DN27" s="1804">
        <v>0</v>
      </c>
      <c r="DO27" s="1804">
        <v>0</v>
      </c>
      <c r="DP27" s="1804">
        <v>0</v>
      </c>
      <c r="DQ27" s="1804">
        <v>0</v>
      </c>
      <c r="DR27" s="1804">
        <v>0</v>
      </c>
      <c r="DS27" s="1804">
        <v>0</v>
      </c>
      <c r="DT27" s="1804">
        <v>0</v>
      </c>
      <c r="DU27" s="1804">
        <v>0</v>
      </c>
      <c r="DV27" s="1804">
        <v>0</v>
      </c>
      <c r="DW27" s="1804">
        <v>0</v>
      </c>
      <c r="DX27" s="1804">
        <v>0</v>
      </c>
      <c r="DY27" s="1804">
        <v>0</v>
      </c>
      <c r="DZ27" s="1804">
        <v>0</v>
      </c>
      <c r="EA27" s="1804">
        <v>0</v>
      </c>
      <c r="EB27" s="1804">
        <v>0</v>
      </c>
      <c r="EC27" s="1804">
        <v>0</v>
      </c>
      <c r="ED27" s="1804">
        <v>0</v>
      </c>
      <c r="EE27" s="1804">
        <v>0</v>
      </c>
      <c r="EF27" s="1804">
        <v>0</v>
      </c>
      <c r="EG27" s="1804">
        <v>0</v>
      </c>
      <c r="EH27" s="1804">
        <v>0</v>
      </c>
      <c r="EI27" s="1804">
        <v>0</v>
      </c>
      <c r="EJ27" s="1804">
        <v>0</v>
      </c>
      <c r="EK27" s="1804">
        <v>0</v>
      </c>
      <c r="EL27" s="1804">
        <v>0</v>
      </c>
      <c r="EM27" s="1804">
        <v>0</v>
      </c>
      <c r="EN27" s="1804">
        <v>0</v>
      </c>
      <c r="EO27" s="1804">
        <v>0</v>
      </c>
      <c r="EP27" s="1804">
        <v>0</v>
      </c>
      <c r="EQ27" s="1804">
        <v>0</v>
      </c>
      <c r="ER27" s="1804">
        <v>0</v>
      </c>
      <c r="ES27" s="1804">
        <v>0</v>
      </c>
      <c r="ET27" s="1804">
        <v>0</v>
      </c>
      <c r="EU27" s="1804">
        <v>0</v>
      </c>
      <c r="EV27" s="1804">
        <v>0</v>
      </c>
      <c r="EW27" s="1804">
        <v>0</v>
      </c>
      <c r="EX27" s="1804">
        <v>0</v>
      </c>
      <c r="EY27" s="1804">
        <v>0</v>
      </c>
      <c r="EZ27" s="1804">
        <v>0</v>
      </c>
      <c r="FA27" s="1804">
        <v>0</v>
      </c>
      <c r="FB27" s="1804">
        <v>0</v>
      </c>
      <c r="FC27" s="1804">
        <v>0</v>
      </c>
      <c r="FD27" s="1804">
        <v>0</v>
      </c>
      <c r="FE27" s="1804">
        <v>0</v>
      </c>
      <c r="FF27" s="1804">
        <v>0</v>
      </c>
      <c r="FG27" s="1804">
        <v>0</v>
      </c>
      <c r="FH27" s="1804">
        <v>0</v>
      </c>
      <c r="FI27" s="1804">
        <v>0</v>
      </c>
      <c r="FJ27" s="1804">
        <v>0</v>
      </c>
      <c r="FK27" s="1804">
        <v>0</v>
      </c>
      <c r="FL27" s="1804">
        <v>0</v>
      </c>
      <c r="FM27" s="1804">
        <v>0</v>
      </c>
      <c r="FN27" s="1804">
        <v>0</v>
      </c>
      <c r="FO27" s="1804">
        <v>0</v>
      </c>
      <c r="FP27" s="1804">
        <v>0</v>
      </c>
      <c r="FQ27" s="1804">
        <v>0</v>
      </c>
      <c r="FR27" s="1804">
        <v>0</v>
      </c>
      <c r="FS27" s="1804">
        <v>0</v>
      </c>
      <c r="FT27" s="1804">
        <v>0</v>
      </c>
      <c r="FU27" s="1804">
        <v>0</v>
      </c>
      <c r="FV27" s="1804">
        <v>0</v>
      </c>
      <c r="FW27" s="1804">
        <v>0</v>
      </c>
      <c r="FX27" s="1804">
        <v>0</v>
      </c>
      <c r="FY27" s="1804">
        <v>0</v>
      </c>
      <c r="FZ27" s="1804">
        <v>0</v>
      </c>
      <c r="GA27" s="1804">
        <v>0</v>
      </c>
      <c r="GB27" s="1804">
        <v>0</v>
      </c>
      <c r="GC27" s="1804">
        <v>0</v>
      </c>
      <c r="GD27" s="1804">
        <v>0</v>
      </c>
      <c r="GE27" s="1804">
        <v>0</v>
      </c>
      <c r="GF27" s="1804">
        <v>0</v>
      </c>
      <c r="GG27" s="1804">
        <v>0</v>
      </c>
      <c r="GH27" s="1804">
        <v>0</v>
      </c>
      <c r="GI27" s="1804">
        <v>0</v>
      </c>
      <c r="GJ27" s="1804">
        <v>0</v>
      </c>
      <c r="GK27" s="1804">
        <v>0</v>
      </c>
      <c r="GL27" s="1804">
        <v>0</v>
      </c>
      <c r="GM27" s="1804">
        <v>0</v>
      </c>
      <c r="GN27" s="1804">
        <v>0</v>
      </c>
      <c r="GO27" s="1804">
        <v>0</v>
      </c>
      <c r="GP27" s="1804">
        <v>0</v>
      </c>
      <c r="GQ27" s="1804">
        <v>0</v>
      </c>
      <c r="GR27" s="1804">
        <v>0</v>
      </c>
      <c r="GS27" s="1804">
        <v>0</v>
      </c>
      <c r="GT27" s="1804">
        <v>0</v>
      </c>
      <c r="GU27" s="1804">
        <v>0</v>
      </c>
      <c r="GV27" s="1804">
        <v>0</v>
      </c>
      <c r="GW27" s="1804">
        <v>0</v>
      </c>
      <c r="GX27" s="1804">
        <v>0</v>
      </c>
      <c r="GY27" s="1804">
        <v>0</v>
      </c>
      <c r="GZ27" s="1804">
        <v>0</v>
      </c>
      <c r="HA27" s="1804">
        <v>0</v>
      </c>
      <c r="HB27" s="1804">
        <v>0</v>
      </c>
      <c r="HC27" s="1804">
        <v>0</v>
      </c>
      <c r="HD27" s="1804">
        <v>0</v>
      </c>
      <c r="HE27" s="1804">
        <v>0</v>
      </c>
    </row>
    <row r="28" spans="1:213" ht="15" customHeight="1" x14ac:dyDescent="0.2">
      <c r="A28" s="1966"/>
      <c r="B28" s="1970"/>
      <c r="C28" s="1816" t="s">
        <v>564</v>
      </c>
      <c r="D28" s="1881"/>
      <c r="E28" s="1984"/>
      <c r="F28" s="1838">
        <v>0</v>
      </c>
      <c r="G28" s="1804">
        <v>0</v>
      </c>
      <c r="H28" s="1804">
        <v>0</v>
      </c>
      <c r="I28" s="1804">
        <v>0</v>
      </c>
      <c r="J28" s="1804">
        <v>0</v>
      </c>
      <c r="K28" s="1804">
        <v>0</v>
      </c>
      <c r="L28" s="1804">
        <v>0</v>
      </c>
      <c r="M28" s="1804">
        <v>0</v>
      </c>
      <c r="N28" s="1804">
        <v>0</v>
      </c>
      <c r="O28" s="1804">
        <v>0</v>
      </c>
      <c r="P28" s="1804">
        <v>0</v>
      </c>
      <c r="Q28" s="1804">
        <v>0</v>
      </c>
      <c r="R28" s="1804">
        <v>0</v>
      </c>
      <c r="S28" s="1804">
        <v>0</v>
      </c>
      <c r="T28" s="1804">
        <v>0</v>
      </c>
      <c r="U28" s="1804">
        <v>0</v>
      </c>
      <c r="V28" s="1804">
        <v>0</v>
      </c>
      <c r="W28" s="1804">
        <v>0</v>
      </c>
      <c r="X28" s="1804">
        <v>0</v>
      </c>
      <c r="Y28" s="1804">
        <v>0</v>
      </c>
      <c r="Z28" s="1804">
        <v>0</v>
      </c>
      <c r="AA28" s="1804">
        <v>0</v>
      </c>
      <c r="AB28" s="1804">
        <v>0</v>
      </c>
      <c r="AC28" s="1804">
        <v>0</v>
      </c>
      <c r="AD28" s="1804">
        <v>0</v>
      </c>
      <c r="AE28" s="1804">
        <v>0</v>
      </c>
      <c r="AF28" s="1804">
        <v>0</v>
      </c>
      <c r="AG28" s="1804">
        <v>0</v>
      </c>
      <c r="AH28" s="1804">
        <v>0</v>
      </c>
      <c r="AI28" s="1804">
        <v>0</v>
      </c>
      <c r="AJ28" s="1804">
        <v>0</v>
      </c>
      <c r="AK28" s="1804">
        <v>0</v>
      </c>
      <c r="AL28" s="1804">
        <v>0</v>
      </c>
      <c r="AM28" s="1804">
        <v>0</v>
      </c>
      <c r="AN28" s="1804">
        <v>0</v>
      </c>
      <c r="AO28" s="1804">
        <v>0</v>
      </c>
      <c r="AP28" s="1804">
        <v>0</v>
      </c>
      <c r="AQ28" s="1804">
        <v>0</v>
      </c>
      <c r="AR28" s="1804">
        <v>0</v>
      </c>
      <c r="AS28" s="1804">
        <v>0</v>
      </c>
      <c r="AT28" s="1804">
        <v>0</v>
      </c>
      <c r="AU28" s="1804">
        <v>0</v>
      </c>
      <c r="AV28" s="1804">
        <v>0</v>
      </c>
      <c r="AW28" s="1804">
        <v>0</v>
      </c>
      <c r="AX28" s="1804">
        <v>0</v>
      </c>
      <c r="AY28" s="1804">
        <v>0</v>
      </c>
      <c r="AZ28" s="1804">
        <v>0</v>
      </c>
      <c r="BA28" s="1804">
        <v>0</v>
      </c>
      <c r="BB28" s="1804">
        <v>0</v>
      </c>
      <c r="BC28" s="1804">
        <v>0</v>
      </c>
      <c r="BD28" s="1804">
        <v>0</v>
      </c>
      <c r="BE28" s="1804">
        <v>0</v>
      </c>
      <c r="BF28" s="1804">
        <v>0</v>
      </c>
      <c r="BG28" s="1804">
        <v>0</v>
      </c>
      <c r="BH28" s="1804">
        <v>0</v>
      </c>
      <c r="BI28" s="1804">
        <v>0</v>
      </c>
      <c r="BJ28" s="1804">
        <v>0</v>
      </c>
      <c r="BK28" s="1804">
        <v>0</v>
      </c>
      <c r="BL28" s="1804">
        <v>0</v>
      </c>
      <c r="BM28" s="1804">
        <v>0</v>
      </c>
      <c r="BN28" s="1804">
        <v>0</v>
      </c>
      <c r="BO28" s="1804">
        <v>0</v>
      </c>
      <c r="BP28" s="1804">
        <v>0</v>
      </c>
      <c r="BQ28" s="1804">
        <v>0</v>
      </c>
      <c r="BR28" s="1804">
        <v>0</v>
      </c>
      <c r="BS28" s="1804">
        <v>0</v>
      </c>
      <c r="BT28" s="1804">
        <v>0</v>
      </c>
      <c r="BU28" s="1804">
        <v>0</v>
      </c>
      <c r="BV28" s="1804">
        <v>0</v>
      </c>
      <c r="BW28" s="1804">
        <v>0</v>
      </c>
      <c r="BX28" s="1804">
        <v>0</v>
      </c>
      <c r="BY28" s="1804">
        <v>0</v>
      </c>
      <c r="BZ28" s="1804">
        <v>0</v>
      </c>
      <c r="CA28" s="1804">
        <v>0</v>
      </c>
      <c r="CB28" s="1804">
        <v>0</v>
      </c>
      <c r="CC28" s="1804">
        <v>0</v>
      </c>
      <c r="CD28" s="1804">
        <v>0</v>
      </c>
      <c r="CE28" s="1804">
        <v>0</v>
      </c>
      <c r="CF28" s="1804">
        <v>0</v>
      </c>
      <c r="CG28" s="1804">
        <v>0</v>
      </c>
      <c r="CH28" s="1804">
        <v>0</v>
      </c>
      <c r="CI28" s="1804">
        <v>0</v>
      </c>
      <c r="CJ28" s="1804">
        <v>0</v>
      </c>
      <c r="CK28" s="1804">
        <v>0</v>
      </c>
      <c r="CL28" s="1804">
        <v>0</v>
      </c>
      <c r="CM28" s="1804">
        <v>0</v>
      </c>
      <c r="CN28" s="1804">
        <v>0</v>
      </c>
      <c r="CO28" s="1804">
        <v>0</v>
      </c>
      <c r="CP28" s="1804">
        <v>0</v>
      </c>
      <c r="CQ28" s="1804">
        <v>0</v>
      </c>
      <c r="CR28" s="1804">
        <v>0</v>
      </c>
      <c r="CS28" s="1804">
        <v>0</v>
      </c>
      <c r="CT28" s="1804">
        <v>0</v>
      </c>
      <c r="CU28" s="1804">
        <v>0</v>
      </c>
      <c r="CV28" s="1804">
        <v>0</v>
      </c>
      <c r="CW28" s="1804">
        <v>0</v>
      </c>
      <c r="CX28" s="1804">
        <v>0</v>
      </c>
      <c r="CY28" s="1804">
        <v>0</v>
      </c>
      <c r="CZ28" s="1804">
        <v>0</v>
      </c>
      <c r="DA28" s="1804">
        <v>0</v>
      </c>
      <c r="DB28" s="1804">
        <v>0</v>
      </c>
      <c r="DC28" s="1804">
        <v>0</v>
      </c>
      <c r="DD28" s="1804">
        <v>0</v>
      </c>
      <c r="DE28" s="1804">
        <v>0</v>
      </c>
      <c r="DF28" s="1804">
        <v>0</v>
      </c>
      <c r="DG28" s="1804">
        <v>0</v>
      </c>
      <c r="DH28" s="1804">
        <v>0</v>
      </c>
      <c r="DI28" s="1804">
        <v>0</v>
      </c>
      <c r="DJ28" s="1804">
        <v>0</v>
      </c>
      <c r="DK28" s="1804">
        <v>0</v>
      </c>
      <c r="DL28" s="1804">
        <v>0</v>
      </c>
      <c r="DM28" s="1804">
        <v>0</v>
      </c>
      <c r="DN28" s="1804">
        <v>0</v>
      </c>
      <c r="DO28" s="1804">
        <v>0</v>
      </c>
      <c r="DP28" s="1804">
        <v>0</v>
      </c>
      <c r="DQ28" s="1804">
        <v>0</v>
      </c>
      <c r="DR28" s="1804">
        <v>0</v>
      </c>
      <c r="DS28" s="1804">
        <v>0</v>
      </c>
      <c r="DT28" s="1804">
        <v>0</v>
      </c>
      <c r="DU28" s="1804">
        <v>0</v>
      </c>
      <c r="DV28" s="1804">
        <v>0</v>
      </c>
      <c r="DW28" s="1804">
        <v>0</v>
      </c>
      <c r="DX28" s="1804">
        <v>0</v>
      </c>
      <c r="DY28" s="1804">
        <v>0</v>
      </c>
      <c r="DZ28" s="1804">
        <v>0</v>
      </c>
      <c r="EA28" s="1804">
        <v>0</v>
      </c>
      <c r="EB28" s="1804">
        <v>0</v>
      </c>
      <c r="EC28" s="1804">
        <v>0</v>
      </c>
      <c r="ED28" s="1804">
        <v>0</v>
      </c>
      <c r="EE28" s="1804">
        <v>0</v>
      </c>
      <c r="EF28" s="1804">
        <v>0</v>
      </c>
      <c r="EG28" s="1804">
        <v>0</v>
      </c>
      <c r="EH28" s="1804">
        <v>0</v>
      </c>
      <c r="EI28" s="1804">
        <v>0</v>
      </c>
      <c r="EJ28" s="1804">
        <v>0</v>
      </c>
      <c r="EK28" s="1804">
        <v>0</v>
      </c>
      <c r="EL28" s="1804">
        <v>0</v>
      </c>
      <c r="EM28" s="1804">
        <v>0</v>
      </c>
      <c r="EN28" s="1804">
        <v>0</v>
      </c>
      <c r="EO28" s="1804">
        <v>0</v>
      </c>
      <c r="EP28" s="1804">
        <v>0</v>
      </c>
      <c r="EQ28" s="1804">
        <v>0</v>
      </c>
      <c r="ER28" s="1804">
        <v>0</v>
      </c>
      <c r="ES28" s="1804">
        <v>0</v>
      </c>
      <c r="ET28" s="1804">
        <v>0</v>
      </c>
      <c r="EU28" s="1804">
        <v>0</v>
      </c>
      <c r="EV28" s="1804">
        <v>0</v>
      </c>
      <c r="EW28" s="1804">
        <v>0</v>
      </c>
      <c r="EX28" s="1804">
        <v>0</v>
      </c>
      <c r="EY28" s="1804">
        <v>0</v>
      </c>
      <c r="EZ28" s="1804">
        <v>0</v>
      </c>
      <c r="FA28" s="1804">
        <v>0</v>
      </c>
      <c r="FB28" s="1804">
        <v>0</v>
      </c>
      <c r="FC28" s="1804">
        <v>0</v>
      </c>
      <c r="FD28" s="1804">
        <v>0</v>
      </c>
      <c r="FE28" s="1804">
        <v>0</v>
      </c>
      <c r="FF28" s="1804">
        <v>0</v>
      </c>
      <c r="FG28" s="1804">
        <v>0</v>
      </c>
      <c r="FH28" s="1804">
        <v>0</v>
      </c>
      <c r="FI28" s="1804">
        <v>0</v>
      </c>
      <c r="FJ28" s="1804">
        <v>0</v>
      </c>
      <c r="FK28" s="1804">
        <v>0</v>
      </c>
      <c r="FL28" s="1804">
        <v>0</v>
      </c>
      <c r="FM28" s="1804">
        <v>0</v>
      </c>
      <c r="FN28" s="1804">
        <v>0</v>
      </c>
      <c r="FO28" s="1804">
        <v>0</v>
      </c>
      <c r="FP28" s="1804">
        <v>0</v>
      </c>
      <c r="FQ28" s="1804">
        <v>0</v>
      </c>
      <c r="FR28" s="1804">
        <v>0</v>
      </c>
      <c r="FS28" s="1804">
        <v>0</v>
      </c>
      <c r="FT28" s="1804">
        <v>0</v>
      </c>
      <c r="FU28" s="1804">
        <v>0</v>
      </c>
      <c r="FV28" s="1804">
        <v>0</v>
      </c>
      <c r="FW28" s="1804">
        <v>0</v>
      </c>
      <c r="FX28" s="1804">
        <v>0</v>
      </c>
      <c r="FY28" s="1804">
        <v>0</v>
      </c>
      <c r="FZ28" s="1804">
        <v>0</v>
      </c>
      <c r="GA28" s="1804">
        <v>0</v>
      </c>
      <c r="GB28" s="1804">
        <v>0</v>
      </c>
      <c r="GC28" s="1804">
        <v>0</v>
      </c>
      <c r="GD28" s="1804">
        <v>0</v>
      </c>
      <c r="GE28" s="1804">
        <v>0</v>
      </c>
      <c r="GF28" s="1804">
        <v>0</v>
      </c>
      <c r="GG28" s="1804">
        <v>0</v>
      </c>
      <c r="GH28" s="1804">
        <v>0</v>
      </c>
      <c r="GI28" s="1804">
        <v>0</v>
      </c>
      <c r="GJ28" s="1804">
        <v>0</v>
      </c>
      <c r="GK28" s="1804">
        <v>0</v>
      </c>
      <c r="GL28" s="1804">
        <v>0</v>
      </c>
      <c r="GM28" s="1804">
        <v>0</v>
      </c>
      <c r="GN28" s="1804">
        <v>0</v>
      </c>
      <c r="GO28" s="1804">
        <v>0</v>
      </c>
      <c r="GP28" s="1804">
        <v>0</v>
      </c>
      <c r="GQ28" s="1804">
        <v>0</v>
      </c>
      <c r="GR28" s="1804">
        <v>0</v>
      </c>
      <c r="GS28" s="1804">
        <v>0</v>
      </c>
      <c r="GT28" s="1804">
        <v>0</v>
      </c>
      <c r="GU28" s="1804">
        <v>0</v>
      </c>
      <c r="GV28" s="1804">
        <v>0</v>
      </c>
      <c r="GW28" s="1804">
        <v>0</v>
      </c>
      <c r="GX28" s="1804">
        <v>0</v>
      </c>
      <c r="GY28" s="1804">
        <v>0</v>
      </c>
      <c r="GZ28" s="1804">
        <v>0</v>
      </c>
      <c r="HA28" s="1804">
        <v>0</v>
      </c>
      <c r="HB28" s="1804">
        <v>0</v>
      </c>
      <c r="HC28" s="1804">
        <v>0</v>
      </c>
      <c r="HD28" s="1804">
        <v>0</v>
      </c>
      <c r="HE28" s="1804">
        <v>0</v>
      </c>
    </row>
    <row r="29" spans="1:213" ht="15" customHeight="1" x14ac:dyDescent="0.2">
      <c r="A29" s="1966"/>
      <c r="B29" s="1970"/>
      <c r="C29" s="1816" t="s">
        <v>565</v>
      </c>
      <c r="D29" s="1881"/>
      <c r="E29" s="1984"/>
      <c r="F29" s="1838">
        <v>0</v>
      </c>
      <c r="G29" s="1804">
        <v>0</v>
      </c>
      <c r="H29" s="1804">
        <v>0</v>
      </c>
      <c r="I29" s="1804">
        <v>0</v>
      </c>
      <c r="J29" s="1804">
        <v>0</v>
      </c>
      <c r="K29" s="1804">
        <v>0</v>
      </c>
      <c r="L29" s="1804">
        <v>0</v>
      </c>
      <c r="M29" s="1804">
        <v>0</v>
      </c>
      <c r="N29" s="1804">
        <v>0</v>
      </c>
      <c r="O29" s="1804">
        <v>0</v>
      </c>
      <c r="P29" s="1804">
        <v>0</v>
      </c>
      <c r="Q29" s="1804">
        <v>0</v>
      </c>
      <c r="R29" s="1804">
        <v>0</v>
      </c>
      <c r="S29" s="1804">
        <v>0</v>
      </c>
      <c r="T29" s="1804">
        <v>0</v>
      </c>
      <c r="U29" s="1804">
        <v>0</v>
      </c>
      <c r="V29" s="1804">
        <v>0</v>
      </c>
      <c r="W29" s="1804">
        <v>0</v>
      </c>
      <c r="X29" s="1804">
        <v>0</v>
      </c>
      <c r="Y29" s="1804">
        <v>0</v>
      </c>
      <c r="Z29" s="1804">
        <v>0</v>
      </c>
      <c r="AA29" s="1804">
        <v>0</v>
      </c>
      <c r="AB29" s="1804">
        <v>0</v>
      </c>
      <c r="AC29" s="1804">
        <v>0</v>
      </c>
      <c r="AD29" s="1804">
        <v>0</v>
      </c>
      <c r="AE29" s="1804">
        <v>0</v>
      </c>
      <c r="AF29" s="1804">
        <v>0</v>
      </c>
      <c r="AG29" s="1804">
        <v>0</v>
      </c>
      <c r="AH29" s="1804">
        <v>0</v>
      </c>
      <c r="AI29" s="1804">
        <v>0</v>
      </c>
      <c r="AJ29" s="1804">
        <v>0</v>
      </c>
      <c r="AK29" s="1804">
        <v>0</v>
      </c>
      <c r="AL29" s="1804">
        <v>0</v>
      </c>
      <c r="AM29" s="1804">
        <v>0</v>
      </c>
      <c r="AN29" s="1804">
        <v>0</v>
      </c>
      <c r="AO29" s="1804">
        <v>0</v>
      </c>
      <c r="AP29" s="1804">
        <v>0</v>
      </c>
      <c r="AQ29" s="1804">
        <v>0</v>
      </c>
      <c r="AR29" s="1804">
        <v>0</v>
      </c>
      <c r="AS29" s="1804">
        <v>0</v>
      </c>
      <c r="AT29" s="1804">
        <v>0</v>
      </c>
      <c r="AU29" s="1804">
        <v>0</v>
      </c>
      <c r="AV29" s="1804">
        <v>0</v>
      </c>
      <c r="AW29" s="1804">
        <v>0</v>
      </c>
      <c r="AX29" s="1804">
        <v>0</v>
      </c>
      <c r="AY29" s="1804">
        <v>0</v>
      </c>
      <c r="AZ29" s="1804">
        <v>0</v>
      </c>
      <c r="BA29" s="1804">
        <v>0</v>
      </c>
      <c r="BB29" s="1804">
        <v>0</v>
      </c>
      <c r="BC29" s="1804">
        <v>0</v>
      </c>
      <c r="BD29" s="1804">
        <v>0</v>
      </c>
      <c r="BE29" s="1804">
        <v>0</v>
      </c>
      <c r="BF29" s="1804">
        <v>0</v>
      </c>
      <c r="BG29" s="1804">
        <v>0</v>
      </c>
      <c r="BH29" s="1804">
        <v>0</v>
      </c>
      <c r="BI29" s="1804">
        <v>0</v>
      </c>
      <c r="BJ29" s="1804">
        <v>0</v>
      </c>
      <c r="BK29" s="1804">
        <v>0</v>
      </c>
      <c r="BL29" s="1804">
        <v>0</v>
      </c>
      <c r="BM29" s="1804">
        <v>0</v>
      </c>
      <c r="BN29" s="1804">
        <v>0</v>
      </c>
      <c r="BO29" s="1804">
        <v>0</v>
      </c>
      <c r="BP29" s="1804">
        <v>0</v>
      </c>
      <c r="BQ29" s="1804">
        <v>0</v>
      </c>
      <c r="BR29" s="1804">
        <v>0</v>
      </c>
      <c r="BS29" s="1804">
        <v>0</v>
      </c>
      <c r="BT29" s="1804">
        <v>0</v>
      </c>
      <c r="BU29" s="1804">
        <v>0</v>
      </c>
      <c r="BV29" s="1804">
        <v>0</v>
      </c>
      <c r="BW29" s="1804">
        <v>0</v>
      </c>
      <c r="BX29" s="1804">
        <v>0</v>
      </c>
      <c r="BY29" s="1804">
        <v>0</v>
      </c>
      <c r="BZ29" s="1804">
        <v>0</v>
      </c>
      <c r="CA29" s="1804">
        <v>0</v>
      </c>
      <c r="CB29" s="1804">
        <v>0</v>
      </c>
      <c r="CC29" s="1804">
        <v>0</v>
      </c>
      <c r="CD29" s="1804">
        <v>0</v>
      </c>
      <c r="CE29" s="1804">
        <v>0</v>
      </c>
      <c r="CF29" s="1804">
        <v>0</v>
      </c>
      <c r="CG29" s="1804">
        <v>0</v>
      </c>
      <c r="CH29" s="1804">
        <v>0</v>
      </c>
      <c r="CI29" s="1804">
        <v>0</v>
      </c>
      <c r="CJ29" s="1804">
        <v>0</v>
      </c>
      <c r="CK29" s="1804">
        <v>0</v>
      </c>
      <c r="CL29" s="1804">
        <v>0</v>
      </c>
      <c r="CM29" s="1804">
        <v>0</v>
      </c>
      <c r="CN29" s="1804">
        <v>0</v>
      </c>
      <c r="CO29" s="1804">
        <v>0</v>
      </c>
      <c r="CP29" s="1804">
        <v>0</v>
      </c>
      <c r="CQ29" s="1804">
        <v>0</v>
      </c>
      <c r="CR29" s="1804">
        <v>0</v>
      </c>
      <c r="CS29" s="1804">
        <v>0</v>
      </c>
      <c r="CT29" s="1804">
        <v>0</v>
      </c>
      <c r="CU29" s="1804">
        <v>0</v>
      </c>
      <c r="CV29" s="1804">
        <v>0</v>
      </c>
      <c r="CW29" s="1804">
        <v>0</v>
      </c>
      <c r="CX29" s="1804">
        <v>0</v>
      </c>
      <c r="CY29" s="1804">
        <v>0</v>
      </c>
      <c r="CZ29" s="1804">
        <v>0</v>
      </c>
      <c r="DA29" s="1804">
        <v>0</v>
      </c>
      <c r="DB29" s="1804">
        <v>0</v>
      </c>
      <c r="DC29" s="1804">
        <v>0</v>
      </c>
      <c r="DD29" s="1804">
        <v>0</v>
      </c>
      <c r="DE29" s="1804">
        <v>0</v>
      </c>
      <c r="DF29" s="1804">
        <v>0</v>
      </c>
      <c r="DG29" s="1804">
        <v>0</v>
      </c>
      <c r="DH29" s="1804">
        <v>0</v>
      </c>
      <c r="DI29" s="1804">
        <v>0</v>
      </c>
      <c r="DJ29" s="1804">
        <v>0</v>
      </c>
      <c r="DK29" s="1804">
        <v>0</v>
      </c>
      <c r="DL29" s="1804">
        <v>0</v>
      </c>
      <c r="DM29" s="1804">
        <v>0</v>
      </c>
      <c r="DN29" s="1804">
        <v>0</v>
      </c>
      <c r="DO29" s="1804">
        <v>0</v>
      </c>
      <c r="DP29" s="1804">
        <v>0</v>
      </c>
      <c r="DQ29" s="1804">
        <v>0</v>
      </c>
      <c r="DR29" s="1804">
        <v>0</v>
      </c>
      <c r="DS29" s="1804">
        <v>0</v>
      </c>
      <c r="DT29" s="1804">
        <v>0</v>
      </c>
      <c r="DU29" s="1804">
        <v>0</v>
      </c>
      <c r="DV29" s="1804">
        <v>0</v>
      </c>
      <c r="DW29" s="1804">
        <v>0</v>
      </c>
      <c r="DX29" s="1804">
        <v>0</v>
      </c>
      <c r="DY29" s="1804">
        <v>0</v>
      </c>
      <c r="DZ29" s="1804">
        <v>0</v>
      </c>
      <c r="EA29" s="1804">
        <v>0</v>
      </c>
      <c r="EB29" s="1804">
        <v>0</v>
      </c>
      <c r="EC29" s="1804">
        <v>0</v>
      </c>
      <c r="ED29" s="1804">
        <v>0</v>
      </c>
      <c r="EE29" s="1804">
        <v>0</v>
      </c>
      <c r="EF29" s="1804">
        <v>0</v>
      </c>
      <c r="EG29" s="1804">
        <v>0</v>
      </c>
      <c r="EH29" s="1804">
        <v>0</v>
      </c>
      <c r="EI29" s="1804">
        <v>0</v>
      </c>
      <c r="EJ29" s="1804">
        <v>0</v>
      </c>
      <c r="EK29" s="1804">
        <v>0</v>
      </c>
      <c r="EL29" s="1804">
        <v>0</v>
      </c>
      <c r="EM29" s="1804">
        <v>0</v>
      </c>
      <c r="EN29" s="1804">
        <v>0</v>
      </c>
      <c r="EO29" s="1804">
        <v>0</v>
      </c>
      <c r="EP29" s="1804">
        <v>0</v>
      </c>
      <c r="EQ29" s="1804">
        <v>0</v>
      </c>
      <c r="ER29" s="1804">
        <v>0</v>
      </c>
      <c r="ES29" s="1804">
        <v>0</v>
      </c>
      <c r="ET29" s="1804">
        <v>0</v>
      </c>
      <c r="EU29" s="1804">
        <v>0</v>
      </c>
      <c r="EV29" s="1804">
        <v>0</v>
      </c>
      <c r="EW29" s="1804">
        <v>0</v>
      </c>
      <c r="EX29" s="1804">
        <v>0</v>
      </c>
      <c r="EY29" s="1804">
        <v>0</v>
      </c>
      <c r="EZ29" s="1804">
        <v>0</v>
      </c>
      <c r="FA29" s="1804">
        <v>0</v>
      </c>
      <c r="FB29" s="1804">
        <v>0</v>
      </c>
      <c r="FC29" s="1804">
        <v>0</v>
      </c>
      <c r="FD29" s="1804">
        <v>0</v>
      </c>
      <c r="FE29" s="1804">
        <v>0</v>
      </c>
      <c r="FF29" s="1804">
        <v>0</v>
      </c>
      <c r="FG29" s="1804">
        <v>0</v>
      </c>
      <c r="FH29" s="1804">
        <v>0</v>
      </c>
      <c r="FI29" s="1804">
        <v>0</v>
      </c>
      <c r="FJ29" s="1804">
        <v>0</v>
      </c>
      <c r="FK29" s="1804">
        <v>0</v>
      </c>
      <c r="FL29" s="1804">
        <v>0</v>
      </c>
      <c r="FM29" s="1804">
        <v>0</v>
      </c>
      <c r="FN29" s="1804">
        <v>0</v>
      </c>
      <c r="FO29" s="1804">
        <v>0</v>
      </c>
      <c r="FP29" s="1804">
        <v>0</v>
      </c>
      <c r="FQ29" s="1804">
        <v>0</v>
      </c>
      <c r="FR29" s="1804">
        <v>0</v>
      </c>
      <c r="FS29" s="1804">
        <v>0</v>
      </c>
      <c r="FT29" s="1804">
        <v>0</v>
      </c>
      <c r="FU29" s="1804">
        <v>0</v>
      </c>
      <c r="FV29" s="1804">
        <v>0</v>
      </c>
      <c r="FW29" s="1804">
        <v>0</v>
      </c>
      <c r="FX29" s="1804">
        <v>0</v>
      </c>
      <c r="FY29" s="1804">
        <v>0</v>
      </c>
      <c r="FZ29" s="1804">
        <v>0</v>
      </c>
      <c r="GA29" s="1804">
        <v>0</v>
      </c>
      <c r="GB29" s="1804">
        <v>0</v>
      </c>
      <c r="GC29" s="1804">
        <v>0</v>
      </c>
      <c r="GD29" s="1804">
        <v>0</v>
      </c>
      <c r="GE29" s="1804">
        <v>0</v>
      </c>
      <c r="GF29" s="1804">
        <v>0</v>
      </c>
      <c r="GG29" s="1804">
        <v>0</v>
      </c>
      <c r="GH29" s="1804">
        <v>0</v>
      </c>
      <c r="GI29" s="1804">
        <v>0</v>
      </c>
      <c r="GJ29" s="1804">
        <v>0</v>
      </c>
      <c r="GK29" s="1804">
        <v>0</v>
      </c>
      <c r="GL29" s="1804">
        <v>0</v>
      </c>
      <c r="GM29" s="1804">
        <v>0</v>
      </c>
      <c r="GN29" s="1804">
        <v>0</v>
      </c>
      <c r="GO29" s="1804">
        <v>0</v>
      </c>
      <c r="GP29" s="1804">
        <v>0</v>
      </c>
      <c r="GQ29" s="1804">
        <v>0</v>
      </c>
      <c r="GR29" s="1804">
        <v>0</v>
      </c>
      <c r="GS29" s="1804">
        <v>0</v>
      </c>
      <c r="GT29" s="1804">
        <v>0</v>
      </c>
      <c r="GU29" s="1804">
        <v>0</v>
      </c>
      <c r="GV29" s="1804">
        <v>0</v>
      </c>
      <c r="GW29" s="1804">
        <v>0</v>
      </c>
      <c r="GX29" s="1804">
        <v>0</v>
      </c>
      <c r="GY29" s="1804">
        <v>0</v>
      </c>
      <c r="GZ29" s="1804">
        <v>0</v>
      </c>
      <c r="HA29" s="1804">
        <v>0</v>
      </c>
      <c r="HB29" s="1804">
        <v>0</v>
      </c>
      <c r="HC29" s="1804">
        <v>0</v>
      </c>
      <c r="HD29" s="1804">
        <v>0</v>
      </c>
      <c r="HE29" s="1804">
        <v>0</v>
      </c>
    </row>
    <row r="30" spans="1:213" ht="15" customHeight="1" thickBot="1" x14ac:dyDescent="0.25">
      <c r="A30" s="1967"/>
      <c r="B30" s="1990"/>
      <c r="C30" s="1691" t="s">
        <v>566</v>
      </c>
      <c r="D30" s="1881"/>
      <c r="E30" s="1984"/>
      <c r="F30" s="1838">
        <v>0</v>
      </c>
      <c r="G30" s="1804">
        <v>0</v>
      </c>
      <c r="H30" s="1804">
        <v>0</v>
      </c>
      <c r="I30" s="1804">
        <v>0</v>
      </c>
      <c r="J30" s="1804">
        <v>0</v>
      </c>
      <c r="K30" s="1804">
        <v>0</v>
      </c>
      <c r="L30" s="1804">
        <v>0</v>
      </c>
      <c r="M30" s="1804">
        <v>0</v>
      </c>
      <c r="N30" s="1804">
        <v>0</v>
      </c>
      <c r="O30" s="1804">
        <v>0</v>
      </c>
      <c r="P30" s="1804">
        <v>0</v>
      </c>
      <c r="Q30" s="1804">
        <v>0</v>
      </c>
      <c r="R30" s="1804">
        <v>0</v>
      </c>
      <c r="S30" s="1804">
        <v>0</v>
      </c>
      <c r="T30" s="1804">
        <v>0</v>
      </c>
      <c r="U30" s="1804">
        <v>0</v>
      </c>
      <c r="V30" s="1804">
        <v>0</v>
      </c>
      <c r="W30" s="1804">
        <v>0</v>
      </c>
      <c r="X30" s="1804">
        <v>0</v>
      </c>
      <c r="Y30" s="1804">
        <v>0</v>
      </c>
      <c r="Z30" s="1804">
        <v>0</v>
      </c>
      <c r="AA30" s="1804">
        <v>0</v>
      </c>
      <c r="AB30" s="1804">
        <v>0</v>
      </c>
      <c r="AC30" s="1804">
        <v>0</v>
      </c>
      <c r="AD30" s="1804">
        <v>0</v>
      </c>
      <c r="AE30" s="1804">
        <v>0</v>
      </c>
      <c r="AF30" s="1804">
        <v>0</v>
      </c>
      <c r="AG30" s="1804">
        <v>0</v>
      </c>
      <c r="AH30" s="1804">
        <v>0</v>
      </c>
      <c r="AI30" s="1804">
        <v>0</v>
      </c>
      <c r="AJ30" s="1804">
        <v>0</v>
      </c>
      <c r="AK30" s="1804">
        <v>0</v>
      </c>
      <c r="AL30" s="1804">
        <v>0</v>
      </c>
      <c r="AM30" s="1804">
        <v>0</v>
      </c>
      <c r="AN30" s="1804">
        <v>0</v>
      </c>
      <c r="AO30" s="1804">
        <v>0</v>
      </c>
      <c r="AP30" s="1804">
        <v>0</v>
      </c>
      <c r="AQ30" s="1804">
        <v>0</v>
      </c>
      <c r="AR30" s="1804">
        <v>0</v>
      </c>
      <c r="AS30" s="1804">
        <v>0</v>
      </c>
      <c r="AT30" s="1804">
        <v>0</v>
      </c>
      <c r="AU30" s="1804">
        <v>0</v>
      </c>
      <c r="AV30" s="1804">
        <v>0</v>
      </c>
      <c r="AW30" s="1804">
        <v>0</v>
      </c>
      <c r="AX30" s="1804">
        <v>0</v>
      </c>
      <c r="AY30" s="1804">
        <v>0</v>
      </c>
      <c r="AZ30" s="1804">
        <v>0</v>
      </c>
      <c r="BA30" s="1804">
        <v>0</v>
      </c>
      <c r="BB30" s="1804">
        <v>0</v>
      </c>
      <c r="BC30" s="1804">
        <v>0</v>
      </c>
      <c r="BD30" s="1804">
        <v>0</v>
      </c>
      <c r="BE30" s="1804">
        <v>0</v>
      </c>
      <c r="BF30" s="1804">
        <v>0</v>
      </c>
      <c r="BG30" s="1804">
        <v>0</v>
      </c>
      <c r="BH30" s="1804">
        <v>0</v>
      </c>
      <c r="BI30" s="1804">
        <v>0</v>
      </c>
      <c r="BJ30" s="1804">
        <v>0</v>
      </c>
      <c r="BK30" s="1804">
        <v>0</v>
      </c>
      <c r="BL30" s="1804">
        <v>0</v>
      </c>
      <c r="BM30" s="1804">
        <v>0</v>
      </c>
      <c r="BN30" s="1804">
        <v>0</v>
      </c>
      <c r="BO30" s="1804">
        <v>0</v>
      </c>
      <c r="BP30" s="1804">
        <v>0</v>
      </c>
      <c r="BQ30" s="1804">
        <v>0</v>
      </c>
      <c r="BR30" s="1804">
        <v>0</v>
      </c>
      <c r="BS30" s="1804">
        <v>0</v>
      </c>
      <c r="BT30" s="1804">
        <v>0</v>
      </c>
      <c r="BU30" s="1804">
        <v>0</v>
      </c>
      <c r="BV30" s="1804">
        <v>0</v>
      </c>
      <c r="BW30" s="1804">
        <v>0</v>
      </c>
      <c r="BX30" s="1804">
        <v>0</v>
      </c>
      <c r="BY30" s="1804">
        <v>0</v>
      </c>
      <c r="BZ30" s="1804">
        <v>0</v>
      </c>
      <c r="CA30" s="1804">
        <v>0</v>
      </c>
      <c r="CB30" s="1804">
        <v>0</v>
      </c>
      <c r="CC30" s="1804">
        <v>0</v>
      </c>
      <c r="CD30" s="1804">
        <v>0</v>
      </c>
      <c r="CE30" s="1804">
        <v>0</v>
      </c>
      <c r="CF30" s="1804">
        <v>0</v>
      </c>
      <c r="CG30" s="1804">
        <v>0</v>
      </c>
      <c r="CH30" s="1804">
        <v>0</v>
      </c>
      <c r="CI30" s="1804">
        <v>0</v>
      </c>
      <c r="CJ30" s="1804">
        <v>0</v>
      </c>
      <c r="CK30" s="1804">
        <v>0</v>
      </c>
      <c r="CL30" s="1804">
        <v>0</v>
      </c>
      <c r="CM30" s="1804">
        <v>0</v>
      </c>
      <c r="CN30" s="1804">
        <v>0</v>
      </c>
      <c r="CO30" s="1804">
        <v>0</v>
      </c>
      <c r="CP30" s="1804">
        <v>0</v>
      </c>
      <c r="CQ30" s="1804">
        <v>0</v>
      </c>
      <c r="CR30" s="1804">
        <v>0</v>
      </c>
      <c r="CS30" s="1804">
        <v>0</v>
      </c>
      <c r="CT30" s="1804">
        <v>0</v>
      </c>
      <c r="CU30" s="1804">
        <v>0</v>
      </c>
      <c r="CV30" s="1804">
        <v>0</v>
      </c>
      <c r="CW30" s="1804">
        <v>0</v>
      </c>
      <c r="CX30" s="1804">
        <v>0</v>
      </c>
      <c r="CY30" s="1804">
        <v>0</v>
      </c>
      <c r="CZ30" s="1804">
        <v>0</v>
      </c>
      <c r="DA30" s="1804">
        <v>0</v>
      </c>
      <c r="DB30" s="1804">
        <v>0</v>
      </c>
      <c r="DC30" s="1804">
        <v>0</v>
      </c>
      <c r="DD30" s="1804">
        <v>0</v>
      </c>
      <c r="DE30" s="1804">
        <v>0</v>
      </c>
      <c r="DF30" s="1804">
        <v>0</v>
      </c>
      <c r="DG30" s="1804">
        <v>0</v>
      </c>
      <c r="DH30" s="1804">
        <v>0</v>
      </c>
      <c r="DI30" s="1804">
        <v>0</v>
      </c>
      <c r="DJ30" s="1804">
        <v>0</v>
      </c>
      <c r="DK30" s="1804">
        <v>0</v>
      </c>
      <c r="DL30" s="1804">
        <v>0</v>
      </c>
      <c r="DM30" s="1804">
        <v>0</v>
      </c>
      <c r="DN30" s="1804">
        <v>0</v>
      </c>
      <c r="DO30" s="1804">
        <v>0</v>
      </c>
      <c r="DP30" s="1804">
        <v>0</v>
      </c>
      <c r="DQ30" s="1804">
        <v>0</v>
      </c>
      <c r="DR30" s="1804">
        <v>0</v>
      </c>
      <c r="DS30" s="1804">
        <v>0</v>
      </c>
      <c r="DT30" s="1804">
        <v>0</v>
      </c>
      <c r="DU30" s="1804">
        <v>0</v>
      </c>
      <c r="DV30" s="1804">
        <v>0</v>
      </c>
      <c r="DW30" s="1804">
        <v>0</v>
      </c>
      <c r="DX30" s="1804">
        <v>0</v>
      </c>
      <c r="DY30" s="1804">
        <v>0</v>
      </c>
      <c r="DZ30" s="1804">
        <v>0</v>
      </c>
      <c r="EA30" s="1804">
        <v>0</v>
      </c>
      <c r="EB30" s="1804">
        <v>0</v>
      </c>
      <c r="EC30" s="1804">
        <v>0</v>
      </c>
      <c r="ED30" s="1804">
        <v>0</v>
      </c>
      <c r="EE30" s="1804">
        <v>0</v>
      </c>
      <c r="EF30" s="1804">
        <v>0</v>
      </c>
      <c r="EG30" s="1804">
        <v>0</v>
      </c>
      <c r="EH30" s="1804">
        <v>0</v>
      </c>
      <c r="EI30" s="1804">
        <v>0</v>
      </c>
      <c r="EJ30" s="1804">
        <v>0</v>
      </c>
      <c r="EK30" s="1804">
        <v>0</v>
      </c>
      <c r="EL30" s="1804">
        <v>0</v>
      </c>
      <c r="EM30" s="1804">
        <v>0</v>
      </c>
      <c r="EN30" s="1804">
        <v>0</v>
      </c>
      <c r="EO30" s="1804">
        <v>0</v>
      </c>
      <c r="EP30" s="1804">
        <v>0</v>
      </c>
      <c r="EQ30" s="1804">
        <v>0</v>
      </c>
      <c r="ER30" s="1804">
        <v>0</v>
      </c>
      <c r="ES30" s="1804">
        <v>0</v>
      </c>
      <c r="ET30" s="1804">
        <v>0</v>
      </c>
      <c r="EU30" s="1804">
        <v>0</v>
      </c>
      <c r="EV30" s="1804">
        <v>0</v>
      </c>
      <c r="EW30" s="1804">
        <v>0</v>
      </c>
      <c r="EX30" s="1804">
        <v>0</v>
      </c>
      <c r="EY30" s="1804">
        <v>0</v>
      </c>
      <c r="EZ30" s="1804">
        <v>0</v>
      </c>
      <c r="FA30" s="1804">
        <v>0</v>
      </c>
      <c r="FB30" s="1804">
        <v>0</v>
      </c>
      <c r="FC30" s="1804">
        <v>0</v>
      </c>
      <c r="FD30" s="1804">
        <v>0</v>
      </c>
      <c r="FE30" s="1804">
        <v>0</v>
      </c>
      <c r="FF30" s="1804">
        <v>0</v>
      </c>
      <c r="FG30" s="1804">
        <v>0</v>
      </c>
      <c r="FH30" s="1804">
        <v>0</v>
      </c>
      <c r="FI30" s="1804">
        <v>0</v>
      </c>
      <c r="FJ30" s="1804">
        <v>0</v>
      </c>
      <c r="FK30" s="1804">
        <v>0</v>
      </c>
      <c r="FL30" s="1804">
        <v>0</v>
      </c>
      <c r="FM30" s="1804">
        <v>0</v>
      </c>
      <c r="FN30" s="1804">
        <v>0</v>
      </c>
      <c r="FO30" s="1804">
        <v>0</v>
      </c>
      <c r="FP30" s="1804">
        <v>0</v>
      </c>
      <c r="FQ30" s="1804">
        <v>0</v>
      </c>
      <c r="FR30" s="1804">
        <v>0</v>
      </c>
      <c r="FS30" s="1804">
        <v>0</v>
      </c>
      <c r="FT30" s="1804">
        <v>0</v>
      </c>
      <c r="FU30" s="1804">
        <v>0</v>
      </c>
      <c r="FV30" s="1804">
        <v>0</v>
      </c>
      <c r="FW30" s="1804">
        <v>0</v>
      </c>
      <c r="FX30" s="1804">
        <v>0</v>
      </c>
      <c r="FY30" s="1804">
        <v>0</v>
      </c>
      <c r="FZ30" s="1804">
        <v>0</v>
      </c>
      <c r="GA30" s="1804">
        <v>0</v>
      </c>
      <c r="GB30" s="1804">
        <v>0</v>
      </c>
      <c r="GC30" s="1804">
        <v>0</v>
      </c>
      <c r="GD30" s="1804">
        <v>0</v>
      </c>
      <c r="GE30" s="1804">
        <v>0</v>
      </c>
      <c r="GF30" s="1804">
        <v>0</v>
      </c>
      <c r="GG30" s="1804">
        <v>0</v>
      </c>
      <c r="GH30" s="1804">
        <v>0</v>
      </c>
      <c r="GI30" s="1804">
        <v>0</v>
      </c>
      <c r="GJ30" s="1804">
        <v>0</v>
      </c>
      <c r="GK30" s="1804">
        <v>0</v>
      </c>
      <c r="GL30" s="1804">
        <v>0</v>
      </c>
      <c r="GM30" s="1804">
        <v>0</v>
      </c>
      <c r="GN30" s="1804">
        <v>0</v>
      </c>
      <c r="GO30" s="1804">
        <v>0</v>
      </c>
      <c r="GP30" s="1804">
        <v>0</v>
      </c>
      <c r="GQ30" s="1804">
        <v>0</v>
      </c>
      <c r="GR30" s="1804">
        <v>0</v>
      </c>
      <c r="GS30" s="1804">
        <v>0</v>
      </c>
      <c r="GT30" s="1804">
        <v>0</v>
      </c>
      <c r="GU30" s="1804">
        <v>0</v>
      </c>
      <c r="GV30" s="1804">
        <v>0</v>
      </c>
      <c r="GW30" s="1804">
        <v>0</v>
      </c>
      <c r="GX30" s="1804">
        <v>0</v>
      </c>
      <c r="GY30" s="1804">
        <v>0</v>
      </c>
      <c r="GZ30" s="1804">
        <v>0</v>
      </c>
      <c r="HA30" s="1804">
        <v>0</v>
      </c>
      <c r="HB30" s="1804">
        <v>0</v>
      </c>
      <c r="HC30" s="1804">
        <v>0</v>
      </c>
      <c r="HD30" s="1804">
        <v>0</v>
      </c>
      <c r="HE30" s="1804">
        <v>0</v>
      </c>
    </row>
    <row r="31" spans="1:213" ht="27.75" customHeight="1" thickBot="1" x14ac:dyDescent="0.25">
      <c r="A31" s="1975" t="s">
        <v>2328</v>
      </c>
      <c r="B31" s="1985" t="s">
        <v>1357</v>
      </c>
      <c r="C31" s="1817" t="s">
        <v>941</v>
      </c>
      <c r="D31" s="1880"/>
      <c r="E31" s="1984"/>
      <c r="F31" s="1865"/>
      <c r="G31" s="1866"/>
      <c r="H31" s="1866"/>
      <c r="I31" s="1866"/>
      <c r="J31" s="1866"/>
      <c r="K31" s="1866"/>
      <c r="L31" s="1866"/>
      <c r="M31" s="1866"/>
      <c r="N31" s="1866"/>
      <c r="O31" s="1866"/>
      <c r="P31" s="1866"/>
      <c r="Q31" s="1866"/>
      <c r="R31" s="1866"/>
      <c r="S31" s="1866"/>
      <c r="T31" s="1866"/>
      <c r="U31" s="1866"/>
      <c r="V31" s="1866"/>
      <c r="W31" s="1866"/>
      <c r="X31" s="1866"/>
      <c r="Y31" s="1866"/>
      <c r="Z31" s="1866"/>
      <c r="AA31" s="1866"/>
      <c r="AB31" s="1866"/>
      <c r="AC31" s="1866"/>
      <c r="AD31" s="1866"/>
      <c r="AE31" s="1866"/>
      <c r="AF31" s="1866"/>
      <c r="AG31" s="1866"/>
      <c r="AH31" s="1866"/>
      <c r="AI31" s="1866"/>
      <c r="AJ31" s="1866"/>
      <c r="AK31" s="1866"/>
      <c r="AL31" s="1866"/>
      <c r="AM31" s="1866"/>
      <c r="AN31" s="1866"/>
      <c r="AO31" s="1866"/>
      <c r="AP31" s="1866"/>
      <c r="AQ31" s="1866"/>
      <c r="AR31" s="1866"/>
      <c r="AS31" s="1866"/>
      <c r="AT31" s="1866"/>
      <c r="AU31" s="1866"/>
      <c r="AV31" s="1866"/>
      <c r="AW31" s="1866"/>
      <c r="AX31" s="1866"/>
      <c r="AY31" s="1866"/>
      <c r="AZ31" s="1866"/>
      <c r="BA31" s="1866"/>
      <c r="BB31" s="1866"/>
      <c r="BC31" s="1866"/>
      <c r="BD31" s="1866"/>
      <c r="BE31" s="1866"/>
      <c r="BF31" s="1866"/>
      <c r="BG31" s="1866"/>
      <c r="BH31" s="1866"/>
      <c r="BI31" s="1866"/>
      <c r="BJ31" s="1866"/>
      <c r="BK31" s="1866"/>
      <c r="BL31" s="1866"/>
      <c r="BM31" s="1866"/>
      <c r="BN31" s="1866"/>
      <c r="BO31" s="1866"/>
      <c r="BP31" s="1866"/>
      <c r="BQ31" s="1866"/>
      <c r="BR31" s="1866"/>
      <c r="BS31" s="1866"/>
      <c r="BT31" s="1866"/>
      <c r="BU31" s="1866"/>
      <c r="BV31" s="1866"/>
      <c r="BW31" s="1866"/>
      <c r="BX31" s="1866"/>
      <c r="BY31" s="1866"/>
      <c r="BZ31" s="1866"/>
      <c r="CA31" s="1866"/>
      <c r="CB31" s="1866"/>
      <c r="CC31" s="1866"/>
      <c r="CD31" s="1866"/>
      <c r="CE31" s="1866"/>
      <c r="CF31" s="1866"/>
      <c r="CG31" s="1866"/>
      <c r="CH31" s="1866"/>
      <c r="CI31" s="1866"/>
      <c r="CJ31" s="1866"/>
      <c r="CK31" s="1866"/>
      <c r="CL31" s="1866"/>
      <c r="CM31" s="1866"/>
      <c r="CN31" s="1866"/>
      <c r="CO31" s="1866"/>
      <c r="CP31" s="1866"/>
      <c r="CQ31" s="1866"/>
      <c r="CR31" s="1866"/>
      <c r="CS31" s="1866"/>
      <c r="CT31" s="1866"/>
      <c r="CU31" s="1866"/>
      <c r="CV31" s="1866"/>
      <c r="CW31" s="1866"/>
      <c r="CX31" s="1866"/>
      <c r="CY31" s="1866"/>
      <c r="CZ31" s="1866"/>
      <c r="DA31" s="1866"/>
      <c r="DB31" s="1866"/>
      <c r="DC31" s="1866"/>
      <c r="DD31" s="1866"/>
      <c r="DE31" s="1866"/>
      <c r="DF31" s="1866"/>
      <c r="DG31" s="1866"/>
      <c r="DH31" s="1866"/>
      <c r="DI31" s="1866"/>
      <c r="DJ31" s="1866"/>
      <c r="DK31" s="1866"/>
      <c r="DL31" s="1866"/>
      <c r="DM31" s="1866"/>
      <c r="DN31" s="1866"/>
      <c r="DO31" s="1866"/>
      <c r="DP31" s="1866"/>
      <c r="DQ31" s="1866"/>
      <c r="DR31" s="1866"/>
      <c r="DS31" s="1866"/>
      <c r="DT31" s="1866"/>
      <c r="DU31" s="1866"/>
      <c r="DV31" s="1866"/>
      <c r="DW31" s="1866"/>
      <c r="DX31" s="1866"/>
      <c r="DY31" s="1866"/>
      <c r="DZ31" s="1866"/>
      <c r="EA31" s="1866"/>
      <c r="EB31" s="1866"/>
      <c r="EC31" s="1866"/>
      <c r="ED31" s="1866"/>
      <c r="EE31" s="1866"/>
      <c r="EF31" s="1866"/>
      <c r="EG31" s="1866"/>
      <c r="EH31" s="1866"/>
      <c r="EI31" s="1866"/>
      <c r="EJ31" s="1866"/>
      <c r="EK31" s="1866"/>
      <c r="EL31" s="1866"/>
      <c r="EM31" s="1866"/>
      <c r="EN31" s="1866"/>
      <c r="EO31" s="1866"/>
      <c r="EP31" s="1866"/>
      <c r="EQ31" s="1866"/>
      <c r="ER31" s="1866"/>
      <c r="ES31" s="1866"/>
      <c r="ET31" s="1866"/>
      <c r="EU31" s="1866"/>
      <c r="EV31" s="1866"/>
      <c r="EW31" s="1866"/>
      <c r="EX31" s="1866"/>
      <c r="EY31" s="1866"/>
      <c r="EZ31" s="1866"/>
      <c r="FA31" s="1866"/>
      <c r="FB31" s="1866"/>
      <c r="FC31" s="1866"/>
      <c r="FD31" s="1866"/>
      <c r="FE31" s="1866"/>
      <c r="FF31" s="1866"/>
      <c r="FG31" s="1866"/>
      <c r="FH31" s="1866"/>
      <c r="FI31" s="1866"/>
      <c r="FJ31" s="1866"/>
      <c r="FK31" s="1866"/>
      <c r="FL31" s="1866"/>
      <c r="FM31" s="1866"/>
      <c r="FN31" s="1866"/>
      <c r="FO31" s="1866"/>
      <c r="FP31" s="1866"/>
      <c r="FQ31" s="1866"/>
      <c r="FR31" s="1866"/>
      <c r="FS31" s="1866"/>
      <c r="FT31" s="1866"/>
      <c r="FU31" s="1866"/>
      <c r="FV31" s="1866"/>
      <c r="FW31" s="1866"/>
      <c r="FX31" s="1866"/>
      <c r="FY31" s="1866"/>
      <c r="FZ31" s="1866"/>
      <c r="GA31" s="1866"/>
      <c r="GB31" s="1866"/>
      <c r="GC31" s="1866"/>
      <c r="GD31" s="1866"/>
      <c r="GE31" s="1866"/>
      <c r="GF31" s="1866"/>
      <c r="GG31" s="1866"/>
      <c r="GH31" s="1866"/>
      <c r="GI31" s="1866"/>
      <c r="GJ31" s="1866"/>
      <c r="GK31" s="1866"/>
      <c r="GL31" s="1866"/>
      <c r="GM31" s="1866"/>
      <c r="GN31" s="1866"/>
      <c r="GO31" s="1866"/>
      <c r="GP31" s="1866"/>
      <c r="GQ31" s="1866"/>
      <c r="GR31" s="1866"/>
      <c r="GS31" s="1866"/>
      <c r="GT31" s="1866"/>
      <c r="GU31" s="1866"/>
      <c r="GV31" s="1866"/>
      <c r="GW31" s="1866"/>
      <c r="GX31" s="1866"/>
      <c r="GY31" s="1866"/>
      <c r="GZ31" s="1866"/>
      <c r="HA31" s="1866"/>
      <c r="HB31" s="1866"/>
      <c r="HC31" s="1866"/>
      <c r="HD31" s="1866"/>
      <c r="HE31" s="1866"/>
    </row>
    <row r="32" spans="1:213" ht="15" customHeight="1" thickBot="1" x14ac:dyDescent="0.25">
      <c r="A32" s="1976"/>
      <c r="B32" s="1986"/>
      <c r="C32" s="1690" t="s">
        <v>942</v>
      </c>
      <c r="D32" s="1881"/>
      <c r="E32" s="1984"/>
      <c r="F32" s="1838">
        <v>0</v>
      </c>
      <c r="G32" s="1804">
        <v>0</v>
      </c>
      <c r="H32" s="1804">
        <v>0</v>
      </c>
      <c r="I32" s="1804">
        <v>0</v>
      </c>
      <c r="J32" s="1804">
        <v>0</v>
      </c>
      <c r="K32" s="1804">
        <v>0</v>
      </c>
      <c r="L32" s="1804">
        <v>0</v>
      </c>
      <c r="M32" s="1804">
        <v>0</v>
      </c>
      <c r="N32" s="1804">
        <v>0</v>
      </c>
      <c r="O32" s="1804">
        <v>0</v>
      </c>
      <c r="P32" s="1804">
        <v>0</v>
      </c>
      <c r="Q32" s="1804">
        <v>0</v>
      </c>
      <c r="R32" s="1804">
        <v>0</v>
      </c>
      <c r="S32" s="1804">
        <v>0</v>
      </c>
      <c r="T32" s="1804">
        <v>0</v>
      </c>
      <c r="U32" s="1804">
        <v>0</v>
      </c>
      <c r="V32" s="1804">
        <v>0</v>
      </c>
      <c r="W32" s="1804">
        <v>0</v>
      </c>
      <c r="X32" s="1804">
        <v>0</v>
      </c>
      <c r="Y32" s="1804">
        <v>0</v>
      </c>
      <c r="Z32" s="1804">
        <v>0</v>
      </c>
      <c r="AA32" s="1804">
        <v>0</v>
      </c>
      <c r="AB32" s="1804">
        <v>0</v>
      </c>
      <c r="AC32" s="1804">
        <v>0</v>
      </c>
      <c r="AD32" s="1804">
        <v>0</v>
      </c>
      <c r="AE32" s="1804">
        <v>0</v>
      </c>
      <c r="AF32" s="1804">
        <v>0</v>
      </c>
      <c r="AG32" s="1804">
        <v>0</v>
      </c>
      <c r="AH32" s="1804">
        <v>0</v>
      </c>
      <c r="AI32" s="1804">
        <v>0</v>
      </c>
      <c r="AJ32" s="1804">
        <v>0</v>
      </c>
      <c r="AK32" s="1804">
        <v>0</v>
      </c>
      <c r="AL32" s="1804">
        <v>0</v>
      </c>
      <c r="AM32" s="1804">
        <v>0</v>
      </c>
      <c r="AN32" s="1804">
        <v>0</v>
      </c>
      <c r="AO32" s="1804">
        <v>0</v>
      </c>
      <c r="AP32" s="1804">
        <v>0</v>
      </c>
      <c r="AQ32" s="1804">
        <v>0</v>
      </c>
      <c r="AR32" s="1804">
        <v>0</v>
      </c>
      <c r="AS32" s="1804">
        <v>0</v>
      </c>
      <c r="AT32" s="1804">
        <v>0</v>
      </c>
      <c r="AU32" s="1804">
        <v>0</v>
      </c>
      <c r="AV32" s="1804">
        <v>0</v>
      </c>
      <c r="AW32" s="1804">
        <v>0</v>
      </c>
      <c r="AX32" s="1804">
        <v>0</v>
      </c>
      <c r="AY32" s="1804">
        <v>0</v>
      </c>
      <c r="AZ32" s="1804">
        <v>0</v>
      </c>
      <c r="BA32" s="1804">
        <v>0</v>
      </c>
      <c r="BB32" s="1804">
        <v>0</v>
      </c>
      <c r="BC32" s="1804">
        <v>0</v>
      </c>
      <c r="BD32" s="1804">
        <v>0</v>
      </c>
      <c r="BE32" s="1804">
        <v>0</v>
      </c>
      <c r="BF32" s="1804">
        <v>0</v>
      </c>
      <c r="BG32" s="1804">
        <v>0</v>
      </c>
      <c r="BH32" s="1804">
        <v>0</v>
      </c>
      <c r="BI32" s="1804">
        <v>0</v>
      </c>
      <c r="BJ32" s="1804">
        <v>0</v>
      </c>
      <c r="BK32" s="1804">
        <v>0</v>
      </c>
      <c r="BL32" s="1804">
        <v>0</v>
      </c>
      <c r="BM32" s="1804">
        <v>0</v>
      </c>
      <c r="BN32" s="1804">
        <v>0</v>
      </c>
      <c r="BO32" s="1804">
        <v>0</v>
      </c>
      <c r="BP32" s="1804">
        <v>0</v>
      </c>
      <c r="BQ32" s="1804">
        <v>0</v>
      </c>
      <c r="BR32" s="1804">
        <v>0</v>
      </c>
      <c r="BS32" s="1804">
        <v>0</v>
      </c>
      <c r="BT32" s="1804">
        <v>0</v>
      </c>
      <c r="BU32" s="1804">
        <v>0</v>
      </c>
      <c r="BV32" s="1804">
        <v>0</v>
      </c>
      <c r="BW32" s="1804">
        <v>0</v>
      </c>
      <c r="BX32" s="1804">
        <v>0</v>
      </c>
      <c r="BY32" s="1804">
        <v>0</v>
      </c>
      <c r="BZ32" s="1804">
        <v>0</v>
      </c>
      <c r="CA32" s="1804">
        <v>0</v>
      </c>
      <c r="CB32" s="1804">
        <v>0</v>
      </c>
      <c r="CC32" s="1804">
        <v>0</v>
      </c>
      <c r="CD32" s="1804">
        <v>0</v>
      </c>
      <c r="CE32" s="1804">
        <v>0</v>
      </c>
      <c r="CF32" s="1804">
        <v>0</v>
      </c>
      <c r="CG32" s="1804">
        <v>0</v>
      </c>
      <c r="CH32" s="1804">
        <v>0</v>
      </c>
      <c r="CI32" s="1804">
        <v>0</v>
      </c>
      <c r="CJ32" s="1804">
        <v>0</v>
      </c>
      <c r="CK32" s="1804">
        <v>0</v>
      </c>
      <c r="CL32" s="1804">
        <v>0</v>
      </c>
      <c r="CM32" s="1804">
        <v>0</v>
      </c>
      <c r="CN32" s="1804">
        <v>0</v>
      </c>
      <c r="CO32" s="1804">
        <v>0</v>
      </c>
      <c r="CP32" s="1804">
        <v>0</v>
      </c>
      <c r="CQ32" s="1804">
        <v>0</v>
      </c>
      <c r="CR32" s="1804">
        <v>0</v>
      </c>
      <c r="CS32" s="1804">
        <v>0</v>
      </c>
      <c r="CT32" s="1804">
        <v>0</v>
      </c>
      <c r="CU32" s="1804">
        <v>0</v>
      </c>
      <c r="CV32" s="1804">
        <v>0</v>
      </c>
      <c r="CW32" s="1804">
        <v>0</v>
      </c>
      <c r="CX32" s="1804">
        <v>0</v>
      </c>
      <c r="CY32" s="1804">
        <v>0</v>
      </c>
      <c r="CZ32" s="1804">
        <v>0</v>
      </c>
      <c r="DA32" s="1804">
        <v>0</v>
      </c>
      <c r="DB32" s="1804">
        <v>0</v>
      </c>
      <c r="DC32" s="1804">
        <v>0</v>
      </c>
      <c r="DD32" s="1804">
        <v>0</v>
      </c>
      <c r="DE32" s="1804">
        <v>0</v>
      </c>
      <c r="DF32" s="1804">
        <v>0</v>
      </c>
      <c r="DG32" s="1804">
        <v>0</v>
      </c>
      <c r="DH32" s="1804">
        <v>0</v>
      </c>
      <c r="DI32" s="1804">
        <v>0</v>
      </c>
      <c r="DJ32" s="1804">
        <v>0</v>
      </c>
      <c r="DK32" s="1804">
        <v>0</v>
      </c>
      <c r="DL32" s="1804">
        <v>0</v>
      </c>
      <c r="DM32" s="1804">
        <v>0</v>
      </c>
      <c r="DN32" s="1804">
        <v>0</v>
      </c>
      <c r="DO32" s="1804">
        <v>0</v>
      </c>
      <c r="DP32" s="1804">
        <v>0</v>
      </c>
      <c r="DQ32" s="1804">
        <v>0</v>
      </c>
      <c r="DR32" s="1804">
        <v>0</v>
      </c>
      <c r="DS32" s="1804">
        <v>0</v>
      </c>
      <c r="DT32" s="1804">
        <v>0</v>
      </c>
      <c r="DU32" s="1804">
        <v>0</v>
      </c>
      <c r="DV32" s="1804">
        <v>0</v>
      </c>
      <c r="DW32" s="1804">
        <v>0</v>
      </c>
      <c r="DX32" s="1804">
        <v>0</v>
      </c>
      <c r="DY32" s="1804">
        <v>0</v>
      </c>
      <c r="DZ32" s="1804">
        <v>0</v>
      </c>
      <c r="EA32" s="1804">
        <v>0</v>
      </c>
      <c r="EB32" s="1804">
        <v>0</v>
      </c>
      <c r="EC32" s="1804">
        <v>0</v>
      </c>
      <c r="ED32" s="1804">
        <v>0</v>
      </c>
      <c r="EE32" s="1804">
        <v>0</v>
      </c>
      <c r="EF32" s="1804">
        <v>0</v>
      </c>
      <c r="EG32" s="1804">
        <v>0</v>
      </c>
      <c r="EH32" s="1804">
        <v>0</v>
      </c>
      <c r="EI32" s="1804">
        <v>0</v>
      </c>
      <c r="EJ32" s="1804">
        <v>0</v>
      </c>
      <c r="EK32" s="1804">
        <v>0</v>
      </c>
      <c r="EL32" s="1804">
        <v>0</v>
      </c>
      <c r="EM32" s="1804">
        <v>0</v>
      </c>
      <c r="EN32" s="1804">
        <v>0</v>
      </c>
      <c r="EO32" s="1804">
        <v>0</v>
      </c>
      <c r="EP32" s="1804">
        <v>0</v>
      </c>
      <c r="EQ32" s="1804">
        <v>0</v>
      </c>
      <c r="ER32" s="1804">
        <v>0</v>
      </c>
      <c r="ES32" s="1804">
        <v>0</v>
      </c>
      <c r="ET32" s="1804">
        <v>0</v>
      </c>
      <c r="EU32" s="1804">
        <v>0</v>
      </c>
      <c r="EV32" s="1804">
        <v>0</v>
      </c>
      <c r="EW32" s="1804">
        <v>0</v>
      </c>
      <c r="EX32" s="1804">
        <v>0</v>
      </c>
      <c r="EY32" s="1804">
        <v>0</v>
      </c>
      <c r="EZ32" s="1804">
        <v>0</v>
      </c>
      <c r="FA32" s="1804">
        <v>0</v>
      </c>
      <c r="FB32" s="1804">
        <v>0</v>
      </c>
      <c r="FC32" s="1804">
        <v>0</v>
      </c>
      <c r="FD32" s="1804">
        <v>0</v>
      </c>
      <c r="FE32" s="1804">
        <v>0</v>
      </c>
      <c r="FF32" s="1804">
        <v>0</v>
      </c>
      <c r="FG32" s="1804">
        <v>0</v>
      </c>
      <c r="FH32" s="1804">
        <v>0</v>
      </c>
      <c r="FI32" s="1804">
        <v>0</v>
      </c>
      <c r="FJ32" s="1804">
        <v>0</v>
      </c>
      <c r="FK32" s="1804">
        <v>0</v>
      </c>
      <c r="FL32" s="1804">
        <v>0</v>
      </c>
      <c r="FM32" s="1804">
        <v>0</v>
      </c>
      <c r="FN32" s="1804">
        <v>0</v>
      </c>
      <c r="FO32" s="1804">
        <v>0</v>
      </c>
      <c r="FP32" s="1804">
        <v>0</v>
      </c>
      <c r="FQ32" s="1804">
        <v>0</v>
      </c>
      <c r="FR32" s="1804">
        <v>0</v>
      </c>
      <c r="FS32" s="1804">
        <v>0</v>
      </c>
      <c r="FT32" s="1804">
        <v>0</v>
      </c>
      <c r="FU32" s="1804">
        <v>0</v>
      </c>
      <c r="FV32" s="1804">
        <v>0</v>
      </c>
      <c r="FW32" s="1804">
        <v>0</v>
      </c>
      <c r="FX32" s="1804">
        <v>0</v>
      </c>
      <c r="FY32" s="1804">
        <v>0</v>
      </c>
      <c r="FZ32" s="1804">
        <v>0</v>
      </c>
      <c r="GA32" s="1804">
        <v>0</v>
      </c>
      <c r="GB32" s="1804">
        <v>0</v>
      </c>
      <c r="GC32" s="1804">
        <v>0</v>
      </c>
      <c r="GD32" s="1804">
        <v>0</v>
      </c>
      <c r="GE32" s="1804">
        <v>0</v>
      </c>
      <c r="GF32" s="1804">
        <v>0</v>
      </c>
      <c r="GG32" s="1804">
        <v>0</v>
      </c>
      <c r="GH32" s="1804">
        <v>0</v>
      </c>
      <c r="GI32" s="1804">
        <v>0</v>
      </c>
      <c r="GJ32" s="1804">
        <v>0</v>
      </c>
      <c r="GK32" s="1804">
        <v>0</v>
      </c>
      <c r="GL32" s="1804">
        <v>0</v>
      </c>
      <c r="GM32" s="1804">
        <v>0</v>
      </c>
      <c r="GN32" s="1804">
        <v>0</v>
      </c>
      <c r="GO32" s="1804">
        <v>0</v>
      </c>
      <c r="GP32" s="1804">
        <v>0</v>
      </c>
      <c r="GQ32" s="1804">
        <v>0</v>
      </c>
      <c r="GR32" s="1804">
        <v>0</v>
      </c>
      <c r="GS32" s="1804">
        <v>0</v>
      </c>
      <c r="GT32" s="1804">
        <v>0</v>
      </c>
      <c r="GU32" s="1804">
        <v>0</v>
      </c>
      <c r="GV32" s="1804">
        <v>0</v>
      </c>
      <c r="GW32" s="1804">
        <v>0</v>
      </c>
      <c r="GX32" s="1804">
        <v>0</v>
      </c>
      <c r="GY32" s="1804">
        <v>0</v>
      </c>
      <c r="GZ32" s="1804">
        <v>0</v>
      </c>
      <c r="HA32" s="1804">
        <v>0</v>
      </c>
      <c r="HB32" s="1804">
        <v>0</v>
      </c>
      <c r="HC32" s="1804">
        <v>0</v>
      </c>
      <c r="HD32" s="1804">
        <v>0</v>
      </c>
      <c r="HE32" s="1804">
        <v>0</v>
      </c>
    </row>
    <row r="33" spans="1:1291" ht="15" customHeight="1" thickBot="1" x14ac:dyDescent="0.25">
      <c r="A33" s="1976"/>
      <c r="B33" s="1986"/>
      <c r="C33" s="1816" t="s">
        <v>573</v>
      </c>
      <c r="D33" s="1881"/>
      <c r="E33" s="1984"/>
      <c r="F33" s="1838">
        <v>0</v>
      </c>
      <c r="G33" s="1804">
        <v>0</v>
      </c>
      <c r="H33" s="1804">
        <v>0</v>
      </c>
      <c r="I33" s="1804">
        <v>0</v>
      </c>
      <c r="J33" s="1804">
        <v>0</v>
      </c>
      <c r="K33" s="1804">
        <v>0</v>
      </c>
      <c r="L33" s="1804">
        <v>0</v>
      </c>
      <c r="M33" s="1804">
        <v>0</v>
      </c>
      <c r="N33" s="1804">
        <v>0</v>
      </c>
      <c r="O33" s="1804">
        <v>0</v>
      </c>
      <c r="P33" s="1804">
        <v>0</v>
      </c>
      <c r="Q33" s="1804">
        <v>0</v>
      </c>
      <c r="R33" s="1804">
        <v>0</v>
      </c>
      <c r="S33" s="1804">
        <v>0</v>
      </c>
      <c r="T33" s="1804">
        <v>0</v>
      </c>
      <c r="U33" s="1804">
        <v>0</v>
      </c>
      <c r="V33" s="1804">
        <v>0</v>
      </c>
      <c r="W33" s="1804">
        <v>0</v>
      </c>
      <c r="X33" s="1804">
        <v>0</v>
      </c>
      <c r="Y33" s="1804">
        <v>0</v>
      </c>
      <c r="Z33" s="1804">
        <v>0</v>
      </c>
      <c r="AA33" s="1804">
        <v>0</v>
      </c>
      <c r="AB33" s="1804">
        <v>0</v>
      </c>
      <c r="AC33" s="1804">
        <v>0</v>
      </c>
      <c r="AD33" s="1804">
        <v>0</v>
      </c>
      <c r="AE33" s="1804">
        <v>0</v>
      </c>
      <c r="AF33" s="1804">
        <v>0</v>
      </c>
      <c r="AG33" s="1804">
        <v>0</v>
      </c>
      <c r="AH33" s="1804">
        <v>0</v>
      </c>
      <c r="AI33" s="1804">
        <v>0</v>
      </c>
      <c r="AJ33" s="1804">
        <v>0</v>
      </c>
      <c r="AK33" s="1804">
        <v>0</v>
      </c>
      <c r="AL33" s="1804">
        <v>0</v>
      </c>
      <c r="AM33" s="1804">
        <v>0</v>
      </c>
      <c r="AN33" s="1804">
        <v>0</v>
      </c>
      <c r="AO33" s="1804">
        <v>0</v>
      </c>
      <c r="AP33" s="1804">
        <v>0</v>
      </c>
      <c r="AQ33" s="1804">
        <v>0</v>
      </c>
      <c r="AR33" s="1804">
        <v>0</v>
      </c>
      <c r="AS33" s="1804">
        <v>0</v>
      </c>
      <c r="AT33" s="1804">
        <v>0</v>
      </c>
      <c r="AU33" s="1804">
        <v>0</v>
      </c>
      <c r="AV33" s="1804">
        <v>0</v>
      </c>
      <c r="AW33" s="1804">
        <v>0</v>
      </c>
      <c r="AX33" s="1804">
        <v>0</v>
      </c>
      <c r="AY33" s="1804">
        <v>0</v>
      </c>
      <c r="AZ33" s="1804">
        <v>0</v>
      </c>
      <c r="BA33" s="1804">
        <v>0</v>
      </c>
      <c r="BB33" s="1804">
        <v>0</v>
      </c>
      <c r="BC33" s="1804">
        <v>0</v>
      </c>
      <c r="BD33" s="1804">
        <v>0</v>
      </c>
      <c r="BE33" s="1804">
        <v>0</v>
      </c>
      <c r="BF33" s="1804">
        <v>0</v>
      </c>
      <c r="BG33" s="1804">
        <v>0</v>
      </c>
      <c r="BH33" s="1804">
        <v>0</v>
      </c>
      <c r="BI33" s="1804">
        <v>0</v>
      </c>
      <c r="BJ33" s="1804">
        <v>0</v>
      </c>
      <c r="BK33" s="1804">
        <v>0</v>
      </c>
      <c r="BL33" s="1804">
        <v>0</v>
      </c>
      <c r="BM33" s="1804">
        <v>0</v>
      </c>
      <c r="BN33" s="1804">
        <v>0</v>
      </c>
      <c r="BO33" s="1804">
        <v>0</v>
      </c>
      <c r="BP33" s="1804">
        <v>0</v>
      </c>
      <c r="BQ33" s="1804">
        <v>0</v>
      </c>
      <c r="BR33" s="1804">
        <v>0</v>
      </c>
      <c r="BS33" s="1804">
        <v>0</v>
      </c>
      <c r="BT33" s="1804">
        <v>0</v>
      </c>
      <c r="BU33" s="1804">
        <v>0</v>
      </c>
      <c r="BV33" s="1804">
        <v>0</v>
      </c>
      <c r="BW33" s="1804">
        <v>0</v>
      </c>
      <c r="BX33" s="1804">
        <v>0</v>
      </c>
      <c r="BY33" s="1804">
        <v>0</v>
      </c>
      <c r="BZ33" s="1804">
        <v>0</v>
      </c>
      <c r="CA33" s="1804">
        <v>0</v>
      </c>
      <c r="CB33" s="1804">
        <v>0</v>
      </c>
      <c r="CC33" s="1804">
        <v>0</v>
      </c>
      <c r="CD33" s="1804">
        <v>0</v>
      </c>
      <c r="CE33" s="1804">
        <v>0</v>
      </c>
      <c r="CF33" s="1804">
        <v>0</v>
      </c>
      <c r="CG33" s="1804">
        <v>0</v>
      </c>
      <c r="CH33" s="1804">
        <v>0</v>
      </c>
      <c r="CI33" s="1804">
        <v>0</v>
      </c>
      <c r="CJ33" s="1804">
        <v>0</v>
      </c>
      <c r="CK33" s="1804">
        <v>0</v>
      </c>
      <c r="CL33" s="1804">
        <v>0</v>
      </c>
      <c r="CM33" s="1804">
        <v>0</v>
      </c>
      <c r="CN33" s="1804">
        <v>0</v>
      </c>
      <c r="CO33" s="1804">
        <v>0</v>
      </c>
      <c r="CP33" s="1804">
        <v>0</v>
      </c>
      <c r="CQ33" s="1804">
        <v>0</v>
      </c>
      <c r="CR33" s="1804">
        <v>0</v>
      </c>
      <c r="CS33" s="1804">
        <v>0</v>
      </c>
      <c r="CT33" s="1804">
        <v>0</v>
      </c>
      <c r="CU33" s="1804">
        <v>0</v>
      </c>
      <c r="CV33" s="1804">
        <v>0</v>
      </c>
      <c r="CW33" s="1804">
        <v>0</v>
      </c>
      <c r="CX33" s="1804">
        <v>0</v>
      </c>
      <c r="CY33" s="1804">
        <v>0</v>
      </c>
      <c r="CZ33" s="1804">
        <v>0</v>
      </c>
      <c r="DA33" s="1804">
        <v>0</v>
      </c>
      <c r="DB33" s="1804">
        <v>0</v>
      </c>
      <c r="DC33" s="1804">
        <v>0</v>
      </c>
      <c r="DD33" s="1804">
        <v>0</v>
      </c>
      <c r="DE33" s="1804">
        <v>0</v>
      </c>
      <c r="DF33" s="1804">
        <v>0</v>
      </c>
      <c r="DG33" s="1804">
        <v>0</v>
      </c>
      <c r="DH33" s="1804">
        <v>0</v>
      </c>
      <c r="DI33" s="1804">
        <v>0</v>
      </c>
      <c r="DJ33" s="1804">
        <v>0</v>
      </c>
      <c r="DK33" s="1804">
        <v>0</v>
      </c>
      <c r="DL33" s="1804">
        <v>0</v>
      </c>
      <c r="DM33" s="1804">
        <v>0</v>
      </c>
      <c r="DN33" s="1804">
        <v>0</v>
      </c>
      <c r="DO33" s="1804">
        <v>0</v>
      </c>
      <c r="DP33" s="1804">
        <v>0</v>
      </c>
      <c r="DQ33" s="1804">
        <v>0</v>
      </c>
      <c r="DR33" s="1804">
        <v>0</v>
      </c>
      <c r="DS33" s="1804">
        <v>0</v>
      </c>
      <c r="DT33" s="1804">
        <v>0</v>
      </c>
      <c r="DU33" s="1804">
        <v>0</v>
      </c>
      <c r="DV33" s="1804">
        <v>0</v>
      </c>
      <c r="DW33" s="1804">
        <v>0</v>
      </c>
      <c r="DX33" s="1804">
        <v>0</v>
      </c>
      <c r="DY33" s="1804">
        <v>0</v>
      </c>
      <c r="DZ33" s="1804">
        <v>0</v>
      </c>
      <c r="EA33" s="1804">
        <v>0</v>
      </c>
      <c r="EB33" s="1804">
        <v>0</v>
      </c>
      <c r="EC33" s="1804">
        <v>0</v>
      </c>
      <c r="ED33" s="1804">
        <v>0</v>
      </c>
      <c r="EE33" s="1804">
        <v>0</v>
      </c>
      <c r="EF33" s="1804">
        <v>0</v>
      </c>
      <c r="EG33" s="1804">
        <v>0</v>
      </c>
      <c r="EH33" s="1804">
        <v>0</v>
      </c>
      <c r="EI33" s="1804">
        <v>0</v>
      </c>
      <c r="EJ33" s="1804">
        <v>0</v>
      </c>
      <c r="EK33" s="1804">
        <v>0</v>
      </c>
      <c r="EL33" s="1804">
        <v>0</v>
      </c>
      <c r="EM33" s="1804">
        <v>0</v>
      </c>
      <c r="EN33" s="1804">
        <v>0</v>
      </c>
      <c r="EO33" s="1804">
        <v>0</v>
      </c>
      <c r="EP33" s="1804">
        <v>0</v>
      </c>
      <c r="EQ33" s="1804">
        <v>0</v>
      </c>
      <c r="ER33" s="1804">
        <v>0</v>
      </c>
      <c r="ES33" s="1804">
        <v>0</v>
      </c>
      <c r="ET33" s="1804">
        <v>0</v>
      </c>
      <c r="EU33" s="1804">
        <v>0</v>
      </c>
      <c r="EV33" s="1804">
        <v>0</v>
      </c>
      <c r="EW33" s="1804">
        <v>0</v>
      </c>
      <c r="EX33" s="1804">
        <v>0</v>
      </c>
      <c r="EY33" s="1804">
        <v>0</v>
      </c>
      <c r="EZ33" s="1804">
        <v>0</v>
      </c>
      <c r="FA33" s="1804">
        <v>0</v>
      </c>
      <c r="FB33" s="1804">
        <v>0</v>
      </c>
      <c r="FC33" s="1804">
        <v>0</v>
      </c>
      <c r="FD33" s="1804">
        <v>0</v>
      </c>
      <c r="FE33" s="1804">
        <v>0</v>
      </c>
      <c r="FF33" s="1804">
        <v>0</v>
      </c>
      <c r="FG33" s="1804">
        <v>0</v>
      </c>
      <c r="FH33" s="1804">
        <v>0</v>
      </c>
      <c r="FI33" s="1804">
        <v>0</v>
      </c>
      <c r="FJ33" s="1804">
        <v>0</v>
      </c>
      <c r="FK33" s="1804">
        <v>0</v>
      </c>
      <c r="FL33" s="1804">
        <v>0</v>
      </c>
      <c r="FM33" s="1804">
        <v>0</v>
      </c>
      <c r="FN33" s="1804">
        <v>0</v>
      </c>
      <c r="FO33" s="1804">
        <v>0</v>
      </c>
      <c r="FP33" s="1804">
        <v>0</v>
      </c>
      <c r="FQ33" s="1804">
        <v>0</v>
      </c>
      <c r="FR33" s="1804">
        <v>0</v>
      </c>
      <c r="FS33" s="1804">
        <v>0</v>
      </c>
      <c r="FT33" s="1804">
        <v>0</v>
      </c>
      <c r="FU33" s="1804">
        <v>0</v>
      </c>
      <c r="FV33" s="1804">
        <v>0</v>
      </c>
      <c r="FW33" s="1804">
        <v>0</v>
      </c>
      <c r="FX33" s="1804">
        <v>0</v>
      </c>
      <c r="FY33" s="1804">
        <v>0</v>
      </c>
      <c r="FZ33" s="1804">
        <v>0</v>
      </c>
      <c r="GA33" s="1804">
        <v>0</v>
      </c>
      <c r="GB33" s="1804">
        <v>0</v>
      </c>
      <c r="GC33" s="1804">
        <v>0</v>
      </c>
      <c r="GD33" s="1804">
        <v>0</v>
      </c>
      <c r="GE33" s="1804">
        <v>0</v>
      </c>
      <c r="GF33" s="1804">
        <v>0</v>
      </c>
      <c r="GG33" s="1804">
        <v>0</v>
      </c>
      <c r="GH33" s="1804">
        <v>0</v>
      </c>
      <c r="GI33" s="1804">
        <v>0</v>
      </c>
      <c r="GJ33" s="1804">
        <v>0</v>
      </c>
      <c r="GK33" s="1804">
        <v>0</v>
      </c>
      <c r="GL33" s="1804">
        <v>0</v>
      </c>
      <c r="GM33" s="1804">
        <v>0</v>
      </c>
      <c r="GN33" s="1804">
        <v>0</v>
      </c>
      <c r="GO33" s="1804">
        <v>0</v>
      </c>
      <c r="GP33" s="1804">
        <v>0</v>
      </c>
      <c r="GQ33" s="1804">
        <v>0</v>
      </c>
      <c r="GR33" s="1804">
        <v>0</v>
      </c>
      <c r="GS33" s="1804">
        <v>0</v>
      </c>
      <c r="GT33" s="1804">
        <v>0</v>
      </c>
      <c r="GU33" s="1804">
        <v>0</v>
      </c>
      <c r="GV33" s="1804">
        <v>0</v>
      </c>
      <c r="GW33" s="1804">
        <v>0</v>
      </c>
      <c r="GX33" s="1804">
        <v>0</v>
      </c>
      <c r="GY33" s="1804">
        <v>0</v>
      </c>
      <c r="GZ33" s="1804">
        <v>0</v>
      </c>
      <c r="HA33" s="1804">
        <v>0</v>
      </c>
      <c r="HB33" s="1804">
        <v>0</v>
      </c>
      <c r="HC33" s="1804">
        <v>0</v>
      </c>
      <c r="HD33" s="1804">
        <v>0</v>
      </c>
      <c r="HE33" s="1804">
        <v>0</v>
      </c>
      <c r="MS33" s="1870"/>
      <c r="MT33" s="1870"/>
      <c r="MU33" s="1870"/>
      <c r="MV33" s="1870"/>
      <c r="MW33" s="1870"/>
      <c r="MX33" s="1870"/>
      <c r="MY33" s="1870"/>
      <c r="MZ33" s="1870"/>
      <c r="NA33" s="1870"/>
      <c r="NB33" s="1870"/>
      <c r="NC33" s="1870"/>
      <c r="ND33" s="1870"/>
      <c r="NE33" s="1870"/>
      <c r="NF33" s="1870"/>
      <c r="NG33" s="1870"/>
      <c r="NH33" s="1870"/>
      <c r="NI33" s="1870"/>
      <c r="NJ33" s="1870"/>
      <c r="NK33" s="1870"/>
      <c r="NL33" s="1870"/>
      <c r="NM33" s="1870"/>
      <c r="NN33" s="1870"/>
      <c r="NO33" s="1870"/>
      <c r="NP33" s="1870"/>
      <c r="NQ33" s="1870"/>
      <c r="NR33" s="1870"/>
      <c r="NS33" s="1870"/>
      <c r="NT33" s="1870"/>
      <c r="NU33" s="1870"/>
      <c r="NV33" s="1870"/>
      <c r="NW33" s="1870"/>
      <c r="NX33" s="1870"/>
      <c r="NY33" s="1870"/>
      <c r="NZ33" s="1870"/>
      <c r="OA33" s="1870"/>
      <c r="OB33" s="1870"/>
      <c r="OC33" s="1870"/>
      <c r="OD33" s="1870"/>
      <c r="OE33" s="1870"/>
      <c r="OF33" s="1870"/>
      <c r="OG33" s="1870"/>
      <c r="OH33" s="1870"/>
      <c r="OI33" s="1870"/>
      <c r="OJ33" s="1870"/>
      <c r="OK33" s="1870"/>
      <c r="OL33" s="1870"/>
      <c r="OM33" s="1870"/>
      <c r="ON33" s="1870"/>
      <c r="OO33" s="1870"/>
      <c r="OP33" s="1870"/>
      <c r="OQ33" s="1870"/>
      <c r="OR33" s="1870"/>
      <c r="OS33" s="1870"/>
      <c r="OT33" s="1870"/>
      <c r="OU33" s="1870"/>
      <c r="OV33" s="1870"/>
      <c r="OW33" s="1870"/>
      <c r="OX33" s="1870"/>
      <c r="OY33" s="1870"/>
      <c r="OZ33" s="1870"/>
      <c r="PA33" s="1870"/>
      <c r="PB33" s="1870"/>
      <c r="PC33" s="1870"/>
      <c r="PD33" s="1870"/>
      <c r="PE33" s="1870"/>
      <c r="PF33" s="1870"/>
      <c r="PG33" s="1870"/>
      <c r="PH33" s="1870"/>
      <c r="PI33" s="1870"/>
      <c r="PJ33" s="1870"/>
      <c r="PK33" s="1870"/>
      <c r="PL33" s="1870"/>
      <c r="PM33" s="1870"/>
      <c r="PN33" s="1870"/>
      <c r="PO33" s="1870"/>
      <c r="PP33" s="1870"/>
      <c r="PQ33" s="1870"/>
      <c r="PR33" s="1870"/>
      <c r="PS33" s="1870"/>
      <c r="PT33" s="1870"/>
      <c r="PU33" s="1870"/>
      <c r="PV33" s="1870"/>
      <c r="PW33" s="1870"/>
      <c r="PX33" s="1870"/>
      <c r="PY33" s="1870"/>
      <c r="PZ33" s="1870"/>
      <c r="QA33" s="1870"/>
      <c r="QB33" s="1870"/>
      <c r="QC33" s="1870"/>
      <c r="QD33" s="1870"/>
      <c r="QE33" s="1870"/>
      <c r="QF33" s="1870"/>
      <c r="QG33" s="1870"/>
      <c r="QH33" s="1870"/>
      <c r="QI33" s="1870"/>
      <c r="QJ33" s="1870"/>
      <c r="QK33" s="1870"/>
      <c r="QL33" s="1870"/>
      <c r="QM33" s="1870"/>
      <c r="QN33" s="1870"/>
      <c r="QO33" s="1870"/>
      <c r="QP33" s="1870"/>
      <c r="QQ33" s="1870"/>
      <c r="QR33" s="1870"/>
      <c r="QS33" s="1870"/>
      <c r="QT33" s="1870"/>
      <c r="QU33" s="1870"/>
      <c r="QV33" s="1870"/>
      <c r="QW33" s="1870"/>
      <c r="QX33" s="1870"/>
      <c r="QY33" s="1870"/>
      <c r="QZ33" s="1870"/>
      <c r="RA33" s="1870"/>
      <c r="RB33" s="1870"/>
      <c r="RC33" s="1870"/>
      <c r="RD33" s="1870"/>
      <c r="RE33" s="1870"/>
      <c r="RF33" s="1870"/>
      <c r="RG33" s="1870"/>
      <c r="RH33" s="1870"/>
      <c r="RI33" s="1870"/>
      <c r="RJ33" s="1870"/>
      <c r="RK33" s="1870"/>
      <c r="RL33" s="1870"/>
      <c r="RM33" s="1870"/>
      <c r="RN33" s="1870"/>
      <c r="RO33" s="1870"/>
      <c r="RP33" s="1870"/>
      <c r="RQ33" s="1870"/>
      <c r="RR33" s="1870"/>
      <c r="RS33" s="1870"/>
      <c r="RT33" s="1870"/>
      <c r="RU33" s="1870"/>
      <c r="RV33" s="1870"/>
      <c r="RW33" s="1870"/>
      <c r="RX33" s="1870"/>
      <c r="RY33" s="1870"/>
      <c r="RZ33" s="1870"/>
      <c r="SA33" s="1870"/>
      <c r="SB33" s="1870"/>
      <c r="SC33" s="1870"/>
      <c r="SD33" s="1870"/>
      <c r="SE33" s="1870"/>
      <c r="SF33" s="1870"/>
      <c r="SG33" s="1870"/>
      <c r="SH33" s="1870"/>
      <c r="SI33" s="1870"/>
      <c r="SJ33" s="1870"/>
      <c r="SK33" s="1870"/>
      <c r="SL33" s="1870"/>
      <c r="SM33" s="1870"/>
      <c r="SN33" s="1870"/>
      <c r="SO33" s="1870"/>
      <c r="SP33" s="1870"/>
      <c r="SQ33" s="1870"/>
      <c r="SR33" s="1870"/>
      <c r="SS33" s="1870"/>
      <c r="ST33" s="1870"/>
      <c r="SU33" s="1870"/>
      <c r="SV33" s="1870"/>
      <c r="SW33" s="1870"/>
      <c r="SX33" s="1870"/>
      <c r="SY33" s="1870"/>
      <c r="SZ33" s="1870"/>
      <c r="TA33" s="1870"/>
      <c r="TB33" s="1870"/>
      <c r="TC33" s="1870"/>
      <c r="TD33" s="1870"/>
      <c r="TE33" s="1870"/>
      <c r="TF33" s="1870"/>
      <c r="TG33" s="1870"/>
      <c r="TH33" s="1870"/>
      <c r="TI33" s="1870"/>
      <c r="TJ33" s="1870"/>
      <c r="TK33" s="1870"/>
      <c r="TL33" s="1870"/>
      <c r="TM33" s="1870"/>
      <c r="TN33" s="1870"/>
      <c r="TO33" s="1870"/>
      <c r="TP33" s="1870"/>
      <c r="TQ33" s="1870"/>
      <c r="TR33" s="1870"/>
      <c r="TS33" s="1870"/>
      <c r="TT33" s="1870"/>
      <c r="TU33" s="1870"/>
      <c r="TV33" s="1870"/>
      <c r="TW33" s="1870"/>
      <c r="TX33" s="1870"/>
      <c r="TY33" s="1870"/>
      <c r="TZ33" s="1870"/>
      <c r="UA33" s="1870"/>
      <c r="UB33" s="1870"/>
      <c r="UC33" s="1870"/>
      <c r="UD33" s="1870"/>
      <c r="UE33" s="1870"/>
      <c r="UF33" s="1870"/>
      <c r="UG33" s="1870"/>
      <c r="UH33" s="1870"/>
      <c r="UI33" s="1870"/>
      <c r="UJ33" s="1870"/>
      <c r="UK33" s="1870"/>
      <c r="UL33" s="1870"/>
      <c r="UM33" s="1870"/>
      <c r="UN33" s="1870"/>
      <c r="UO33" s="1870"/>
      <c r="UP33" s="1870"/>
      <c r="UQ33" s="1870"/>
      <c r="UR33" s="1870"/>
      <c r="US33" s="1870"/>
      <c r="UT33" s="1870"/>
      <c r="UU33" s="1870"/>
      <c r="UV33" s="1870"/>
      <c r="UW33" s="1870"/>
      <c r="UX33" s="1870"/>
      <c r="UY33" s="1870"/>
      <c r="UZ33" s="1870"/>
      <c r="VA33" s="1870"/>
      <c r="VB33" s="1870"/>
      <c r="VC33" s="1870"/>
      <c r="VD33" s="1870"/>
      <c r="VE33" s="1870"/>
      <c r="VF33" s="1870"/>
      <c r="VG33" s="1870"/>
      <c r="VH33" s="1870"/>
      <c r="VI33" s="1870"/>
      <c r="VJ33" s="1870"/>
      <c r="VK33" s="1870"/>
      <c r="VL33" s="1870"/>
      <c r="VM33" s="1870"/>
      <c r="VN33" s="1870"/>
      <c r="VO33" s="1870"/>
      <c r="VP33" s="1870"/>
      <c r="VQ33" s="1870"/>
      <c r="VR33" s="1870"/>
      <c r="VS33" s="1870"/>
      <c r="VT33" s="1870"/>
      <c r="VU33" s="1870"/>
      <c r="VV33" s="1870"/>
      <c r="VW33" s="1870"/>
      <c r="VX33" s="1870"/>
      <c r="VY33" s="1870"/>
      <c r="VZ33" s="1870"/>
      <c r="WA33" s="1870"/>
      <c r="WB33" s="1870"/>
      <c r="WC33" s="1870"/>
      <c r="WD33" s="1870"/>
      <c r="WE33" s="1870"/>
      <c r="WF33" s="1870"/>
      <c r="WG33" s="1870"/>
      <c r="WH33" s="1870"/>
      <c r="WI33" s="1870"/>
      <c r="WJ33" s="1870"/>
      <c r="WK33" s="1870"/>
      <c r="WL33" s="1870"/>
      <c r="WM33" s="1870"/>
      <c r="WN33" s="1870"/>
      <c r="WO33" s="1870"/>
      <c r="WP33" s="1870"/>
      <c r="WQ33" s="1870"/>
      <c r="WR33" s="1870"/>
      <c r="WS33" s="1870"/>
      <c r="WT33" s="1870"/>
      <c r="WU33" s="1870"/>
      <c r="WV33" s="1870"/>
      <c r="WW33" s="1870"/>
      <c r="WX33" s="1870"/>
      <c r="WY33" s="1870"/>
      <c r="WZ33" s="1870"/>
      <c r="XA33" s="1870"/>
      <c r="XB33" s="1870"/>
      <c r="XC33" s="1870"/>
      <c r="XD33" s="1870"/>
      <c r="XE33" s="1870"/>
      <c r="XF33" s="1870"/>
      <c r="XG33" s="1870"/>
      <c r="XH33" s="1870"/>
      <c r="XI33" s="1870"/>
      <c r="XJ33" s="1870"/>
      <c r="XK33" s="1870"/>
      <c r="XL33" s="1870"/>
      <c r="XM33" s="1870"/>
      <c r="XN33" s="1870"/>
      <c r="XO33" s="1870"/>
      <c r="XP33" s="1870"/>
      <c r="XQ33" s="1870"/>
      <c r="XR33" s="1870"/>
      <c r="XS33" s="1870"/>
      <c r="XT33" s="1870"/>
      <c r="XU33" s="1870"/>
      <c r="XV33" s="1870"/>
      <c r="XW33" s="1870"/>
      <c r="XX33" s="1870"/>
      <c r="XY33" s="1870"/>
      <c r="XZ33" s="1870"/>
      <c r="YA33" s="1870"/>
      <c r="YB33" s="1870"/>
      <c r="YC33" s="1870"/>
      <c r="YD33" s="1870"/>
      <c r="YE33" s="1870"/>
      <c r="YF33" s="1870"/>
      <c r="YG33" s="1870"/>
      <c r="YH33" s="1870"/>
      <c r="YI33" s="1870"/>
      <c r="YJ33" s="1870"/>
      <c r="YK33" s="1870"/>
      <c r="YL33" s="1870"/>
      <c r="YM33" s="1870"/>
      <c r="YN33" s="1870"/>
      <c r="YO33" s="1870"/>
      <c r="YP33" s="1870"/>
      <c r="YQ33" s="1870"/>
      <c r="YR33" s="1870"/>
      <c r="YS33" s="1870"/>
      <c r="YT33" s="1870"/>
      <c r="YU33" s="1870"/>
      <c r="YV33" s="1870"/>
      <c r="YW33" s="1870"/>
      <c r="YX33" s="1870"/>
      <c r="YY33" s="1870"/>
      <c r="YZ33" s="1870"/>
      <c r="ZA33" s="1870"/>
      <c r="ZB33" s="1870"/>
      <c r="ZC33" s="1870"/>
      <c r="ZD33" s="1870"/>
      <c r="ZE33" s="1870"/>
      <c r="ZF33" s="1870"/>
      <c r="ZG33" s="1870"/>
      <c r="ZH33" s="1870"/>
      <c r="ZI33" s="1870"/>
      <c r="ZJ33" s="1870"/>
      <c r="ZK33" s="1870"/>
      <c r="ZL33" s="1870"/>
      <c r="ZM33" s="1870"/>
      <c r="ZN33" s="1870"/>
      <c r="ZO33" s="1870"/>
      <c r="ZP33" s="1870"/>
      <c r="ZQ33" s="1870"/>
      <c r="ZR33" s="1870"/>
      <c r="ZS33" s="1870"/>
      <c r="ZT33" s="1870"/>
      <c r="ZU33" s="1870"/>
      <c r="ZV33" s="1870"/>
      <c r="ZW33" s="1870"/>
      <c r="ZX33" s="1870"/>
      <c r="ZY33" s="1870"/>
      <c r="ZZ33" s="1870"/>
      <c r="AAA33" s="1870"/>
      <c r="AAB33" s="1870"/>
      <c r="AAC33" s="1870"/>
      <c r="AAD33" s="1870"/>
      <c r="AAE33" s="1870"/>
      <c r="AAF33" s="1870"/>
      <c r="AAG33" s="1870"/>
      <c r="AAH33" s="1870"/>
      <c r="AAI33" s="1870"/>
      <c r="AAJ33" s="1870"/>
      <c r="AAK33" s="1870"/>
      <c r="AAL33" s="1870"/>
      <c r="AAM33" s="1870"/>
      <c r="AAN33" s="1870"/>
      <c r="AAO33" s="1870"/>
      <c r="AAP33" s="1870"/>
      <c r="AAQ33" s="1870"/>
      <c r="AAR33" s="1870"/>
      <c r="AAS33" s="1870"/>
      <c r="AAT33" s="1870"/>
      <c r="AAU33" s="1870"/>
      <c r="AAV33" s="1870"/>
      <c r="AAW33" s="1870"/>
      <c r="AAX33" s="1870"/>
      <c r="AAY33" s="1870"/>
      <c r="AAZ33" s="1870"/>
      <c r="ABA33" s="1870"/>
      <c r="ABB33" s="1870"/>
      <c r="ABC33" s="1870"/>
      <c r="ABD33" s="1870"/>
      <c r="ABE33" s="1870"/>
      <c r="ABF33" s="1870"/>
      <c r="ABG33" s="1870"/>
      <c r="ABH33" s="1870"/>
      <c r="ABI33" s="1870"/>
      <c r="ABJ33" s="1870"/>
      <c r="ABK33" s="1870"/>
      <c r="ABL33" s="1870"/>
      <c r="ABM33" s="1870"/>
      <c r="ABN33" s="1870"/>
      <c r="ABO33" s="1870"/>
      <c r="ABP33" s="1870"/>
      <c r="ABQ33" s="1870"/>
      <c r="ABR33" s="1870"/>
      <c r="ABS33" s="1870"/>
      <c r="ABT33" s="1870"/>
      <c r="ABU33" s="1870"/>
      <c r="ABV33" s="1870"/>
      <c r="ABW33" s="1870"/>
      <c r="ABX33" s="1870"/>
      <c r="ABY33" s="1870"/>
      <c r="ABZ33" s="1870"/>
      <c r="ACA33" s="1870"/>
      <c r="ACB33" s="1870"/>
      <c r="ACC33" s="1870"/>
      <c r="ACD33" s="1870"/>
      <c r="ACE33" s="1870"/>
      <c r="ACF33" s="1870"/>
      <c r="ACG33" s="1870"/>
      <c r="ACH33" s="1870"/>
      <c r="ACI33" s="1870"/>
      <c r="ACJ33" s="1870"/>
      <c r="ACK33" s="1870"/>
      <c r="ACL33" s="1870"/>
      <c r="ACM33" s="1870"/>
      <c r="ACN33" s="1870"/>
      <c r="ACO33" s="1870"/>
      <c r="ACP33" s="1870"/>
      <c r="ACQ33" s="1870"/>
      <c r="ACR33" s="1870"/>
      <c r="ACS33" s="1870"/>
      <c r="ACT33" s="1870"/>
      <c r="ACU33" s="1870"/>
      <c r="ACV33" s="1870"/>
      <c r="ACW33" s="1870"/>
      <c r="ACX33" s="1870"/>
      <c r="ACY33" s="1870"/>
      <c r="ACZ33" s="1870"/>
      <c r="ADA33" s="1870"/>
      <c r="ADB33" s="1870"/>
      <c r="ADC33" s="1870"/>
      <c r="ADD33" s="1870"/>
      <c r="ADE33" s="1870"/>
      <c r="ADF33" s="1870"/>
      <c r="ADG33" s="1870"/>
      <c r="ADH33" s="1870"/>
      <c r="ADI33" s="1870"/>
      <c r="ADJ33" s="1870"/>
      <c r="ADK33" s="1870"/>
      <c r="ADL33" s="1870"/>
      <c r="ADM33" s="1870"/>
      <c r="ADN33" s="1870"/>
      <c r="ADO33" s="1870"/>
      <c r="ADP33" s="1870"/>
      <c r="ADQ33" s="1870"/>
      <c r="ADR33" s="1870"/>
      <c r="ADS33" s="1870"/>
      <c r="ADT33" s="1870"/>
      <c r="ADU33" s="1870"/>
      <c r="ADV33" s="1870"/>
      <c r="ADW33" s="1870"/>
      <c r="ADX33" s="1870"/>
      <c r="ADY33" s="1870"/>
      <c r="ADZ33" s="1870"/>
      <c r="AEA33" s="1870"/>
      <c r="AEB33" s="1870"/>
      <c r="AEC33" s="1870"/>
      <c r="AED33" s="1870"/>
      <c r="AEE33" s="1870"/>
      <c r="AEF33" s="1870"/>
      <c r="AEG33" s="1870"/>
      <c r="AEH33" s="1870"/>
      <c r="AEI33" s="1870"/>
      <c r="AEJ33" s="1870"/>
      <c r="AEK33" s="1870"/>
      <c r="AEL33" s="1870"/>
      <c r="AEM33" s="1870"/>
      <c r="AEN33" s="1870"/>
      <c r="AEO33" s="1870"/>
      <c r="AEP33" s="1870"/>
      <c r="AEQ33" s="1870"/>
      <c r="AER33" s="1870"/>
      <c r="AES33" s="1870"/>
      <c r="AET33" s="1870"/>
      <c r="AEU33" s="1870"/>
      <c r="AEV33" s="1870"/>
      <c r="AEW33" s="1870"/>
      <c r="AEX33" s="1870"/>
      <c r="AEY33" s="1870"/>
      <c r="AEZ33" s="1870"/>
      <c r="AFA33" s="1870"/>
      <c r="AFB33" s="1870"/>
      <c r="AFC33" s="1870"/>
      <c r="AFD33" s="1870"/>
      <c r="AFE33" s="1870"/>
      <c r="AFF33" s="1870"/>
      <c r="AFG33" s="1870"/>
      <c r="AFH33" s="1870"/>
      <c r="AFI33" s="1870"/>
      <c r="AFJ33" s="1870"/>
      <c r="AFK33" s="1870"/>
      <c r="AFL33" s="1870"/>
      <c r="AFM33" s="1870"/>
      <c r="AFN33" s="1870"/>
      <c r="AFO33" s="1870"/>
      <c r="AFP33" s="1870"/>
      <c r="AFQ33" s="1870"/>
      <c r="AFR33" s="1870"/>
      <c r="AFS33" s="1870"/>
      <c r="AFT33" s="1870"/>
      <c r="AFU33" s="1870"/>
      <c r="AFV33" s="1870"/>
      <c r="AFW33" s="1870"/>
      <c r="AFX33" s="1870"/>
      <c r="AFY33" s="1870"/>
      <c r="AFZ33" s="1870"/>
      <c r="AGA33" s="1870"/>
      <c r="AGB33" s="1870"/>
      <c r="AGC33" s="1870"/>
      <c r="AGD33" s="1870"/>
      <c r="AGE33" s="1870"/>
      <c r="AGF33" s="1870"/>
      <c r="AGG33" s="1870"/>
      <c r="AGH33" s="1870"/>
      <c r="AGI33" s="1870"/>
      <c r="AGJ33" s="1870"/>
      <c r="AGK33" s="1870"/>
      <c r="AGL33" s="1870"/>
      <c r="AGM33" s="1870"/>
      <c r="AGN33" s="1870"/>
      <c r="AGO33" s="1870"/>
      <c r="AGP33" s="1870"/>
      <c r="AGQ33" s="1870"/>
      <c r="AGR33" s="1870"/>
      <c r="AGS33" s="1870"/>
      <c r="AGT33" s="1870"/>
      <c r="AGU33" s="1870"/>
      <c r="AGV33" s="1870"/>
      <c r="AGW33" s="1870"/>
      <c r="AGX33" s="1870"/>
      <c r="AGY33" s="1870"/>
      <c r="AGZ33" s="1870"/>
      <c r="AHA33" s="1870"/>
      <c r="AHB33" s="1870"/>
      <c r="AHC33" s="1870"/>
      <c r="AHD33" s="1870"/>
      <c r="AHE33" s="1870"/>
      <c r="AHF33" s="1870"/>
      <c r="AHG33" s="1870"/>
      <c r="AHH33" s="1870"/>
      <c r="AHI33" s="1870"/>
      <c r="AHJ33" s="1870"/>
      <c r="AHK33" s="1870"/>
      <c r="AHL33" s="1870"/>
      <c r="AHM33" s="1870"/>
      <c r="AHN33" s="1870"/>
      <c r="AHO33" s="1870"/>
      <c r="AHP33" s="1870"/>
      <c r="AHQ33" s="1870"/>
      <c r="AHR33" s="1870"/>
      <c r="AHS33" s="1870"/>
      <c r="AHT33" s="1870"/>
      <c r="AHU33" s="1870"/>
      <c r="AHV33" s="1870"/>
      <c r="AHW33" s="1870"/>
      <c r="AHX33" s="1870"/>
      <c r="AHY33" s="1870"/>
      <c r="AHZ33" s="1870"/>
      <c r="AIA33" s="1870"/>
      <c r="AIB33" s="1870"/>
      <c r="AIC33" s="1870"/>
      <c r="AID33" s="1870"/>
      <c r="AIE33" s="1870"/>
      <c r="AIF33" s="1870"/>
      <c r="AIG33" s="1870"/>
      <c r="AIH33" s="1870"/>
      <c r="AII33" s="1870"/>
      <c r="AIJ33" s="1870"/>
      <c r="AIK33" s="1870"/>
      <c r="AIL33" s="1870"/>
      <c r="AIM33" s="1870"/>
      <c r="AIN33" s="1870"/>
      <c r="AIO33" s="1870"/>
      <c r="AIP33" s="1870"/>
      <c r="AIQ33" s="1870"/>
      <c r="AIR33" s="1870"/>
      <c r="AIS33" s="1870"/>
      <c r="AIT33" s="1870"/>
      <c r="AIU33" s="1870"/>
      <c r="AIV33" s="1870"/>
      <c r="AIW33" s="1870"/>
      <c r="AIX33" s="1870"/>
      <c r="AIY33" s="1870"/>
      <c r="AIZ33" s="1870"/>
      <c r="AJA33" s="1870"/>
      <c r="AJB33" s="1870"/>
      <c r="AJC33" s="1870"/>
      <c r="AJD33" s="1870"/>
      <c r="AJE33" s="1870"/>
      <c r="AJF33" s="1870"/>
      <c r="AJG33" s="1870"/>
      <c r="AJH33" s="1870"/>
      <c r="AJI33" s="1870"/>
      <c r="AJJ33" s="1870"/>
      <c r="AJK33" s="1870"/>
      <c r="AJL33" s="1870"/>
      <c r="AJM33" s="1870"/>
      <c r="AJN33" s="1870"/>
      <c r="AJO33" s="1870"/>
      <c r="AJP33" s="1870"/>
      <c r="AJQ33" s="1870"/>
      <c r="AJR33" s="1870"/>
      <c r="AJS33" s="1870"/>
      <c r="AJT33" s="1870"/>
      <c r="AJU33" s="1870"/>
      <c r="AJV33" s="1870"/>
      <c r="AJW33" s="1870"/>
      <c r="AJX33" s="1870"/>
      <c r="AJY33" s="1870"/>
      <c r="AJZ33" s="1870"/>
      <c r="AKA33" s="1870"/>
      <c r="AKB33" s="1870"/>
      <c r="AKC33" s="1870"/>
      <c r="AKD33" s="1870"/>
      <c r="AKE33" s="1870"/>
      <c r="AKF33" s="1870"/>
      <c r="AKG33" s="1870"/>
      <c r="AKH33" s="1870"/>
      <c r="AKI33" s="1870"/>
      <c r="AKJ33" s="1870"/>
      <c r="AKK33" s="1870"/>
      <c r="AKL33" s="1870"/>
      <c r="AKM33" s="1870"/>
      <c r="AKN33" s="1870"/>
      <c r="AKO33" s="1870"/>
      <c r="AKP33" s="1870"/>
      <c r="AKQ33" s="1870"/>
      <c r="AKR33" s="1870"/>
      <c r="AKS33" s="1870"/>
      <c r="AKT33" s="1870"/>
      <c r="AKU33" s="1870"/>
      <c r="AKV33" s="1870"/>
      <c r="AKW33" s="1870"/>
      <c r="AKX33" s="1870"/>
      <c r="AKY33" s="1870"/>
      <c r="AKZ33" s="1870"/>
      <c r="ALA33" s="1870"/>
      <c r="ALB33" s="1870"/>
      <c r="ALC33" s="1870"/>
      <c r="ALD33" s="1870"/>
      <c r="ALE33" s="1870"/>
      <c r="ALF33" s="1870"/>
      <c r="ALG33" s="1870"/>
      <c r="ALH33" s="1870"/>
      <c r="ALI33" s="1870"/>
      <c r="ALJ33" s="1870"/>
      <c r="ALK33" s="1870"/>
      <c r="ALL33" s="1870"/>
      <c r="ALM33" s="1870"/>
      <c r="ALN33" s="1870"/>
      <c r="ALO33" s="1870"/>
      <c r="ALP33" s="1870"/>
      <c r="ALQ33" s="1870"/>
      <c r="ALR33" s="1870"/>
      <c r="ALS33" s="1870"/>
      <c r="ALT33" s="1870"/>
      <c r="ALU33" s="1870"/>
      <c r="ALV33" s="1870"/>
      <c r="ALW33" s="1870"/>
      <c r="ALX33" s="1870"/>
      <c r="ALY33" s="1870"/>
      <c r="ALZ33" s="1870"/>
      <c r="AMA33" s="1870"/>
      <c r="AMB33" s="1870"/>
      <c r="AMC33" s="1870"/>
      <c r="AMD33" s="1870"/>
      <c r="AME33" s="1870"/>
      <c r="AMF33" s="1870"/>
      <c r="AMG33" s="1870"/>
      <c r="AMH33" s="1870"/>
      <c r="AMI33" s="1870"/>
      <c r="AMJ33" s="1870"/>
      <c r="AMK33" s="1870"/>
      <c r="AML33" s="1870"/>
      <c r="AMM33" s="1870"/>
      <c r="AMN33" s="1870"/>
      <c r="AMO33" s="1870"/>
      <c r="AMP33" s="1870"/>
      <c r="AMQ33" s="1870"/>
      <c r="AMR33" s="1870"/>
      <c r="AMS33" s="1870"/>
      <c r="AMT33" s="1870"/>
      <c r="AMU33" s="1870"/>
      <c r="AMV33" s="1870"/>
      <c r="AMW33" s="1870"/>
      <c r="AMX33" s="1870"/>
      <c r="AMY33" s="1870"/>
      <c r="AMZ33" s="1870"/>
      <c r="ANA33" s="1870"/>
      <c r="ANB33" s="1870"/>
      <c r="ANC33" s="1870"/>
      <c r="AND33" s="1870"/>
      <c r="ANE33" s="1870"/>
      <c r="ANF33" s="1870"/>
      <c r="ANG33" s="1870"/>
      <c r="ANH33" s="1870"/>
      <c r="ANI33" s="1870"/>
      <c r="ANJ33" s="1870"/>
      <c r="ANK33" s="1870"/>
      <c r="ANL33" s="1870"/>
      <c r="ANM33" s="1870"/>
      <c r="ANN33" s="1870"/>
      <c r="ANO33" s="1870"/>
      <c r="ANP33" s="1870"/>
      <c r="ANQ33" s="1870"/>
      <c r="ANR33" s="1870"/>
      <c r="ANS33" s="1870"/>
      <c r="ANT33" s="1870"/>
      <c r="ANU33" s="1870"/>
      <c r="ANV33" s="1870"/>
      <c r="ANW33" s="1870"/>
      <c r="ANX33" s="1870"/>
      <c r="ANY33" s="1870"/>
      <c r="ANZ33" s="1870"/>
      <c r="AOA33" s="1870"/>
      <c r="AOB33" s="1870"/>
      <c r="AOC33" s="1870"/>
      <c r="AOD33" s="1870"/>
      <c r="AOE33" s="1870"/>
      <c r="AOF33" s="1870"/>
      <c r="AOG33" s="1870"/>
      <c r="AOH33" s="1870"/>
      <c r="AOI33" s="1870"/>
      <c r="AOJ33" s="1870"/>
      <c r="AOK33" s="1870"/>
      <c r="AOL33" s="1870"/>
      <c r="AOM33" s="1870"/>
      <c r="AON33" s="1870"/>
      <c r="AOO33" s="1870"/>
      <c r="AOP33" s="1870"/>
      <c r="AOQ33" s="1870"/>
      <c r="AOR33" s="1870"/>
      <c r="AOS33" s="1870"/>
      <c r="AOT33" s="1870"/>
      <c r="AOU33" s="1870"/>
      <c r="AOV33" s="1870"/>
      <c r="AOW33" s="1870"/>
      <c r="AOX33" s="1870"/>
      <c r="AOY33" s="1870"/>
      <c r="AOZ33" s="1870"/>
      <c r="APA33" s="1870"/>
      <c r="APB33" s="1870"/>
      <c r="APC33" s="1870"/>
      <c r="APD33" s="1870"/>
      <c r="APE33" s="1870"/>
      <c r="APF33" s="1870"/>
      <c r="APG33" s="1870"/>
      <c r="APH33" s="1870"/>
      <c r="API33" s="1870"/>
      <c r="APJ33" s="1870"/>
      <c r="APK33" s="1870"/>
      <c r="APL33" s="1870"/>
      <c r="APM33" s="1870"/>
      <c r="APN33" s="1870"/>
      <c r="APO33" s="1870"/>
      <c r="APP33" s="1870"/>
      <c r="APQ33" s="1870"/>
      <c r="APR33" s="1870"/>
      <c r="APS33" s="1870"/>
      <c r="APT33" s="1870"/>
      <c r="APU33" s="1870"/>
      <c r="APV33" s="1870"/>
      <c r="APW33" s="1870"/>
      <c r="APX33" s="1870"/>
      <c r="APY33" s="1870"/>
      <c r="APZ33" s="1870"/>
      <c r="AQA33" s="1870"/>
      <c r="AQB33" s="1870"/>
      <c r="AQC33" s="1870"/>
      <c r="AQD33" s="1870"/>
      <c r="AQE33" s="1870"/>
      <c r="AQF33" s="1870"/>
      <c r="AQG33" s="1870"/>
      <c r="AQH33" s="1870"/>
      <c r="AQI33" s="1870"/>
      <c r="AQJ33" s="1870"/>
      <c r="AQK33" s="1870"/>
      <c r="AQL33" s="1870"/>
      <c r="AQM33" s="1870"/>
      <c r="AQN33" s="1870"/>
      <c r="AQO33" s="1870"/>
      <c r="AQP33" s="1870"/>
      <c r="AQQ33" s="1870"/>
      <c r="AQR33" s="1870"/>
      <c r="AQS33" s="1870"/>
      <c r="AQT33" s="1870"/>
      <c r="AQU33" s="1870"/>
      <c r="AQV33" s="1870"/>
      <c r="AQW33" s="1870"/>
      <c r="AQX33" s="1870"/>
      <c r="AQY33" s="1870"/>
      <c r="AQZ33" s="1870"/>
      <c r="ARA33" s="1870"/>
      <c r="ARB33" s="1870"/>
      <c r="ARC33" s="1870"/>
      <c r="ARD33" s="1870"/>
      <c r="ARE33" s="1870"/>
      <c r="ARF33" s="1870"/>
      <c r="ARG33" s="1870"/>
      <c r="ARH33" s="1870"/>
      <c r="ARI33" s="1870"/>
      <c r="ARJ33" s="1870"/>
      <c r="ARK33" s="1870"/>
      <c r="ARL33" s="1870"/>
      <c r="ARM33" s="1870"/>
      <c r="ARN33" s="1870"/>
      <c r="ARO33" s="1870"/>
      <c r="ARP33" s="1870"/>
      <c r="ARQ33" s="1870"/>
      <c r="ARR33" s="1870"/>
      <c r="ARS33" s="1870"/>
      <c r="ART33" s="1870"/>
      <c r="ARU33" s="1870"/>
      <c r="ARV33" s="1870"/>
      <c r="ARW33" s="1870"/>
      <c r="ARX33" s="1870"/>
      <c r="ARY33" s="1870"/>
      <c r="ARZ33" s="1870"/>
      <c r="ASA33" s="1870"/>
      <c r="ASB33" s="1870"/>
      <c r="ASC33" s="1870"/>
      <c r="ASD33" s="1870"/>
      <c r="ASE33" s="1870"/>
      <c r="ASF33" s="1870"/>
      <c r="ASG33" s="1870"/>
      <c r="ASH33" s="1870"/>
      <c r="ASI33" s="1870"/>
      <c r="ASJ33" s="1870"/>
      <c r="ASK33" s="1870"/>
      <c r="ASL33" s="1870"/>
      <c r="ASM33" s="1870"/>
      <c r="ASN33" s="1870"/>
      <c r="ASO33" s="1870"/>
      <c r="ASP33" s="1870"/>
      <c r="ASQ33" s="1870"/>
      <c r="ASR33" s="1870"/>
      <c r="ASS33" s="1870"/>
      <c r="AST33" s="1870"/>
      <c r="ASU33" s="1870"/>
      <c r="ASV33" s="1870"/>
      <c r="ASW33" s="1870"/>
      <c r="ASX33" s="1870"/>
      <c r="ASY33" s="1870"/>
      <c r="ASZ33" s="1870"/>
      <c r="ATA33" s="1870"/>
      <c r="ATB33" s="1870"/>
      <c r="ATC33" s="1870"/>
      <c r="ATD33" s="1870"/>
      <c r="ATE33" s="1870"/>
      <c r="ATF33" s="1870"/>
      <c r="ATG33" s="1870"/>
      <c r="ATH33" s="1870"/>
      <c r="ATI33" s="1870"/>
      <c r="ATJ33" s="1870"/>
      <c r="ATK33" s="1870"/>
      <c r="ATL33" s="1870"/>
      <c r="ATM33" s="1870"/>
      <c r="ATN33" s="1870"/>
      <c r="ATO33" s="1870"/>
      <c r="ATP33" s="1870"/>
      <c r="ATQ33" s="1870"/>
      <c r="ATR33" s="1870"/>
      <c r="ATS33" s="1870"/>
      <c r="ATT33" s="1870"/>
      <c r="ATU33" s="1870"/>
      <c r="ATV33" s="1870"/>
      <c r="ATW33" s="1870"/>
      <c r="ATX33" s="1870"/>
      <c r="ATY33" s="1870"/>
      <c r="ATZ33" s="1870"/>
      <c r="AUA33" s="1870"/>
      <c r="AUB33" s="1870"/>
      <c r="AUC33" s="1870"/>
      <c r="AUD33" s="1870"/>
      <c r="AUE33" s="1870"/>
      <c r="AUF33" s="1870"/>
      <c r="AUG33" s="1870"/>
      <c r="AUH33" s="1870"/>
      <c r="AUI33" s="1870"/>
      <c r="AUJ33" s="1870"/>
      <c r="AUK33" s="1870"/>
      <c r="AUL33" s="1870"/>
      <c r="AUM33" s="1870"/>
      <c r="AUN33" s="1870"/>
      <c r="AUO33" s="1870"/>
      <c r="AUP33" s="1870"/>
      <c r="AUQ33" s="1870"/>
      <c r="AUR33" s="1870"/>
      <c r="AUS33" s="1870"/>
      <c r="AUT33" s="1870"/>
      <c r="AUU33" s="1870"/>
      <c r="AUV33" s="1870"/>
      <c r="AUW33" s="1870"/>
      <c r="AUX33" s="1870"/>
      <c r="AUY33" s="1870"/>
      <c r="AUZ33" s="1870"/>
      <c r="AVA33" s="1870"/>
      <c r="AVB33" s="1870"/>
      <c r="AVC33" s="1870"/>
      <c r="AVD33" s="1870"/>
      <c r="AVE33" s="1870"/>
      <c r="AVF33" s="1870"/>
      <c r="AVG33" s="1870"/>
      <c r="AVH33" s="1870"/>
      <c r="AVI33" s="1870"/>
      <c r="AVJ33" s="1870"/>
      <c r="AVK33" s="1870"/>
      <c r="AVL33" s="1870"/>
      <c r="AVM33" s="1870"/>
      <c r="AVN33" s="1870"/>
      <c r="AVO33" s="1870"/>
      <c r="AVP33" s="1870"/>
      <c r="AVQ33" s="1870"/>
      <c r="AVR33" s="1870"/>
      <c r="AVS33" s="1870"/>
      <c r="AVT33" s="1870"/>
      <c r="AVU33" s="1870"/>
      <c r="AVV33" s="1870"/>
      <c r="AVW33" s="1870"/>
      <c r="AVX33" s="1870"/>
      <c r="AVY33" s="1870"/>
      <c r="AVZ33" s="1870"/>
      <c r="AWA33" s="1870"/>
      <c r="AWB33" s="1870"/>
      <c r="AWC33" s="1870"/>
      <c r="AWD33" s="1870"/>
      <c r="AWE33" s="1870"/>
      <c r="AWF33" s="1870"/>
      <c r="AWG33" s="1870"/>
      <c r="AWH33" s="1870"/>
      <c r="AWI33" s="1870"/>
      <c r="AWJ33" s="1870"/>
      <c r="AWK33" s="1870"/>
      <c r="AWL33" s="1870"/>
      <c r="AWM33" s="1870"/>
      <c r="AWN33" s="1870"/>
      <c r="AWO33" s="1870"/>
      <c r="AWP33" s="1870"/>
      <c r="AWQ33" s="1870"/>
    </row>
    <row r="34" spans="1:1291" ht="15" customHeight="1" x14ac:dyDescent="0.2">
      <c r="A34" s="1976"/>
      <c r="B34" s="1986"/>
      <c r="C34" s="1816" t="s">
        <v>572</v>
      </c>
      <c r="D34" s="1881"/>
      <c r="E34" s="1984"/>
      <c r="F34" s="1838">
        <v>0</v>
      </c>
      <c r="G34" s="1804">
        <v>0</v>
      </c>
      <c r="H34" s="1804">
        <v>0</v>
      </c>
      <c r="I34" s="1804">
        <v>0</v>
      </c>
      <c r="J34" s="1804">
        <v>0</v>
      </c>
      <c r="K34" s="1804">
        <v>0</v>
      </c>
      <c r="L34" s="1804">
        <v>0</v>
      </c>
      <c r="M34" s="1804">
        <v>0</v>
      </c>
      <c r="N34" s="1804">
        <v>0</v>
      </c>
      <c r="O34" s="1804">
        <v>0</v>
      </c>
      <c r="P34" s="1804">
        <v>0</v>
      </c>
      <c r="Q34" s="1804">
        <v>0</v>
      </c>
      <c r="R34" s="1804">
        <v>0</v>
      </c>
      <c r="S34" s="1804">
        <v>0</v>
      </c>
      <c r="T34" s="1804">
        <v>0</v>
      </c>
      <c r="U34" s="1804">
        <v>0</v>
      </c>
      <c r="V34" s="1804">
        <v>0</v>
      </c>
      <c r="W34" s="1804">
        <v>0</v>
      </c>
      <c r="X34" s="1804">
        <v>0</v>
      </c>
      <c r="Y34" s="1804">
        <v>0</v>
      </c>
      <c r="Z34" s="1804">
        <v>0</v>
      </c>
      <c r="AA34" s="1804">
        <v>0</v>
      </c>
      <c r="AB34" s="1804">
        <v>0</v>
      </c>
      <c r="AC34" s="1804">
        <v>0</v>
      </c>
      <c r="AD34" s="1804">
        <v>0</v>
      </c>
      <c r="AE34" s="1804">
        <v>0</v>
      </c>
      <c r="AF34" s="1804">
        <v>0</v>
      </c>
      <c r="AG34" s="1804">
        <v>0</v>
      </c>
      <c r="AH34" s="1804">
        <v>0</v>
      </c>
      <c r="AI34" s="1804">
        <v>0</v>
      </c>
      <c r="AJ34" s="1804">
        <v>0</v>
      </c>
      <c r="AK34" s="1804">
        <v>0</v>
      </c>
      <c r="AL34" s="1804">
        <v>0</v>
      </c>
      <c r="AM34" s="1804">
        <v>0</v>
      </c>
      <c r="AN34" s="1804">
        <v>0</v>
      </c>
      <c r="AO34" s="1804">
        <v>0</v>
      </c>
      <c r="AP34" s="1804">
        <v>0</v>
      </c>
      <c r="AQ34" s="1804">
        <v>0</v>
      </c>
      <c r="AR34" s="1804">
        <v>0</v>
      </c>
      <c r="AS34" s="1804">
        <v>0</v>
      </c>
      <c r="AT34" s="1804">
        <v>0</v>
      </c>
      <c r="AU34" s="1804">
        <v>0</v>
      </c>
      <c r="AV34" s="1804">
        <v>0</v>
      </c>
      <c r="AW34" s="1804">
        <v>0</v>
      </c>
      <c r="AX34" s="1804">
        <v>0</v>
      </c>
      <c r="AY34" s="1804">
        <v>0</v>
      </c>
      <c r="AZ34" s="1804">
        <v>0</v>
      </c>
      <c r="BA34" s="1804">
        <v>0</v>
      </c>
      <c r="BB34" s="1804">
        <v>0</v>
      </c>
      <c r="BC34" s="1804">
        <v>0</v>
      </c>
      <c r="BD34" s="1804">
        <v>0</v>
      </c>
      <c r="BE34" s="1804">
        <v>0</v>
      </c>
      <c r="BF34" s="1804">
        <v>0</v>
      </c>
      <c r="BG34" s="1804">
        <v>0</v>
      </c>
      <c r="BH34" s="1804">
        <v>0</v>
      </c>
      <c r="BI34" s="1804">
        <v>0</v>
      </c>
      <c r="BJ34" s="1804">
        <v>0</v>
      </c>
      <c r="BK34" s="1804">
        <v>0</v>
      </c>
      <c r="BL34" s="1804">
        <v>0</v>
      </c>
      <c r="BM34" s="1804">
        <v>0</v>
      </c>
      <c r="BN34" s="1804">
        <v>0</v>
      </c>
      <c r="BO34" s="1804">
        <v>0</v>
      </c>
      <c r="BP34" s="1804">
        <v>0</v>
      </c>
      <c r="BQ34" s="1804">
        <v>0</v>
      </c>
      <c r="BR34" s="1804">
        <v>0</v>
      </c>
      <c r="BS34" s="1804">
        <v>0</v>
      </c>
      <c r="BT34" s="1804">
        <v>0</v>
      </c>
      <c r="BU34" s="1804">
        <v>0</v>
      </c>
      <c r="BV34" s="1804">
        <v>0</v>
      </c>
      <c r="BW34" s="1804">
        <v>0</v>
      </c>
      <c r="BX34" s="1804">
        <v>0</v>
      </c>
      <c r="BY34" s="1804">
        <v>0</v>
      </c>
      <c r="BZ34" s="1804">
        <v>0</v>
      </c>
      <c r="CA34" s="1804">
        <v>0</v>
      </c>
      <c r="CB34" s="1804">
        <v>0</v>
      </c>
      <c r="CC34" s="1804">
        <v>0</v>
      </c>
      <c r="CD34" s="1804">
        <v>0</v>
      </c>
      <c r="CE34" s="1804">
        <v>0</v>
      </c>
      <c r="CF34" s="1804">
        <v>0</v>
      </c>
      <c r="CG34" s="1804">
        <v>0</v>
      </c>
      <c r="CH34" s="1804">
        <v>0</v>
      </c>
      <c r="CI34" s="1804">
        <v>0</v>
      </c>
      <c r="CJ34" s="1804">
        <v>0</v>
      </c>
      <c r="CK34" s="1804">
        <v>0</v>
      </c>
      <c r="CL34" s="1804">
        <v>0</v>
      </c>
      <c r="CM34" s="1804">
        <v>0</v>
      </c>
      <c r="CN34" s="1804">
        <v>0</v>
      </c>
      <c r="CO34" s="1804">
        <v>0</v>
      </c>
      <c r="CP34" s="1804">
        <v>0</v>
      </c>
      <c r="CQ34" s="1804">
        <v>0</v>
      </c>
      <c r="CR34" s="1804">
        <v>0</v>
      </c>
      <c r="CS34" s="1804">
        <v>0</v>
      </c>
      <c r="CT34" s="1804">
        <v>0</v>
      </c>
      <c r="CU34" s="1804">
        <v>0</v>
      </c>
      <c r="CV34" s="1804">
        <v>0</v>
      </c>
      <c r="CW34" s="1804">
        <v>0</v>
      </c>
      <c r="CX34" s="1804">
        <v>0</v>
      </c>
      <c r="CY34" s="1804">
        <v>0</v>
      </c>
      <c r="CZ34" s="1804">
        <v>0</v>
      </c>
      <c r="DA34" s="1804">
        <v>0</v>
      </c>
      <c r="DB34" s="1804">
        <v>0</v>
      </c>
      <c r="DC34" s="1804">
        <v>0</v>
      </c>
      <c r="DD34" s="1804">
        <v>0</v>
      </c>
      <c r="DE34" s="1804">
        <v>0</v>
      </c>
      <c r="DF34" s="1804">
        <v>0</v>
      </c>
      <c r="DG34" s="1804">
        <v>0</v>
      </c>
      <c r="DH34" s="1804">
        <v>0</v>
      </c>
      <c r="DI34" s="1804">
        <v>0</v>
      </c>
      <c r="DJ34" s="1804">
        <v>0</v>
      </c>
      <c r="DK34" s="1804">
        <v>0</v>
      </c>
      <c r="DL34" s="1804">
        <v>0</v>
      </c>
      <c r="DM34" s="1804">
        <v>0</v>
      </c>
      <c r="DN34" s="1804">
        <v>0</v>
      </c>
      <c r="DO34" s="1804">
        <v>0</v>
      </c>
      <c r="DP34" s="1804">
        <v>0</v>
      </c>
      <c r="DQ34" s="1804">
        <v>0</v>
      </c>
      <c r="DR34" s="1804">
        <v>0</v>
      </c>
      <c r="DS34" s="1804">
        <v>0</v>
      </c>
      <c r="DT34" s="1804">
        <v>0</v>
      </c>
      <c r="DU34" s="1804">
        <v>0</v>
      </c>
      <c r="DV34" s="1804">
        <v>0</v>
      </c>
      <c r="DW34" s="1804">
        <v>0</v>
      </c>
      <c r="DX34" s="1804">
        <v>0</v>
      </c>
      <c r="DY34" s="1804">
        <v>0</v>
      </c>
      <c r="DZ34" s="1804">
        <v>0</v>
      </c>
      <c r="EA34" s="1804">
        <v>0</v>
      </c>
      <c r="EB34" s="1804">
        <v>0</v>
      </c>
      <c r="EC34" s="1804">
        <v>0</v>
      </c>
      <c r="ED34" s="1804">
        <v>0</v>
      </c>
      <c r="EE34" s="1804">
        <v>0</v>
      </c>
      <c r="EF34" s="1804">
        <v>0</v>
      </c>
      <c r="EG34" s="1804">
        <v>0</v>
      </c>
      <c r="EH34" s="1804">
        <v>0</v>
      </c>
      <c r="EI34" s="1804">
        <v>0</v>
      </c>
      <c r="EJ34" s="1804">
        <v>0</v>
      </c>
      <c r="EK34" s="1804">
        <v>0</v>
      </c>
      <c r="EL34" s="1804">
        <v>0</v>
      </c>
      <c r="EM34" s="1804">
        <v>0</v>
      </c>
      <c r="EN34" s="1804">
        <v>0</v>
      </c>
      <c r="EO34" s="1804">
        <v>0</v>
      </c>
      <c r="EP34" s="1804">
        <v>0</v>
      </c>
      <c r="EQ34" s="1804">
        <v>0</v>
      </c>
      <c r="ER34" s="1804">
        <v>0</v>
      </c>
      <c r="ES34" s="1804">
        <v>0</v>
      </c>
      <c r="ET34" s="1804">
        <v>0</v>
      </c>
      <c r="EU34" s="1804">
        <v>0</v>
      </c>
      <c r="EV34" s="1804">
        <v>0</v>
      </c>
      <c r="EW34" s="1804">
        <v>0</v>
      </c>
      <c r="EX34" s="1804">
        <v>0</v>
      </c>
      <c r="EY34" s="1804">
        <v>0</v>
      </c>
      <c r="EZ34" s="1804">
        <v>0</v>
      </c>
      <c r="FA34" s="1804">
        <v>0</v>
      </c>
      <c r="FB34" s="1804">
        <v>0</v>
      </c>
      <c r="FC34" s="1804">
        <v>0</v>
      </c>
      <c r="FD34" s="1804">
        <v>0</v>
      </c>
      <c r="FE34" s="1804">
        <v>0</v>
      </c>
      <c r="FF34" s="1804">
        <v>0</v>
      </c>
      <c r="FG34" s="1804">
        <v>0</v>
      </c>
      <c r="FH34" s="1804">
        <v>0</v>
      </c>
      <c r="FI34" s="1804">
        <v>0</v>
      </c>
      <c r="FJ34" s="1804">
        <v>0</v>
      </c>
      <c r="FK34" s="1804">
        <v>0</v>
      </c>
      <c r="FL34" s="1804">
        <v>0</v>
      </c>
      <c r="FM34" s="1804">
        <v>0</v>
      </c>
      <c r="FN34" s="1804">
        <v>0</v>
      </c>
      <c r="FO34" s="1804">
        <v>0</v>
      </c>
      <c r="FP34" s="1804">
        <v>0</v>
      </c>
      <c r="FQ34" s="1804">
        <v>0</v>
      </c>
      <c r="FR34" s="1804">
        <v>0</v>
      </c>
      <c r="FS34" s="1804">
        <v>0</v>
      </c>
      <c r="FT34" s="1804">
        <v>0</v>
      </c>
      <c r="FU34" s="1804">
        <v>0</v>
      </c>
      <c r="FV34" s="1804">
        <v>0</v>
      </c>
      <c r="FW34" s="1804">
        <v>0</v>
      </c>
      <c r="FX34" s="1804">
        <v>0</v>
      </c>
      <c r="FY34" s="1804">
        <v>0</v>
      </c>
      <c r="FZ34" s="1804">
        <v>0</v>
      </c>
      <c r="GA34" s="1804">
        <v>0</v>
      </c>
      <c r="GB34" s="1804">
        <v>0</v>
      </c>
      <c r="GC34" s="1804">
        <v>0</v>
      </c>
      <c r="GD34" s="1804">
        <v>0</v>
      </c>
      <c r="GE34" s="1804">
        <v>0</v>
      </c>
      <c r="GF34" s="1804">
        <v>0</v>
      </c>
      <c r="GG34" s="1804">
        <v>0</v>
      </c>
      <c r="GH34" s="1804">
        <v>0</v>
      </c>
      <c r="GI34" s="1804">
        <v>0</v>
      </c>
      <c r="GJ34" s="1804">
        <v>0</v>
      </c>
      <c r="GK34" s="1804">
        <v>0</v>
      </c>
      <c r="GL34" s="1804">
        <v>0</v>
      </c>
      <c r="GM34" s="1804">
        <v>0</v>
      </c>
      <c r="GN34" s="1804">
        <v>0</v>
      </c>
      <c r="GO34" s="1804">
        <v>0</v>
      </c>
      <c r="GP34" s="1804">
        <v>0</v>
      </c>
      <c r="GQ34" s="1804">
        <v>0</v>
      </c>
      <c r="GR34" s="1804">
        <v>0</v>
      </c>
      <c r="GS34" s="1804">
        <v>0</v>
      </c>
      <c r="GT34" s="1804">
        <v>0</v>
      </c>
      <c r="GU34" s="1804">
        <v>0</v>
      </c>
      <c r="GV34" s="1804">
        <v>0</v>
      </c>
      <c r="GW34" s="1804">
        <v>0</v>
      </c>
      <c r="GX34" s="1804">
        <v>0</v>
      </c>
      <c r="GY34" s="1804">
        <v>0</v>
      </c>
      <c r="GZ34" s="1804">
        <v>0</v>
      </c>
      <c r="HA34" s="1804">
        <v>0</v>
      </c>
      <c r="HB34" s="1804">
        <v>0</v>
      </c>
      <c r="HC34" s="1804">
        <v>0</v>
      </c>
      <c r="HD34" s="1804">
        <v>0</v>
      </c>
      <c r="HE34" s="1804">
        <v>0</v>
      </c>
    </row>
    <row r="35" spans="1:1291" ht="15" customHeight="1" x14ac:dyDescent="0.2">
      <c r="A35" s="1976"/>
      <c r="B35" s="1986"/>
      <c r="C35" s="1816" t="s">
        <v>570</v>
      </c>
      <c r="D35" s="1881"/>
      <c r="E35" s="1984"/>
      <c r="F35" s="1838">
        <v>0</v>
      </c>
      <c r="G35" s="1804">
        <v>0</v>
      </c>
      <c r="H35" s="1804">
        <v>0</v>
      </c>
      <c r="I35" s="1804">
        <v>0</v>
      </c>
      <c r="J35" s="1804">
        <v>0</v>
      </c>
      <c r="K35" s="1804">
        <v>0</v>
      </c>
      <c r="L35" s="1804">
        <v>0</v>
      </c>
      <c r="M35" s="1804">
        <v>0</v>
      </c>
      <c r="N35" s="1804">
        <v>0</v>
      </c>
      <c r="O35" s="1804">
        <v>0</v>
      </c>
      <c r="P35" s="1804">
        <v>0</v>
      </c>
      <c r="Q35" s="1804">
        <v>0</v>
      </c>
      <c r="R35" s="1804">
        <v>0</v>
      </c>
      <c r="S35" s="1804">
        <v>0</v>
      </c>
      <c r="T35" s="1804">
        <v>0</v>
      </c>
      <c r="U35" s="1804">
        <v>0</v>
      </c>
      <c r="V35" s="1804">
        <v>0</v>
      </c>
      <c r="W35" s="1804">
        <v>0</v>
      </c>
      <c r="X35" s="1804">
        <v>0</v>
      </c>
      <c r="Y35" s="1804">
        <v>0</v>
      </c>
      <c r="Z35" s="1804">
        <v>0</v>
      </c>
      <c r="AA35" s="1804">
        <v>0</v>
      </c>
      <c r="AB35" s="1804">
        <v>0</v>
      </c>
      <c r="AC35" s="1804">
        <v>0</v>
      </c>
      <c r="AD35" s="1804">
        <v>0</v>
      </c>
      <c r="AE35" s="1804">
        <v>0</v>
      </c>
      <c r="AF35" s="1804">
        <v>0</v>
      </c>
      <c r="AG35" s="1804">
        <v>0</v>
      </c>
      <c r="AH35" s="1804">
        <v>0</v>
      </c>
      <c r="AI35" s="1804">
        <v>0</v>
      </c>
      <c r="AJ35" s="1804">
        <v>0</v>
      </c>
      <c r="AK35" s="1804">
        <v>0</v>
      </c>
      <c r="AL35" s="1804">
        <v>0</v>
      </c>
      <c r="AM35" s="1804">
        <v>0</v>
      </c>
      <c r="AN35" s="1804">
        <v>0</v>
      </c>
      <c r="AO35" s="1804">
        <v>0</v>
      </c>
      <c r="AP35" s="1804">
        <v>0</v>
      </c>
      <c r="AQ35" s="1804">
        <v>0</v>
      </c>
      <c r="AR35" s="1804">
        <v>0</v>
      </c>
      <c r="AS35" s="1804">
        <v>0</v>
      </c>
      <c r="AT35" s="1804">
        <v>0</v>
      </c>
      <c r="AU35" s="1804">
        <v>0</v>
      </c>
      <c r="AV35" s="1804">
        <v>0</v>
      </c>
      <c r="AW35" s="1804">
        <v>0</v>
      </c>
      <c r="AX35" s="1804">
        <v>0</v>
      </c>
      <c r="AY35" s="1804">
        <v>0</v>
      </c>
      <c r="AZ35" s="1804">
        <v>0</v>
      </c>
      <c r="BA35" s="1804">
        <v>0</v>
      </c>
      <c r="BB35" s="1804">
        <v>0</v>
      </c>
      <c r="BC35" s="1804">
        <v>0</v>
      </c>
      <c r="BD35" s="1804">
        <v>0</v>
      </c>
      <c r="BE35" s="1804">
        <v>0</v>
      </c>
      <c r="BF35" s="1804">
        <v>0</v>
      </c>
      <c r="BG35" s="1804">
        <v>0</v>
      </c>
      <c r="BH35" s="1804">
        <v>0</v>
      </c>
      <c r="BI35" s="1804">
        <v>0</v>
      </c>
      <c r="BJ35" s="1804">
        <v>0</v>
      </c>
      <c r="BK35" s="1804">
        <v>0</v>
      </c>
      <c r="BL35" s="1804">
        <v>0</v>
      </c>
      <c r="BM35" s="1804">
        <v>0</v>
      </c>
      <c r="BN35" s="1804">
        <v>0</v>
      </c>
      <c r="BO35" s="1804">
        <v>0</v>
      </c>
      <c r="BP35" s="1804">
        <v>0</v>
      </c>
      <c r="BQ35" s="1804">
        <v>0</v>
      </c>
      <c r="BR35" s="1804">
        <v>0</v>
      </c>
      <c r="BS35" s="1804">
        <v>0</v>
      </c>
      <c r="BT35" s="1804">
        <v>0</v>
      </c>
      <c r="BU35" s="1804">
        <v>0</v>
      </c>
      <c r="BV35" s="1804">
        <v>0</v>
      </c>
      <c r="BW35" s="1804">
        <v>0</v>
      </c>
      <c r="BX35" s="1804">
        <v>0</v>
      </c>
      <c r="BY35" s="1804">
        <v>0</v>
      </c>
      <c r="BZ35" s="1804">
        <v>0</v>
      </c>
      <c r="CA35" s="1804">
        <v>0</v>
      </c>
      <c r="CB35" s="1804">
        <v>0</v>
      </c>
      <c r="CC35" s="1804">
        <v>0</v>
      </c>
      <c r="CD35" s="1804">
        <v>0</v>
      </c>
      <c r="CE35" s="1804">
        <v>0</v>
      </c>
      <c r="CF35" s="1804">
        <v>0</v>
      </c>
      <c r="CG35" s="1804">
        <v>0</v>
      </c>
      <c r="CH35" s="1804">
        <v>0</v>
      </c>
      <c r="CI35" s="1804">
        <v>0</v>
      </c>
      <c r="CJ35" s="1804">
        <v>0</v>
      </c>
      <c r="CK35" s="1804">
        <v>0</v>
      </c>
      <c r="CL35" s="1804">
        <v>0</v>
      </c>
      <c r="CM35" s="1804">
        <v>0</v>
      </c>
      <c r="CN35" s="1804">
        <v>0</v>
      </c>
      <c r="CO35" s="1804">
        <v>0</v>
      </c>
      <c r="CP35" s="1804">
        <v>0</v>
      </c>
      <c r="CQ35" s="1804">
        <v>0</v>
      </c>
      <c r="CR35" s="1804">
        <v>0</v>
      </c>
      <c r="CS35" s="1804">
        <v>0</v>
      </c>
      <c r="CT35" s="1804">
        <v>0</v>
      </c>
      <c r="CU35" s="1804">
        <v>0</v>
      </c>
      <c r="CV35" s="1804">
        <v>0</v>
      </c>
      <c r="CW35" s="1804">
        <v>0</v>
      </c>
      <c r="CX35" s="1804">
        <v>0</v>
      </c>
      <c r="CY35" s="1804">
        <v>0</v>
      </c>
      <c r="CZ35" s="1804">
        <v>0</v>
      </c>
      <c r="DA35" s="1804">
        <v>0</v>
      </c>
      <c r="DB35" s="1804">
        <v>0</v>
      </c>
      <c r="DC35" s="1804">
        <v>0</v>
      </c>
      <c r="DD35" s="1804">
        <v>0</v>
      </c>
      <c r="DE35" s="1804">
        <v>0</v>
      </c>
      <c r="DF35" s="1804">
        <v>0</v>
      </c>
      <c r="DG35" s="1804">
        <v>0</v>
      </c>
      <c r="DH35" s="1804">
        <v>0</v>
      </c>
      <c r="DI35" s="1804">
        <v>0</v>
      </c>
      <c r="DJ35" s="1804">
        <v>0</v>
      </c>
      <c r="DK35" s="1804">
        <v>0</v>
      </c>
      <c r="DL35" s="1804">
        <v>0</v>
      </c>
      <c r="DM35" s="1804">
        <v>0</v>
      </c>
      <c r="DN35" s="1804">
        <v>0</v>
      </c>
      <c r="DO35" s="1804">
        <v>0</v>
      </c>
      <c r="DP35" s="1804">
        <v>0</v>
      </c>
      <c r="DQ35" s="1804">
        <v>0</v>
      </c>
      <c r="DR35" s="1804">
        <v>0</v>
      </c>
      <c r="DS35" s="1804">
        <v>0</v>
      </c>
      <c r="DT35" s="1804">
        <v>0</v>
      </c>
      <c r="DU35" s="1804">
        <v>0</v>
      </c>
      <c r="DV35" s="1804">
        <v>0</v>
      </c>
      <c r="DW35" s="1804">
        <v>0</v>
      </c>
      <c r="DX35" s="1804">
        <v>0</v>
      </c>
      <c r="DY35" s="1804">
        <v>0</v>
      </c>
      <c r="DZ35" s="1804">
        <v>0</v>
      </c>
      <c r="EA35" s="1804">
        <v>0</v>
      </c>
      <c r="EB35" s="1804">
        <v>0</v>
      </c>
      <c r="EC35" s="1804">
        <v>0</v>
      </c>
      <c r="ED35" s="1804">
        <v>0</v>
      </c>
      <c r="EE35" s="1804">
        <v>0</v>
      </c>
      <c r="EF35" s="1804">
        <v>0</v>
      </c>
      <c r="EG35" s="1804">
        <v>0</v>
      </c>
      <c r="EH35" s="1804">
        <v>0</v>
      </c>
      <c r="EI35" s="1804">
        <v>0</v>
      </c>
      <c r="EJ35" s="1804">
        <v>0</v>
      </c>
      <c r="EK35" s="1804">
        <v>0</v>
      </c>
      <c r="EL35" s="1804">
        <v>0</v>
      </c>
      <c r="EM35" s="1804">
        <v>0</v>
      </c>
      <c r="EN35" s="1804">
        <v>0</v>
      </c>
      <c r="EO35" s="1804">
        <v>0</v>
      </c>
      <c r="EP35" s="1804">
        <v>0</v>
      </c>
      <c r="EQ35" s="1804">
        <v>0</v>
      </c>
      <c r="ER35" s="1804">
        <v>0</v>
      </c>
      <c r="ES35" s="1804">
        <v>0</v>
      </c>
      <c r="ET35" s="1804">
        <v>0</v>
      </c>
      <c r="EU35" s="1804">
        <v>0</v>
      </c>
      <c r="EV35" s="1804">
        <v>0</v>
      </c>
      <c r="EW35" s="1804">
        <v>0</v>
      </c>
      <c r="EX35" s="1804">
        <v>0</v>
      </c>
      <c r="EY35" s="1804">
        <v>0</v>
      </c>
      <c r="EZ35" s="1804">
        <v>0</v>
      </c>
      <c r="FA35" s="1804">
        <v>0</v>
      </c>
      <c r="FB35" s="1804">
        <v>0</v>
      </c>
      <c r="FC35" s="1804">
        <v>0</v>
      </c>
      <c r="FD35" s="1804">
        <v>0</v>
      </c>
      <c r="FE35" s="1804">
        <v>0</v>
      </c>
      <c r="FF35" s="1804">
        <v>0</v>
      </c>
      <c r="FG35" s="1804">
        <v>0</v>
      </c>
      <c r="FH35" s="1804">
        <v>0</v>
      </c>
      <c r="FI35" s="1804">
        <v>0</v>
      </c>
      <c r="FJ35" s="1804">
        <v>0</v>
      </c>
      <c r="FK35" s="1804">
        <v>0</v>
      </c>
      <c r="FL35" s="1804">
        <v>0</v>
      </c>
      <c r="FM35" s="1804">
        <v>0</v>
      </c>
      <c r="FN35" s="1804">
        <v>0</v>
      </c>
      <c r="FO35" s="1804">
        <v>0</v>
      </c>
      <c r="FP35" s="1804">
        <v>0</v>
      </c>
      <c r="FQ35" s="1804">
        <v>0</v>
      </c>
      <c r="FR35" s="1804">
        <v>0</v>
      </c>
      <c r="FS35" s="1804">
        <v>0</v>
      </c>
      <c r="FT35" s="1804">
        <v>0</v>
      </c>
      <c r="FU35" s="1804">
        <v>0</v>
      </c>
      <c r="FV35" s="1804">
        <v>0</v>
      </c>
      <c r="FW35" s="1804">
        <v>0</v>
      </c>
      <c r="FX35" s="1804">
        <v>0</v>
      </c>
      <c r="FY35" s="1804">
        <v>0</v>
      </c>
      <c r="FZ35" s="1804">
        <v>0</v>
      </c>
      <c r="GA35" s="1804">
        <v>0</v>
      </c>
      <c r="GB35" s="1804">
        <v>0</v>
      </c>
      <c r="GC35" s="1804">
        <v>0</v>
      </c>
      <c r="GD35" s="1804">
        <v>0</v>
      </c>
      <c r="GE35" s="1804">
        <v>0</v>
      </c>
      <c r="GF35" s="1804">
        <v>0</v>
      </c>
      <c r="GG35" s="1804">
        <v>0</v>
      </c>
      <c r="GH35" s="1804">
        <v>0</v>
      </c>
      <c r="GI35" s="1804">
        <v>0</v>
      </c>
      <c r="GJ35" s="1804">
        <v>0</v>
      </c>
      <c r="GK35" s="1804">
        <v>0</v>
      </c>
      <c r="GL35" s="1804">
        <v>0</v>
      </c>
      <c r="GM35" s="1804">
        <v>0</v>
      </c>
      <c r="GN35" s="1804">
        <v>0</v>
      </c>
      <c r="GO35" s="1804">
        <v>0</v>
      </c>
      <c r="GP35" s="1804">
        <v>0</v>
      </c>
      <c r="GQ35" s="1804">
        <v>0</v>
      </c>
      <c r="GR35" s="1804">
        <v>0</v>
      </c>
      <c r="GS35" s="1804">
        <v>0</v>
      </c>
      <c r="GT35" s="1804">
        <v>0</v>
      </c>
      <c r="GU35" s="1804">
        <v>0</v>
      </c>
      <c r="GV35" s="1804">
        <v>0</v>
      </c>
      <c r="GW35" s="1804">
        <v>0</v>
      </c>
      <c r="GX35" s="1804">
        <v>0</v>
      </c>
      <c r="GY35" s="1804">
        <v>0</v>
      </c>
      <c r="GZ35" s="1804">
        <v>0</v>
      </c>
      <c r="HA35" s="1804">
        <v>0</v>
      </c>
      <c r="HB35" s="1804">
        <v>0</v>
      </c>
      <c r="HC35" s="1804">
        <v>0</v>
      </c>
      <c r="HD35" s="1804">
        <v>0</v>
      </c>
      <c r="HE35" s="1804">
        <v>0</v>
      </c>
    </row>
    <row r="36" spans="1:1291" ht="15" customHeight="1" thickBot="1" x14ac:dyDescent="0.25">
      <c r="A36" s="1977"/>
      <c r="B36" s="1987"/>
      <c r="C36" s="1690" t="s">
        <v>571</v>
      </c>
      <c r="D36" s="1881"/>
      <c r="E36" s="1984"/>
      <c r="F36" s="1838">
        <v>0</v>
      </c>
      <c r="G36" s="1804">
        <v>0</v>
      </c>
      <c r="H36" s="1804">
        <v>0</v>
      </c>
      <c r="I36" s="1804">
        <v>0</v>
      </c>
      <c r="J36" s="1804">
        <v>0</v>
      </c>
      <c r="K36" s="1804">
        <v>0</v>
      </c>
      <c r="L36" s="1804">
        <v>0</v>
      </c>
      <c r="M36" s="1804">
        <v>0</v>
      </c>
      <c r="N36" s="1804">
        <v>0</v>
      </c>
      <c r="O36" s="1804">
        <v>0</v>
      </c>
      <c r="P36" s="1804">
        <v>0</v>
      </c>
      <c r="Q36" s="1804">
        <v>0</v>
      </c>
      <c r="R36" s="1804">
        <v>0</v>
      </c>
      <c r="S36" s="1804">
        <v>0</v>
      </c>
      <c r="T36" s="1804">
        <v>0</v>
      </c>
      <c r="U36" s="1804">
        <v>0</v>
      </c>
      <c r="V36" s="1804">
        <v>0</v>
      </c>
      <c r="W36" s="1804">
        <v>0</v>
      </c>
      <c r="X36" s="1804">
        <v>0</v>
      </c>
      <c r="Y36" s="1804">
        <v>0</v>
      </c>
      <c r="Z36" s="1804">
        <v>0</v>
      </c>
      <c r="AA36" s="1804">
        <v>0</v>
      </c>
      <c r="AB36" s="1804">
        <v>0</v>
      </c>
      <c r="AC36" s="1804">
        <v>0</v>
      </c>
      <c r="AD36" s="1804">
        <v>0</v>
      </c>
      <c r="AE36" s="1804">
        <v>0</v>
      </c>
      <c r="AF36" s="1804">
        <v>0</v>
      </c>
      <c r="AG36" s="1804">
        <v>0</v>
      </c>
      <c r="AH36" s="1804">
        <v>0</v>
      </c>
      <c r="AI36" s="1804">
        <v>0</v>
      </c>
      <c r="AJ36" s="1804">
        <v>0</v>
      </c>
      <c r="AK36" s="1804">
        <v>0</v>
      </c>
      <c r="AL36" s="1804">
        <v>0</v>
      </c>
      <c r="AM36" s="1804">
        <v>0</v>
      </c>
      <c r="AN36" s="1804">
        <v>0</v>
      </c>
      <c r="AO36" s="1804">
        <v>0</v>
      </c>
      <c r="AP36" s="1804">
        <v>0</v>
      </c>
      <c r="AQ36" s="1804">
        <v>0</v>
      </c>
      <c r="AR36" s="1804">
        <v>0</v>
      </c>
      <c r="AS36" s="1804">
        <v>0</v>
      </c>
      <c r="AT36" s="1804">
        <v>0</v>
      </c>
      <c r="AU36" s="1804">
        <v>0</v>
      </c>
      <c r="AV36" s="1804">
        <v>0</v>
      </c>
      <c r="AW36" s="1804">
        <v>0</v>
      </c>
      <c r="AX36" s="1804">
        <v>0</v>
      </c>
      <c r="AY36" s="1804">
        <v>0</v>
      </c>
      <c r="AZ36" s="1804">
        <v>0</v>
      </c>
      <c r="BA36" s="1804">
        <v>0</v>
      </c>
      <c r="BB36" s="1804">
        <v>0</v>
      </c>
      <c r="BC36" s="1804">
        <v>0</v>
      </c>
      <c r="BD36" s="1804">
        <v>0</v>
      </c>
      <c r="BE36" s="1804">
        <v>0</v>
      </c>
      <c r="BF36" s="1804">
        <v>0</v>
      </c>
      <c r="BG36" s="1804">
        <v>0</v>
      </c>
      <c r="BH36" s="1804">
        <v>0</v>
      </c>
      <c r="BI36" s="1804">
        <v>0</v>
      </c>
      <c r="BJ36" s="1804">
        <v>0</v>
      </c>
      <c r="BK36" s="1804">
        <v>0</v>
      </c>
      <c r="BL36" s="1804">
        <v>0</v>
      </c>
      <c r="BM36" s="1804">
        <v>0</v>
      </c>
      <c r="BN36" s="1804">
        <v>0</v>
      </c>
      <c r="BO36" s="1804">
        <v>0</v>
      </c>
      <c r="BP36" s="1804">
        <v>0</v>
      </c>
      <c r="BQ36" s="1804">
        <v>0</v>
      </c>
      <c r="BR36" s="1804">
        <v>0</v>
      </c>
      <c r="BS36" s="1804">
        <v>0</v>
      </c>
      <c r="BT36" s="1804">
        <v>0</v>
      </c>
      <c r="BU36" s="1804">
        <v>0</v>
      </c>
      <c r="BV36" s="1804">
        <v>0</v>
      </c>
      <c r="BW36" s="1804">
        <v>0</v>
      </c>
      <c r="BX36" s="1804">
        <v>0</v>
      </c>
      <c r="BY36" s="1804">
        <v>0</v>
      </c>
      <c r="BZ36" s="1804">
        <v>0</v>
      </c>
      <c r="CA36" s="1804">
        <v>0</v>
      </c>
      <c r="CB36" s="1804">
        <v>0</v>
      </c>
      <c r="CC36" s="1804">
        <v>0</v>
      </c>
      <c r="CD36" s="1804">
        <v>0</v>
      </c>
      <c r="CE36" s="1804">
        <v>0</v>
      </c>
      <c r="CF36" s="1804">
        <v>0</v>
      </c>
      <c r="CG36" s="1804">
        <v>0</v>
      </c>
      <c r="CH36" s="1804">
        <v>0</v>
      </c>
      <c r="CI36" s="1804">
        <v>0</v>
      </c>
      <c r="CJ36" s="1804">
        <v>0</v>
      </c>
      <c r="CK36" s="1804">
        <v>0</v>
      </c>
      <c r="CL36" s="1804">
        <v>0</v>
      </c>
      <c r="CM36" s="1804">
        <v>0</v>
      </c>
      <c r="CN36" s="1804">
        <v>0</v>
      </c>
      <c r="CO36" s="1804">
        <v>0</v>
      </c>
      <c r="CP36" s="1804">
        <v>0</v>
      </c>
      <c r="CQ36" s="1804">
        <v>0</v>
      </c>
      <c r="CR36" s="1804">
        <v>0</v>
      </c>
      <c r="CS36" s="1804">
        <v>0</v>
      </c>
      <c r="CT36" s="1804">
        <v>0</v>
      </c>
      <c r="CU36" s="1804">
        <v>0</v>
      </c>
      <c r="CV36" s="1804">
        <v>0</v>
      </c>
      <c r="CW36" s="1804">
        <v>0</v>
      </c>
      <c r="CX36" s="1804">
        <v>0</v>
      </c>
      <c r="CY36" s="1804">
        <v>0</v>
      </c>
      <c r="CZ36" s="1804">
        <v>0</v>
      </c>
      <c r="DA36" s="1804">
        <v>0</v>
      </c>
      <c r="DB36" s="1804">
        <v>0</v>
      </c>
      <c r="DC36" s="1804">
        <v>0</v>
      </c>
      <c r="DD36" s="1804">
        <v>0</v>
      </c>
      <c r="DE36" s="1804">
        <v>0</v>
      </c>
      <c r="DF36" s="1804">
        <v>0</v>
      </c>
      <c r="DG36" s="1804">
        <v>0</v>
      </c>
      <c r="DH36" s="1804">
        <v>0</v>
      </c>
      <c r="DI36" s="1804">
        <v>0</v>
      </c>
      <c r="DJ36" s="1804">
        <v>0</v>
      </c>
      <c r="DK36" s="1804">
        <v>0</v>
      </c>
      <c r="DL36" s="1804">
        <v>0</v>
      </c>
      <c r="DM36" s="1804">
        <v>0</v>
      </c>
      <c r="DN36" s="1804">
        <v>0</v>
      </c>
      <c r="DO36" s="1804">
        <v>0</v>
      </c>
      <c r="DP36" s="1804">
        <v>0</v>
      </c>
      <c r="DQ36" s="1804">
        <v>0</v>
      </c>
      <c r="DR36" s="1804">
        <v>0</v>
      </c>
      <c r="DS36" s="1804">
        <v>0</v>
      </c>
      <c r="DT36" s="1804">
        <v>0</v>
      </c>
      <c r="DU36" s="1804">
        <v>0</v>
      </c>
      <c r="DV36" s="1804">
        <v>0</v>
      </c>
      <c r="DW36" s="1804">
        <v>0</v>
      </c>
      <c r="DX36" s="1804">
        <v>0</v>
      </c>
      <c r="DY36" s="1804">
        <v>0</v>
      </c>
      <c r="DZ36" s="1804">
        <v>0</v>
      </c>
      <c r="EA36" s="1804">
        <v>0</v>
      </c>
      <c r="EB36" s="1804">
        <v>0</v>
      </c>
      <c r="EC36" s="1804">
        <v>0</v>
      </c>
      <c r="ED36" s="1804">
        <v>0</v>
      </c>
      <c r="EE36" s="1804">
        <v>0</v>
      </c>
      <c r="EF36" s="1804">
        <v>0</v>
      </c>
      <c r="EG36" s="1804">
        <v>0</v>
      </c>
      <c r="EH36" s="1804">
        <v>0</v>
      </c>
      <c r="EI36" s="1804">
        <v>0</v>
      </c>
      <c r="EJ36" s="1804">
        <v>0</v>
      </c>
      <c r="EK36" s="1804">
        <v>0</v>
      </c>
      <c r="EL36" s="1804">
        <v>0</v>
      </c>
      <c r="EM36" s="1804">
        <v>0</v>
      </c>
      <c r="EN36" s="1804">
        <v>0</v>
      </c>
      <c r="EO36" s="1804">
        <v>0</v>
      </c>
      <c r="EP36" s="1804">
        <v>0</v>
      </c>
      <c r="EQ36" s="1804">
        <v>0</v>
      </c>
      <c r="ER36" s="1804">
        <v>0</v>
      </c>
      <c r="ES36" s="1804">
        <v>0</v>
      </c>
      <c r="ET36" s="1804">
        <v>0</v>
      </c>
      <c r="EU36" s="1804">
        <v>0</v>
      </c>
      <c r="EV36" s="1804">
        <v>0</v>
      </c>
      <c r="EW36" s="1804">
        <v>0</v>
      </c>
      <c r="EX36" s="1804">
        <v>0</v>
      </c>
      <c r="EY36" s="1804">
        <v>0</v>
      </c>
      <c r="EZ36" s="1804">
        <v>0</v>
      </c>
      <c r="FA36" s="1804">
        <v>0</v>
      </c>
      <c r="FB36" s="1804">
        <v>0</v>
      </c>
      <c r="FC36" s="1804">
        <v>0</v>
      </c>
      <c r="FD36" s="1804">
        <v>0</v>
      </c>
      <c r="FE36" s="1804">
        <v>0</v>
      </c>
      <c r="FF36" s="1804">
        <v>0</v>
      </c>
      <c r="FG36" s="1804">
        <v>0</v>
      </c>
      <c r="FH36" s="1804">
        <v>0</v>
      </c>
      <c r="FI36" s="1804">
        <v>0</v>
      </c>
      <c r="FJ36" s="1804">
        <v>0</v>
      </c>
      <c r="FK36" s="1804">
        <v>0</v>
      </c>
      <c r="FL36" s="1804">
        <v>0</v>
      </c>
      <c r="FM36" s="1804">
        <v>0</v>
      </c>
      <c r="FN36" s="1804">
        <v>0</v>
      </c>
      <c r="FO36" s="1804">
        <v>0</v>
      </c>
      <c r="FP36" s="1804">
        <v>0</v>
      </c>
      <c r="FQ36" s="1804">
        <v>0</v>
      </c>
      <c r="FR36" s="1804">
        <v>0</v>
      </c>
      <c r="FS36" s="1804">
        <v>0</v>
      </c>
      <c r="FT36" s="1804">
        <v>0</v>
      </c>
      <c r="FU36" s="1804">
        <v>0</v>
      </c>
      <c r="FV36" s="1804">
        <v>0</v>
      </c>
      <c r="FW36" s="1804">
        <v>0</v>
      </c>
      <c r="FX36" s="1804">
        <v>0</v>
      </c>
      <c r="FY36" s="1804">
        <v>0</v>
      </c>
      <c r="FZ36" s="1804">
        <v>0</v>
      </c>
      <c r="GA36" s="1804">
        <v>0</v>
      </c>
      <c r="GB36" s="1804">
        <v>0</v>
      </c>
      <c r="GC36" s="1804">
        <v>0</v>
      </c>
      <c r="GD36" s="1804">
        <v>0</v>
      </c>
      <c r="GE36" s="1804">
        <v>0</v>
      </c>
      <c r="GF36" s="1804">
        <v>0</v>
      </c>
      <c r="GG36" s="1804">
        <v>0</v>
      </c>
      <c r="GH36" s="1804">
        <v>0</v>
      </c>
      <c r="GI36" s="1804">
        <v>0</v>
      </c>
      <c r="GJ36" s="1804">
        <v>0</v>
      </c>
      <c r="GK36" s="1804">
        <v>0</v>
      </c>
      <c r="GL36" s="1804">
        <v>0</v>
      </c>
      <c r="GM36" s="1804">
        <v>0</v>
      </c>
      <c r="GN36" s="1804">
        <v>0</v>
      </c>
      <c r="GO36" s="1804">
        <v>0</v>
      </c>
      <c r="GP36" s="1804">
        <v>0</v>
      </c>
      <c r="GQ36" s="1804">
        <v>0</v>
      </c>
      <c r="GR36" s="1804">
        <v>0</v>
      </c>
      <c r="GS36" s="1804">
        <v>0</v>
      </c>
      <c r="GT36" s="1804">
        <v>0</v>
      </c>
      <c r="GU36" s="1804">
        <v>0</v>
      </c>
      <c r="GV36" s="1804">
        <v>0</v>
      </c>
      <c r="GW36" s="1804">
        <v>0</v>
      </c>
      <c r="GX36" s="1804">
        <v>0</v>
      </c>
      <c r="GY36" s="1804">
        <v>0</v>
      </c>
      <c r="GZ36" s="1804">
        <v>0</v>
      </c>
      <c r="HA36" s="1804">
        <v>0</v>
      </c>
      <c r="HB36" s="1804">
        <v>0</v>
      </c>
      <c r="HC36" s="1804">
        <v>0</v>
      </c>
      <c r="HD36" s="1804">
        <v>0</v>
      </c>
      <c r="HE36" s="1804">
        <v>0</v>
      </c>
    </row>
    <row r="37" spans="1:1291" ht="30" customHeight="1" thickBot="1" x14ac:dyDescent="0.25">
      <c r="A37" s="1692" t="s">
        <v>2329</v>
      </c>
      <c r="B37" s="1786" t="s">
        <v>344</v>
      </c>
      <c r="C37" s="1693" t="s">
        <v>943</v>
      </c>
      <c r="D37" s="1883"/>
      <c r="E37" s="1843"/>
      <c r="F37" s="1836">
        <v>0</v>
      </c>
      <c r="G37" s="1802">
        <v>0</v>
      </c>
      <c r="H37" s="1802">
        <v>0</v>
      </c>
      <c r="I37" s="1802">
        <v>0</v>
      </c>
      <c r="J37" s="1802">
        <v>0</v>
      </c>
      <c r="K37" s="1802">
        <v>0</v>
      </c>
      <c r="L37" s="1802">
        <v>0</v>
      </c>
      <c r="M37" s="1802">
        <v>0</v>
      </c>
      <c r="N37" s="1802">
        <v>0</v>
      </c>
      <c r="O37" s="1802">
        <v>0</v>
      </c>
      <c r="P37" s="1802">
        <v>0</v>
      </c>
      <c r="Q37" s="1802">
        <v>0</v>
      </c>
      <c r="R37" s="1802">
        <v>0</v>
      </c>
      <c r="S37" s="1802">
        <v>0</v>
      </c>
      <c r="T37" s="1802">
        <v>0</v>
      </c>
      <c r="U37" s="1802">
        <v>0</v>
      </c>
      <c r="V37" s="1802">
        <v>0</v>
      </c>
      <c r="W37" s="1802">
        <v>0</v>
      </c>
      <c r="X37" s="1802">
        <v>0</v>
      </c>
      <c r="Y37" s="1802">
        <v>0</v>
      </c>
      <c r="Z37" s="1802">
        <v>0</v>
      </c>
      <c r="AA37" s="1802">
        <v>0</v>
      </c>
      <c r="AB37" s="1802">
        <v>0</v>
      </c>
      <c r="AC37" s="1802">
        <v>0</v>
      </c>
      <c r="AD37" s="1802">
        <v>0</v>
      </c>
      <c r="AE37" s="1802">
        <v>0</v>
      </c>
      <c r="AF37" s="1802">
        <v>0</v>
      </c>
      <c r="AG37" s="1802">
        <v>0</v>
      </c>
      <c r="AH37" s="1802">
        <v>0</v>
      </c>
      <c r="AI37" s="1802">
        <v>0</v>
      </c>
      <c r="AJ37" s="1802">
        <v>0</v>
      </c>
      <c r="AK37" s="1802">
        <v>0</v>
      </c>
      <c r="AL37" s="1802">
        <v>0</v>
      </c>
      <c r="AM37" s="1802">
        <v>0</v>
      </c>
      <c r="AN37" s="1802">
        <v>0</v>
      </c>
      <c r="AO37" s="1802">
        <v>0</v>
      </c>
      <c r="AP37" s="1802">
        <v>0</v>
      </c>
      <c r="AQ37" s="1802">
        <v>0</v>
      </c>
      <c r="AR37" s="1802">
        <v>0</v>
      </c>
      <c r="AS37" s="1802">
        <v>0</v>
      </c>
      <c r="AT37" s="1802">
        <v>0</v>
      </c>
      <c r="AU37" s="1802">
        <v>0</v>
      </c>
      <c r="AV37" s="1802">
        <v>0</v>
      </c>
      <c r="AW37" s="1802">
        <v>0</v>
      </c>
      <c r="AX37" s="1802">
        <v>0</v>
      </c>
      <c r="AY37" s="1802">
        <v>0</v>
      </c>
      <c r="AZ37" s="1802">
        <v>0</v>
      </c>
      <c r="BA37" s="1802">
        <v>0</v>
      </c>
      <c r="BB37" s="1802">
        <v>0</v>
      </c>
      <c r="BC37" s="1802">
        <v>0</v>
      </c>
      <c r="BD37" s="1802">
        <v>0</v>
      </c>
      <c r="BE37" s="1802">
        <v>0</v>
      </c>
      <c r="BF37" s="1802">
        <v>0</v>
      </c>
      <c r="BG37" s="1802">
        <v>0</v>
      </c>
      <c r="BH37" s="1802">
        <v>0</v>
      </c>
      <c r="BI37" s="1802">
        <v>0</v>
      </c>
      <c r="BJ37" s="1802">
        <v>0</v>
      </c>
      <c r="BK37" s="1802">
        <v>0</v>
      </c>
      <c r="BL37" s="1802">
        <v>0</v>
      </c>
      <c r="BM37" s="1802">
        <v>0</v>
      </c>
      <c r="BN37" s="1802">
        <v>0</v>
      </c>
      <c r="BO37" s="1802">
        <v>0</v>
      </c>
      <c r="BP37" s="1802">
        <v>0</v>
      </c>
      <c r="BQ37" s="1802">
        <v>0</v>
      </c>
      <c r="BR37" s="1802">
        <v>0</v>
      </c>
      <c r="BS37" s="1802">
        <v>0</v>
      </c>
      <c r="BT37" s="1802">
        <v>0</v>
      </c>
      <c r="BU37" s="1802">
        <v>0</v>
      </c>
      <c r="BV37" s="1802">
        <v>0</v>
      </c>
      <c r="BW37" s="1802">
        <v>0</v>
      </c>
      <c r="BX37" s="1802">
        <v>0</v>
      </c>
      <c r="BY37" s="1802">
        <v>0</v>
      </c>
      <c r="BZ37" s="1802">
        <v>0</v>
      </c>
      <c r="CA37" s="1802">
        <v>0</v>
      </c>
      <c r="CB37" s="1802">
        <v>0</v>
      </c>
      <c r="CC37" s="1802">
        <v>0</v>
      </c>
      <c r="CD37" s="1802">
        <v>0</v>
      </c>
      <c r="CE37" s="1802">
        <v>0</v>
      </c>
      <c r="CF37" s="1802">
        <v>0</v>
      </c>
      <c r="CG37" s="1802">
        <v>0</v>
      </c>
      <c r="CH37" s="1802">
        <v>0</v>
      </c>
      <c r="CI37" s="1802">
        <v>0</v>
      </c>
      <c r="CJ37" s="1802">
        <v>0</v>
      </c>
      <c r="CK37" s="1802">
        <v>0</v>
      </c>
      <c r="CL37" s="1802">
        <v>0</v>
      </c>
      <c r="CM37" s="1802">
        <v>0</v>
      </c>
      <c r="CN37" s="1802">
        <v>0</v>
      </c>
      <c r="CO37" s="1802">
        <v>0</v>
      </c>
      <c r="CP37" s="1802">
        <v>0</v>
      </c>
      <c r="CQ37" s="1802">
        <v>0</v>
      </c>
      <c r="CR37" s="1802">
        <v>0</v>
      </c>
      <c r="CS37" s="1802">
        <v>0</v>
      </c>
      <c r="CT37" s="1802">
        <v>0</v>
      </c>
      <c r="CU37" s="1802">
        <v>0</v>
      </c>
      <c r="CV37" s="1802">
        <v>0</v>
      </c>
      <c r="CW37" s="1802">
        <v>0</v>
      </c>
      <c r="CX37" s="1802">
        <v>0</v>
      </c>
      <c r="CY37" s="1802">
        <v>0</v>
      </c>
      <c r="CZ37" s="1802">
        <v>0</v>
      </c>
      <c r="DA37" s="1802">
        <v>0</v>
      </c>
      <c r="DB37" s="1802">
        <v>0</v>
      </c>
      <c r="DC37" s="1802">
        <v>0</v>
      </c>
      <c r="DD37" s="1802">
        <v>0</v>
      </c>
      <c r="DE37" s="1802">
        <v>0</v>
      </c>
      <c r="DF37" s="1802">
        <v>0</v>
      </c>
      <c r="DG37" s="1802">
        <v>0</v>
      </c>
      <c r="DH37" s="1802">
        <v>0</v>
      </c>
      <c r="DI37" s="1802">
        <v>0</v>
      </c>
      <c r="DJ37" s="1802">
        <v>0</v>
      </c>
      <c r="DK37" s="1802">
        <v>0</v>
      </c>
      <c r="DL37" s="1802">
        <v>0</v>
      </c>
      <c r="DM37" s="1802">
        <v>0</v>
      </c>
      <c r="DN37" s="1802">
        <v>0</v>
      </c>
      <c r="DO37" s="1802">
        <v>0</v>
      </c>
      <c r="DP37" s="1802">
        <v>0</v>
      </c>
      <c r="DQ37" s="1802">
        <v>0</v>
      </c>
      <c r="DR37" s="1802">
        <v>0</v>
      </c>
      <c r="DS37" s="1802">
        <v>0</v>
      </c>
      <c r="DT37" s="1802">
        <v>0</v>
      </c>
      <c r="DU37" s="1802">
        <v>0</v>
      </c>
      <c r="DV37" s="1802">
        <v>0</v>
      </c>
      <c r="DW37" s="1802">
        <v>0</v>
      </c>
      <c r="DX37" s="1802">
        <v>0</v>
      </c>
      <c r="DY37" s="1802">
        <v>0</v>
      </c>
      <c r="DZ37" s="1802">
        <v>0</v>
      </c>
      <c r="EA37" s="1802">
        <v>0</v>
      </c>
      <c r="EB37" s="1802">
        <v>0</v>
      </c>
      <c r="EC37" s="1802">
        <v>0</v>
      </c>
      <c r="ED37" s="1802">
        <v>0</v>
      </c>
      <c r="EE37" s="1802">
        <v>0</v>
      </c>
      <c r="EF37" s="1802">
        <v>0</v>
      </c>
      <c r="EG37" s="1802">
        <v>0</v>
      </c>
      <c r="EH37" s="1802">
        <v>0</v>
      </c>
      <c r="EI37" s="1802">
        <v>0</v>
      </c>
      <c r="EJ37" s="1802">
        <v>0</v>
      </c>
      <c r="EK37" s="1802">
        <v>0</v>
      </c>
      <c r="EL37" s="1802">
        <v>0</v>
      </c>
      <c r="EM37" s="1802">
        <v>0</v>
      </c>
      <c r="EN37" s="1802">
        <v>0</v>
      </c>
      <c r="EO37" s="1802">
        <v>0</v>
      </c>
      <c r="EP37" s="1802">
        <v>0</v>
      </c>
      <c r="EQ37" s="1802">
        <v>0</v>
      </c>
      <c r="ER37" s="1802">
        <v>0</v>
      </c>
      <c r="ES37" s="1802">
        <v>0</v>
      </c>
      <c r="ET37" s="1802">
        <v>0</v>
      </c>
      <c r="EU37" s="1802">
        <v>0</v>
      </c>
      <c r="EV37" s="1802">
        <v>0</v>
      </c>
      <c r="EW37" s="1802">
        <v>0</v>
      </c>
      <c r="EX37" s="1802">
        <v>0</v>
      </c>
      <c r="EY37" s="1802">
        <v>0</v>
      </c>
      <c r="EZ37" s="1802">
        <v>0</v>
      </c>
      <c r="FA37" s="1802">
        <v>0</v>
      </c>
      <c r="FB37" s="1802">
        <v>0</v>
      </c>
      <c r="FC37" s="1802">
        <v>0</v>
      </c>
      <c r="FD37" s="1802">
        <v>0</v>
      </c>
      <c r="FE37" s="1802">
        <v>0</v>
      </c>
      <c r="FF37" s="1802">
        <v>0</v>
      </c>
      <c r="FG37" s="1802">
        <v>0</v>
      </c>
      <c r="FH37" s="1802">
        <v>0</v>
      </c>
      <c r="FI37" s="1802">
        <v>0</v>
      </c>
      <c r="FJ37" s="1802">
        <v>0</v>
      </c>
      <c r="FK37" s="1802">
        <v>0</v>
      </c>
      <c r="FL37" s="1802">
        <v>0</v>
      </c>
      <c r="FM37" s="1802">
        <v>0</v>
      </c>
      <c r="FN37" s="1802">
        <v>0</v>
      </c>
      <c r="FO37" s="1802">
        <v>0</v>
      </c>
      <c r="FP37" s="1802">
        <v>0</v>
      </c>
      <c r="FQ37" s="1802">
        <v>0</v>
      </c>
      <c r="FR37" s="1802">
        <v>0</v>
      </c>
      <c r="FS37" s="1802">
        <v>0</v>
      </c>
      <c r="FT37" s="1802">
        <v>0</v>
      </c>
      <c r="FU37" s="1802">
        <v>0</v>
      </c>
      <c r="FV37" s="1802">
        <v>0</v>
      </c>
      <c r="FW37" s="1802">
        <v>0</v>
      </c>
      <c r="FX37" s="1802">
        <v>0</v>
      </c>
      <c r="FY37" s="1802">
        <v>0</v>
      </c>
      <c r="FZ37" s="1802">
        <v>0</v>
      </c>
      <c r="GA37" s="1802">
        <v>0</v>
      </c>
      <c r="GB37" s="1802">
        <v>0</v>
      </c>
      <c r="GC37" s="1802">
        <v>0</v>
      </c>
      <c r="GD37" s="1802">
        <v>0</v>
      </c>
      <c r="GE37" s="1802">
        <v>0</v>
      </c>
      <c r="GF37" s="1802">
        <v>0</v>
      </c>
      <c r="GG37" s="1802">
        <v>0</v>
      </c>
      <c r="GH37" s="1802">
        <v>0</v>
      </c>
      <c r="GI37" s="1802">
        <v>0</v>
      </c>
      <c r="GJ37" s="1802">
        <v>0</v>
      </c>
      <c r="GK37" s="1802">
        <v>0</v>
      </c>
      <c r="GL37" s="1802">
        <v>0</v>
      </c>
      <c r="GM37" s="1802">
        <v>0</v>
      </c>
      <c r="GN37" s="1802">
        <v>0</v>
      </c>
      <c r="GO37" s="1802">
        <v>0</v>
      </c>
      <c r="GP37" s="1802">
        <v>0</v>
      </c>
      <c r="GQ37" s="1802">
        <v>0</v>
      </c>
      <c r="GR37" s="1802">
        <v>0</v>
      </c>
      <c r="GS37" s="1802">
        <v>0</v>
      </c>
      <c r="GT37" s="1802">
        <v>0</v>
      </c>
      <c r="GU37" s="1802">
        <v>0</v>
      </c>
      <c r="GV37" s="1802">
        <v>0</v>
      </c>
      <c r="GW37" s="1802">
        <v>0</v>
      </c>
      <c r="GX37" s="1802">
        <v>0</v>
      </c>
      <c r="GY37" s="1802">
        <v>0</v>
      </c>
      <c r="GZ37" s="1802">
        <v>0</v>
      </c>
      <c r="HA37" s="1802">
        <v>0</v>
      </c>
      <c r="HB37" s="1802">
        <v>0</v>
      </c>
      <c r="HC37" s="1802">
        <v>0</v>
      </c>
      <c r="HD37" s="1802">
        <v>0</v>
      </c>
      <c r="HE37" s="1802">
        <v>0</v>
      </c>
    </row>
    <row r="38" spans="1:1291" s="1870" customFormat="1" ht="30" customHeight="1" thickBot="1" x14ac:dyDescent="0.25">
      <c r="A38" s="1694" t="s">
        <v>2330</v>
      </c>
      <c r="B38" s="1786" t="s">
        <v>345</v>
      </c>
      <c r="C38" s="1691" t="s">
        <v>832</v>
      </c>
      <c r="D38" s="1881"/>
      <c r="E38" s="1843"/>
      <c r="F38" s="1836">
        <v>0</v>
      </c>
      <c r="G38" s="1802">
        <v>0</v>
      </c>
      <c r="H38" s="1802">
        <v>0</v>
      </c>
      <c r="I38" s="1802">
        <v>0</v>
      </c>
      <c r="J38" s="1802">
        <v>0</v>
      </c>
      <c r="K38" s="1802">
        <v>0</v>
      </c>
      <c r="L38" s="1802">
        <v>0</v>
      </c>
      <c r="M38" s="1802">
        <v>0</v>
      </c>
      <c r="N38" s="1802">
        <v>0</v>
      </c>
      <c r="O38" s="1802">
        <v>0</v>
      </c>
      <c r="P38" s="1802">
        <v>0</v>
      </c>
      <c r="Q38" s="1802">
        <v>0</v>
      </c>
      <c r="R38" s="1802">
        <v>0</v>
      </c>
      <c r="S38" s="1802">
        <v>0</v>
      </c>
      <c r="T38" s="1802">
        <v>0</v>
      </c>
      <c r="U38" s="1802">
        <v>0</v>
      </c>
      <c r="V38" s="1802">
        <v>0</v>
      </c>
      <c r="W38" s="1802">
        <v>0</v>
      </c>
      <c r="X38" s="1802">
        <v>0</v>
      </c>
      <c r="Y38" s="1802">
        <v>0</v>
      </c>
      <c r="Z38" s="1802">
        <v>0</v>
      </c>
      <c r="AA38" s="1802">
        <v>0</v>
      </c>
      <c r="AB38" s="1802">
        <v>0</v>
      </c>
      <c r="AC38" s="1802">
        <v>0</v>
      </c>
      <c r="AD38" s="1802">
        <v>0</v>
      </c>
      <c r="AE38" s="1802">
        <v>0</v>
      </c>
      <c r="AF38" s="1802">
        <v>0</v>
      </c>
      <c r="AG38" s="1802">
        <v>0</v>
      </c>
      <c r="AH38" s="1802">
        <v>0</v>
      </c>
      <c r="AI38" s="1802">
        <v>0</v>
      </c>
      <c r="AJ38" s="1802">
        <v>0</v>
      </c>
      <c r="AK38" s="1802">
        <v>0</v>
      </c>
      <c r="AL38" s="1802">
        <v>0</v>
      </c>
      <c r="AM38" s="1802">
        <v>0</v>
      </c>
      <c r="AN38" s="1802">
        <v>0</v>
      </c>
      <c r="AO38" s="1802">
        <v>0</v>
      </c>
      <c r="AP38" s="1802">
        <v>0</v>
      </c>
      <c r="AQ38" s="1802">
        <v>0</v>
      </c>
      <c r="AR38" s="1802">
        <v>0</v>
      </c>
      <c r="AS38" s="1802">
        <v>0</v>
      </c>
      <c r="AT38" s="1802">
        <v>0</v>
      </c>
      <c r="AU38" s="1802">
        <v>0</v>
      </c>
      <c r="AV38" s="1802">
        <v>0</v>
      </c>
      <c r="AW38" s="1802">
        <v>0</v>
      </c>
      <c r="AX38" s="1802">
        <v>0</v>
      </c>
      <c r="AY38" s="1802">
        <v>0</v>
      </c>
      <c r="AZ38" s="1802">
        <v>0</v>
      </c>
      <c r="BA38" s="1802">
        <v>0</v>
      </c>
      <c r="BB38" s="1802">
        <v>0</v>
      </c>
      <c r="BC38" s="1802">
        <v>0</v>
      </c>
      <c r="BD38" s="1802">
        <v>0</v>
      </c>
      <c r="BE38" s="1802">
        <v>0</v>
      </c>
      <c r="BF38" s="1802">
        <v>0</v>
      </c>
      <c r="BG38" s="1802">
        <v>0</v>
      </c>
      <c r="BH38" s="1802">
        <v>0</v>
      </c>
      <c r="BI38" s="1802">
        <v>0</v>
      </c>
      <c r="BJ38" s="1802">
        <v>0</v>
      </c>
      <c r="BK38" s="1802">
        <v>0</v>
      </c>
      <c r="BL38" s="1802">
        <v>0</v>
      </c>
      <c r="BM38" s="1802">
        <v>0</v>
      </c>
      <c r="BN38" s="1802">
        <v>0</v>
      </c>
      <c r="BO38" s="1802">
        <v>0</v>
      </c>
      <c r="BP38" s="1802">
        <v>0</v>
      </c>
      <c r="BQ38" s="1802">
        <v>0</v>
      </c>
      <c r="BR38" s="1802">
        <v>0</v>
      </c>
      <c r="BS38" s="1802">
        <v>0</v>
      </c>
      <c r="BT38" s="1802">
        <v>0</v>
      </c>
      <c r="BU38" s="1802">
        <v>0</v>
      </c>
      <c r="BV38" s="1802">
        <v>0</v>
      </c>
      <c r="BW38" s="1802">
        <v>0</v>
      </c>
      <c r="BX38" s="1802">
        <v>0</v>
      </c>
      <c r="BY38" s="1802">
        <v>0</v>
      </c>
      <c r="BZ38" s="1802">
        <v>0</v>
      </c>
      <c r="CA38" s="1802">
        <v>0</v>
      </c>
      <c r="CB38" s="1802">
        <v>0</v>
      </c>
      <c r="CC38" s="1802">
        <v>0</v>
      </c>
      <c r="CD38" s="1802">
        <v>0</v>
      </c>
      <c r="CE38" s="1802">
        <v>0</v>
      </c>
      <c r="CF38" s="1802">
        <v>0</v>
      </c>
      <c r="CG38" s="1802">
        <v>0</v>
      </c>
      <c r="CH38" s="1802">
        <v>0</v>
      </c>
      <c r="CI38" s="1802">
        <v>0</v>
      </c>
      <c r="CJ38" s="1802">
        <v>0</v>
      </c>
      <c r="CK38" s="1802">
        <v>0</v>
      </c>
      <c r="CL38" s="1802">
        <v>0</v>
      </c>
      <c r="CM38" s="1802">
        <v>0</v>
      </c>
      <c r="CN38" s="1802">
        <v>0</v>
      </c>
      <c r="CO38" s="1802">
        <v>0</v>
      </c>
      <c r="CP38" s="1802">
        <v>0</v>
      </c>
      <c r="CQ38" s="1802">
        <v>0</v>
      </c>
      <c r="CR38" s="1802">
        <v>0</v>
      </c>
      <c r="CS38" s="1802">
        <v>0</v>
      </c>
      <c r="CT38" s="1802">
        <v>0</v>
      </c>
      <c r="CU38" s="1802">
        <v>0</v>
      </c>
      <c r="CV38" s="1802">
        <v>0</v>
      </c>
      <c r="CW38" s="1802">
        <v>0</v>
      </c>
      <c r="CX38" s="1802">
        <v>0</v>
      </c>
      <c r="CY38" s="1802">
        <v>0</v>
      </c>
      <c r="CZ38" s="1802">
        <v>0</v>
      </c>
      <c r="DA38" s="1802">
        <v>0</v>
      </c>
      <c r="DB38" s="1802">
        <v>0</v>
      </c>
      <c r="DC38" s="1802">
        <v>0</v>
      </c>
      <c r="DD38" s="1802">
        <v>0</v>
      </c>
      <c r="DE38" s="1802">
        <v>0</v>
      </c>
      <c r="DF38" s="1802">
        <v>0</v>
      </c>
      <c r="DG38" s="1802">
        <v>0</v>
      </c>
      <c r="DH38" s="1802">
        <v>0</v>
      </c>
      <c r="DI38" s="1802">
        <v>0</v>
      </c>
      <c r="DJ38" s="1802">
        <v>0</v>
      </c>
      <c r="DK38" s="1802">
        <v>0</v>
      </c>
      <c r="DL38" s="1802">
        <v>0</v>
      </c>
      <c r="DM38" s="1802">
        <v>0</v>
      </c>
      <c r="DN38" s="1802">
        <v>0</v>
      </c>
      <c r="DO38" s="1802">
        <v>0</v>
      </c>
      <c r="DP38" s="1802">
        <v>0</v>
      </c>
      <c r="DQ38" s="1802">
        <v>0</v>
      </c>
      <c r="DR38" s="1802">
        <v>0</v>
      </c>
      <c r="DS38" s="1802">
        <v>0</v>
      </c>
      <c r="DT38" s="1802">
        <v>0</v>
      </c>
      <c r="DU38" s="1802">
        <v>0</v>
      </c>
      <c r="DV38" s="1802">
        <v>0</v>
      </c>
      <c r="DW38" s="1802">
        <v>0</v>
      </c>
      <c r="DX38" s="1802">
        <v>0</v>
      </c>
      <c r="DY38" s="1802">
        <v>0</v>
      </c>
      <c r="DZ38" s="1802">
        <v>0</v>
      </c>
      <c r="EA38" s="1802">
        <v>0</v>
      </c>
      <c r="EB38" s="1802">
        <v>0</v>
      </c>
      <c r="EC38" s="1802">
        <v>0</v>
      </c>
      <c r="ED38" s="1802">
        <v>0</v>
      </c>
      <c r="EE38" s="1802">
        <v>0</v>
      </c>
      <c r="EF38" s="1802">
        <v>0</v>
      </c>
      <c r="EG38" s="1802">
        <v>0</v>
      </c>
      <c r="EH38" s="1802">
        <v>0</v>
      </c>
      <c r="EI38" s="1802">
        <v>0</v>
      </c>
      <c r="EJ38" s="1802">
        <v>0</v>
      </c>
      <c r="EK38" s="1802">
        <v>0</v>
      </c>
      <c r="EL38" s="1802">
        <v>0</v>
      </c>
      <c r="EM38" s="1802">
        <v>0</v>
      </c>
      <c r="EN38" s="1802">
        <v>0</v>
      </c>
      <c r="EO38" s="1802">
        <v>0</v>
      </c>
      <c r="EP38" s="1802">
        <v>0</v>
      </c>
      <c r="EQ38" s="1802">
        <v>0</v>
      </c>
      <c r="ER38" s="1802">
        <v>0</v>
      </c>
      <c r="ES38" s="1802">
        <v>0</v>
      </c>
      <c r="ET38" s="1802">
        <v>0</v>
      </c>
      <c r="EU38" s="1802">
        <v>0</v>
      </c>
      <c r="EV38" s="1802">
        <v>0</v>
      </c>
      <c r="EW38" s="1802">
        <v>0</v>
      </c>
      <c r="EX38" s="1802">
        <v>0</v>
      </c>
      <c r="EY38" s="1802">
        <v>0</v>
      </c>
      <c r="EZ38" s="1802">
        <v>0</v>
      </c>
      <c r="FA38" s="1802">
        <v>0</v>
      </c>
      <c r="FB38" s="1802">
        <v>0</v>
      </c>
      <c r="FC38" s="1802">
        <v>0</v>
      </c>
      <c r="FD38" s="1802">
        <v>0</v>
      </c>
      <c r="FE38" s="1802">
        <v>0</v>
      </c>
      <c r="FF38" s="1802">
        <v>0</v>
      </c>
      <c r="FG38" s="1802">
        <v>0</v>
      </c>
      <c r="FH38" s="1802">
        <v>0</v>
      </c>
      <c r="FI38" s="1802">
        <v>0</v>
      </c>
      <c r="FJ38" s="1802">
        <v>0</v>
      </c>
      <c r="FK38" s="1802">
        <v>0</v>
      </c>
      <c r="FL38" s="1802">
        <v>0</v>
      </c>
      <c r="FM38" s="1802">
        <v>0</v>
      </c>
      <c r="FN38" s="1802">
        <v>0</v>
      </c>
      <c r="FO38" s="1802">
        <v>0</v>
      </c>
      <c r="FP38" s="1802">
        <v>0</v>
      </c>
      <c r="FQ38" s="1802">
        <v>0</v>
      </c>
      <c r="FR38" s="1802">
        <v>0</v>
      </c>
      <c r="FS38" s="1802">
        <v>0</v>
      </c>
      <c r="FT38" s="1802">
        <v>0</v>
      </c>
      <c r="FU38" s="1802">
        <v>0</v>
      </c>
      <c r="FV38" s="1802">
        <v>0</v>
      </c>
      <c r="FW38" s="1802">
        <v>0</v>
      </c>
      <c r="FX38" s="1802">
        <v>0</v>
      </c>
      <c r="FY38" s="1802">
        <v>0</v>
      </c>
      <c r="FZ38" s="1802">
        <v>0</v>
      </c>
      <c r="GA38" s="1802">
        <v>0</v>
      </c>
      <c r="GB38" s="1802">
        <v>0</v>
      </c>
      <c r="GC38" s="1802">
        <v>0</v>
      </c>
      <c r="GD38" s="1802">
        <v>0</v>
      </c>
      <c r="GE38" s="1802">
        <v>0</v>
      </c>
      <c r="GF38" s="1802">
        <v>0</v>
      </c>
      <c r="GG38" s="1802">
        <v>0</v>
      </c>
      <c r="GH38" s="1802">
        <v>0</v>
      </c>
      <c r="GI38" s="1802">
        <v>0</v>
      </c>
      <c r="GJ38" s="1802">
        <v>0</v>
      </c>
      <c r="GK38" s="1802">
        <v>0</v>
      </c>
      <c r="GL38" s="1802">
        <v>0</v>
      </c>
      <c r="GM38" s="1802">
        <v>0</v>
      </c>
      <c r="GN38" s="1802">
        <v>0</v>
      </c>
      <c r="GO38" s="1802">
        <v>0</v>
      </c>
      <c r="GP38" s="1802">
        <v>0</v>
      </c>
      <c r="GQ38" s="1802">
        <v>0</v>
      </c>
      <c r="GR38" s="1802">
        <v>0</v>
      </c>
      <c r="GS38" s="1802">
        <v>0</v>
      </c>
      <c r="GT38" s="1802">
        <v>0</v>
      </c>
      <c r="GU38" s="1802">
        <v>0</v>
      </c>
      <c r="GV38" s="1802">
        <v>0</v>
      </c>
      <c r="GW38" s="1802">
        <v>0</v>
      </c>
      <c r="GX38" s="1802">
        <v>0</v>
      </c>
      <c r="GY38" s="1802">
        <v>0</v>
      </c>
      <c r="GZ38" s="1802">
        <v>0</v>
      </c>
      <c r="HA38" s="1802">
        <v>0</v>
      </c>
      <c r="HB38" s="1802">
        <v>0</v>
      </c>
      <c r="HC38" s="1802">
        <v>0</v>
      </c>
      <c r="HD38" s="1802">
        <v>0</v>
      </c>
      <c r="HE38" s="1802">
        <v>0</v>
      </c>
      <c r="HF38" s="1864"/>
      <c r="HG38" s="1864"/>
      <c r="HH38" s="1864"/>
      <c r="HI38" s="1864"/>
      <c r="HJ38" s="1864"/>
      <c r="HK38" s="1864"/>
      <c r="HL38" s="1864"/>
      <c r="HM38" s="1864"/>
      <c r="HN38" s="1864"/>
      <c r="HO38" s="1864"/>
      <c r="HP38" s="1864"/>
      <c r="HQ38" s="1864"/>
      <c r="HR38" s="1864"/>
      <c r="HS38" s="1864"/>
      <c r="HT38" s="1864"/>
      <c r="HU38" s="1864"/>
      <c r="HV38" s="1864"/>
      <c r="HW38" s="1864"/>
      <c r="HX38" s="1864"/>
      <c r="HY38" s="1864"/>
      <c r="HZ38" s="1864"/>
      <c r="IA38" s="1864"/>
      <c r="IB38" s="1864"/>
      <c r="IC38" s="1864"/>
      <c r="ID38" s="1864"/>
      <c r="IE38" s="1864"/>
      <c r="IF38" s="1864"/>
      <c r="IG38" s="1864"/>
      <c r="IH38" s="1864"/>
      <c r="II38" s="1864"/>
      <c r="IJ38" s="1864"/>
      <c r="IK38" s="1864"/>
      <c r="IL38" s="1864"/>
      <c r="IM38" s="1864"/>
      <c r="IN38" s="1864"/>
      <c r="IO38" s="1864"/>
      <c r="IP38" s="1864"/>
      <c r="IQ38" s="1864"/>
      <c r="IR38" s="1864"/>
      <c r="IS38" s="1864"/>
      <c r="IT38" s="1864"/>
      <c r="IU38" s="1864"/>
      <c r="IV38" s="1864"/>
      <c r="IW38" s="1864"/>
      <c r="IX38" s="1864"/>
      <c r="IY38" s="1864"/>
      <c r="IZ38" s="1864"/>
      <c r="JA38" s="1864"/>
      <c r="JB38" s="1864"/>
      <c r="JC38" s="1864"/>
      <c r="JD38" s="1864"/>
      <c r="JE38" s="1864"/>
      <c r="JF38" s="1864"/>
      <c r="JG38" s="1864"/>
      <c r="JH38" s="1864"/>
      <c r="JI38" s="1864"/>
      <c r="JJ38" s="1864"/>
      <c r="JK38" s="1864"/>
      <c r="JL38" s="1864"/>
      <c r="JM38" s="1864"/>
      <c r="JN38" s="1864"/>
      <c r="JO38" s="1864"/>
      <c r="JP38" s="1864"/>
      <c r="JQ38" s="1864"/>
      <c r="JR38" s="1864"/>
      <c r="JS38" s="1864"/>
      <c r="JT38" s="1864"/>
      <c r="JU38" s="1864"/>
      <c r="JV38" s="1864"/>
      <c r="JW38" s="1864"/>
      <c r="JX38" s="1864"/>
      <c r="JY38" s="1864"/>
      <c r="JZ38" s="1864"/>
      <c r="KA38" s="1864"/>
      <c r="KB38" s="1864"/>
      <c r="KC38" s="1864"/>
      <c r="KD38" s="1864"/>
      <c r="KE38" s="1864"/>
      <c r="KF38" s="1864"/>
      <c r="KG38" s="1864"/>
      <c r="KH38" s="1864"/>
      <c r="KI38" s="1864"/>
      <c r="KJ38" s="1864"/>
      <c r="KK38" s="1864"/>
      <c r="KL38" s="1864"/>
      <c r="KM38" s="1864"/>
      <c r="KN38" s="1864"/>
      <c r="KO38" s="1864"/>
      <c r="KP38" s="1864"/>
      <c r="KQ38" s="1864"/>
      <c r="KR38" s="1864"/>
      <c r="KS38" s="1864"/>
      <c r="KT38" s="1864"/>
      <c r="KU38" s="1864"/>
      <c r="KV38" s="1864"/>
      <c r="KW38" s="1864"/>
      <c r="KX38" s="1864"/>
      <c r="KY38" s="1864"/>
      <c r="KZ38" s="1864"/>
      <c r="LA38" s="1864"/>
      <c r="LB38" s="1864"/>
      <c r="LC38" s="1864"/>
      <c r="LD38" s="1864"/>
      <c r="LE38" s="1864"/>
      <c r="LF38" s="1864"/>
      <c r="LG38" s="1864"/>
      <c r="LH38" s="1864"/>
      <c r="LI38" s="1864"/>
      <c r="LJ38" s="1864"/>
      <c r="LK38" s="1864"/>
      <c r="LL38" s="1864"/>
      <c r="LM38" s="1864"/>
      <c r="LN38" s="1864"/>
      <c r="LO38" s="1864"/>
      <c r="LP38" s="1864"/>
      <c r="LQ38" s="1864"/>
      <c r="LR38" s="1864"/>
      <c r="LS38" s="1864"/>
      <c r="LT38" s="1864"/>
      <c r="LU38" s="1864"/>
      <c r="LV38" s="1864"/>
      <c r="LW38" s="1864"/>
      <c r="LX38" s="1864"/>
      <c r="LY38" s="1864"/>
      <c r="LZ38" s="1864"/>
      <c r="MA38" s="1864"/>
      <c r="MB38" s="1864"/>
      <c r="MC38" s="1864"/>
      <c r="MD38" s="1864"/>
      <c r="ME38" s="1864"/>
      <c r="MF38" s="1864"/>
      <c r="MG38" s="1864"/>
      <c r="MH38" s="1864"/>
      <c r="MI38" s="1864"/>
      <c r="MJ38" s="1864"/>
      <c r="MK38" s="1864"/>
      <c r="ML38" s="1864"/>
      <c r="MM38" s="1864"/>
      <c r="MN38" s="1864"/>
      <c r="MO38" s="1864"/>
      <c r="MP38" s="1864"/>
      <c r="MQ38" s="1864"/>
      <c r="MR38" s="1864"/>
      <c r="MS38" s="1864"/>
      <c r="MT38" s="1864"/>
      <c r="MU38" s="1864"/>
      <c r="MV38" s="1864"/>
      <c r="MW38" s="1864"/>
      <c r="MX38" s="1864"/>
      <c r="MY38" s="1864"/>
      <c r="MZ38" s="1864"/>
      <c r="NA38" s="1864"/>
      <c r="NB38" s="1864"/>
      <c r="NC38" s="1864"/>
      <c r="ND38" s="1864"/>
      <c r="NE38" s="1864"/>
      <c r="NF38" s="1864"/>
      <c r="NG38" s="1864"/>
      <c r="NH38" s="1864"/>
      <c r="NI38" s="1864"/>
      <c r="NJ38" s="1864"/>
      <c r="NK38" s="1864"/>
      <c r="NL38" s="1864"/>
      <c r="NM38" s="1864"/>
      <c r="NN38" s="1864"/>
      <c r="NO38" s="1864"/>
      <c r="NP38" s="1864"/>
      <c r="NQ38" s="1864"/>
      <c r="NR38" s="1864"/>
      <c r="NS38" s="1864"/>
      <c r="NT38" s="1864"/>
      <c r="NU38" s="1864"/>
      <c r="NV38" s="1864"/>
      <c r="NW38" s="1864"/>
      <c r="NX38" s="1864"/>
      <c r="NY38" s="1864"/>
      <c r="NZ38" s="1864"/>
      <c r="OA38" s="1864"/>
      <c r="OB38" s="1864"/>
      <c r="OC38" s="1864"/>
      <c r="OD38" s="1864"/>
      <c r="OE38" s="1864"/>
      <c r="OF38" s="1864"/>
      <c r="OG38" s="1864"/>
      <c r="OH38" s="1864"/>
      <c r="OI38" s="1864"/>
      <c r="OJ38" s="1864"/>
      <c r="OK38" s="1864"/>
      <c r="OL38" s="1864"/>
      <c r="OM38" s="1864"/>
      <c r="ON38" s="1864"/>
      <c r="OO38" s="1864"/>
      <c r="OP38" s="1864"/>
      <c r="OQ38" s="1864"/>
      <c r="OR38" s="1864"/>
      <c r="OS38" s="1864"/>
      <c r="OT38" s="1864"/>
      <c r="OU38" s="1864"/>
      <c r="OV38" s="1864"/>
      <c r="OW38" s="1864"/>
      <c r="OX38" s="1864"/>
      <c r="OY38" s="1864"/>
      <c r="OZ38" s="1864"/>
      <c r="PA38" s="1864"/>
      <c r="PB38" s="1864"/>
      <c r="PC38" s="1864"/>
      <c r="PD38" s="1864"/>
      <c r="PE38" s="1864"/>
      <c r="PF38" s="1864"/>
      <c r="PG38" s="1864"/>
      <c r="PH38" s="1864"/>
      <c r="PI38" s="1864"/>
      <c r="PJ38" s="1864"/>
      <c r="PK38" s="1864"/>
      <c r="PL38" s="1864"/>
      <c r="PM38" s="1864"/>
      <c r="PN38" s="1864"/>
      <c r="PO38" s="1864"/>
      <c r="PP38" s="1864"/>
      <c r="PQ38" s="1864"/>
      <c r="PR38" s="1864"/>
      <c r="PS38" s="1864"/>
      <c r="PT38" s="1864"/>
      <c r="PU38" s="1864"/>
      <c r="PV38" s="1864"/>
      <c r="PW38" s="1864"/>
      <c r="PX38" s="1864"/>
      <c r="PY38" s="1864"/>
      <c r="PZ38" s="1864"/>
      <c r="QA38" s="1864"/>
      <c r="QB38" s="1864"/>
      <c r="QC38" s="1864"/>
      <c r="QD38" s="1864"/>
      <c r="QE38" s="1864"/>
      <c r="QF38" s="1864"/>
      <c r="QG38" s="1864"/>
      <c r="QH38" s="1864"/>
      <c r="QI38" s="1864"/>
      <c r="QJ38" s="1864"/>
      <c r="QK38" s="1864"/>
      <c r="QL38" s="1864"/>
      <c r="QM38" s="1864"/>
      <c r="QN38" s="1864"/>
      <c r="QO38" s="1864"/>
      <c r="QP38" s="1864"/>
      <c r="QQ38" s="1864"/>
      <c r="QR38" s="1864"/>
      <c r="QS38" s="1864"/>
      <c r="QT38" s="1864"/>
      <c r="QU38" s="1864"/>
      <c r="QV38" s="1864"/>
      <c r="QW38" s="1864"/>
      <c r="QX38" s="1864"/>
      <c r="QY38" s="1864"/>
      <c r="QZ38" s="1864"/>
      <c r="RA38" s="1864"/>
      <c r="RB38" s="1864"/>
      <c r="RC38" s="1864"/>
      <c r="RD38" s="1864"/>
      <c r="RE38" s="1864"/>
      <c r="RF38" s="1864"/>
      <c r="RG38" s="1864"/>
      <c r="RH38" s="1864"/>
      <c r="RI38" s="1864"/>
      <c r="RJ38" s="1864"/>
      <c r="RK38" s="1864"/>
      <c r="RL38" s="1864"/>
      <c r="RM38" s="1864"/>
      <c r="RN38" s="1864"/>
      <c r="RO38" s="1864"/>
      <c r="RP38" s="1864"/>
      <c r="RQ38" s="1864"/>
      <c r="RR38" s="1864"/>
      <c r="RS38" s="1864"/>
      <c r="RT38" s="1864"/>
      <c r="RU38" s="1864"/>
      <c r="RV38" s="1864"/>
      <c r="RW38" s="1864"/>
      <c r="RX38" s="1864"/>
      <c r="RY38" s="1864"/>
      <c r="RZ38" s="1864"/>
      <c r="SA38" s="1864"/>
      <c r="SB38" s="1864"/>
      <c r="SC38" s="1864"/>
      <c r="SD38" s="1864"/>
      <c r="SE38" s="1864"/>
      <c r="SF38" s="1864"/>
      <c r="SG38" s="1864"/>
      <c r="SH38" s="1864"/>
      <c r="SI38" s="1864"/>
      <c r="SJ38" s="1864"/>
      <c r="SK38" s="1864"/>
      <c r="SL38" s="1864"/>
      <c r="SM38" s="1864"/>
      <c r="SN38" s="1864"/>
      <c r="SO38" s="1864"/>
      <c r="SP38" s="1864"/>
      <c r="SQ38" s="1864"/>
      <c r="SR38" s="1864"/>
      <c r="SS38" s="1864"/>
      <c r="ST38" s="1864"/>
      <c r="SU38" s="1864"/>
      <c r="SV38" s="1864"/>
      <c r="SW38" s="1864"/>
      <c r="SX38" s="1864"/>
      <c r="SY38" s="1864"/>
      <c r="SZ38" s="1864"/>
      <c r="TA38" s="1864"/>
      <c r="TB38" s="1864"/>
      <c r="TC38" s="1864"/>
      <c r="TD38" s="1864"/>
      <c r="TE38" s="1864"/>
      <c r="TF38" s="1864"/>
      <c r="TG38" s="1864"/>
      <c r="TH38" s="1864"/>
      <c r="TI38" s="1864"/>
      <c r="TJ38" s="1864"/>
      <c r="TK38" s="1864"/>
      <c r="TL38" s="1864"/>
      <c r="TM38" s="1864"/>
      <c r="TN38" s="1864"/>
      <c r="TO38" s="1864"/>
      <c r="TP38" s="1864"/>
      <c r="TQ38" s="1864"/>
      <c r="TR38" s="1864"/>
      <c r="TS38" s="1864"/>
      <c r="TT38" s="1864"/>
      <c r="TU38" s="1864"/>
      <c r="TV38" s="1864"/>
      <c r="TW38" s="1864"/>
      <c r="TX38" s="1864"/>
      <c r="TY38" s="1864"/>
      <c r="TZ38" s="1864"/>
      <c r="UA38" s="1864"/>
      <c r="UB38" s="1864"/>
      <c r="UC38" s="1864"/>
      <c r="UD38" s="1864"/>
      <c r="UE38" s="1864"/>
      <c r="UF38" s="1864"/>
      <c r="UG38" s="1864"/>
      <c r="UH38" s="1864"/>
      <c r="UI38" s="1864"/>
      <c r="UJ38" s="1864"/>
      <c r="UK38" s="1864"/>
      <c r="UL38" s="1864"/>
      <c r="UM38" s="1864"/>
      <c r="UN38" s="1864"/>
      <c r="UO38" s="1864"/>
      <c r="UP38" s="1864"/>
      <c r="UQ38" s="1864"/>
      <c r="UR38" s="1864"/>
      <c r="US38" s="1864"/>
      <c r="UT38" s="1864"/>
      <c r="UU38" s="1864"/>
      <c r="UV38" s="1864"/>
      <c r="UW38" s="1864"/>
      <c r="UX38" s="1864"/>
      <c r="UY38" s="1864"/>
      <c r="UZ38" s="1864"/>
      <c r="VA38" s="1864"/>
      <c r="VB38" s="1864"/>
      <c r="VC38" s="1864"/>
      <c r="VD38" s="1864"/>
      <c r="VE38" s="1864"/>
      <c r="VF38" s="1864"/>
      <c r="VG38" s="1864"/>
      <c r="VH38" s="1864"/>
      <c r="VI38" s="1864"/>
      <c r="VJ38" s="1864"/>
      <c r="VK38" s="1864"/>
      <c r="VL38" s="1864"/>
      <c r="VM38" s="1864"/>
      <c r="VN38" s="1864"/>
      <c r="VO38" s="1864"/>
      <c r="VP38" s="1864"/>
      <c r="VQ38" s="1864"/>
      <c r="VR38" s="1864"/>
      <c r="VS38" s="1864"/>
      <c r="VT38" s="1864"/>
      <c r="VU38" s="1864"/>
      <c r="VV38" s="1864"/>
      <c r="VW38" s="1864"/>
      <c r="VX38" s="1864"/>
      <c r="VY38" s="1864"/>
      <c r="VZ38" s="1864"/>
      <c r="WA38" s="1864"/>
      <c r="WB38" s="1864"/>
      <c r="WC38" s="1864"/>
      <c r="WD38" s="1864"/>
      <c r="WE38" s="1864"/>
      <c r="WF38" s="1864"/>
      <c r="WG38" s="1864"/>
      <c r="WH38" s="1864"/>
      <c r="WI38" s="1864"/>
      <c r="WJ38" s="1864"/>
      <c r="WK38" s="1864"/>
      <c r="WL38" s="1864"/>
      <c r="WM38" s="1864"/>
      <c r="WN38" s="1864"/>
      <c r="WO38" s="1864"/>
      <c r="WP38" s="1864"/>
      <c r="WQ38" s="1864"/>
      <c r="WR38" s="1864"/>
      <c r="WS38" s="1864"/>
      <c r="WT38" s="1864"/>
      <c r="WU38" s="1864"/>
      <c r="WV38" s="1864"/>
      <c r="WW38" s="1864"/>
      <c r="WX38" s="1864"/>
      <c r="WY38" s="1864"/>
      <c r="WZ38" s="1864"/>
      <c r="XA38" s="1864"/>
      <c r="XB38" s="1864"/>
      <c r="XC38" s="1864"/>
      <c r="XD38" s="1864"/>
      <c r="XE38" s="1864"/>
      <c r="XF38" s="1864"/>
      <c r="XG38" s="1864"/>
      <c r="XH38" s="1864"/>
      <c r="XI38" s="1864"/>
      <c r="XJ38" s="1864"/>
      <c r="XK38" s="1864"/>
      <c r="XL38" s="1864"/>
      <c r="XM38" s="1864"/>
      <c r="XN38" s="1864"/>
      <c r="XO38" s="1864"/>
      <c r="XP38" s="1864"/>
      <c r="XQ38" s="1864"/>
      <c r="XR38" s="1864"/>
      <c r="XS38" s="1864"/>
      <c r="XT38" s="1864"/>
      <c r="XU38" s="1864"/>
      <c r="XV38" s="1864"/>
      <c r="XW38" s="1864"/>
      <c r="XX38" s="1864"/>
      <c r="XY38" s="1864"/>
      <c r="XZ38" s="1864"/>
      <c r="YA38" s="1864"/>
      <c r="YB38" s="1864"/>
      <c r="YC38" s="1864"/>
      <c r="YD38" s="1864"/>
      <c r="YE38" s="1864"/>
      <c r="YF38" s="1864"/>
      <c r="YG38" s="1864"/>
      <c r="YH38" s="1864"/>
      <c r="YI38" s="1864"/>
      <c r="YJ38" s="1864"/>
      <c r="YK38" s="1864"/>
      <c r="YL38" s="1864"/>
      <c r="YM38" s="1864"/>
      <c r="YN38" s="1864"/>
      <c r="YO38" s="1864"/>
      <c r="YP38" s="1864"/>
      <c r="YQ38" s="1864"/>
      <c r="YR38" s="1864"/>
      <c r="YS38" s="1864"/>
      <c r="YT38" s="1864"/>
      <c r="YU38" s="1864"/>
      <c r="YV38" s="1864"/>
      <c r="YW38" s="1864"/>
      <c r="YX38" s="1864"/>
      <c r="YY38" s="1864"/>
      <c r="YZ38" s="1864"/>
      <c r="ZA38" s="1864"/>
      <c r="ZB38" s="1864"/>
      <c r="ZC38" s="1864"/>
      <c r="ZD38" s="1864"/>
      <c r="ZE38" s="1864"/>
      <c r="ZF38" s="1864"/>
      <c r="ZG38" s="1864"/>
      <c r="ZH38" s="1864"/>
      <c r="ZI38" s="1864"/>
      <c r="ZJ38" s="1864"/>
      <c r="ZK38" s="1864"/>
      <c r="ZL38" s="1864"/>
      <c r="ZM38" s="1864"/>
      <c r="ZN38" s="1864"/>
      <c r="ZO38" s="1864"/>
      <c r="ZP38" s="1864"/>
      <c r="ZQ38" s="1864"/>
      <c r="ZR38" s="1864"/>
      <c r="ZS38" s="1864"/>
      <c r="ZT38" s="1864"/>
      <c r="ZU38" s="1864"/>
      <c r="ZV38" s="1864"/>
      <c r="ZW38" s="1864"/>
      <c r="ZX38" s="1864"/>
      <c r="ZY38" s="1864"/>
      <c r="ZZ38" s="1864"/>
      <c r="AAA38" s="1864"/>
      <c r="AAB38" s="1864"/>
      <c r="AAC38" s="1864"/>
      <c r="AAD38" s="1864"/>
      <c r="AAE38" s="1864"/>
      <c r="AAF38" s="1864"/>
      <c r="AAG38" s="1864"/>
      <c r="AAH38" s="1864"/>
      <c r="AAI38" s="1864"/>
      <c r="AAJ38" s="1864"/>
      <c r="AAK38" s="1864"/>
      <c r="AAL38" s="1864"/>
      <c r="AAM38" s="1864"/>
      <c r="AAN38" s="1864"/>
      <c r="AAO38" s="1864"/>
      <c r="AAP38" s="1864"/>
      <c r="AAQ38" s="1864"/>
      <c r="AAR38" s="1864"/>
      <c r="AAS38" s="1864"/>
      <c r="AAT38" s="1864"/>
      <c r="AAU38" s="1864"/>
      <c r="AAV38" s="1864"/>
      <c r="AAW38" s="1864"/>
      <c r="AAX38" s="1864"/>
      <c r="AAY38" s="1864"/>
      <c r="AAZ38" s="1864"/>
      <c r="ABA38" s="1864"/>
      <c r="ABB38" s="1864"/>
      <c r="ABC38" s="1864"/>
      <c r="ABD38" s="1864"/>
      <c r="ABE38" s="1864"/>
      <c r="ABF38" s="1864"/>
      <c r="ABG38" s="1864"/>
      <c r="ABH38" s="1864"/>
      <c r="ABI38" s="1864"/>
      <c r="ABJ38" s="1864"/>
      <c r="ABK38" s="1864"/>
      <c r="ABL38" s="1864"/>
      <c r="ABM38" s="1864"/>
      <c r="ABN38" s="1864"/>
      <c r="ABO38" s="1864"/>
      <c r="ABP38" s="1864"/>
      <c r="ABQ38" s="1864"/>
      <c r="ABR38" s="1864"/>
      <c r="ABS38" s="1864"/>
      <c r="ABT38" s="1864"/>
      <c r="ABU38" s="1864"/>
      <c r="ABV38" s="1864"/>
      <c r="ABW38" s="1864"/>
      <c r="ABX38" s="1864"/>
      <c r="ABY38" s="1864"/>
      <c r="ABZ38" s="1864"/>
      <c r="ACA38" s="1864"/>
      <c r="ACB38" s="1864"/>
      <c r="ACC38" s="1864"/>
      <c r="ACD38" s="1864"/>
      <c r="ACE38" s="1864"/>
      <c r="ACF38" s="1864"/>
      <c r="ACG38" s="1864"/>
      <c r="ACH38" s="1864"/>
      <c r="ACI38" s="1864"/>
      <c r="ACJ38" s="1864"/>
      <c r="ACK38" s="1864"/>
      <c r="ACL38" s="1864"/>
      <c r="ACM38" s="1864"/>
      <c r="ACN38" s="1864"/>
      <c r="ACO38" s="1864"/>
      <c r="ACP38" s="1864"/>
      <c r="ACQ38" s="1864"/>
      <c r="ACR38" s="1864"/>
      <c r="ACS38" s="1864"/>
      <c r="ACT38" s="1864"/>
      <c r="ACU38" s="1864"/>
      <c r="ACV38" s="1864"/>
      <c r="ACW38" s="1864"/>
      <c r="ACX38" s="1864"/>
      <c r="ACY38" s="1864"/>
      <c r="ACZ38" s="1864"/>
      <c r="ADA38" s="1864"/>
      <c r="ADB38" s="1864"/>
      <c r="ADC38" s="1864"/>
      <c r="ADD38" s="1864"/>
      <c r="ADE38" s="1864"/>
      <c r="ADF38" s="1864"/>
      <c r="ADG38" s="1864"/>
      <c r="ADH38" s="1864"/>
      <c r="ADI38" s="1864"/>
      <c r="ADJ38" s="1864"/>
      <c r="ADK38" s="1864"/>
      <c r="ADL38" s="1864"/>
      <c r="ADM38" s="1864"/>
      <c r="ADN38" s="1864"/>
      <c r="ADO38" s="1864"/>
      <c r="ADP38" s="1864"/>
      <c r="ADQ38" s="1864"/>
      <c r="ADR38" s="1864"/>
      <c r="ADS38" s="1864"/>
      <c r="ADT38" s="1864"/>
      <c r="ADU38" s="1864"/>
      <c r="ADV38" s="1864"/>
      <c r="ADW38" s="1864"/>
      <c r="ADX38" s="1864"/>
      <c r="ADY38" s="1864"/>
      <c r="ADZ38" s="1864"/>
      <c r="AEA38" s="1864"/>
      <c r="AEB38" s="1864"/>
      <c r="AEC38" s="1864"/>
      <c r="AED38" s="1864"/>
      <c r="AEE38" s="1864"/>
      <c r="AEF38" s="1864"/>
      <c r="AEG38" s="1864"/>
      <c r="AEH38" s="1864"/>
      <c r="AEI38" s="1864"/>
      <c r="AEJ38" s="1864"/>
      <c r="AEK38" s="1864"/>
      <c r="AEL38" s="1864"/>
      <c r="AEM38" s="1864"/>
      <c r="AEN38" s="1864"/>
      <c r="AEO38" s="1864"/>
      <c r="AEP38" s="1864"/>
      <c r="AEQ38" s="1864"/>
      <c r="AER38" s="1864"/>
      <c r="AES38" s="1864"/>
      <c r="AET38" s="1864"/>
      <c r="AEU38" s="1864"/>
      <c r="AEV38" s="1864"/>
      <c r="AEW38" s="1864"/>
      <c r="AEX38" s="1864"/>
      <c r="AEY38" s="1864"/>
      <c r="AEZ38" s="1864"/>
      <c r="AFA38" s="1864"/>
      <c r="AFB38" s="1864"/>
      <c r="AFC38" s="1864"/>
      <c r="AFD38" s="1864"/>
      <c r="AFE38" s="1864"/>
      <c r="AFF38" s="1864"/>
      <c r="AFG38" s="1864"/>
      <c r="AFH38" s="1864"/>
      <c r="AFI38" s="1864"/>
      <c r="AFJ38" s="1864"/>
      <c r="AFK38" s="1864"/>
      <c r="AFL38" s="1864"/>
      <c r="AFM38" s="1864"/>
      <c r="AFN38" s="1864"/>
      <c r="AFO38" s="1864"/>
      <c r="AFP38" s="1864"/>
      <c r="AFQ38" s="1864"/>
      <c r="AFR38" s="1864"/>
      <c r="AFS38" s="1864"/>
      <c r="AFT38" s="1864"/>
      <c r="AFU38" s="1864"/>
      <c r="AFV38" s="1864"/>
      <c r="AFW38" s="1864"/>
      <c r="AFX38" s="1864"/>
      <c r="AFY38" s="1864"/>
      <c r="AFZ38" s="1864"/>
      <c r="AGA38" s="1864"/>
      <c r="AGB38" s="1864"/>
      <c r="AGC38" s="1864"/>
      <c r="AGD38" s="1864"/>
      <c r="AGE38" s="1864"/>
      <c r="AGF38" s="1864"/>
      <c r="AGG38" s="1864"/>
      <c r="AGH38" s="1864"/>
      <c r="AGI38" s="1864"/>
      <c r="AGJ38" s="1864"/>
      <c r="AGK38" s="1864"/>
      <c r="AGL38" s="1864"/>
      <c r="AGM38" s="1864"/>
      <c r="AGN38" s="1864"/>
      <c r="AGO38" s="1864"/>
      <c r="AGP38" s="1864"/>
      <c r="AGQ38" s="1864"/>
      <c r="AGR38" s="1864"/>
      <c r="AGS38" s="1864"/>
      <c r="AGT38" s="1864"/>
      <c r="AGU38" s="1864"/>
      <c r="AGV38" s="1864"/>
      <c r="AGW38" s="1864"/>
      <c r="AGX38" s="1864"/>
      <c r="AGY38" s="1864"/>
      <c r="AGZ38" s="1864"/>
      <c r="AHA38" s="1864"/>
      <c r="AHB38" s="1864"/>
      <c r="AHC38" s="1864"/>
      <c r="AHD38" s="1864"/>
      <c r="AHE38" s="1864"/>
      <c r="AHF38" s="1864"/>
      <c r="AHG38" s="1864"/>
      <c r="AHH38" s="1864"/>
      <c r="AHI38" s="1864"/>
      <c r="AHJ38" s="1864"/>
      <c r="AHK38" s="1864"/>
      <c r="AHL38" s="1864"/>
      <c r="AHM38" s="1864"/>
      <c r="AHN38" s="1864"/>
      <c r="AHO38" s="1864"/>
      <c r="AHP38" s="1864"/>
      <c r="AHQ38" s="1864"/>
      <c r="AHR38" s="1864"/>
      <c r="AHS38" s="1864"/>
      <c r="AHT38" s="1864"/>
      <c r="AHU38" s="1864"/>
      <c r="AHV38" s="1864"/>
      <c r="AHW38" s="1864"/>
      <c r="AHX38" s="1864"/>
      <c r="AHY38" s="1864"/>
      <c r="AHZ38" s="1864"/>
      <c r="AIA38" s="1864"/>
      <c r="AIB38" s="1864"/>
      <c r="AIC38" s="1864"/>
      <c r="AID38" s="1864"/>
      <c r="AIE38" s="1864"/>
      <c r="AIF38" s="1864"/>
      <c r="AIG38" s="1864"/>
      <c r="AIH38" s="1864"/>
      <c r="AII38" s="1864"/>
      <c r="AIJ38" s="1864"/>
      <c r="AIK38" s="1864"/>
      <c r="AIL38" s="1864"/>
      <c r="AIM38" s="1864"/>
      <c r="AIN38" s="1864"/>
      <c r="AIO38" s="1864"/>
      <c r="AIP38" s="1864"/>
      <c r="AIQ38" s="1864"/>
      <c r="AIR38" s="1864"/>
      <c r="AIS38" s="1864"/>
      <c r="AIT38" s="1864"/>
      <c r="AIU38" s="1864"/>
      <c r="AIV38" s="1864"/>
      <c r="AIW38" s="1864"/>
      <c r="AIX38" s="1864"/>
      <c r="AIY38" s="1864"/>
      <c r="AIZ38" s="1864"/>
      <c r="AJA38" s="1864"/>
      <c r="AJB38" s="1864"/>
      <c r="AJC38" s="1864"/>
      <c r="AJD38" s="1864"/>
      <c r="AJE38" s="1864"/>
      <c r="AJF38" s="1864"/>
      <c r="AJG38" s="1864"/>
      <c r="AJH38" s="1864"/>
      <c r="AJI38" s="1864"/>
      <c r="AJJ38" s="1864"/>
      <c r="AJK38" s="1864"/>
      <c r="AJL38" s="1864"/>
      <c r="AJM38" s="1864"/>
      <c r="AJN38" s="1864"/>
      <c r="AJO38" s="1864"/>
      <c r="AJP38" s="1864"/>
      <c r="AJQ38" s="1864"/>
      <c r="AJR38" s="1864"/>
      <c r="AJS38" s="1864"/>
      <c r="AJT38" s="1864"/>
      <c r="AJU38" s="1864"/>
      <c r="AJV38" s="1864"/>
      <c r="AJW38" s="1864"/>
      <c r="AJX38" s="1864"/>
      <c r="AJY38" s="1864"/>
      <c r="AJZ38" s="1864"/>
      <c r="AKA38" s="1864"/>
      <c r="AKB38" s="1864"/>
      <c r="AKC38" s="1864"/>
      <c r="AKD38" s="1864"/>
      <c r="AKE38" s="1864"/>
      <c r="AKF38" s="1864"/>
      <c r="AKG38" s="1864"/>
      <c r="AKH38" s="1864"/>
      <c r="AKI38" s="1864"/>
      <c r="AKJ38" s="1864"/>
      <c r="AKK38" s="1864"/>
      <c r="AKL38" s="1864"/>
      <c r="AKM38" s="1864"/>
      <c r="AKN38" s="1864"/>
      <c r="AKO38" s="1864"/>
      <c r="AKP38" s="1864"/>
      <c r="AKQ38" s="1864"/>
      <c r="AKR38" s="1864"/>
      <c r="AKS38" s="1864"/>
      <c r="AKT38" s="1864"/>
      <c r="AKU38" s="1864"/>
      <c r="AKV38" s="1864"/>
      <c r="AKW38" s="1864"/>
      <c r="AKX38" s="1864"/>
      <c r="AKY38" s="1864"/>
      <c r="AKZ38" s="1864"/>
      <c r="ALA38" s="1864"/>
      <c r="ALB38" s="1864"/>
      <c r="ALC38" s="1864"/>
      <c r="ALD38" s="1864"/>
      <c r="ALE38" s="1864"/>
      <c r="ALF38" s="1864"/>
      <c r="ALG38" s="1864"/>
      <c r="ALH38" s="1864"/>
      <c r="ALI38" s="1864"/>
      <c r="ALJ38" s="1864"/>
      <c r="ALK38" s="1864"/>
      <c r="ALL38" s="1864"/>
      <c r="ALM38" s="1864"/>
      <c r="ALN38" s="1864"/>
      <c r="ALO38" s="1864"/>
      <c r="ALP38" s="1864"/>
      <c r="ALQ38" s="1864"/>
      <c r="ALR38" s="1864"/>
      <c r="ALS38" s="1864"/>
      <c r="ALT38" s="1864"/>
      <c r="ALU38" s="1864"/>
      <c r="ALV38" s="1864"/>
      <c r="ALW38" s="1864"/>
      <c r="ALX38" s="1864"/>
      <c r="ALY38" s="1864"/>
      <c r="ALZ38" s="1864"/>
      <c r="AMA38" s="1864"/>
      <c r="AMB38" s="1864"/>
      <c r="AMC38" s="1864"/>
      <c r="AMD38" s="1864"/>
      <c r="AME38" s="1864"/>
      <c r="AMF38" s="1864"/>
      <c r="AMG38" s="1864"/>
      <c r="AMH38" s="1864"/>
      <c r="AMI38" s="1864"/>
      <c r="AMJ38" s="1864"/>
      <c r="AMK38" s="1864"/>
      <c r="AML38" s="1864"/>
      <c r="AMM38" s="1864"/>
      <c r="AMN38" s="1864"/>
      <c r="AMO38" s="1864"/>
      <c r="AMP38" s="1864"/>
      <c r="AMQ38" s="1864"/>
      <c r="AMR38" s="1864"/>
      <c r="AMS38" s="1864"/>
      <c r="AMT38" s="1864"/>
      <c r="AMU38" s="1864"/>
      <c r="AMV38" s="1864"/>
      <c r="AMW38" s="1864"/>
      <c r="AMX38" s="1864"/>
      <c r="AMY38" s="1864"/>
      <c r="AMZ38" s="1864"/>
      <c r="ANA38" s="1864"/>
      <c r="ANB38" s="1864"/>
      <c r="ANC38" s="1864"/>
      <c r="AND38" s="1864"/>
      <c r="ANE38" s="1864"/>
      <c r="ANF38" s="1864"/>
      <c r="ANG38" s="1864"/>
      <c r="ANH38" s="1864"/>
      <c r="ANI38" s="1864"/>
      <c r="ANJ38" s="1864"/>
      <c r="ANK38" s="1864"/>
      <c r="ANL38" s="1864"/>
      <c r="ANM38" s="1864"/>
      <c r="ANN38" s="1864"/>
      <c r="ANO38" s="1864"/>
      <c r="ANP38" s="1864"/>
      <c r="ANQ38" s="1864"/>
      <c r="ANR38" s="1864"/>
      <c r="ANS38" s="1864"/>
      <c r="ANT38" s="1864"/>
      <c r="ANU38" s="1864"/>
      <c r="ANV38" s="1864"/>
      <c r="ANW38" s="1864"/>
      <c r="ANX38" s="1864"/>
      <c r="ANY38" s="1864"/>
      <c r="ANZ38" s="1864"/>
      <c r="AOA38" s="1864"/>
      <c r="AOB38" s="1864"/>
      <c r="AOC38" s="1864"/>
      <c r="AOD38" s="1864"/>
      <c r="AOE38" s="1864"/>
      <c r="AOF38" s="1864"/>
      <c r="AOG38" s="1864"/>
      <c r="AOH38" s="1864"/>
      <c r="AOI38" s="1864"/>
      <c r="AOJ38" s="1864"/>
      <c r="AOK38" s="1864"/>
      <c r="AOL38" s="1864"/>
      <c r="AOM38" s="1864"/>
      <c r="AON38" s="1864"/>
      <c r="AOO38" s="1864"/>
      <c r="AOP38" s="1864"/>
      <c r="AOQ38" s="1864"/>
      <c r="AOR38" s="1864"/>
      <c r="AOS38" s="1864"/>
      <c r="AOT38" s="1864"/>
      <c r="AOU38" s="1864"/>
      <c r="AOV38" s="1864"/>
      <c r="AOW38" s="1864"/>
      <c r="AOX38" s="1864"/>
      <c r="AOY38" s="1864"/>
      <c r="AOZ38" s="1864"/>
      <c r="APA38" s="1864"/>
      <c r="APB38" s="1864"/>
      <c r="APC38" s="1864"/>
      <c r="APD38" s="1864"/>
      <c r="APE38" s="1864"/>
      <c r="APF38" s="1864"/>
      <c r="APG38" s="1864"/>
      <c r="APH38" s="1864"/>
      <c r="API38" s="1864"/>
      <c r="APJ38" s="1864"/>
      <c r="APK38" s="1864"/>
      <c r="APL38" s="1864"/>
      <c r="APM38" s="1864"/>
      <c r="APN38" s="1864"/>
      <c r="APO38" s="1864"/>
      <c r="APP38" s="1864"/>
      <c r="APQ38" s="1864"/>
      <c r="APR38" s="1864"/>
      <c r="APS38" s="1864"/>
      <c r="APT38" s="1864"/>
      <c r="APU38" s="1864"/>
      <c r="APV38" s="1864"/>
      <c r="APW38" s="1864"/>
      <c r="APX38" s="1864"/>
      <c r="APY38" s="1864"/>
      <c r="APZ38" s="1864"/>
      <c r="AQA38" s="1864"/>
      <c r="AQB38" s="1864"/>
      <c r="AQC38" s="1864"/>
      <c r="AQD38" s="1864"/>
      <c r="AQE38" s="1864"/>
      <c r="AQF38" s="1864"/>
      <c r="AQG38" s="1864"/>
      <c r="AQH38" s="1864"/>
      <c r="AQI38" s="1864"/>
      <c r="AQJ38" s="1864"/>
      <c r="AQK38" s="1864"/>
      <c r="AQL38" s="1864"/>
      <c r="AQM38" s="1864"/>
      <c r="AQN38" s="1864"/>
      <c r="AQO38" s="1864"/>
      <c r="AQP38" s="1864"/>
      <c r="AQQ38" s="1864"/>
      <c r="AQR38" s="1864"/>
      <c r="AQS38" s="1864"/>
      <c r="AQT38" s="1864"/>
      <c r="AQU38" s="1864"/>
      <c r="AQV38" s="1864"/>
      <c r="AQW38" s="1864"/>
      <c r="AQX38" s="1864"/>
      <c r="AQY38" s="1864"/>
      <c r="AQZ38" s="1864"/>
      <c r="ARA38" s="1864"/>
      <c r="ARB38" s="1864"/>
      <c r="ARC38" s="1864"/>
      <c r="ARD38" s="1864"/>
      <c r="ARE38" s="1864"/>
      <c r="ARF38" s="1864"/>
      <c r="ARG38" s="1864"/>
      <c r="ARH38" s="1864"/>
      <c r="ARI38" s="1864"/>
      <c r="ARJ38" s="1864"/>
      <c r="ARK38" s="1864"/>
      <c r="ARL38" s="1864"/>
      <c r="ARM38" s="1864"/>
      <c r="ARN38" s="1864"/>
      <c r="ARO38" s="1864"/>
      <c r="ARP38" s="1864"/>
      <c r="ARQ38" s="1864"/>
      <c r="ARR38" s="1864"/>
      <c r="ARS38" s="1864"/>
      <c r="ART38" s="1864"/>
      <c r="ARU38" s="1864"/>
      <c r="ARV38" s="1864"/>
      <c r="ARW38" s="1864"/>
      <c r="ARX38" s="1864"/>
      <c r="ARY38" s="1864"/>
      <c r="ARZ38" s="1864"/>
      <c r="ASA38" s="1864"/>
      <c r="ASB38" s="1864"/>
      <c r="ASC38" s="1864"/>
      <c r="ASD38" s="1864"/>
      <c r="ASE38" s="1864"/>
      <c r="ASF38" s="1864"/>
      <c r="ASG38" s="1864"/>
      <c r="ASH38" s="1864"/>
      <c r="ASI38" s="1864"/>
      <c r="ASJ38" s="1864"/>
      <c r="ASK38" s="1864"/>
      <c r="ASL38" s="1864"/>
      <c r="ASM38" s="1864"/>
      <c r="ASN38" s="1864"/>
      <c r="ASO38" s="1864"/>
      <c r="ASP38" s="1864"/>
      <c r="ASQ38" s="1864"/>
      <c r="ASR38" s="1864"/>
      <c r="ASS38" s="1864"/>
      <c r="AST38" s="1864"/>
      <c r="ASU38" s="1864"/>
      <c r="ASV38" s="1864"/>
      <c r="ASW38" s="1864"/>
      <c r="ASX38" s="1864"/>
      <c r="ASY38" s="1864"/>
      <c r="ASZ38" s="1864"/>
      <c r="ATA38" s="1864"/>
      <c r="ATB38" s="1864"/>
      <c r="ATC38" s="1864"/>
      <c r="ATD38" s="1864"/>
      <c r="ATE38" s="1864"/>
      <c r="ATF38" s="1864"/>
      <c r="ATG38" s="1864"/>
      <c r="ATH38" s="1864"/>
      <c r="ATI38" s="1864"/>
      <c r="ATJ38" s="1864"/>
      <c r="ATK38" s="1864"/>
      <c r="ATL38" s="1864"/>
      <c r="ATM38" s="1864"/>
      <c r="ATN38" s="1864"/>
      <c r="ATO38" s="1864"/>
      <c r="ATP38" s="1864"/>
      <c r="ATQ38" s="1864"/>
      <c r="ATR38" s="1864"/>
      <c r="ATS38" s="1864"/>
      <c r="ATT38" s="1864"/>
      <c r="ATU38" s="1864"/>
      <c r="ATV38" s="1864"/>
      <c r="ATW38" s="1864"/>
      <c r="ATX38" s="1864"/>
      <c r="ATY38" s="1864"/>
      <c r="ATZ38" s="1864"/>
      <c r="AUA38" s="1864"/>
      <c r="AUB38" s="1864"/>
      <c r="AUC38" s="1864"/>
      <c r="AUD38" s="1864"/>
      <c r="AUE38" s="1864"/>
      <c r="AUF38" s="1864"/>
      <c r="AUG38" s="1864"/>
      <c r="AUH38" s="1864"/>
      <c r="AUI38" s="1864"/>
      <c r="AUJ38" s="1864"/>
      <c r="AUK38" s="1864"/>
      <c r="AUL38" s="1864"/>
      <c r="AUM38" s="1864"/>
      <c r="AUN38" s="1864"/>
      <c r="AUO38" s="1864"/>
      <c r="AUP38" s="1864"/>
      <c r="AUQ38" s="1864"/>
      <c r="AUR38" s="1864"/>
      <c r="AUS38" s="1864"/>
      <c r="AUT38" s="1864"/>
      <c r="AUU38" s="1864"/>
      <c r="AUV38" s="1864"/>
      <c r="AUW38" s="1864"/>
      <c r="AUX38" s="1864"/>
      <c r="AUY38" s="1864"/>
      <c r="AUZ38" s="1864"/>
      <c r="AVA38" s="1864"/>
      <c r="AVB38" s="1864"/>
      <c r="AVC38" s="1864"/>
      <c r="AVD38" s="1864"/>
      <c r="AVE38" s="1864"/>
      <c r="AVF38" s="1864"/>
      <c r="AVG38" s="1864"/>
      <c r="AVH38" s="1864"/>
      <c r="AVI38" s="1864"/>
      <c r="AVJ38" s="1864"/>
      <c r="AVK38" s="1864"/>
      <c r="AVL38" s="1864"/>
      <c r="AVM38" s="1864"/>
      <c r="AVN38" s="1864"/>
      <c r="AVO38" s="1864"/>
      <c r="AVP38" s="1864"/>
      <c r="AVQ38" s="1864"/>
      <c r="AVR38" s="1864"/>
      <c r="AVS38" s="1864"/>
      <c r="AVT38" s="1864"/>
      <c r="AVU38" s="1864"/>
      <c r="AVV38" s="1864"/>
      <c r="AVW38" s="1864"/>
      <c r="AVX38" s="1864"/>
      <c r="AVY38" s="1864"/>
      <c r="AVZ38" s="1864"/>
      <c r="AWA38" s="1864"/>
      <c r="AWB38" s="1864"/>
      <c r="AWC38" s="1864"/>
      <c r="AWD38" s="1864"/>
      <c r="AWE38" s="1864"/>
      <c r="AWF38" s="1864"/>
      <c r="AWG38" s="1864"/>
      <c r="AWH38" s="1864"/>
      <c r="AWI38" s="1864"/>
      <c r="AWJ38" s="1864"/>
      <c r="AWK38" s="1864"/>
      <c r="AWL38" s="1864"/>
      <c r="AWM38" s="1864"/>
      <c r="AWN38" s="1864"/>
      <c r="AWO38" s="1864"/>
      <c r="AWP38" s="1864"/>
      <c r="AWQ38" s="1864"/>
    </row>
    <row r="39" spans="1:1291" ht="21" customHeight="1" thickBot="1" x14ac:dyDescent="0.25">
      <c r="A39" s="1966" t="s">
        <v>2331</v>
      </c>
      <c r="B39" s="1969" t="s">
        <v>650</v>
      </c>
      <c r="C39" s="1693" t="s">
        <v>944</v>
      </c>
      <c r="D39" s="1880"/>
      <c r="E39" s="1983"/>
      <c r="F39" s="1865"/>
      <c r="G39" s="1866"/>
      <c r="H39" s="1866"/>
      <c r="I39" s="1866"/>
      <c r="J39" s="1866"/>
      <c r="K39" s="1866"/>
      <c r="L39" s="1866"/>
      <c r="M39" s="1866"/>
      <c r="N39" s="1866"/>
      <c r="O39" s="1866"/>
      <c r="P39" s="1866"/>
      <c r="Q39" s="1866"/>
      <c r="R39" s="1866"/>
      <c r="S39" s="1866"/>
      <c r="T39" s="1866"/>
      <c r="U39" s="1866"/>
      <c r="V39" s="1866"/>
      <c r="W39" s="1866"/>
      <c r="X39" s="1866"/>
      <c r="Y39" s="1866"/>
      <c r="Z39" s="1866"/>
      <c r="AA39" s="1866"/>
      <c r="AB39" s="1866"/>
      <c r="AC39" s="1866"/>
      <c r="AD39" s="1866"/>
      <c r="AE39" s="1866"/>
      <c r="AF39" s="1866"/>
      <c r="AG39" s="1866"/>
      <c r="AH39" s="1866"/>
      <c r="AI39" s="1866"/>
      <c r="AJ39" s="1866"/>
      <c r="AK39" s="1866"/>
      <c r="AL39" s="1866"/>
      <c r="AM39" s="1866"/>
      <c r="AN39" s="1866"/>
      <c r="AO39" s="1866"/>
      <c r="AP39" s="1866"/>
      <c r="AQ39" s="1866"/>
      <c r="AR39" s="1866"/>
      <c r="AS39" s="1866"/>
      <c r="AT39" s="1866"/>
      <c r="AU39" s="1866"/>
      <c r="AV39" s="1866"/>
      <c r="AW39" s="1866"/>
      <c r="AX39" s="1866"/>
      <c r="AY39" s="1866"/>
      <c r="AZ39" s="1866"/>
      <c r="BA39" s="1866"/>
      <c r="BB39" s="1866"/>
      <c r="BC39" s="1866"/>
      <c r="BD39" s="1866"/>
      <c r="BE39" s="1866"/>
      <c r="BF39" s="1866"/>
      <c r="BG39" s="1866"/>
      <c r="BH39" s="1866"/>
      <c r="BI39" s="1866"/>
      <c r="BJ39" s="1866"/>
      <c r="BK39" s="1866"/>
      <c r="BL39" s="1866"/>
      <c r="BM39" s="1866"/>
      <c r="BN39" s="1866"/>
      <c r="BO39" s="1866"/>
      <c r="BP39" s="1866"/>
      <c r="BQ39" s="1866"/>
      <c r="BR39" s="1866"/>
      <c r="BS39" s="1866"/>
      <c r="BT39" s="1866"/>
      <c r="BU39" s="1866"/>
      <c r="BV39" s="1866"/>
      <c r="BW39" s="1866"/>
      <c r="BX39" s="1866"/>
      <c r="BY39" s="1866"/>
      <c r="BZ39" s="1866"/>
      <c r="CA39" s="1866"/>
      <c r="CB39" s="1866"/>
      <c r="CC39" s="1866"/>
      <c r="CD39" s="1866"/>
      <c r="CE39" s="1866"/>
      <c r="CF39" s="1866"/>
      <c r="CG39" s="1866"/>
      <c r="CH39" s="1866"/>
      <c r="CI39" s="1866"/>
      <c r="CJ39" s="1866"/>
      <c r="CK39" s="1866"/>
      <c r="CL39" s="1866"/>
      <c r="CM39" s="1866"/>
      <c r="CN39" s="1866"/>
      <c r="CO39" s="1866"/>
      <c r="CP39" s="1866"/>
      <c r="CQ39" s="1866"/>
      <c r="CR39" s="1866"/>
      <c r="CS39" s="1866"/>
      <c r="CT39" s="1866"/>
      <c r="CU39" s="1866"/>
      <c r="CV39" s="1866"/>
      <c r="CW39" s="1866"/>
      <c r="CX39" s="1866"/>
      <c r="CY39" s="1866"/>
      <c r="CZ39" s="1866"/>
      <c r="DA39" s="1866"/>
      <c r="DB39" s="1866"/>
      <c r="DC39" s="1866"/>
      <c r="DD39" s="1866"/>
      <c r="DE39" s="1866"/>
      <c r="DF39" s="1866"/>
      <c r="DG39" s="1866"/>
      <c r="DH39" s="1866"/>
      <c r="DI39" s="1866"/>
      <c r="DJ39" s="1866"/>
      <c r="DK39" s="1866"/>
      <c r="DL39" s="1866"/>
      <c r="DM39" s="1866"/>
      <c r="DN39" s="1866"/>
      <c r="DO39" s="1866"/>
      <c r="DP39" s="1866"/>
      <c r="DQ39" s="1866"/>
      <c r="DR39" s="1866"/>
      <c r="DS39" s="1866"/>
      <c r="DT39" s="1866"/>
      <c r="DU39" s="1866"/>
      <c r="DV39" s="1866"/>
      <c r="DW39" s="1866"/>
      <c r="DX39" s="1866"/>
      <c r="DY39" s="1866"/>
      <c r="DZ39" s="1866"/>
      <c r="EA39" s="1866"/>
      <c r="EB39" s="1866"/>
      <c r="EC39" s="1866"/>
      <c r="ED39" s="1866"/>
      <c r="EE39" s="1866"/>
      <c r="EF39" s="1866"/>
      <c r="EG39" s="1866"/>
      <c r="EH39" s="1866"/>
      <c r="EI39" s="1866"/>
      <c r="EJ39" s="1866"/>
      <c r="EK39" s="1866"/>
      <c r="EL39" s="1866"/>
      <c r="EM39" s="1866"/>
      <c r="EN39" s="1866"/>
      <c r="EO39" s="1866"/>
      <c r="EP39" s="1866"/>
      <c r="EQ39" s="1866"/>
      <c r="ER39" s="1866"/>
      <c r="ES39" s="1866"/>
      <c r="ET39" s="1866"/>
      <c r="EU39" s="1866"/>
      <c r="EV39" s="1866"/>
      <c r="EW39" s="1866"/>
      <c r="EX39" s="1866"/>
      <c r="EY39" s="1866"/>
      <c r="EZ39" s="1866"/>
      <c r="FA39" s="1866"/>
      <c r="FB39" s="1866"/>
      <c r="FC39" s="1866"/>
      <c r="FD39" s="1866"/>
      <c r="FE39" s="1866"/>
      <c r="FF39" s="1866"/>
      <c r="FG39" s="1866"/>
      <c r="FH39" s="1866"/>
      <c r="FI39" s="1866"/>
      <c r="FJ39" s="1866"/>
      <c r="FK39" s="1866"/>
      <c r="FL39" s="1866"/>
      <c r="FM39" s="1866"/>
      <c r="FN39" s="1866"/>
      <c r="FO39" s="1866"/>
      <c r="FP39" s="1866"/>
      <c r="FQ39" s="1866"/>
      <c r="FR39" s="1866"/>
      <c r="FS39" s="1866"/>
      <c r="FT39" s="1866"/>
      <c r="FU39" s="1866"/>
      <c r="FV39" s="1866"/>
      <c r="FW39" s="1866"/>
      <c r="FX39" s="1866"/>
      <c r="FY39" s="1866"/>
      <c r="FZ39" s="1866"/>
      <c r="GA39" s="1866"/>
      <c r="GB39" s="1866"/>
      <c r="GC39" s="1866"/>
      <c r="GD39" s="1866"/>
      <c r="GE39" s="1866"/>
      <c r="GF39" s="1866"/>
      <c r="GG39" s="1866"/>
      <c r="GH39" s="1866"/>
      <c r="GI39" s="1866"/>
      <c r="GJ39" s="1866"/>
      <c r="GK39" s="1866"/>
      <c r="GL39" s="1866"/>
      <c r="GM39" s="1866"/>
      <c r="GN39" s="1866"/>
      <c r="GO39" s="1866"/>
      <c r="GP39" s="1866"/>
      <c r="GQ39" s="1866"/>
      <c r="GR39" s="1866"/>
      <c r="GS39" s="1866"/>
      <c r="GT39" s="1866"/>
      <c r="GU39" s="1866"/>
      <c r="GV39" s="1866"/>
      <c r="GW39" s="1866"/>
      <c r="GX39" s="1866"/>
      <c r="GY39" s="1866"/>
      <c r="GZ39" s="1866"/>
      <c r="HA39" s="1866"/>
      <c r="HB39" s="1866"/>
      <c r="HC39" s="1866"/>
      <c r="HD39" s="1866"/>
      <c r="HE39" s="1866"/>
    </row>
    <row r="40" spans="1:1291" ht="15" customHeight="1" x14ac:dyDescent="0.2">
      <c r="A40" s="1966"/>
      <c r="B40" s="1970"/>
      <c r="C40" s="1690" t="s">
        <v>1360</v>
      </c>
      <c r="D40" s="1881"/>
      <c r="E40" s="1983"/>
      <c r="F40" s="1838">
        <v>0</v>
      </c>
      <c r="G40" s="1804">
        <v>0</v>
      </c>
      <c r="H40" s="1804">
        <v>0</v>
      </c>
      <c r="I40" s="1804">
        <v>0</v>
      </c>
      <c r="J40" s="1804">
        <v>0</v>
      </c>
      <c r="K40" s="1804">
        <v>0</v>
      </c>
      <c r="L40" s="1804">
        <v>0</v>
      </c>
      <c r="M40" s="1804">
        <v>0</v>
      </c>
      <c r="N40" s="1804">
        <v>0</v>
      </c>
      <c r="O40" s="1804">
        <v>0</v>
      </c>
      <c r="P40" s="1804">
        <v>0</v>
      </c>
      <c r="Q40" s="1804">
        <v>0</v>
      </c>
      <c r="R40" s="1804">
        <v>0</v>
      </c>
      <c r="S40" s="1804">
        <v>0</v>
      </c>
      <c r="T40" s="1804">
        <v>0</v>
      </c>
      <c r="U40" s="1804">
        <v>0</v>
      </c>
      <c r="V40" s="1804">
        <v>0</v>
      </c>
      <c r="W40" s="1804">
        <v>0</v>
      </c>
      <c r="X40" s="1804">
        <v>0</v>
      </c>
      <c r="Y40" s="1804">
        <v>0</v>
      </c>
      <c r="Z40" s="1804">
        <v>0</v>
      </c>
      <c r="AA40" s="1804">
        <v>0</v>
      </c>
      <c r="AB40" s="1804">
        <v>0</v>
      </c>
      <c r="AC40" s="1804">
        <v>0</v>
      </c>
      <c r="AD40" s="1804">
        <v>0</v>
      </c>
      <c r="AE40" s="1804">
        <v>0</v>
      </c>
      <c r="AF40" s="1804">
        <v>0</v>
      </c>
      <c r="AG40" s="1804">
        <v>0</v>
      </c>
      <c r="AH40" s="1804">
        <v>0</v>
      </c>
      <c r="AI40" s="1804">
        <v>0</v>
      </c>
      <c r="AJ40" s="1804">
        <v>0</v>
      </c>
      <c r="AK40" s="1804">
        <v>0</v>
      </c>
      <c r="AL40" s="1804">
        <v>0</v>
      </c>
      <c r="AM40" s="1804">
        <v>0</v>
      </c>
      <c r="AN40" s="1804">
        <v>0</v>
      </c>
      <c r="AO40" s="1804">
        <v>0</v>
      </c>
      <c r="AP40" s="1804">
        <v>0</v>
      </c>
      <c r="AQ40" s="1804">
        <v>0</v>
      </c>
      <c r="AR40" s="1804">
        <v>0</v>
      </c>
      <c r="AS40" s="1804">
        <v>0</v>
      </c>
      <c r="AT40" s="1804">
        <v>0</v>
      </c>
      <c r="AU40" s="1804">
        <v>0</v>
      </c>
      <c r="AV40" s="1804">
        <v>0</v>
      </c>
      <c r="AW40" s="1804">
        <v>0</v>
      </c>
      <c r="AX40" s="1804">
        <v>0</v>
      </c>
      <c r="AY40" s="1804">
        <v>0</v>
      </c>
      <c r="AZ40" s="1804">
        <v>0</v>
      </c>
      <c r="BA40" s="1804">
        <v>0</v>
      </c>
      <c r="BB40" s="1804">
        <v>0</v>
      </c>
      <c r="BC40" s="1804">
        <v>0</v>
      </c>
      <c r="BD40" s="1804">
        <v>0</v>
      </c>
      <c r="BE40" s="1804">
        <v>0</v>
      </c>
      <c r="BF40" s="1804">
        <v>0</v>
      </c>
      <c r="BG40" s="1804">
        <v>0</v>
      </c>
      <c r="BH40" s="1804">
        <v>0</v>
      </c>
      <c r="BI40" s="1804">
        <v>0</v>
      </c>
      <c r="BJ40" s="1804">
        <v>0</v>
      </c>
      <c r="BK40" s="1804">
        <v>0</v>
      </c>
      <c r="BL40" s="1804">
        <v>0</v>
      </c>
      <c r="BM40" s="1804">
        <v>0</v>
      </c>
      <c r="BN40" s="1804">
        <v>0</v>
      </c>
      <c r="BO40" s="1804">
        <v>0</v>
      </c>
      <c r="BP40" s="1804">
        <v>0</v>
      </c>
      <c r="BQ40" s="1804">
        <v>0</v>
      </c>
      <c r="BR40" s="1804">
        <v>0</v>
      </c>
      <c r="BS40" s="1804">
        <v>0</v>
      </c>
      <c r="BT40" s="1804">
        <v>0</v>
      </c>
      <c r="BU40" s="1804">
        <v>0</v>
      </c>
      <c r="BV40" s="1804">
        <v>0</v>
      </c>
      <c r="BW40" s="1804">
        <v>0</v>
      </c>
      <c r="BX40" s="1804">
        <v>0</v>
      </c>
      <c r="BY40" s="1804">
        <v>0</v>
      </c>
      <c r="BZ40" s="1804">
        <v>0</v>
      </c>
      <c r="CA40" s="1804">
        <v>0</v>
      </c>
      <c r="CB40" s="1804">
        <v>0</v>
      </c>
      <c r="CC40" s="1804">
        <v>0</v>
      </c>
      <c r="CD40" s="1804">
        <v>0</v>
      </c>
      <c r="CE40" s="1804">
        <v>0</v>
      </c>
      <c r="CF40" s="1804">
        <v>0</v>
      </c>
      <c r="CG40" s="1804">
        <v>0</v>
      </c>
      <c r="CH40" s="1804">
        <v>0</v>
      </c>
      <c r="CI40" s="1804">
        <v>0</v>
      </c>
      <c r="CJ40" s="1804">
        <v>0</v>
      </c>
      <c r="CK40" s="1804">
        <v>0</v>
      </c>
      <c r="CL40" s="1804">
        <v>0</v>
      </c>
      <c r="CM40" s="1804">
        <v>0</v>
      </c>
      <c r="CN40" s="1804">
        <v>0</v>
      </c>
      <c r="CO40" s="1804">
        <v>0</v>
      </c>
      <c r="CP40" s="1804">
        <v>0</v>
      </c>
      <c r="CQ40" s="1804">
        <v>0</v>
      </c>
      <c r="CR40" s="1804">
        <v>0</v>
      </c>
      <c r="CS40" s="1804">
        <v>0</v>
      </c>
      <c r="CT40" s="1804">
        <v>0</v>
      </c>
      <c r="CU40" s="1804">
        <v>0</v>
      </c>
      <c r="CV40" s="1804">
        <v>0</v>
      </c>
      <c r="CW40" s="1804">
        <v>0</v>
      </c>
      <c r="CX40" s="1804">
        <v>0</v>
      </c>
      <c r="CY40" s="1804">
        <v>0</v>
      </c>
      <c r="CZ40" s="1804">
        <v>0</v>
      </c>
      <c r="DA40" s="1804">
        <v>0</v>
      </c>
      <c r="DB40" s="1804">
        <v>0</v>
      </c>
      <c r="DC40" s="1804">
        <v>0</v>
      </c>
      <c r="DD40" s="1804">
        <v>0</v>
      </c>
      <c r="DE40" s="1804">
        <v>0</v>
      </c>
      <c r="DF40" s="1804">
        <v>0</v>
      </c>
      <c r="DG40" s="1804">
        <v>0</v>
      </c>
      <c r="DH40" s="1804">
        <v>0</v>
      </c>
      <c r="DI40" s="1804">
        <v>0</v>
      </c>
      <c r="DJ40" s="1804">
        <v>0</v>
      </c>
      <c r="DK40" s="1804">
        <v>0</v>
      </c>
      <c r="DL40" s="1804">
        <v>0</v>
      </c>
      <c r="DM40" s="1804">
        <v>0</v>
      </c>
      <c r="DN40" s="1804">
        <v>0</v>
      </c>
      <c r="DO40" s="1804">
        <v>0</v>
      </c>
      <c r="DP40" s="1804">
        <v>0</v>
      </c>
      <c r="DQ40" s="1804">
        <v>0</v>
      </c>
      <c r="DR40" s="1804">
        <v>0</v>
      </c>
      <c r="DS40" s="1804">
        <v>0</v>
      </c>
      <c r="DT40" s="1804">
        <v>0</v>
      </c>
      <c r="DU40" s="1804">
        <v>0</v>
      </c>
      <c r="DV40" s="1804">
        <v>0</v>
      </c>
      <c r="DW40" s="1804">
        <v>0</v>
      </c>
      <c r="DX40" s="1804">
        <v>0</v>
      </c>
      <c r="DY40" s="1804">
        <v>0</v>
      </c>
      <c r="DZ40" s="1804">
        <v>0</v>
      </c>
      <c r="EA40" s="1804">
        <v>0</v>
      </c>
      <c r="EB40" s="1804">
        <v>0</v>
      </c>
      <c r="EC40" s="1804">
        <v>0</v>
      </c>
      <c r="ED40" s="1804">
        <v>0</v>
      </c>
      <c r="EE40" s="1804">
        <v>0</v>
      </c>
      <c r="EF40" s="1804">
        <v>0</v>
      </c>
      <c r="EG40" s="1804">
        <v>0</v>
      </c>
      <c r="EH40" s="1804">
        <v>0</v>
      </c>
      <c r="EI40" s="1804">
        <v>0</v>
      </c>
      <c r="EJ40" s="1804">
        <v>0</v>
      </c>
      <c r="EK40" s="1804">
        <v>0</v>
      </c>
      <c r="EL40" s="1804">
        <v>0</v>
      </c>
      <c r="EM40" s="1804">
        <v>0</v>
      </c>
      <c r="EN40" s="1804">
        <v>0</v>
      </c>
      <c r="EO40" s="1804">
        <v>0</v>
      </c>
      <c r="EP40" s="1804">
        <v>0</v>
      </c>
      <c r="EQ40" s="1804">
        <v>0</v>
      </c>
      <c r="ER40" s="1804">
        <v>0</v>
      </c>
      <c r="ES40" s="1804">
        <v>0</v>
      </c>
      <c r="ET40" s="1804">
        <v>0</v>
      </c>
      <c r="EU40" s="1804">
        <v>0</v>
      </c>
      <c r="EV40" s="1804">
        <v>0</v>
      </c>
      <c r="EW40" s="1804">
        <v>0</v>
      </c>
      <c r="EX40" s="1804">
        <v>0</v>
      </c>
      <c r="EY40" s="1804">
        <v>0</v>
      </c>
      <c r="EZ40" s="1804">
        <v>0</v>
      </c>
      <c r="FA40" s="1804">
        <v>0</v>
      </c>
      <c r="FB40" s="1804">
        <v>0</v>
      </c>
      <c r="FC40" s="1804">
        <v>0</v>
      </c>
      <c r="FD40" s="1804">
        <v>0</v>
      </c>
      <c r="FE40" s="1804">
        <v>0</v>
      </c>
      <c r="FF40" s="1804">
        <v>0</v>
      </c>
      <c r="FG40" s="1804">
        <v>0</v>
      </c>
      <c r="FH40" s="1804">
        <v>0</v>
      </c>
      <c r="FI40" s="1804">
        <v>0</v>
      </c>
      <c r="FJ40" s="1804">
        <v>0</v>
      </c>
      <c r="FK40" s="1804">
        <v>0</v>
      </c>
      <c r="FL40" s="1804">
        <v>0</v>
      </c>
      <c r="FM40" s="1804">
        <v>0</v>
      </c>
      <c r="FN40" s="1804">
        <v>0</v>
      </c>
      <c r="FO40" s="1804">
        <v>0</v>
      </c>
      <c r="FP40" s="1804">
        <v>0</v>
      </c>
      <c r="FQ40" s="1804">
        <v>0</v>
      </c>
      <c r="FR40" s="1804">
        <v>0</v>
      </c>
      <c r="FS40" s="1804">
        <v>0</v>
      </c>
      <c r="FT40" s="1804">
        <v>0</v>
      </c>
      <c r="FU40" s="1804">
        <v>0</v>
      </c>
      <c r="FV40" s="1804">
        <v>0</v>
      </c>
      <c r="FW40" s="1804">
        <v>0</v>
      </c>
      <c r="FX40" s="1804">
        <v>0</v>
      </c>
      <c r="FY40" s="1804">
        <v>0</v>
      </c>
      <c r="FZ40" s="1804">
        <v>0</v>
      </c>
      <c r="GA40" s="1804">
        <v>0</v>
      </c>
      <c r="GB40" s="1804">
        <v>0</v>
      </c>
      <c r="GC40" s="1804">
        <v>0</v>
      </c>
      <c r="GD40" s="1804">
        <v>0</v>
      </c>
      <c r="GE40" s="1804">
        <v>0</v>
      </c>
      <c r="GF40" s="1804">
        <v>0</v>
      </c>
      <c r="GG40" s="1804">
        <v>0</v>
      </c>
      <c r="GH40" s="1804">
        <v>0</v>
      </c>
      <c r="GI40" s="1804">
        <v>0</v>
      </c>
      <c r="GJ40" s="1804">
        <v>0</v>
      </c>
      <c r="GK40" s="1804">
        <v>0</v>
      </c>
      <c r="GL40" s="1804">
        <v>0</v>
      </c>
      <c r="GM40" s="1804">
        <v>0</v>
      </c>
      <c r="GN40" s="1804">
        <v>0</v>
      </c>
      <c r="GO40" s="1804">
        <v>0</v>
      </c>
      <c r="GP40" s="1804">
        <v>0</v>
      </c>
      <c r="GQ40" s="1804">
        <v>0</v>
      </c>
      <c r="GR40" s="1804">
        <v>0</v>
      </c>
      <c r="GS40" s="1804">
        <v>0</v>
      </c>
      <c r="GT40" s="1804">
        <v>0</v>
      </c>
      <c r="GU40" s="1804">
        <v>0</v>
      </c>
      <c r="GV40" s="1804">
        <v>0</v>
      </c>
      <c r="GW40" s="1804">
        <v>0</v>
      </c>
      <c r="GX40" s="1804">
        <v>0</v>
      </c>
      <c r="GY40" s="1804">
        <v>0</v>
      </c>
      <c r="GZ40" s="1804">
        <v>0</v>
      </c>
      <c r="HA40" s="1804">
        <v>0</v>
      </c>
      <c r="HB40" s="1804">
        <v>0</v>
      </c>
      <c r="HC40" s="1804">
        <v>0</v>
      </c>
      <c r="HD40" s="1804">
        <v>0</v>
      </c>
      <c r="HE40" s="1804">
        <v>0</v>
      </c>
    </row>
    <row r="41" spans="1:1291" ht="15" customHeight="1" x14ac:dyDescent="0.2">
      <c r="A41" s="1966"/>
      <c r="B41" s="1970"/>
      <c r="C41" s="1816" t="s">
        <v>556</v>
      </c>
      <c r="D41" s="1881"/>
      <c r="E41" s="1983"/>
      <c r="F41" s="1838">
        <v>0</v>
      </c>
      <c r="G41" s="1804">
        <v>0</v>
      </c>
      <c r="H41" s="1804">
        <v>0</v>
      </c>
      <c r="I41" s="1804">
        <v>0</v>
      </c>
      <c r="J41" s="1804">
        <v>0</v>
      </c>
      <c r="K41" s="1804">
        <v>0</v>
      </c>
      <c r="L41" s="1804">
        <v>0</v>
      </c>
      <c r="M41" s="1804">
        <v>0</v>
      </c>
      <c r="N41" s="1804">
        <v>0</v>
      </c>
      <c r="O41" s="1804">
        <v>0</v>
      </c>
      <c r="P41" s="1804">
        <v>0</v>
      </c>
      <c r="Q41" s="1804">
        <v>0</v>
      </c>
      <c r="R41" s="1804">
        <v>0</v>
      </c>
      <c r="S41" s="1804">
        <v>0</v>
      </c>
      <c r="T41" s="1804">
        <v>0</v>
      </c>
      <c r="U41" s="1804">
        <v>0</v>
      </c>
      <c r="V41" s="1804">
        <v>0</v>
      </c>
      <c r="W41" s="1804">
        <v>0</v>
      </c>
      <c r="X41" s="1804">
        <v>0</v>
      </c>
      <c r="Y41" s="1804">
        <v>0</v>
      </c>
      <c r="Z41" s="1804">
        <v>0</v>
      </c>
      <c r="AA41" s="1804">
        <v>0</v>
      </c>
      <c r="AB41" s="1804">
        <v>0</v>
      </c>
      <c r="AC41" s="1804">
        <v>0</v>
      </c>
      <c r="AD41" s="1804">
        <v>0</v>
      </c>
      <c r="AE41" s="1804">
        <v>0</v>
      </c>
      <c r="AF41" s="1804">
        <v>0</v>
      </c>
      <c r="AG41" s="1804">
        <v>0</v>
      </c>
      <c r="AH41" s="1804">
        <v>0</v>
      </c>
      <c r="AI41" s="1804">
        <v>0</v>
      </c>
      <c r="AJ41" s="1804">
        <v>0</v>
      </c>
      <c r="AK41" s="1804">
        <v>0</v>
      </c>
      <c r="AL41" s="1804">
        <v>0</v>
      </c>
      <c r="AM41" s="1804">
        <v>0</v>
      </c>
      <c r="AN41" s="1804">
        <v>0</v>
      </c>
      <c r="AO41" s="1804">
        <v>0</v>
      </c>
      <c r="AP41" s="1804">
        <v>0</v>
      </c>
      <c r="AQ41" s="1804">
        <v>0</v>
      </c>
      <c r="AR41" s="1804">
        <v>0</v>
      </c>
      <c r="AS41" s="1804">
        <v>0</v>
      </c>
      <c r="AT41" s="1804">
        <v>0</v>
      </c>
      <c r="AU41" s="1804">
        <v>0</v>
      </c>
      <c r="AV41" s="1804">
        <v>0</v>
      </c>
      <c r="AW41" s="1804">
        <v>0</v>
      </c>
      <c r="AX41" s="1804">
        <v>0</v>
      </c>
      <c r="AY41" s="1804">
        <v>0</v>
      </c>
      <c r="AZ41" s="1804">
        <v>0</v>
      </c>
      <c r="BA41" s="1804">
        <v>0</v>
      </c>
      <c r="BB41" s="1804">
        <v>0</v>
      </c>
      <c r="BC41" s="1804">
        <v>0</v>
      </c>
      <c r="BD41" s="1804">
        <v>0</v>
      </c>
      <c r="BE41" s="1804">
        <v>0</v>
      </c>
      <c r="BF41" s="1804">
        <v>0</v>
      </c>
      <c r="BG41" s="1804">
        <v>0</v>
      </c>
      <c r="BH41" s="1804">
        <v>0</v>
      </c>
      <c r="BI41" s="1804">
        <v>0</v>
      </c>
      <c r="BJ41" s="1804">
        <v>0</v>
      </c>
      <c r="BK41" s="1804">
        <v>0</v>
      </c>
      <c r="BL41" s="1804">
        <v>0</v>
      </c>
      <c r="BM41" s="1804">
        <v>0</v>
      </c>
      <c r="BN41" s="1804">
        <v>0</v>
      </c>
      <c r="BO41" s="1804">
        <v>0</v>
      </c>
      <c r="BP41" s="1804">
        <v>0</v>
      </c>
      <c r="BQ41" s="1804">
        <v>0</v>
      </c>
      <c r="BR41" s="1804">
        <v>0</v>
      </c>
      <c r="BS41" s="1804">
        <v>0</v>
      </c>
      <c r="BT41" s="1804">
        <v>0</v>
      </c>
      <c r="BU41" s="1804">
        <v>0</v>
      </c>
      <c r="BV41" s="1804">
        <v>0</v>
      </c>
      <c r="BW41" s="1804">
        <v>0</v>
      </c>
      <c r="BX41" s="1804">
        <v>0</v>
      </c>
      <c r="BY41" s="1804">
        <v>0</v>
      </c>
      <c r="BZ41" s="1804">
        <v>0</v>
      </c>
      <c r="CA41" s="1804">
        <v>0</v>
      </c>
      <c r="CB41" s="1804">
        <v>0</v>
      </c>
      <c r="CC41" s="1804">
        <v>0</v>
      </c>
      <c r="CD41" s="1804">
        <v>0</v>
      </c>
      <c r="CE41" s="1804">
        <v>0</v>
      </c>
      <c r="CF41" s="1804">
        <v>0</v>
      </c>
      <c r="CG41" s="1804">
        <v>0</v>
      </c>
      <c r="CH41" s="1804">
        <v>0</v>
      </c>
      <c r="CI41" s="1804">
        <v>0</v>
      </c>
      <c r="CJ41" s="1804">
        <v>0</v>
      </c>
      <c r="CK41" s="1804">
        <v>0</v>
      </c>
      <c r="CL41" s="1804">
        <v>0</v>
      </c>
      <c r="CM41" s="1804">
        <v>0</v>
      </c>
      <c r="CN41" s="1804">
        <v>0</v>
      </c>
      <c r="CO41" s="1804">
        <v>0</v>
      </c>
      <c r="CP41" s="1804">
        <v>0</v>
      </c>
      <c r="CQ41" s="1804">
        <v>0</v>
      </c>
      <c r="CR41" s="1804">
        <v>0</v>
      </c>
      <c r="CS41" s="1804">
        <v>0</v>
      </c>
      <c r="CT41" s="1804">
        <v>0</v>
      </c>
      <c r="CU41" s="1804">
        <v>0</v>
      </c>
      <c r="CV41" s="1804">
        <v>0</v>
      </c>
      <c r="CW41" s="1804">
        <v>0</v>
      </c>
      <c r="CX41" s="1804">
        <v>0</v>
      </c>
      <c r="CY41" s="1804">
        <v>0</v>
      </c>
      <c r="CZ41" s="1804">
        <v>0</v>
      </c>
      <c r="DA41" s="1804">
        <v>0</v>
      </c>
      <c r="DB41" s="1804">
        <v>0</v>
      </c>
      <c r="DC41" s="1804">
        <v>0</v>
      </c>
      <c r="DD41" s="1804">
        <v>0</v>
      </c>
      <c r="DE41" s="1804">
        <v>0</v>
      </c>
      <c r="DF41" s="1804">
        <v>0</v>
      </c>
      <c r="DG41" s="1804">
        <v>0</v>
      </c>
      <c r="DH41" s="1804">
        <v>0</v>
      </c>
      <c r="DI41" s="1804">
        <v>0</v>
      </c>
      <c r="DJ41" s="1804">
        <v>0</v>
      </c>
      <c r="DK41" s="1804">
        <v>0</v>
      </c>
      <c r="DL41" s="1804">
        <v>0</v>
      </c>
      <c r="DM41" s="1804">
        <v>0</v>
      </c>
      <c r="DN41" s="1804">
        <v>0</v>
      </c>
      <c r="DO41" s="1804">
        <v>0</v>
      </c>
      <c r="DP41" s="1804">
        <v>0</v>
      </c>
      <c r="DQ41" s="1804">
        <v>0</v>
      </c>
      <c r="DR41" s="1804">
        <v>0</v>
      </c>
      <c r="DS41" s="1804">
        <v>0</v>
      </c>
      <c r="DT41" s="1804">
        <v>0</v>
      </c>
      <c r="DU41" s="1804">
        <v>0</v>
      </c>
      <c r="DV41" s="1804">
        <v>0</v>
      </c>
      <c r="DW41" s="1804">
        <v>0</v>
      </c>
      <c r="DX41" s="1804">
        <v>0</v>
      </c>
      <c r="DY41" s="1804">
        <v>0</v>
      </c>
      <c r="DZ41" s="1804">
        <v>0</v>
      </c>
      <c r="EA41" s="1804">
        <v>0</v>
      </c>
      <c r="EB41" s="1804">
        <v>0</v>
      </c>
      <c r="EC41" s="1804">
        <v>0</v>
      </c>
      <c r="ED41" s="1804">
        <v>0</v>
      </c>
      <c r="EE41" s="1804">
        <v>0</v>
      </c>
      <c r="EF41" s="1804">
        <v>0</v>
      </c>
      <c r="EG41" s="1804">
        <v>0</v>
      </c>
      <c r="EH41" s="1804">
        <v>0</v>
      </c>
      <c r="EI41" s="1804">
        <v>0</v>
      </c>
      <c r="EJ41" s="1804">
        <v>0</v>
      </c>
      <c r="EK41" s="1804">
        <v>0</v>
      </c>
      <c r="EL41" s="1804">
        <v>0</v>
      </c>
      <c r="EM41" s="1804">
        <v>0</v>
      </c>
      <c r="EN41" s="1804">
        <v>0</v>
      </c>
      <c r="EO41" s="1804">
        <v>0</v>
      </c>
      <c r="EP41" s="1804">
        <v>0</v>
      </c>
      <c r="EQ41" s="1804">
        <v>0</v>
      </c>
      <c r="ER41" s="1804">
        <v>0</v>
      </c>
      <c r="ES41" s="1804">
        <v>0</v>
      </c>
      <c r="ET41" s="1804">
        <v>0</v>
      </c>
      <c r="EU41" s="1804">
        <v>0</v>
      </c>
      <c r="EV41" s="1804">
        <v>0</v>
      </c>
      <c r="EW41" s="1804">
        <v>0</v>
      </c>
      <c r="EX41" s="1804">
        <v>0</v>
      </c>
      <c r="EY41" s="1804">
        <v>0</v>
      </c>
      <c r="EZ41" s="1804">
        <v>0</v>
      </c>
      <c r="FA41" s="1804">
        <v>0</v>
      </c>
      <c r="FB41" s="1804">
        <v>0</v>
      </c>
      <c r="FC41" s="1804">
        <v>0</v>
      </c>
      <c r="FD41" s="1804">
        <v>0</v>
      </c>
      <c r="FE41" s="1804">
        <v>0</v>
      </c>
      <c r="FF41" s="1804">
        <v>0</v>
      </c>
      <c r="FG41" s="1804">
        <v>0</v>
      </c>
      <c r="FH41" s="1804">
        <v>0</v>
      </c>
      <c r="FI41" s="1804">
        <v>0</v>
      </c>
      <c r="FJ41" s="1804">
        <v>0</v>
      </c>
      <c r="FK41" s="1804">
        <v>0</v>
      </c>
      <c r="FL41" s="1804">
        <v>0</v>
      </c>
      <c r="FM41" s="1804">
        <v>0</v>
      </c>
      <c r="FN41" s="1804">
        <v>0</v>
      </c>
      <c r="FO41" s="1804">
        <v>0</v>
      </c>
      <c r="FP41" s="1804">
        <v>0</v>
      </c>
      <c r="FQ41" s="1804">
        <v>0</v>
      </c>
      <c r="FR41" s="1804">
        <v>0</v>
      </c>
      <c r="FS41" s="1804">
        <v>0</v>
      </c>
      <c r="FT41" s="1804">
        <v>0</v>
      </c>
      <c r="FU41" s="1804">
        <v>0</v>
      </c>
      <c r="FV41" s="1804">
        <v>0</v>
      </c>
      <c r="FW41" s="1804">
        <v>0</v>
      </c>
      <c r="FX41" s="1804">
        <v>0</v>
      </c>
      <c r="FY41" s="1804">
        <v>0</v>
      </c>
      <c r="FZ41" s="1804">
        <v>0</v>
      </c>
      <c r="GA41" s="1804">
        <v>0</v>
      </c>
      <c r="GB41" s="1804">
        <v>0</v>
      </c>
      <c r="GC41" s="1804">
        <v>0</v>
      </c>
      <c r="GD41" s="1804">
        <v>0</v>
      </c>
      <c r="GE41" s="1804">
        <v>0</v>
      </c>
      <c r="GF41" s="1804">
        <v>0</v>
      </c>
      <c r="GG41" s="1804">
        <v>0</v>
      </c>
      <c r="GH41" s="1804">
        <v>0</v>
      </c>
      <c r="GI41" s="1804">
        <v>0</v>
      </c>
      <c r="GJ41" s="1804">
        <v>0</v>
      </c>
      <c r="GK41" s="1804">
        <v>0</v>
      </c>
      <c r="GL41" s="1804">
        <v>0</v>
      </c>
      <c r="GM41" s="1804">
        <v>0</v>
      </c>
      <c r="GN41" s="1804">
        <v>0</v>
      </c>
      <c r="GO41" s="1804">
        <v>0</v>
      </c>
      <c r="GP41" s="1804">
        <v>0</v>
      </c>
      <c r="GQ41" s="1804">
        <v>0</v>
      </c>
      <c r="GR41" s="1804">
        <v>0</v>
      </c>
      <c r="GS41" s="1804">
        <v>0</v>
      </c>
      <c r="GT41" s="1804">
        <v>0</v>
      </c>
      <c r="GU41" s="1804">
        <v>0</v>
      </c>
      <c r="GV41" s="1804">
        <v>0</v>
      </c>
      <c r="GW41" s="1804">
        <v>0</v>
      </c>
      <c r="GX41" s="1804">
        <v>0</v>
      </c>
      <c r="GY41" s="1804">
        <v>0</v>
      </c>
      <c r="GZ41" s="1804">
        <v>0</v>
      </c>
      <c r="HA41" s="1804">
        <v>0</v>
      </c>
      <c r="HB41" s="1804">
        <v>0</v>
      </c>
      <c r="HC41" s="1804">
        <v>0</v>
      </c>
      <c r="HD41" s="1804">
        <v>0</v>
      </c>
      <c r="HE41" s="1804">
        <v>0</v>
      </c>
    </row>
    <row r="42" spans="1:1291" ht="15" customHeight="1" x14ac:dyDescent="0.2">
      <c r="A42" s="1966"/>
      <c r="B42" s="1970"/>
      <c r="C42" s="1816" t="s">
        <v>557</v>
      </c>
      <c r="D42" s="1881"/>
      <c r="E42" s="1983"/>
      <c r="F42" s="1838">
        <v>0</v>
      </c>
      <c r="G42" s="1804">
        <v>0</v>
      </c>
      <c r="H42" s="1804">
        <v>0</v>
      </c>
      <c r="I42" s="1804">
        <v>0</v>
      </c>
      <c r="J42" s="1804">
        <v>0</v>
      </c>
      <c r="K42" s="1804">
        <v>0</v>
      </c>
      <c r="L42" s="1804">
        <v>0</v>
      </c>
      <c r="M42" s="1804">
        <v>0</v>
      </c>
      <c r="N42" s="1804">
        <v>0</v>
      </c>
      <c r="O42" s="1804">
        <v>0</v>
      </c>
      <c r="P42" s="1804">
        <v>0</v>
      </c>
      <c r="Q42" s="1804">
        <v>0</v>
      </c>
      <c r="R42" s="1804">
        <v>0</v>
      </c>
      <c r="S42" s="1804">
        <v>0</v>
      </c>
      <c r="T42" s="1804">
        <v>0</v>
      </c>
      <c r="U42" s="1804">
        <v>0</v>
      </c>
      <c r="V42" s="1804">
        <v>0</v>
      </c>
      <c r="W42" s="1804">
        <v>0</v>
      </c>
      <c r="X42" s="1804">
        <v>0</v>
      </c>
      <c r="Y42" s="1804">
        <v>0</v>
      </c>
      <c r="Z42" s="1804">
        <v>0</v>
      </c>
      <c r="AA42" s="1804">
        <v>0</v>
      </c>
      <c r="AB42" s="1804">
        <v>0</v>
      </c>
      <c r="AC42" s="1804">
        <v>0</v>
      </c>
      <c r="AD42" s="1804">
        <v>0</v>
      </c>
      <c r="AE42" s="1804">
        <v>0</v>
      </c>
      <c r="AF42" s="1804">
        <v>0</v>
      </c>
      <c r="AG42" s="1804">
        <v>0</v>
      </c>
      <c r="AH42" s="1804">
        <v>0</v>
      </c>
      <c r="AI42" s="1804">
        <v>0</v>
      </c>
      <c r="AJ42" s="1804">
        <v>0</v>
      </c>
      <c r="AK42" s="1804">
        <v>0</v>
      </c>
      <c r="AL42" s="1804">
        <v>0</v>
      </c>
      <c r="AM42" s="1804">
        <v>0</v>
      </c>
      <c r="AN42" s="1804">
        <v>0</v>
      </c>
      <c r="AO42" s="1804">
        <v>0</v>
      </c>
      <c r="AP42" s="1804">
        <v>0</v>
      </c>
      <c r="AQ42" s="1804">
        <v>0</v>
      </c>
      <c r="AR42" s="1804">
        <v>0</v>
      </c>
      <c r="AS42" s="1804">
        <v>0</v>
      </c>
      <c r="AT42" s="1804">
        <v>0</v>
      </c>
      <c r="AU42" s="1804">
        <v>0</v>
      </c>
      <c r="AV42" s="1804">
        <v>0</v>
      </c>
      <c r="AW42" s="1804">
        <v>0</v>
      </c>
      <c r="AX42" s="1804">
        <v>0</v>
      </c>
      <c r="AY42" s="1804">
        <v>0</v>
      </c>
      <c r="AZ42" s="1804">
        <v>0</v>
      </c>
      <c r="BA42" s="1804">
        <v>0</v>
      </c>
      <c r="BB42" s="1804">
        <v>0</v>
      </c>
      <c r="BC42" s="1804">
        <v>0</v>
      </c>
      <c r="BD42" s="1804">
        <v>0</v>
      </c>
      <c r="BE42" s="1804">
        <v>0</v>
      </c>
      <c r="BF42" s="1804">
        <v>0</v>
      </c>
      <c r="BG42" s="1804">
        <v>0</v>
      </c>
      <c r="BH42" s="1804">
        <v>0</v>
      </c>
      <c r="BI42" s="1804">
        <v>0</v>
      </c>
      <c r="BJ42" s="1804">
        <v>0</v>
      </c>
      <c r="BK42" s="1804">
        <v>0</v>
      </c>
      <c r="BL42" s="1804">
        <v>0</v>
      </c>
      <c r="BM42" s="1804">
        <v>0</v>
      </c>
      <c r="BN42" s="1804">
        <v>0</v>
      </c>
      <c r="BO42" s="1804">
        <v>0</v>
      </c>
      <c r="BP42" s="1804">
        <v>0</v>
      </c>
      <c r="BQ42" s="1804">
        <v>0</v>
      </c>
      <c r="BR42" s="1804">
        <v>0</v>
      </c>
      <c r="BS42" s="1804">
        <v>0</v>
      </c>
      <c r="BT42" s="1804">
        <v>0</v>
      </c>
      <c r="BU42" s="1804">
        <v>0</v>
      </c>
      <c r="BV42" s="1804">
        <v>0</v>
      </c>
      <c r="BW42" s="1804">
        <v>0</v>
      </c>
      <c r="BX42" s="1804">
        <v>0</v>
      </c>
      <c r="BY42" s="1804">
        <v>0</v>
      </c>
      <c r="BZ42" s="1804">
        <v>0</v>
      </c>
      <c r="CA42" s="1804">
        <v>0</v>
      </c>
      <c r="CB42" s="1804">
        <v>0</v>
      </c>
      <c r="CC42" s="1804">
        <v>0</v>
      </c>
      <c r="CD42" s="1804">
        <v>0</v>
      </c>
      <c r="CE42" s="1804">
        <v>0</v>
      </c>
      <c r="CF42" s="1804">
        <v>0</v>
      </c>
      <c r="CG42" s="1804">
        <v>0</v>
      </c>
      <c r="CH42" s="1804">
        <v>0</v>
      </c>
      <c r="CI42" s="1804">
        <v>0</v>
      </c>
      <c r="CJ42" s="1804">
        <v>0</v>
      </c>
      <c r="CK42" s="1804">
        <v>0</v>
      </c>
      <c r="CL42" s="1804">
        <v>0</v>
      </c>
      <c r="CM42" s="1804">
        <v>0</v>
      </c>
      <c r="CN42" s="1804">
        <v>0</v>
      </c>
      <c r="CO42" s="1804">
        <v>0</v>
      </c>
      <c r="CP42" s="1804">
        <v>0</v>
      </c>
      <c r="CQ42" s="1804">
        <v>0</v>
      </c>
      <c r="CR42" s="1804">
        <v>0</v>
      </c>
      <c r="CS42" s="1804">
        <v>0</v>
      </c>
      <c r="CT42" s="1804">
        <v>0</v>
      </c>
      <c r="CU42" s="1804">
        <v>0</v>
      </c>
      <c r="CV42" s="1804">
        <v>0</v>
      </c>
      <c r="CW42" s="1804">
        <v>0</v>
      </c>
      <c r="CX42" s="1804">
        <v>0</v>
      </c>
      <c r="CY42" s="1804">
        <v>0</v>
      </c>
      <c r="CZ42" s="1804">
        <v>0</v>
      </c>
      <c r="DA42" s="1804">
        <v>0</v>
      </c>
      <c r="DB42" s="1804">
        <v>0</v>
      </c>
      <c r="DC42" s="1804">
        <v>0</v>
      </c>
      <c r="DD42" s="1804">
        <v>0</v>
      </c>
      <c r="DE42" s="1804">
        <v>0</v>
      </c>
      <c r="DF42" s="1804">
        <v>0</v>
      </c>
      <c r="DG42" s="1804">
        <v>0</v>
      </c>
      <c r="DH42" s="1804">
        <v>0</v>
      </c>
      <c r="DI42" s="1804">
        <v>0</v>
      </c>
      <c r="DJ42" s="1804">
        <v>0</v>
      </c>
      <c r="DK42" s="1804">
        <v>0</v>
      </c>
      <c r="DL42" s="1804">
        <v>0</v>
      </c>
      <c r="DM42" s="1804">
        <v>0</v>
      </c>
      <c r="DN42" s="1804">
        <v>0</v>
      </c>
      <c r="DO42" s="1804">
        <v>0</v>
      </c>
      <c r="DP42" s="1804">
        <v>0</v>
      </c>
      <c r="DQ42" s="1804">
        <v>0</v>
      </c>
      <c r="DR42" s="1804">
        <v>0</v>
      </c>
      <c r="DS42" s="1804">
        <v>0</v>
      </c>
      <c r="DT42" s="1804">
        <v>0</v>
      </c>
      <c r="DU42" s="1804">
        <v>0</v>
      </c>
      <c r="DV42" s="1804">
        <v>0</v>
      </c>
      <c r="DW42" s="1804">
        <v>0</v>
      </c>
      <c r="DX42" s="1804">
        <v>0</v>
      </c>
      <c r="DY42" s="1804">
        <v>0</v>
      </c>
      <c r="DZ42" s="1804">
        <v>0</v>
      </c>
      <c r="EA42" s="1804">
        <v>0</v>
      </c>
      <c r="EB42" s="1804">
        <v>0</v>
      </c>
      <c r="EC42" s="1804">
        <v>0</v>
      </c>
      <c r="ED42" s="1804">
        <v>0</v>
      </c>
      <c r="EE42" s="1804">
        <v>0</v>
      </c>
      <c r="EF42" s="1804">
        <v>0</v>
      </c>
      <c r="EG42" s="1804">
        <v>0</v>
      </c>
      <c r="EH42" s="1804">
        <v>0</v>
      </c>
      <c r="EI42" s="1804">
        <v>0</v>
      </c>
      <c r="EJ42" s="1804">
        <v>0</v>
      </c>
      <c r="EK42" s="1804">
        <v>0</v>
      </c>
      <c r="EL42" s="1804">
        <v>0</v>
      </c>
      <c r="EM42" s="1804">
        <v>0</v>
      </c>
      <c r="EN42" s="1804">
        <v>0</v>
      </c>
      <c r="EO42" s="1804">
        <v>0</v>
      </c>
      <c r="EP42" s="1804">
        <v>0</v>
      </c>
      <c r="EQ42" s="1804">
        <v>0</v>
      </c>
      <c r="ER42" s="1804">
        <v>0</v>
      </c>
      <c r="ES42" s="1804">
        <v>0</v>
      </c>
      <c r="ET42" s="1804">
        <v>0</v>
      </c>
      <c r="EU42" s="1804">
        <v>0</v>
      </c>
      <c r="EV42" s="1804">
        <v>0</v>
      </c>
      <c r="EW42" s="1804">
        <v>0</v>
      </c>
      <c r="EX42" s="1804">
        <v>0</v>
      </c>
      <c r="EY42" s="1804">
        <v>0</v>
      </c>
      <c r="EZ42" s="1804">
        <v>0</v>
      </c>
      <c r="FA42" s="1804">
        <v>0</v>
      </c>
      <c r="FB42" s="1804">
        <v>0</v>
      </c>
      <c r="FC42" s="1804">
        <v>0</v>
      </c>
      <c r="FD42" s="1804">
        <v>0</v>
      </c>
      <c r="FE42" s="1804">
        <v>0</v>
      </c>
      <c r="FF42" s="1804">
        <v>0</v>
      </c>
      <c r="FG42" s="1804">
        <v>0</v>
      </c>
      <c r="FH42" s="1804">
        <v>0</v>
      </c>
      <c r="FI42" s="1804">
        <v>0</v>
      </c>
      <c r="FJ42" s="1804">
        <v>0</v>
      </c>
      <c r="FK42" s="1804">
        <v>0</v>
      </c>
      <c r="FL42" s="1804">
        <v>0</v>
      </c>
      <c r="FM42" s="1804">
        <v>0</v>
      </c>
      <c r="FN42" s="1804">
        <v>0</v>
      </c>
      <c r="FO42" s="1804">
        <v>0</v>
      </c>
      <c r="FP42" s="1804">
        <v>0</v>
      </c>
      <c r="FQ42" s="1804">
        <v>0</v>
      </c>
      <c r="FR42" s="1804">
        <v>0</v>
      </c>
      <c r="FS42" s="1804">
        <v>0</v>
      </c>
      <c r="FT42" s="1804">
        <v>0</v>
      </c>
      <c r="FU42" s="1804">
        <v>0</v>
      </c>
      <c r="FV42" s="1804">
        <v>0</v>
      </c>
      <c r="FW42" s="1804">
        <v>0</v>
      </c>
      <c r="FX42" s="1804">
        <v>0</v>
      </c>
      <c r="FY42" s="1804">
        <v>0</v>
      </c>
      <c r="FZ42" s="1804">
        <v>0</v>
      </c>
      <c r="GA42" s="1804">
        <v>0</v>
      </c>
      <c r="GB42" s="1804">
        <v>0</v>
      </c>
      <c r="GC42" s="1804">
        <v>0</v>
      </c>
      <c r="GD42" s="1804">
        <v>0</v>
      </c>
      <c r="GE42" s="1804">
        <v>0</v>
      </c>
      <c r="GF42" s="1804">
        <v>0</v>
      </c>
      <c r="GG42" s="1804">
        <v>0</v>
      </c>
      <c r="GH42" s="1804">
        <v>0</v>
      </c>
      <c r="GI42" s="1804">
        <v>0</v>
      </c>
      <c r="GJ42" s="1804">
        <v>0</v>
      </c>
      <c r="GK42" s="1804">
        <v>0</v>
      </c>
      <c r="GL42" s="1804">
        <v>0</v>
      </c>
      <c r="GM42" s="1804">
        <v>0</v>
      </c>
      <c r="GN42" s="1804">
        <v>0</v>
      </c>
      <c r="GO42" s="1804">
        <v>0</v>
      </c>
      <c r="GP42" s="1804">
        <v>0</v>
      </c>
      <c r="GQ42" s="1804">
        <v>0</v>
      </c>
      <c r="GR42" s="1804">
        <v>0</v>
      </c>
      <c r="GS42" s="1804">
        <v>0</v>
      </c>
      <c r="GT42" s="1804">
        <v>0</v>
      </c>
      <c r="GU42" s="1804">
        <v>0</v>
      </c>
      <c r="GV42" s="1804">
        <v>0</v>
      </c>
      <c r="GW42" s="1804">
        <v>0</v>
      </c>
      <c r="GX42" s="1804">
        <v>0</v>
      </c>
      <c r="GY42" s="1804">
        <v>0</v>
      </c>
      <c r="GZ42" s="1804">
        <v>0</v>
      </c>
      <c r="HA42" s="1804">
        <v>0</v>
      </c>
      <c r="HB42" s="1804">
        <v>0</v>
      </c>
      <c r="HC42" s="1804">
        <v>0</v>
      </c>
      <c r="HD42" s="1804">
        <v>0</v>
      </c>
      <c r="HE42" s="1804">
        <v>0</v>
      </c>
    </row>
    <row r="43" spans="1:1291" ht="15" customHeight="1" x14ac:dyDescent="0.2">
      <c r="A43" s="1966"/>
      <c r="B43" s="1970"/>
      <c r="C43" s="1816" t="s">
        <v>558</v>
      </c>
      <c r="D43" s="1881"/>
      <c r="E43" s="1983"/>
      <c r="F43" s="1838">
        <v>0</v>
      </c>
      <c r="G43" s="1804">
        <v>0</v>
      </c>
      <c r="H43" s="1804">
        <v>0</v>
      </c>
      <c r="I43" s="1804">
        <v>0</v>
      </c>
      <c r="J43" s="1804">
        <v>0</v>
      </c>
      <c r="K43" s="1804">
        <v>0</v>
      </c>
      <c r="L43" s="1804">
        <v>0</v>
      </c>
      <c r="M43" s="1804">
        <v>0</v>
      </c>
      <c r="N43" s="1804">
        <v>0</v>
      </c>
      <c r="O43" s="1804">
        <v>0</v>
      </c>
      <c r="P43" s="1804">
        <v>0</v>
      </c>
      <c r="Q43" s="1804">
        <v>0</v>
      </c>
      <c r="R43" s="1804">
        <v>0</v>
      </c>
      <c r="S43" s="1804">
        <v>0</v>
      </c>
      <c r="T43" s="1804">
        <v>0</v>
      </c>
      <c r="U43" s="1804">
        <v>0</v>
      </c>
      <c r="V43" s="1804">
        <v>0</v>
      </c>
      <c r="W43" s="1804">
        <v>0</v>
      </c>
      <c r="X43" s="1804">
        <v>0</v>
      </c>
      <c r="Y43" s="1804">
        <v>0</v>
      </c>
      <c r="Z43" s="1804">
        <v>0</v>
      </c>
      <c r="AA43" s="1804">
        <v>0</v>
      </c>
      <c r="AB43" s="1804">
        <v>0</v>
      </c>
      <c r="AC43" s="1804">
        <v>0</v>
      </c>
      <c r="AD43" s="1804">
        <v>0</v>
      </c>
      <c r="AE43" s="1804">
        <v>0</v>
      </c>
      <c r="AF43" s="1804">
        <v>0</v>
      </c>
      <c r="AG43" s="1804">
        <v>0</v>
      </c>
      <c r="AH43" s="1804">
        <v>0</v>
      </c>
      <c r="AI43" s="1804">
        <v>0</v>
      </c>
      <c r="AJ43" s="1804">
        <v>0</v>
      </c>
      <c r="AK43" s="1804">
        <v>0</v>
      </c>
      <c r="AL43" s="1804">
        <v>0</v>
      </c>
      <c r="AM43" s="1804">
        <v>0</v>
      </c>
      <c r="AN43" s="1804">
        <v>0</v>
      </c>
      <c r="AO43" s="1804">
        <v>0</v>
      </c>
      <c r="AP43" s="1804">
        <v>0</v>
      </c>
      <c r="AQ43" s="1804">
        <v>0</v>
      </c>
      <c r="AR43" s="1804">
        <v>0</v>
      </c>
      <c r="AS43" s="1804">
        <v>0</v>
      </c>
      <c r="AT43" s="1804">
        <v>0</v>
      </c>
      <c r="AU43" s="1804">
        <v>0</v>
      </c>
      <c r="AV43" s="1804">
        <v>0</v>
      </c>
      <c r="AW43" s="1804">
        <v>0</v>
      </c>
      <c r="AX43" s="1804">
        <v>0</v>
      </c>
      <c r="AY43" s="1804">
        <v>0</v>
      </c>
      <c r="AZ43" s="1804">
        <v>0</v>
      </c>
      <c r="BA43" s="1804">
        <v>0</v>
      </c>
      <c r="BB43" s="1804">
        <v>0</v>
      </c>
      <c r="BC43" s="1804">
        <v>0</v>
      </c>
      <c r="BD43" s="1804">
        <v>0</v>
      </c>
      <c r="BE43" s="1804">
        <v>0</v>
      </c>
      <c r="BF43" s="1804">
        <v>0</v>
      </c>
      <c r="BG43" s="1804">
        <v>0</v>
      </c>
      <c r="BH43" s="1804">
        <v>0</v>
      </c>
      <c r="BI43" s="1804">
        <v>0</v>
      </c>
      <c r="BJ43" s="1804">
        <v>0</v>
      </c>
      <c r="BK43" s="1804">
        <v>0</v>
      </c>
      <c r="BL43" s="1804">
        <v>0</v>
      </c>
      <c r="BM43" s="1804">
        <v>0</v>
      </c>
      <c r="BN43" s="1804">
        <v>0</v>
      </c>
      <c r="BO43" s="1804">
        <v>0</v>
      </c>
      <c r="BP43" s="1804">
        <v>0</v>
      </c>
      <c r="BQ43" s="1804">
        <v>0</v>
      </c>
      <c r="BR43" s="1804">
        <v>0</v>
      </c>
      <c r="BS43" s="1804">
        <v>0</v>
      </c>
      <c r="BT43" s="1804">
        <v>0</v>
      </c>
      <c r="BU43" s="1804">
        <v>0</v>
      </c>
      <c r="BV43" s="1804">
        <v>0</v>
      </c>
      <c r="BW43" s="1804">
        <v>0</v>
      </c>
      <c r="BX43" s="1804">
        <v>0</v>
      </c>
      <c r="BY43" s="1804">
        <v>0</v>
      </c>
      <c r="BZ43" s="1804">
        <v>0</v>
      </c>
      <c r="CA43" s="1804">
        <v>0</v>
      </c>
      <c r="CB43" s="1804">
        <v>0</v>
      </c>
      <c r="CC43" s="1804">
        <v>0</v>
      </c>
      <c r="CD43" s="1804">
        <v>0</v>
      </c>
      <c r="CE43" s="1804">
        <v>0</v>
      </c>
      <c r="CF43" s="1804">
        <v>0</v>
      </c>
      <c r="CG43" s="1804">
        <v>0</v>
      </c>
      <c r="CH43" s="1804">
        <v>0</v>
      </c>
      <c r="CI43" s="1804">
        <v>0</v>
      </c>
      <c r="CJ43" s="1804">
        <v>0</v>
      </c>
      <c r="CK43" s="1804">
        <v>0</v>
      </c>
      <c r="CL43" s="1804">
        <v>0</v>
      </c>
      <c r="CM43" s="1804">
        <v>0</v>
      </c>
      <c r="CN43" s="1804">
        <v>0</v>
      </c>
      <c r="CO43" s="1804">
        <v>0</v>
      </c>
      <c r="CP43" s="1804">
        <v>0</v>
      </c>
      <c r="CQ43" s="1804">
        <v>0</v>
      </c>
      <c r="CR43" s="1804">
        <v>0</v>
      </c>
      <c r="CS43" s="1804">
        <v>0</v>
      </c>
      <c r="CT43" s="1804">
        <v>0</v>
      </c>
      <c r="CU43" s="1804">
        <v>0</v>
      </c>
      <c r="CV43" s="1804">
        <v>0</v>
      </c>
      <c r="CW43" s="1804">
        <v>0</v>
      </c>
      <c r="CX43" s="1804">
        <v>0</v>
      </c>
      <c r="CY43" s="1804">
        <v>0</v>
      </c>
      <c r="CZ43" s="1804">
        <v>0</v>
      </c>
      <c r="DA43" s="1804">
        <v>0</v>
      </c>
      <c r="DB43" s="1804">
        <v>0</v>
      </c>
      <c r="DC43" s="1804">
        <v>0</v>
      </c>
      <c r="DD43" s="1804">
        <v>0</v>
      </c>
      <c r="DE43" s="1804">
        <v>0</v>
      </c>
      <c r="DF43" s="1804">
        <v>0</v>
      </c>
      <c r="DG43" s="1804">
        <v>0</v>
      </c>
      <c r="DH43" s="1804">
        <v>0</v>
      </c>
      <c r="DI43" s="1804">
        <v>0</v>
      </c>
      <c r="DJ43" s="1804">
        <v>0</v>
      </c>
      <c r="DK43" s="1804">
        <v>0</v>
      </c>
      <c r="DL43" s="1804">
        <v>0</v>
      </c>
      <c r="DM43" s="1804">
        <v>0</v>
      </c>
      <c r="DN43" s="1804">
        <v>0</v>
      </c>
      <c r="DO43" s="1804">
        <v>0</v>
      </c>
      <c r="DP43" s="1804">
        <v>0</v>
      </c>
      <c r="DQ43" s="1804">
        <v>0</v>
      </c>
      <c r="DR43" s="1804">
        <v>0</v>
      </c>
      <c r="DS43" s="1804">
        <v>0</v>
      </c>
      <c r="DT43" s="1804">
        <v>0</v>
      </c>
      <c r="DU43" s="1804">
        <v>0</v>
      </c>
      <c r="DV43" s="1804">
        <v>0</v>
      </c>
      <c r="DW43" s="1804">
        <v>0</v>
      </c>
      <c r="DX43" s="1804">
        <v>0</v>
      </c>
      <c r="DY43" s="1804">
        <v>0</v>
      </c>
      <c r="DZ43" s="1804">
        <v>0</v>
      </c>
      <c r="EA43" s="1804">
        <v>0</v>
      </c>
      <c r="EB43" s="1804">
        <v>0</v>
      </c>
      <c r="EC43" s="1804">
        <v>0</v>
      </c>
      <c r="ED43" s="1804">
        <v>0</v>
      </c>
      <c r="EE43" s="1804">
        <v>0</v>
      </c>
      <c r="EF43" s="1804">
        <v>0</v>
      </c>
      <c r="EG43" s="1804">
        <v>0</v>
      </c>
      <c r="EH43" s="1804">
        <v>0</v>
      </c>
      <c r="EI43" s="1804">
        <v>0</v>
      </c>
      <c r="EJ43" s="1804">
        <v>0</v>
      </c>
      <c r="EK43" s="1804">
        <v>0</v>
      </c>
      <c r="EL43" s="1804">
        <v>0</v>
      </c>
      <c r="EM43" s="1804">
        <v>0</v>
      </c>
      <c r="EN43" s="1804">
        <v>0</v>
      </c>
      <c r="EO43" s="1804">
        <v>0</v>
      </c>
      <c r="EP43" s="1804">
        <v>0</v>
      </c>
      <c r="EQ43" s="1804">
        <v>0</v>
      </c>
      <c r="ER43" s="1804">
        <v>0</v>
      </c>
      <c r="ES43" s="1804">
        <v>0</v>
      </c>
      <c r="ET43" s="1804">
        <v>0</v>
      </c>
      <c r="EU43" s="1804">
        <v>0</v>
      </c>
      <c r="EV43" s="1804">
        <v>0</v>
      </c>
      <c r="EW43" s="1804">
        <v>0</v>
      </c>
      <c r="EX43" s="1804">
        <v>0</v>
      </c>
      <c r="EY43" s="1804">
        <v>0</v>
      </c>
      <c r="EZ43" s="1804">
        <v>0</v>
      </c>
      <c r="FA43" s="1804">
        <v>0</v>
      </c>
      <c r="FB43" s="1804">
        <v>0</v>
      </c>
      <c r="FC43" s="1804">
        <v>0</v>
      </c>
      <c r="FD43" s="1804">
        <v>0</v>
      </c>
      <c r="FE43" s="1804">
        <v>0</v>
      </c>
      <c r="FF43" s="1804">
        <v>0</v>
      </c>
      <c r="FG43" s="1804">
        <v>0</v>
      </c>
      <c r="FH43" s="1804">
        <v>0</v>
      </c>
      <c r="FI43" s="1804">
        <v>0</v>
      </c>
      <c r="FJ43" s="1804">
        <v>0</v>
      </c>
      <c r="FK43" s="1804">
        <v>0</v>
      </c>
      <c r="FL43" s="1804">
        <v>0</v>
      </c>
      <c r="FM43" s="1804">
        <v>0</v>
      </c>
      <c r="FN43" s="1804">
        <v>0</v>
      </c>
      <c r="FO43" s="1804">
        <v>0</v>
      </c>
      <c r="FP43" s="1804">
        <v>0</v>
      </c>
      <c r="FQ43" s="1804">
        <v>0</v>
      </c>
      <c r="FR43" s="1804">
        <v>0</v>
      </c>
      <c r="FS43" s="1804">
        <v>0</v>
      </c>
      <c r="FT43" s="1804">
        <v>0</v>
      </c>
      <c r="FU43" s="1804">
        <v>0</v>
      </c>
      <c r="FV43" s="1804">
        <v>0</v>
      </c>
      <c r="FW43" s="1804">
        <v>0</v>
      </c>
      <c r="FX43" s="1804">
        <v>0</v>
      </c>
      <c r="FY43" s="1804">
        <v>0</v>
      </c>
      <c r="FZ43" s="1804">
        <v>0</v>
      </c>
      <c r="GA43" s="1804">
        <v>0</v>
      </c>
      <c r="GB43" s="1804">
        <v>0</v>
      </c>
      <c r="GC43" s="1804">
        <v>0</v>
      </c>
      <c r="GD43" s="1804">
        <v>0</v>
      </c>
      <c r="GE43" s="1804">
        <v>0</v>
      </c>
      <c r="GF43" s="1804">
        <v>0</v>
      </c>
      <c r="GG43" s="1804">
        <v>0</v>
      </c>
      <c r="GH43" s="1804">
        <v>0</v>
      </c>
      <c r="GI43" s="1804">
        <v>0</v>
      </c>
      <c r="GJ43" s="1804">
        <v>0</v>
      </c>
      <c r="GK43" s="1804">
        <v>0</v>
      </c>
      <c r="GL43" s="1804">
        <v>0</v>
      </c>
      <c r="GM43" s="1804">
        <v>0</v>
      </c>
      <c r="GN43" s="1804">
        <v>0</v>
      </c>
      <c r="GO43" s="1804">
        <v>0</v>
      </c>
      <c r="GP43" s="1804">
        <v>0</v>
      </c>
      <c r="GQ43" s="1804">
        <v>0</v>
      </c>
      <c r="GR43" s="1804">
        <v>0</v>
      </c>
      <c r="GS43" s="1804">
        <v>0</v>
      </c>
      <c r="GT43" s="1804">
        <v>0</v>
      </c>
      <c r="GU43" s="1804">
        <v>0</v>
      </c>
      <c r="GV43" s="1804">
        <v>0</v>
      </c>
      <c r="GW43" s="1804">
        <v>0</v>
      </c>
      <c r="GX43" s="1804">
        <v>0</v>
      </c>
      <c r="GY43" s="1804">
        <v>0</v>
      </c>
      <c r="GZ43" s="1804">
        <v>0</v>
      </c>
      <c r="HA43" s="1804">
        <v>0</v>
      </c>
      <c r="HB43" s="1804">
        <v>0</v>
      </c>
      <c r="HC43" s="1804">
        <v>0</v>
      </c>
      <c r="HD43" s="1804">
        <v>0</v>
      </c>
      <c r="HE43" s="1804">
        <v>0</v>
      </c>
    </row>
    <row r="44" spans="1:1291" ht="15" customHeight="1" thickBot="1" x14ac:dyDescent="0.25">
      <c r="A44" s="1967"/>
      <c r="B44" s="1970"/>
      <c r="C44" s="1691" t="s">
        <v>559</v>
      </c>
      <c r="D44" s="1881"/>
      <c r="E44" s="1983"/>
      <c r="F44" s="1838">
        <v>0</v>
      </c>
      <c r="G44" s="1804">
        <v>0</v>
      </c>
      <c r="H44" s="1804">
        <v>0</v>
      </c>
      <c r="I44" s="1804">
        <v>0</v>
      </c>
      <c r="J44" s="1804">
        <v>0</v>
      </c>
      <c r="K44" s="1804">
        <v>0</v>
      </c>
      <c r="L44" s="1804">
        <v>0</v>
      </c>
      <c r="M44" s="1804">
        <v>0</v>
      </c>
      <c r="N44" s="1804">
        <v>0</v>
      </c>
      <c r="O44" s="1804">
        <v>0</v>
      </c>
      <c r="P44" s="1804">
        <v>0</v>
      </c>
      <c r="Q44" s="1804">
        <v>0</v>
      </c>
      <c r="R44" s="1804">
        <v>0</v>
      </c>
      <c r="S44" s="1804">
        <v>0</v>
      </c>
      <c r="T44" s="1804">
        <v>0</v>
      </c>
      <c r="U44" s="1804">
        <v>0</v>
      </c>
      <c r="V44" s="1804">
        <v>0</v>
      </c>
      <c r="W44" s="1804">
        <v>0</v>
      </c>
      <c r="X44" s="1804">
        <v>0</v>
      </c>
      <c r="Y44" s="1804">
        <v>0</v>
      </c>
      <c r="Z44" s="1804">
        <v>0</v>
      </c>
      <c r="AA44" s="1804">
        <v>0</v>
      </c>
      <c r="AB44" s="1804">
        <v>0</v>
      </c>
      <c r="AC44" s="1804">
        <v>0</v>
      </c>
      <c r="AD44" s="1804">
        <v>0</v>
      </c>
      <c r="AE44" s="1804">
        <v>0</v>
      </c>
      <c r="AF44" s="1804">
        <v>0</v>
      </c>
      <c r="AG44" s="1804">
        <v>0</v>
      </c>
      <c r="AH44" s="1804">
        <v>0</v>
      </c>
      <c r="AI44" s="1804">
        <v>0</v>
      </c>
      <c r="AJ44" s="1804">
        <v>0</v>
      </c>
      <c r="AK44" s="1804">
        <v>0</v>
      </c>
      <c r="AL44" s="1804">
        <v>0</v>
      </c>
      <c r="AM44" s="1804">
        <v>0</v>
      </c>
      <c r="AN44" s="1804">
        <v>0</v>
      </c>
      <c r="AO44" s="1804">
        <v>0</v>
      </c>
      <c r="AP44" s="1804">
        <v>0</v>
      </c>
      <c r="AQ44" s="1804">
        <v>0</v>
      </c>
      <c r="AR44" s="1804">
        <v>0</v>
      </c>
      <c r="AS44" s="1804">
        <v>0</v>
      </c>
      <c r="AT44" s="1804">
        <v>0</v>
      </c>
      <c r="AU44" s="1804">
        <v>0</v>
      </c>
      <c r="AV44" s="1804">
        <v>0</v>
      </c>
      <c r="AW44" s="1804">
        <v>0</v>
      </c>
      <c r="AX44" s="1804">
        <v>0</v>
      </c>
      <c r="AY44" s="1804">
        <v>0</v>
      </c>
      <c r="AZ44" s="1804">
        <v>0</v>
      </c>
      <c r="BA44" s="1804">
        <v>0</v>
      </c>
      <c r="BB44" s="1804">
        <v>0</v>
      </c>
      <c r="BC44" s="1804">
        <v>0</v>
      </c>
      <c r="BD44" s="1804">
        <v>0</v>
      </c>
      <c r="BE44" s="1804">
        <v>0</v>
      </c>
      <c r="BF44" s="1804">
        <v>0</v>
      </c>
      <c r="BG44" s="1804">
        <v>0</v>
      </c>
      <c r="BH44" s="1804">
        <v>0</v>
      </c>
      <c r="BI44" s="1804">
        <v>0</v>
      </c>
      <c r="BJ44" s="1804">
        <v>0</v>
      </c>
      <c r="BK44" s="1804">
        <v>0</v>
      </c>
      <c r="BL44" s="1804">
        <v>0</v>
      </c>
      <c r="BM44" s="1804">
        <v>0</v>
      </c>
      <c r="BN44" s="1804">
        <v>0</v>
      </c>
      <c r="BO44" s="1804">
        <v>0</v>
      </c>
      <c r="BP44" s="1804">
        <v>0</v>
      </c>
      <c r="BQ44" s="1804">
        <v>0</v>
      </c>
      <c r="BR44" s="1804">
        <v>0</v>
      </c>
      <c r="BS44" s="1804">
        <v>0</v>
      </c>
      <c r="BT44" s="1804">
        <v>0</v>
      </c>
      <c r="BU44" s="1804">
        <v>0</v>
      </c>
      <c r="BV44" s="1804">
        <v>0</v>
      </c>
      <c r="BW44" s="1804">
        <v>0</v>
      </c>
      <c r="BX44" s="1804">
        <v>0</v>
      </c>
      <c r="BY44" s="1804">
        <v>0</v>
      </c>
      <c r="BZ44" s="1804">
        <v>0</v>
      </c>
      <c r="CA44" s="1804">
        <v>0</v>
      </c>
      <c r="CB44" s="1804">
        <v>0</v>
      </c>
      <c r="CC44" s="1804">
        <v>0</v>
      </c>
      <c r="CD44" s="1804">
        <v>0</v>
      </c>
      <c r="CE44" s="1804">
        <v>0</v>
      </c>
      <c r="CF44" s="1804">
        <v>0</v>
      </c>
      <c r="CG44" s="1804">
        <v>0</v>
      </c>
      <c r="CH44" s="1804">
        <v>0</v>
      </c>
      <c r="CI44" s="1804">
        <v>0</v>
      </c>
      <c r="CJ44" s="1804">
        <v>0</v>
      </c>
      <c r="CK44" s="1804">
        <v>0</v>
      </c>
      <c r="CL44" s="1804">
        <v>0</v>
      </c>
      <c r="CM44" s="1804">
        <v>0</v>
      </c>
      <c r="CN44" s="1804">
        <v>0</v>
      </c>
      <c r="CO44" s="1804">
        <v>0</v>
      </c>
      <c r="CP44" s="1804">
        <v>0</v>
      </c>
      <c r="CQ44" s="1804">
        <v>0</v>
      </c>
      <c r="CR44" s="1804">
        <v>0</v>
      </c>
      <c r="CS44" s="1804">
        <v>0</v>
      </c>
      <c r="CT44" s="1804">
        <v>0</v>
      </c>
      <c r="CU44" s="1804">
        <v>0</v>
      </c>
      <c r="CV44" s="1804">
        <v>0</v>
      </c>
      <c r="CW44" s="1804">
        <v>0</v>
      </c>
      <c r="CX44" s="1804">
        <v>0</v>
      </c>
      <c r="CY44" s="1804">
        <v>0</v>
      </c>
      <c r="CZ44" s="1804">
        <v>0</v>
      </c>
      <c r="DA44" s="1804">
        <v>0</v>
      </c>
      <c r="DB44" s="1804">
        <v>0</v>
      </c>
      <c r="DC44" s="1804">
        <v>0</v>
      </c>
      <c r="DD44" s="1804">
        <v>0</v>
      </c>
      <c r="DE44" s="1804">
        <v>0</v>
      </c>
      <c r="DF44" s="1804">
        <v>0</v>
      </c>
      <c r="DG44" s="1804">
        <v>0</v>
      </c>
      <c r="DH44" s="1804">
        <v>0</v>
      </c>
      <c r="DI44" s="1804">
        <v>0</v>
      </c>
      <c r="DJ44" s="1804">
        <v>0</v>
      </c>
      <c r="DK44" s="1804">
        <v>0</v>
      </c>
      <c r="DL44" s="1804">
        <v>0</v>
      </c>
      <c r="DM44" s="1804">
        <v>0</v>
      </c>
      <c r="DN44" s="1804">
        <v>0</v>
      </c>
      <c r="DO44" s="1804">
        <v>0</v>
      </c>
      <c r="DP44" s="1804">
        <v>0</v>
      </c>
      <c r="DQ44" s="1804">
        <v>0</v>
      </c>
      <c r="DR44" s="1804">
        <v>0</v>
      </c>
      <c r="DS44" s="1804">
        <v>0</v>
      </c>
      <c r="DT44" s="1804">
        <v>0</v>
      </c>
      <c r="DU44" s="1804">
        <v>0</v>
      </c>
      <c r="DV44" s="1804">
        <v>0</v>
      </c>
      <c r="DW44" s="1804">
        <v>0</v>
      </c>
      <c r="DX44" s="1804">
        <v>0</v>
      </c>
      <c r="DY44" s="1804">
        <v>0</v>
      </c>
      <c r="DZ44" s="1804">
        <v>0</v>
      </c>
      <c r="EA44" s="1804">
        <v>0</v>
      </c>
      <c r="EB44" s="1804">
        <v>0</v>
      </c>
      <c r="EC44" s="1804">
        <v>0</v>
      </c>
      <c r="ED44" s="1804">
        <v>0</v>
      </c>
      <c r="EE44" s="1804">
        <v>0</v>
      </c>
      <c r="EF44" s="1804">
        <v>0</v>
      </c>
      <c r="EG44" s="1804">
        <v>0</v>
      </c>
      <c r="EH44" s="1804">
        <v>0</v>
      </c>
      <c r="EI44" s="1804">
        <v>0</v>
      </c>
      <c r="EJ44" s="1804">
        <v>0</v>
      </c>
      <c r="EK44" s="1804">
        <v>0</v>
      </c>
      <c r="EL44" s="1804">
        <v>0</v>
      </c>
      <c r="EM44" s="1804">
        <v>0</v>
      </c>
      <c r="EN44" s="1804">
        <v>0</v>
      </c>
      <c r="EO44" s="1804">
        <v>0</v>
      </c>
      <c r="EP44" s="1804">
        <v>0</v>
      </c>
      <c r="EQ44" s="1804">
        <v>0</v>
      </c>
      <c r="ER44" s="1804">
        <v>0</v>
      </c>
      <c r="ES44" s="1804">
        <v>0</v>
      </c>
      <c r="ET44" s="1804">
        <v>0</v>
      </c>
      <c r="EU44" s="1804">
        <v>0</v>
      </c>
      <c r="EV44" s="1804">
        <v>0</v>
      </c>
      <c r="EW44" s="1804">
        <v>0</v>
      </c>
      <c r="EX44" s="1804">
        <v>0</v>
      </c>
      <c r="EY44" s="1804">
        <v>0</v>
      </c>
      <c r="EZ44" s="1804">
        <v>0</v>
      </c>
      <c r="FA44" s="1804">
        <v>0</v>
      </c>
      <c r="FB44" s="1804">
        <v>0</v>
      </c>
      <c r="FC44" s="1804">
        <v>0</v>
      </c>
      <c r="FD44" s="1804">
        <v>0</v>
      </c>
      <c r="FE44" s="1804">
        <v>0</v>
      </c>
      <c r="FF44" s="1804">
        <v>0</v>
      </c>
      <c r="FG44" s="1804">
        <v>0</v>
      </c>
      <c r="FH44" s="1804">
        <v>0</v>
      </c>
      <c r="FI44" s="1804">
        <v>0</v>
      </c>
      <c r="FJ44" s="1804">
        <v>0</v>
      </c>
      <c r="FK44" s="1804">
        <v>0</v>
      </c>
      <c r="FL44" s="1804">
        <v>0</v>
      </c>
      <c r="FM44" s="1804">
        <v>0</v>
      </c>
      <c r="FN44" s="1804">
        <v>0</v>
      </c>
      <c r="FO44" s="1804">
        <v>0</v>
      </c>
      <c r="FP44" s="1804">
        <v>0</v>
      </c>
      <c r="FQ44" s="1804">
        <v>0</v>
      </c>
      <c r="FR44" s="1804">
        <v>0</v>
      </c>
      <c r="FS44" s="1804">
        <v>0</v>
      </c>
      <c r="FT44" s="1804">
        <v>0</v>
      </c>
      <c r="FU44" s="1804">
        <v>0</v>
      </c>
      <c r="FV44" s="1804">
        <v>0</v>
      </c>
      <c r="FW44" s="1804">
        <v>0</v>
      </c>
      <c r="FX44" s="1804">
        <v>0</v>
      </c>
      <c r="FY44" s="1804">
        <v>0</v>
      </c>
      <c r="FZ44" s="1804">
        <v>0</v>
      </c>
      <c r="GA44" s="1804">
        <v>0</v>
      </c>
      <c r="GB44" s="1804">
        <v>0</v>
      </c>
      <c r="GC44" s="1804">
        <v>0</v>
      </c>
      <c r="GD44" s="1804">
        <v>0</v>
      </c>
      <c r="GE44" s="1804">
        <v>0</v>
      </c>
      <c r="GF44" s="1804">
        <v>0</v>
      </c>
      <c r="GG44" s="1804">
        <v>0</v>
      </c>
      <c r="GH44" s="1804">
        <v>0</v>
      </c>
      <c r="GI44" s="1804">
        <v>0</v>
      </c>
      <c r="GJ44" s="1804">
        <v>0</v>
      </c>
      <c r="GK44" s="1804">
        <v>0</v>
      </c>
      <c r="GL44" s="1804">
        <v>0</v>
      </c>
      <c r="GM44" s="1804">
        <v>0</v>
      </c>
      <c r="GN44" s="1804">
        <v>0</v>
      </c>
      <c r="GO44" s="1804">
        <v>0</v>
      </c>
      <c r="GP44" s="1804">
        <v>0</v>
      </c>
      <c r="GQ44" s="1804">
        <v>0</v>
      </c>
      <c r="GR44" s="1804">
        <v>0</v>
      </c>
      <c r="GS44" s="1804">
        <v>0</v>
      </c>
      <c r="GT44" s="1804">
        <v>0</v>
      </c>
      <c r="GU44" s="1804">
        <v>0</v>
      </c>
      <c r="GV44" s="1804">
        <v>0</v>
      </c>
      <c r="GW44" s="1804">
        <v>0</v>
      </c>
      <c r="GX44" s="1804">
        <v>0</v>
      </c>
      <c r="GY44" s="1804">
        <v>0</v>
      </c>
      <c r="GZ44" s="1804">
        <v>0</v>
      </c>
      <c r="HA44" s="1804">
        <v>0</v>
      </c>
      <c r="HB44" s="1804">
        <v>0</v>
      </c>
      <c r="HC44" s="1804">
        <v>0</v>
      </c>
      <c r="HD44" s="1804">
        <v>0</v>
      </c>
      <c r="HE44" s="1804">
        <v>0</v>
      </c>
    </row>
    <row r="45" spans="1:1291" ht="21" customHeight="1" thickBot="1" x14ac:dyDescent="0.25">
      <c r="A45" s="1968" t="s">
        <v>2332</v>
      </c>
      <c r="B45" s="1969" t="s">
        <v>568</v>
      </c>
      <c r="C45" s="1691" t="s">
        <v>945</v>
      </c>
      <c r="D45" s="1880"/>
      <c r="E45" s="1983"/>
      <c r="F45" s="1865"/>
      <c r="G45" s="1866"/>
      <c r="H45" s="1866"/>
      <c r="I45" s="1866"/>
      <c r="J45" s="1866"/>
      <c r="K45" s="1866"/>
      <c r="L45" s="1866"/>
      <c r="M45" s="1866"/>
      <c r="N45" s="1866"/>
      <c r="O45" s="1866"/>
      <c r="P45" s="1866"/>
      <c r="Q45" s="1866"/>
      <c r="R45" s="1866"/>
      <c r="S45" s="1866"/>
      <c r="T45" s="1866"/>
      <c r="U45" s="1866"/>
      <c r="V45" s="1866"/>
      <c r="W45" s="1866"/>
      <c r="X45" s="1866"/>
      <c r="Y45" s="1866"/>
      <c r="Z45" s="1866"/>
      <c r="AA45" s="1866"/>
      <c r="AB45" s="1866"/>
      <c r="AC45" s="1866"/>
      <c r="AD45" s="1866"/>
      <c r="AE45" s="1866"/>
      <c r="AF45" s="1866"/>
      <c r="AG45" s="1866"/>
      <c r="AH45" s="1866"/>
      <c r="AI45" s="1866"/>
      <c r="AJ45" s="1866"/>
      <c r="AK45" s="1866"/>
      <c r="AL45" s="1866"/>
      <c r="AM45" s="1866"/>
      <c r="AN45" s="1866"/>
      <c r="AO45" s="1866"/>
      <c r="AP45" s="1866"/>
      <c r="AQ45" s="1866"/>
      <c r="AR45" s="1866"/>
      <c r="AS45" s="1866"/>
      <c r="AT45" s="1866"/>
      <c r="AU45" s="1866"/>
      <c r="AV45" s="1866"/>
      <c r="AW45" s="1866"/>
      <c r="AX45" s="1866"/>
      <c r="AY45" s="1866"/>
      <c r="AZ45" s="1866"/>
      <c r="BA45" s="1866"/>
      <c r="BB45" s="1866"/>
      <c r="BC45" s="1866"/>
      <c r="BD45" s="1866"/>
      <c r="BE45" s="1866"/>
      <c r="BF45" s="1866"/>
      <c r="BG45" s="1866"/>
      <c r="BH45" s="1866"/>
      <c r="BI45" s="1866"/>
      <c r="BJ45" s="1866"/>
      <c r="BK45" s="1866"/>
      <c r="BL45" s="1866"/>
      <c r="BM45" s="1866"/>
      <c r="BN45" s="1866"/>
      <c r="BO45" s="1866"/>
      <c r="BP45" s="1866"/>
      <c r="BQ45" s="1866"/>
      <c r="BR45" s="1866"/>
      <c r="BS45" s="1866"/>
      <c r="BT45" s="1866"/>
      <c r="BU45" s="1866"/>
      <c r="BV45" s="1866"/>
      <c r="BW45" s="1866"/>
      <c r="BX45" s="1866"/>
      <c r="BY45" s="1866"/>
      <c r="BZ45" s="1866"/>
      <c r="CA45" s="1866"/>
      <c r="CB45" s="1866"/>
      <c r="CC45" s="1866"/>
      <c r="CD45" s="1866"/>
      <c r="CE45" s="1866"/>
      <c r="CF45" s="1866"/>
      <c r="CG45" s="1866"/>
      <c r="CH45" s="1866"/>
      <c r="CI45" s="1866"/>
      <c r="CJ45" s="1866"/>
      <c r="CK45" s="1866"/>
      <c r="CL45" s="1866"/>
      <c r="CM45" s="1866"/>
      <c r="CN45" s="1866"/>
      <c r="CO45" s="1866"/>
      <c r="CP45" s="1866"/>
      <c r="CQ45" s="1866"/>
      <c r="CR45" s="1866"/>
      <c r="CS45" s="1866"/>
      <c r="CT45" s="1866"/>
      <c r="CU45" s="1866"/>
      <c r="CV45" s="1866"/>
      <c r="CW45" s="1866"/>
      <c r="CX45" s="1866"/>
      <c r="CY45" s="1866"/>
      <c r="CZ45" s="1866"/>
      <c r="DA45" s="1866"/>
      <c r="DB45" s="1866"/>
      <c r="DC45" s="1866"/>
      <c r="DD45" s="1866"/>
      <c r="DE45" s="1866"/>
      <c r="DF45" s="1866"/>
      <c r="DG45" s="1866"/>
      <c r="DH45" s="1866"/>
      <c r="DI45" s="1866"/>
      <c r="DJ45" s="1866"/>
      <c r="DK45" s="1866"/>
      <c r="DL45" s="1866"/>
      <c r="DM45" s="1866"/>
      <c r="DN45" s="1866"/>
      <c r="DO45" s="1866"/>
      <c r="DP45" s="1866"/>
      <c r="DQ45" s="1866"/>
      <c r="DR45" s="1866"/>
      <c r="DS45" s="1866"/>
      <c r="DT45" s="1866"/>
      <c r="DU45" s="1866"/>
      <c r="DV45" s="1866"/>
      <c r="DW45" s="1866"/>
      <c r="DX45" s="1866"/>
      <c r="DY45" s="1866"/>
      <c r="DZ45" s="1866"/>
      <c r="EA45" s="1866"/>
      <c r="EB45" s="1866"/>
      <c r="EC45" s="1866"/>
      <c r="ED45" s="1866"/>
      <c r="EE45" s="1866"/>
      <c r="EF45" s="1866"/>
      <c r="EG45" s="1866"/>
      <c r="EH45" s="1866"/>
      <c r="EI45" s="1866"/>
      <c r="EJ45" s="1866"/>
      <c r="EK45" s="1866"/>
      <c r="EL45" s="1866"/>
      <c r="EM45" s="1866"/>
      <c r="EN45" s="1866"/>
      <c r="EO45" s="1866"/>
      <c r="EP45" s="1866"/>
      <c r="EQ45" s="1866"/>
      <c r="ER45" s="1866"/>
      <c r="ES45" s="1866"/>
      <c r="ET45" s="1866"/>
      <c r="EU45" s="1866"/>
      <c r="EV45" s="1866"/>
      <c r="EW45" s="1866"/>
      <c r="EX45" s="1866"/>
      <c r="EY45" s="1866"/>
      <c r="EZ45" s="1866"/>
      <c r="FA45" s="1866"/>
      <c r="FB45" s="1866"/>
      <c r="FC45" s="1866"/>
      <c r="FD45" s="1866"/>
      <c r="FE45" s="1866"/>
      <c r="FF45" s="1866"/>
      <c r="FG45" s="1866"/>
      <c r="FH45" s="1866"/>
      <c r="FI45" s="1866"/>
      <c r="FJ45" s="1866"/>
      <c r="FK45" s="1866"/>
      <c r="FL45" s="1866"/>
      <c r="FM45" s="1866"/>
      <c r="FN45" s="1866"/>
      <c r="FO45" s="1866"/>
      <c r="FP45" s="1866"/>
      <c r="FQ45" s="1866"/>
      <c r="FR45" s="1866"/>
      <c r="FS45" s="1866"/>
      <c r="FT45" s="1866"/>
      <c r="FU45" s="1866"/>
      <c r="FV45" s="1866"/>
      <c r="FW45" s="1866"/>
      <c r="FX45" s="1866"/>
      <c r="FY45" s="1866"/>
      <c r="FZ45" s="1866"/>
      <c r="GA45" s="1866"/>
      <c r="GB45" s="1866"/>
      <c r="GC45" s="1866"/>
      <c r="GD45" s="1866"/>
      <c r="GE45" s="1866"/>
      <c r="GF45" s="1866"/>
      <c r="GG45" s="1866"/>
      <c r="GH45" s="1866"/>
      <c r="GI45" s="1866"/>
      <c r="GJ45" s="1866"/>
      <c r="GK45" s="1866"/>
      <c r="GL45" s="1866"/>
      <c r="GM45" s="1866"/>
      <c r="GN45" s="1866"/>
      <c r="GO45" s="1866"/>
      <c r="GP45" s="1866"/>
      <c r="GQ45" s="1866"/>
      <c r="GR45" s="1866"/>
      <c r="GS45" s="1866"/>
      <c r="GT45" s="1866"/>
      <c r="GU45" s="1866"/>
      <c r="GV45" s="1866"/>
      <c r="GW45" s="1866"/>
      <c r="GX45" s="1866"/>
      <c r="GY45" s="1866"/>
      <c r="GZ45" s="1866"/>
      <c r="HA45" s="1866"/>
      <c r="HB45" s="1866"/>
      <c r="HC45" s="1866"/>
      <c r="HD45" s="1866"/>
      <c r="HE45" s="1866"/>
    </row>
    <row r="46" spans="1:1291" ht="15" customHeight="1" x14ac:dyDescent="0.2">
      <c r="A46" s="1966"/>
      <c r="B46" s="1970"/>
      <c r="C46" s="1690" t="s">
        <v>792</v>
      </c>
      <c r="D46" s="1881"/>
      <c r="E46" s="1983"/>
      <c r="F46" s="1838">
        <v>0</v>
      </c>
      <c r="G46" s="1804">
        <v>0</v>
      </c>
      <c r="H46" s="1804">
        <v>0</v>
      </c>
      <c r="I46" s="1804">
        <v>0</v>
      </c>
      <c r="J46" s="1804">
        <v>0</v>
      </c>
      <c r="K46" s="1804">
        <v>0</v>
      </c>
      <c r="L46" s="1804">
        <v>0</v>
      </c>
      <c r="M46" s="1804">
        <v>0</v>
      </c>
      <c r="N46" s="1804">
        <v>0</v>
      </c>
      <c r="O46" s="1804">
        <v>0</v>
      </c>
      <c r="P46" s="1804">
        <v>0</v>
      </c>
      <c r="Q46" s="1804">
        <v>0</v>
      </c>
      <c r="R46" s="1804">
        <v>0</v>
      </c>
      <c r="S46" s="1804">
        <v>0</v>
      </c>
      <c r="T46" s="1804">
        <v>0</v>
      </c>
      <c r="U46" s="1804">
        <v>0</v>
      </c>
      <c r="V46" s="1804">
        <v>0</v>
      </c>
      <c r="W46" s="1804">
        <v>0</v>
      </c>
      <c r="X46" s="1804">
        <v>0</v>
      </c>
      <c r="Y46" s="1804">
        <v>0</v>
      </c>
      <c r="Z46" s="1804">
        <v>0</v>
      </c>
      <c r="AA46" s="1804">
        <v>0</v>
      </c>
      <c r="AB46" s="1804">
        <v>0</v>
      </c>
      <c r="AC46" s="1804">
        <v>0</v>
      </c>
      <c r="AD46" s="1804">
        <v>0</v>
      </c>
      <c r="AE46" s="1804">
        <v>0</v>
      </c>
      <c r="AF46" s="1804">
        <v>0</v>
      </c>
      <c r="AG46" s="1804">
        <v>0</v>
      </c>
      <c r="AH46" s="1804">
        <v>0</v>
      </c>
      <c r="AI46" s="1804">
        <v>0</v>
      </c>
      <c r="AJ46" s="1804">
        <v>0</v>
      </c>
      <c r="AK46" s="1804">
        <v>0</v>
      </c>
      <c r="AL46" s="1804">
        <v>0</v>
      </c>
      <c r="AM46" s="1804">
        <v>0</v>
      </c>
      <c r="AN46" s="1804">
        <v>0</v>
      </c>
      <c r="AO46" s="1804">
        <v>0</v>
      </c>
      <c r="AP46" s="1804">
        <v>0</v>
      </c>
      <c r="AQ46" s="1804">
        <v>0</v>
      </c>
      <c r="AR46" s="1804">
        <v>0</v>
      </c>
      <c r="AS46" s="1804">
        <v>0</v>
      </c>
      <c r="AT46" s="1804">
        <v>0</v>
      </c>
      <c r="AU46" s="1804">
        <v>0</v>
      </c>
      <c r="AV46" s="1804">
        <v>0</v>
      </c>
      <c r="AW46" s="1804">
        <v>0</v>
      </c>
      <c r="AX46" s="1804">
        <v>0</v>
      </c>
      <c r="AY46" s="1804">
        <v>0</v>
      </c>
      <c r="AZ46" s="1804">
        <v>0</v>
      </c>
      <c r="BA46" s="1804">
        <v>0</v>
      </c>
      <c r="BB46" s="1804">
        <v>0</v>
      </c>
      <c r="BC46" s="1804">
        <v>0</v>
      </c>
      <c r="BD46" s="1804">
        <v>0</v>
      </c>
      <c r="BE46" s="1804">
        <v>0</v>
      </c>
      <c r="BF46" s="1804">
        <v>0</v>
      </c>
      <c r="BG46" s="1804">
        <v>0</v>
      </c>
      <c r="BH46" s="1804">
        <v>0</v>
      </c>
      <c r="BI46" s="1804">
        <v>0</v>
      </c>
      <c r="BJ46" s="1804">
        <v>0</v>
      </c>
      <c r="BK46" s="1804">
        <v>0</v>
      </c>
      <c r="BL46" s="1804">
        <v>0</v>
      </c>
      <c r="BM46" s="1804">
        <v>0</v>
      </c>
      <c r="BN46" s="1804">
        <v>0</v>
      </c>
      <c r="BO46" s="1804">
        <v>0</v>
      </c>
      <c r="BP46" s="1804">
        <v>0</v>
      </c>
      <c r="BQ46" s="1804">
        <v>0</v>
      </c>
      <c r="BR46" s="1804">
        <v>0</v>
      </c>
      <c r="BS46" s="1804">
        <v>0</v>
      </c>
      <c r="BT46" s="1804">
        <v>0</v>
      </c>
      <c r="BU46" s="1804">
        <v>0</v>
      </c>
      <c r="BV46" s="1804">
        <v>0</v>
      </c>
      <c r="BW46" s="1804">
        <v>0</v>
      </c>
      <c r="BX46" s="1804">
        <v>0</v>
      </c>
      <c r="BY46" s="1804">
        <v>0</v>
      </c>
      <c r="BZ46" s="1804">
        <v>0</v>
      </c>
      <c r="CA46" s="1804">
        <v>0</v>
      </c>
      <c r="CB46" s="1804">
        <v>0</v>
      </c>
      <c r="CC46" s="1804">
        <v>0</v>
      </c>
      <c r="CD46" s="1804">
        <v>0</v>
      </c>
      <c r="CE46" s="1804">
        <v>0</v>
      </c>
      <c r="CF46" s="1804">
        <v>0</v>
      </c>
      <c r="CG46" s="1804">
        <v>0</v>
      </c>
      <c r="CH46" s="1804">
        <v>0</v>
      </c>
      <c r="CI46" s="1804">
        <v>0</v>
      </c>
      <c r="CJ46" s="1804">
        <v>0</v>
      </c>
      <c r="CK46" s="1804">
        <v>0</v>
      </c>
      <c r="CL46" s="1804">
        <v>0</v>
      </c>
      <c r="CM46" s="1804">
        <v>0</v>
      </c>
      <c r="CN46" s="1804">
        <v>0</v>
      </c>
      <c r="CO46" s="1804">
        <v>0</v>
      </c>
      <c r="CP46" s="1804">
        <v>0</v>
      </c>
      <c r="CQ46" s="1804">
        <v>0</v>
      </c>
      <c r="CR46" s="1804">
        <v>0</v>
      </c>
      <c r="CS46" s="1804">
        <v>0</v>
      </c>
      <c r="CT46" s="1804">
        <v>0</v>
      </c>
      <c r="CU46" s="1804">
        <v>0</v>
      </c>
      <c r="CV46" s="1804">
        <v>0</v>
      </c>
      <c r="CW46" s="1804">
        <v>0</v>
      </c>
      <c r="CX46" s="1804">
        <v>0</v>
      </c>
      <c r="CY46" s="1804">
        <v>0</v>
      </c>
      <c r="CZ46" s="1804">
        <v>0</v>
      </c>
      <c r="DA46" s="1804">
        <v>0</v>
      </c>
      <c r="DB46" s="1804">
        <v>0</v>
      </c>
      <c r="DC46" s="1804">
        <v>0</v>
      </c>
      <c r="DD46" s="1804">
        <v>0</v>
      </c>
      <c r="DE46" s="1804">
        <v>0</v>
      </c>
      <c r="DF46" s="1804">
        <v>0</v>
      </c>
      <c r="DG46" s="1804">
        <v>0</v>
      </c>
      <c r="DH46" s="1804">
        <v>0</v>
      </c>
      <c r="DI46" s="1804">
        <v>0</v>
      </c>
      <c r="DJ46" s="1804">
        <v>0</v>
      </c>
      <c r="DK46" s="1804">
        <v>0</v>
      </c>
      <c r="DL46" s="1804">
        <v>0</v>
      </c>
      <c r="DM46" s="1804">
        <v>0</v>
      </c>
      <c r="DN46" s="1804">
        <v>0</v>
      </c>
      <c r="DO46" s="1804">
        <v>0</v>
      </c>
      <c r="DP46" s="1804">
        <v>0</v>
      </c>
      <c r="DQ46" s="1804">
        <v>0</v>
      </c>
      <c r="DR46" s="1804">
        <v>0</v>
      </c>
      <c r="DS46" s="1804">
        <v>0</v>
      </c>
      <c r="DT46" s="1804">
        <v>0</v>
      </c>
      <c r="DU46" s="1804">
        <v>0</v>
      </c>
      <c r="DV46" s="1804">
        <v>0</v>
      </c>
      <c r="DW46" s="1804">
        <v>0</v>
      </c>
      <c r="DX46" s="1804">
        <v>0</v>
      </c>
      <c r="DY46" s="1804">
        <v>0</v>
      </c>
      <c r="DZ46" s="1804">
        <v>0</v>
      </c>
      <c r="EA46" s="1804">
        <v>0</v>
      </c>
      <c r="EB46" s="1804">
        <v>0</v>
      </c>
      <c r="EC46" s="1804">
        <v>0</v>
      </c>
      <c r="ED46" s="1804">
        <v>0</v>
      </c>
      <c r="EE46" s="1804">
        <v>0</v>
      </c>
      <c r="EF46" s="1804">
        <v>0</v>
      </c>
      <c r="EG46" s="1804">
        <v>0</v>
      </c>
      <c r="EH46" s="1804">
        <v>0</v>
      </c>
      <c r="EI46" s="1804">
        <v>0</v>
      </c>
      <c r="EJ46" s="1804">
        <v>0</v>
      </c>
      <c r="EK46" s="1804">
        <v>0</v>
      </c>
      <c r="EL46" s="1804">
        <v>0</v>
      </c>
      <c r="EM46" s="1804">
        <v>0</v>
      </c>
      <c r="EN46" s="1804">
        <v>0</v>
      </c>
      <c r="EO46" s="1804">
        <v>0</v>
      </c>
      <c r="EP46" s="1804">
        <v>0</v>
      </c>
      <c r="EQ46" s="1804">
        <v>0</v>
      </c>
      <c r="ER46" s="1804">
        <v>0</v>
      </c>
      <c r="ES46" s="1804">
        <v>0</v>
      </c>
      <c r="ET46" s="1804">
        <v>0</v>
      </c>
      <c r="EU46" s="1804">
        <v>0</v>
      </c>
      <c r="EV46" s="1804">
        <v>0</v>
      </c>
      <c r="EW46" s="1804">
        <v>0</v>
      </c>
      <c r="EX46" s="1804">
        <v>0</v>
      </c>
      <c r="EY46" s="1804">
        <v>0</v>
      </c>
      <c r="EZ46" s="1804">
        <v>0</v>
      </c>
      <c r="FA46" s="1804">
        <v>0</v>
      </c>
      <c r="FB46" s="1804">
        <v>0</v>
      </c>
      <c r="FC46" s="1804">
        <v>0</v>
      </c>
      <c r="FD46" s="1804">
        <v>0</v>
      </c>
      <c r="FE46" s="1804">
        <v>0</v>
      </c>
      <c r="FF46" s="1804">
        <v>0</v>
      </c>
      <c r="FG46" s="1804">
        <v>0</v>
      </c>
      <c r="FH46" s="1804">
        <v>0</v>
      </c>
      <c r="FI46" s="1804">
        <v>0</v>
      </c>
      <c r="FJ46" s="1804">
        <v>0</v>
      </c>
      <c r="FK46" s="1804">
        <v>0</v>
      </c>
      <c r="FL46" s="1804">
        <v>0</v>
      </c>
      <c r="FM46" s="1804">
        <v>0</v>
      </c>
      <c r="FN46" s="1804">
        <v>0</v>
      </c>
      <c r="FO46" s="1804">
        <v>0</v>
      </c>
      <c r="FP46" s="1804">
        <v>0</v>
      </c>
      <c r="FQ46" s="1804">
        <v>0</v>
      </c>
      <c r="FR46" s="1804">
        <v>0</v>
      </c>
      <c r="FS46" s="1804">
        <v>0</v>
      </c>
      <c r="FT46" s="1804">
        <v>0</v>
      </c>
      <c r="FU46" s="1804">
        <v>0</v>
      </c>
      <c r="FV46" s="1804">
        <v>0</v>
      </c>
      <c r="FW46" s="1804">
        <v>0</v>
      </c>
      <c r="FX46" s="1804">
        <v>0</v>
      </c>
      <c r="FY46" s="1804">
        <v>0</v>
      </c>
      <c r="FZ46" s="1804">
        <v>0</v>
      </c>
      <c r="GA46" s="1804">
        <v>0</v>
      </c>
      <c r="GB46" s="1804">
        <v>0</v>
      </c>
      <c r="GC46" s="1804">
        <v>0</v>
      </c>
      <c r="GD46" s="1804">
        <v>0</v>
      </c>
      <c r="GE46" s="1804">
        <v>0</v>
      </c>
      <c r="GF46" s="1804">
        <v>0</v>
      </c>
      <c r="GG46" s="1804">
        <v>0</v>
      </c>
      <c r="GH46" s="1804">
        <v>0</v>
      </c>
      <c r="GI46" s="1804">
        <v>0</v>
      </c>
      <c r="GJ46" s="1804">
        <v>0</v>
      </c>
      <c r="GK46" s="1804">
        <v>0</v>
      </c>
      <c r="GL46" s="1804">
        <v>0</v>
      </c>
      <c r="GM46" s="1804">
        <v>0</v>
      </c>
      <c r="GN46" s="1804">
        <v>0</v>
      </c>
      <c r="GO46" s="1804">
        <v>0</v>
      </c>
      <c r="GP46" s="1804">
        <v>0</v>
      </c>
      <c r="GQ46" s="1804">
        <v>0</v>
      </c>
      <c r="GR46" s="1804">
        <v>0</v>
      </c>
      <c r="GS46" s="1804">
        <v>0</v>
      </c>
      <c r="GT46" s="1804">
        <v>0</v>
      </c>
      <c r="GU46" s="1804">
        <v>0</v>
      </c>
      <c r="GV46" s="1804">
        <v>0</v>
      </c>
      <c r="GW46" s="1804">
        <v>0</v>
      </c>
      <c r="GX46" s="1804">
        <v>0</v>
      </c>
      <c r="GY46" s="1804">
        <v>0</v>
      </c>
      <c r="GZ46" s="1804">
        <v>0</v>
      </c>
      <c r="HA46" s="1804">
        <v>0</v>
      </c>
      <c r="HB46" s="1804">
        <v>0</v>
      </c>
      <c r="HC46" s="1804">
        <v>0</v>
      </c>
      <c r="HD46" s="1804">
        <v>0</v>
      </c>
      <c r="HE46" s="1804">
        <v>0</v>
      </c>
    </row>
    <row r="47" spans="1:1291" ht="15" customHeight="1" x14ac:dyDescent="0.2">
      <c r="A47" s="1966"/>
      <c r="B47" s="1970"/>
      <c r="C47" s="1816" t="s">
        <v>793</v>
      </c>
      <c r="D47" s="1881"/>
      <c r="E47" s="1983"/>
      <c r="F47" s="1838">
        <v>0</v>
      </c>
      <c r="G47" s="1804">
        <v>0</v>
      </c>
      <c r="H47" s="1804">
        <v>0</v>
      </c>
      <c r="I47" s="1804">
        <v>0</v>
      </c>
      <c r="J47" s="1804">
        <v>0</v>
      </c>
      <c r="K47" s="1804">
        <v>0</v>
      </c>
      <c r="L47" s="1804">
        <v>0</v>
      </c>
      <c r="M47" s="1804">
        <v>0</v>
      </c>
      <c r="N47" s="1804">
        <v>0</v>
      </c>
      <c r="O47" s="1804">
        <v>0</v>
      </c>
      <c r="P47" s="1804">
        <v>0</v>
      </c>
      <c r="Q47" s="1804">
        <v>0</v>
      </c>
      <c r="R47" s="1804">
        <v>0</v>
      </c>
      <c r="S47" s="1804">
        <v>0</v>
      </c>
      <c r="T47" s="1804">
        <v>0</v>
      </c>
      <c r="U47" s="1804">
        <v>0</v>
      </c>
      <c r="V47" s="1804">
        <v>0</v>
      </c>
      <c r="W47" s="1804">
        <v>0</v>
      </c>
      <c r="X47" s="1804">
        <v>0</v>
      </c>
      <c r="Y47" s="1804">
        <v>0</v>
      </c>
      <c r="Z47" s="1804">
        <v>0</v>
      </c>
      <c r="AA47" s="1804">
        <v>0</v>
      </c>
      <c r="AB47" s="1804">
        <v>0</v>
      </c>
      <c r="AC47" s="1804">
        <v>0</v>
      </c>
      <c r="AD47" s="1804">
        <v>0</v>
      </c>
      <c r="AE47" s="1804">
        <v>0</v>
      </c>
      <c r="AF47" s="1804">
        <v>0</v>
      </c>
      <c r="AG47" s="1804">
        <v>0</v>
      </c>
      <c r="AH47" s="1804">
        <v>0</v>
      </c>
      <c r="AI47" s="1804">
        <v>0</v>
      </c>
      <c r="AJ47" s="1804">
        <v>0</v>
      </c>
      <c r="AK47" s="1804">
        <v>0</v>
      </c>
      <c r="AL47" s="1804">
        <v>0</v>
      </c>
      <c r="AM47" s="1804">
        <v>0</v>
      </c>
      <c r="AN47" s="1804">
        <v>0</v>
      </c>
      <c r="AO47" s="1804">
        <v>0</v>
      </c>
      <c r="AP47" s="1804">
        <v>0</v>
      </c>
      <c r="AQ47" s="1804">
        <v>0</v>
      </c>
      <c r="AR47" s="1804">
        <v>0</v>
      </c>
      <c r="AS47" s="1804">
        <v>0</v>
      </c>
      <c r="AT47" s="1804">
        <v>0</v>
      </c>
      <c r="AU47" s="1804">
        <v>0</v>
      </c>
      <c r="AV47" s="1804">
        <v>0</v>
      </c>
      <c r="AW47" s="1804">
        <v>0</v>
      </c>
      <c r="AX47" s="1804">
        <v>0</v>
      </c>
      <c r="AY47" s="1804">
        <v>0</v>
      </c>
      <c r="AZ47" s="1804">
        <v>0</v>
      </c>
      <c r="BA47" s="1804">
        <v>0</v>
      </c>
      <c r="BB47" s="1804">
        <v>0</v>
      </c>
      <c r="BC47" s="1804">
        <v>0</v>
      </c>
      <c r="BD47" s="1804">
        <v>0</v>
      </c>
      <c r="BE47" s="1804">
        <v>0</v>
      </c>
      <c r="BF47" s="1804">
        <v>0</v>
      </c>
      <c r="BG47" s="1804">
        <v>0</v>
      </c>
      <c r="BH47" s="1804">
        <v>0</v>
      </c>
      <c r="BI47" s="1804">
        <v>0</v>
      </c>
      <c r="BJ47" s="1804">
        <v>0</v>
      </c>
      <c r="BK47" s="1804">
        <v>0</v>
      </c>
      <c r="BL47" s="1804">
        <v>0</v>
      </c>
      <c r="BM47" s="1804">
        <v>0</v>
      </c>
      <c r="BN47" s="1804">
        <v>0</v>
      </c>
      <c r="BO47" s="1804">
        <v>0</v>
      </c>
      <c r="BP47" s="1804">
        <v>0</v>
      </c>
      <c r="BQ47" s="1804">
        <v>0</v>
      </c>
      <c r="BR47" s="1804">
        <v>0</v>
      </c>
      <c r="BS47" s="1804">
        <v>0</v>
      </c>
      <c r="BT47" s="1804">
        <v>0</v>
      </c>
      <c r="BU47" s="1804">
        <v>0</v>
      </c>
      <c r="BV47" s="1804">
        <v>0</v>
      </c>
      <c r="BW47" s="1804">
        <v>0</v>
      </c>
      <c r="BX47" s="1804">
        <v>0</v>
      </c>
      <c r="BY47" s="1804">
        <v>0</v>
      </c>
      <c r="BZ47" s="1804">
        <v>0</v>
      </c>
      <c r="CA47" s="1804">
        <v>0</v>
      </c>
      <c r="CB47" s="1804">
        <v>0</v>
      </c>
      <c r="CC47" s="1804">
        <v>0</v>
      </c>
      <c r="CD47" s="1804">
        <v>0</v>
      </c>
      <c r="CE47" s="1804">
        <v>0</v>
      </c>
      <c r="CF47" s="1804">
        <v>0</v>
      </c>
      <c r="CG47" s="1804">
        <v>0</v>
      </c>
      <c r="CH47" s="1804">
        <v>0</v>
      </c>
      <c r="CI47" s="1804">
        <v>0</v>
      </c>
      <c r="CJ47" s="1804">
        <v>0</v>
      </c>
      <c r="CK47" s="1804">
        <v>0</v>
      </c>
      <c r="CL47" s="1804">
        <v>0</v>
      </c>
      <c r="CM47" s="1804">
        <v>0</v>
      </c>
      <c r="CN47" s="1804">
        <v>0</v>
      </c>
      <c r="CO47" s="1804">
        <v>0</v>
      </c>
      <c r="CP47" s="1804">
        <v>0</v>
      </c>
      <c r="CQ47" s="1804">
        <v>0</v>
      </c>
      <c r="CR47" s="1804">
        <v>0</v>
      </c>
      <c r="CS47" s="1804">
        <v>0</v>
      </c>
      <c r="CT47" s="1804">
        <v>0</v>
      </c>
      <c r="CU47" s="1804">
        <v>0</v>
      </c>
      <c r="CV47" s="1804">
        <v>0</v>
      </c>
      <c r="CW47" s="1804">
        <v>0</v>
      </c>
      <c r="CX47" s="1804">
        <v>0</v>
      </c>
      <c r="CY47" s="1804">
        <v>0</v>
      </c>
      <c r="CZ47" s="1804">
        <v>0</v>
      </c>
      <c r="DA47" s="1804">
        <v>0</v>
      </c>
      <c r="DB47" s="1804">
        <v>0</v>
      </c>
      <c r="DC47" s="1804">
        <v>0</v>
      </c>
      <c r="DD47" s="1804">
        <v>0</v>
      </c>
      <c r="DE47" s="1804">
        <v>0</v>
      </c>
      <c r="DF47" s="1804">
        <v>0</v>
      </c>
      <c r="DG47" s="1804">
        <v>0</v>
      </c>
      <c r="DH47" s="1804">
        <v>0</v>
      </c>
      <c r="DI47" s="1804">
        <v>0</v>
      </c>
      <c r="DJ47" s="1804">
        <v>0</v>
      </c>
      <c r="DK47" s="1804">
        <v>0</v>
      </c>
      <c r="DL47" s="1804">
        <v>0</v>
      </c>
      <c r="DM47" s="1804">
        <v>0</v>
      </c>
      <c r="DN47" s="1804">
        <v>0</v>
      </c>
      <c r="DO47" s="1804">
        <v>0</v>
      </c>
      <c r="DP47" s="1804">
        <v>0</v>
      </c>
      <c r="DQ47" s="1804">
        <v>0</v>
      </c>
      <c r="DR47" s="1804">
        <v>0</v>
      </c>
      <c r="DS47" s="1804">
        <v>0</v>
      </c>
      <c r="DT47" s="1804">
        <v>0</v>
      </c>
      <c r="DU47" s="1804">
        <v>0</v>
      </c>
      <c r="DV47" s="1804">
        <v>0</v>
      </c>
      <c r="DW47" s="1804">
        <v>0</v>
      </c>
      <c r="DX47" s="1804">
        <v>0</v>
      </c>
      <c r="DY47" s="1804">
        <v>0</v>
      </c>
      <c r="DZ47" s="1804">
        <v>0</v>
      </c>
      <c r="EA47" s="1804">
        <v>0</v>
      </c>
      <c r="EB47" s="1804">
        <v>0</v>
      </c>
      <c r="EC47" s="1804">
        <v>0</v>
      </c>
      <c r="ED47" s="1804">
        <v>0</v>
      </c>
      <c r="EE47" s="1804">
        <v>0</v>
      </c>
      <c r="EF47" s="1804">
        <v>0</v>
      </c>
      <c r="EG47" s="1804">
        <v>0</v>
      </c>
      <c r="EH47" s="1804">
        <v>0</v>
      </c>
      <c r="EI47" s="1804">
        <v>0</v>
      </c>
      <c r="EJ47" s="1804">
        <v>0</v>
      </c>
      <c r="EK47" s="1804">
        <v>0</v>
      </c>
      <c r="EL47" s="1804">
        <v>0</v>
      </c>
      <c r="EM47" s="1804">
        <v>0</v>
      </c>
      <c r="EN47" s="1804">
        <v>0</v>
      </c>
      <c r="EO47" s="1804">
        <v>0</v>
      </c>
      <c r="EP47" s="1804">
        <v>0</v>
      </c>
      <c r="EQ47" s="1804">
        <v>0</v>
      </c>
      <c r="ER47" s="1804">
        <v>0</v>
      </c>
      <c r="ES47" s="1804">
        <v>0</v>
      </c>
      <c r="ET47" s="1804">
        <v>0</v>
      </c>
      <c r="EU47" s="1804">
        <v>0</v>
      </c>
      <c r="EV47" s="1804">
        <v>0</v>
      </c>
      <c r="EW47" s="1804">
        <v>0</v>
      </c>
      <c r="EX47" s="1804">
        <v>0</v>
      </c>
      <c r="EY47" s="1804">
        <v>0</v>
      </c>
      <c r="EZ47" s="1804">
        <v>0</v>
      </c>
      <c r="FA47" s="1804">
        <v>0</v>
      </c>
      <c r="FB47" s="1804">
        <v>0</v>
      </c>
      <c r="FC47" s="1804">
        <v>0</v>
      </c>
      <c r="FD47" s="1804">
        <v>0</v>
      </c>
      <c r="FE47" s="1804">
        <v>0</v>
      </c>
      <c r="FF47" s="1804">
        <v>0</v>
      </c>
      <c r="FG47" s="1804">
        <v>0</v>
      </c>
      <c r="FH47" s="1804">
        <v>0</v>
      </c>
      <c r="FI47" s="1804">
        <v>0</v>
      </c>
      <c r="FJ47" s="1804">
        <v>0</v>
      </c>
      <c r="FK47" s="1804">
        <v>0</v>
      </c>
      <c r="FL47" s="1804">
        <v>0</v>
      </c>
      <c r="FM47" s="1804">
        <v>0</v>
      </c>
      <c r="FN47" s="1804">
        <v>0</v>
      </c>
      <c r="FO47" s="1804">
        <v>0</v>
      </c>
      <c r="FP47" s="1804">
        <v>0</v>
      </c>
      <c r="FQ47" s="1804">
        <v>0</v>
      </c>
      <c r="FR47" s="1804">
        <v>0</v>
      </c>
      <c r="FS47" s="1804">
        <v>0</v>
      </c>
      <c r="FT47" s="1804">
        <v>0</v>
      </c>
      <c r="FU47" s="1804">
        <v>0</v>
      </c>
      <c r="FV47" s="1804">
        <v>0</v>
      </c>
      <c r="FW47" s="1804">
        <v>0</v>
      </c>
      <c r="FX47" s="1804">
        <v>0</v>
      </c>
      <c r="FY47" s="1804">
        <v>0</v>
      </c>
      <c r="FZ47" s="1804">
        <v>0</v>
      </c>
      <c r="GA47" s="1804">
        <v>0</v>
      </c>
      <c r="GB47" s="1804">
        <v>0</v>
      </c>
      <c r="GC47" s="1804">
        <v>0</v>
      </c>
      <c r="GD47" s="1804">
        <v>0</v>
      </c>
      <c r="GE47" s="1804">
        <v>0</v>
      </c>
      <c r="GF47" s="1804">
        <v>0</v>
      </c>
      <c r="GG47" s="1804">
        <v>0</v>
      </c>
      <c r="GH47" s="1804">
        <v>0</v>
      </c>
      <c r="GI47" s="1804">
        <v>0</v>
      </c>
      <c r="GJ47" s="1804">
        <v>0</v>
      </c>
      <c r="GK47" s="1804">
        <v>0</v>
      </c>
      <c r="GL47" s="1804">
        <v>0</v>
      </c>
      <c r="GM47" s="1804">
        <v>0</v>
      </c>
      <c r="GN47" s="1804">
        <v>0</v>
      </c>
      <c r="GO47" s="1804">
        <v>0</v>
      </c>
      <c r="GP47" s="1804">
        <v>0</v>
      </c>
      <c r="GQ47" s="1804">
        <v>0</v>
      </c>
      <c r="GR47" s="1804">
        <v>0</v>
      </c>
      <c r="GS47" s="1804">
        <v>0</v>
      </c>
      <c r="GT47" s="1804">
        <v>0</v>
      </c>
      <c r="GU47" s="1804">
        <v>0</v>
      </c>
      <c r="GV47" s="1804">
        <v>0</v>
      </c>
      <c r="GW47" s="1804">
        <v>0</v>
      </c>
      <c r="GX47" s="1804">
        <v>0</v>
      </c>
      <c r="GY47" s="1804">
        <v>0</v>
      </c>
      <c r="GZ47" s="1804">
        <v>0</v>
      </c>
      <c r="HA47" s="1804">
        <v>0</v>
      </c>
      <c r="HB47" s="1804">
        <v>0</v>
      </c>
      <c r="HC47" s="1804">
        <v>0</v>
      </c>
      <c r="HD47" s="1804">
        <v>0</v>
      </c>
      <c r="HE47" s="1804">
        <v>0</v>
      </c>
    </row>
    <row r="48" spans="1:1291" ht="15" customHeight="1" x14ac:dyDescent="0.2">
      <c r="A48" s="1966"/>
      <c r="B48" s="1970"/>
      <c r="C48" s="1816" t="s">
        <v>794</v>
      </c>
      <c r="D48" s="1881"/>
      <c r="E48" s="1983"/>
      <c r="F48" s="1838">
        <v>0</v>
      </c>
      <c r="G48" s="1804">
        <v>0</v>
      </c>
      <c r="H48" s="1804">
        <v>0</v>
      </c>
      <c r="I48" s="1804">
        <v>0</v>
      </c>
      <c r="J48" s="1804">
        <v>0</v>
      </c>
      <c r="K48" s="1804">
        <v>0</v>
      </c>
      <c r="L48" s="1804">
        <v>0</v>
      </c>
      <c r="M48" s="1804">
        <v>0</v>
      </c>
      <c r="N48" s="1804">
        <v>0</v>
      </c>
      <c r="O48" s="1804">
        <v>0</v>
      </c>
      <c r="P48" s="1804">
        <v>0</v>
      </c>
      <c r="Q48" s="1804">
        <v>0</v>
      </c>
      <c r="R48" s="1804">
        <v>0</v>
      </c>
      <c r="S48" s="1804">
        <v>0</v>
      </c>
      <c r="T48" s="1804">
        <v>0</v>
      </c>
      <c r="U48" s="1804">
        <v>0</v>
      </c>
      <c r="V48" s="1804">
        <v>0</v>
      </c>
      <c r="W48" s="1804">
        <v>0</v>
      </c>
      <c r="X48" s="1804">
        <v>0</v>
      </c>
      <c r="Y48" s="1804">
        <v>0</v>
      </c>
      <c r="Z48" s="1804">
        <v>0</v>
      </c>
      <c r="AA48" s="1804">
        <v>0</v>
      </c>
      <c r="AB48" s="1804">
        <v>0</v>
      </c>
      <c r="AC48" s="1804">
        <v>0</v>
      </c>
      <c r="AD48" s="1804">
        <v>0</v>
      </c>
      <c r="AE48" s="1804">
        <v>0</v>
      </c>
      <c r="AF48" s="1804">
        <v>0</v>
      </c>
      <c r="AG48" s="1804">
        <v>0</v>
      </c>
      <c r="AH48" s="1804">
        <v>0</v>
      </c>
      <c r="AI48" s="1804">
        <v>0</v>
      </c>
      <c r="AJ48" s="1804">
        <v>0</v>
      </c>
      <c r="AK48" s="1804">
        <v>0</v>
      </c>
      <c r="AL48" s="1804">
        <v>0</v>
      </c>
      <c r="AM48" s="1804">
        <v>0</v>
      </c>
      <c r="AN48" s="1804">
        <v>0</v>
      </c>
      <c r="AO48" s="1804">
        <v>0</v>
      </c>
      <c r="AP48" s="1804">
        <v>0</v>
      </c>
      <c r="AQ48" s="1804">
        <v>0</v>
      </c>
      <c r="AR48" s="1804">
        <v>0</v>
      </c>
      <c r="AS48" s="1804">
        <v>0</v>
      </c>
      <c r="AT48" s="1804">
        <v>0</v>
      </c>
      <c r="AU48" s="1804">
        <v>0</v>
      </c>
      <c r="AV48" s="1804">
        <v>0</v>
      </c>
      <c r="AW48" s="1804">
        <v>0</v>
      </c>
      <c r="AX48" s="1804">
        <v>0</v>
      </c>
      <c r="AY48" s="1804">
        <v>0</v>
      </c>
      <c r="AZ48" s="1804">
        <v>0</v>
      </c>
      <c r="BA48" s="1804">
        <v>0</v>
      </c>
      <c r="BB48" s="1804">
        <v>0</v>
      </c>
      <c r="BC48" s="1804">
        <v>0</v>
      </c>
      <c r="BD48" s="1804">
        <v>0</v>
      </c>
      <c r="BE48" s="1804">
        <v>0</v>
      </c>
      <c r="BF48" s="1804">
        <v>0</v>
      </c>
      <c r="BG48" s="1804">
        <v>0</v>
      </c>
      <c r="BH48" s="1804">
        <v>0</v>
      </c>
      <c r="BI48" s="1804">
        <v>0</v>
      </c>
      <c r="BJ48" s="1804">
        <v>0</v>
      </c>
      <c r="BK48" s="1804">
        <v>0</v>
      </c>
      <c r="BL48" s="1804">
        <v>0</v>
      </c>
      <c r="BM48" s="1804">
        <v>0</v>
      </c>
      <c r="BN48" s="1804">
        <v>0</v>
      </c>
      <c r="BO48" s="1804">
        <v>0</v>
      </c>
      <c r="BP48" s="1804">
        <v>0</v>
      </c>
      <c r="BQ48" s="1804">
        <v>0</v>
      </c>
      <c r="BR48" s="1804">
        <v>0</v>
      </c>
      <c r="BS48" s="1804">
        <v>0</v>
      </c>
      <c r="BT48" s="1804">
        <v>0</v>
      </c>
      <c r="BU48" s="1804">
        <v>0</v>
      </c>
      <c r="BV48" s="1804">
        <v>0</v>
      </c>
      <c r="BW48" s="1804">
        <v>0</v>
      </c>
      <c r="BX48" s="1804">
        <v>0</v>
      </c>
      <c r="BY48" s="1804">
        <v>0</v>
      </c>
      <c r="BZ48" s="1804">
        <v>0</v>
      </c>
      <c r="CA48" s="1804">
        <v>0</v>
      </c>
      <c r="CB48" s="1804">
        <v>0</v>
      </c>
      <c r="CC48" s="1804">
        <v>0</v>
      </c>
      <c r="CD48" s="1804">
        <v>0</v>
      </c>
      <c r="CE48" s="1804">
        <v>0</v>
      </c>
      <c r="CF48" s="1804">
        <v>0</v>
      </c>
      <c r="CG48" s="1804">
        <v>0</v>
      </c>
      <c r="CH48" s="1804">
        <v>0</v>
      </c>
      <c r="CI48" s="1804">
        <v>0</v>
      </c>
      <c r="CJ48" s="1804">
        <v>0</v>
      </c>
      <c r="CK48" s="1804">
        <v>0</v>
      </c>
      <c r="CL48" s="1804">
        <v>0</v>
      </c>
      <c r="CM48" s="1804">
        <v>0</v>
      </c>
      <c r="CN48" s="1804">
        <v>0</v>
      </c>
      <c r="CO48" s="1804">
        <v>0</v>
      </c>
      <c r="CP48" s="1804">
        <v>0</v>
      </c>
      <c r="CQ48" s="1804">
        <v>0</v>
      </c>
      <c r="CR48" s="1804">
        <v>0</v>
      </c>
      <c r="CS48" s="1804">
        <v>0</v>
      </c>
      <c r="CT48" s="1804">
        <v>0</v>
      </c>
      <c r="CU48" s="1804">
        <v>0</v>
      </c>
      <c r="CV48" s="1804">
        <v>0</v>
      </c>
      <c r="CW48" s="1804">
        <v>0</v>
      </c>
      <c r="CX48" s="1804">
        <v>0</v>
      </c>
      <c r="CY48" s="1804">
        <v>0</v>
      </c>
      <c r="CZ48" s="1804">
        <v>0</v>
      </c>
      <c r="DA48" s="1804">
        <v>0</v>
      </c>
      <c r="DB48" s="1804">
        <v>0</v>
      </c>
      <c r="DC48" s="1804">
        <v>0</v>
      </c>
      <c r="DD48" s="1804">
        <v>0</v>
      </c>
      <c r="DE48" s="1804">
        <v>0</v>
      </c>
      <c r="DF48" s="1804">
        <v>0</v>
      </c>
      <c r="DG48" s="1804">
        <v>0</v>
      </c>
      <c r="DH48" s="1804">
        <v>0</v>
      </c>
      <c r="DI48" s="1804">
        <v>0</v>
      </c>
      <c r="DJ48" s="1804">
        <v>0</v>
      </c>
      <c r="DK48" s="1804">
        <v>0</v>
      </c>
      <c r="DL48" s="1804">
        <v>0</v>
      </c>
      <c r="DM48" s="1804">
        <v>0</v>
      </c>
      <c r="DN48" s="1804">
        <v>0</v>
      </c>
      <c r="DO48" s="1804">
        <v>0</v>
      </c>
      <c r="DP48" s="1804">
        <v>0</v>
      </c>
      <c r="DQ48" s="1804">
        <v>0</v>
      </c>
      <c r="DR48" s="1804">
        <v>0</v>
      </c>
      <c r="DS48" s="1804">
        <v>0</v>
      </c>
      <c r="DT48" s="1804">
        <v>0</v>
      </c>
      <c r="DU48" s="1804">
        <v>0</v>
      </c>
      <c r="DV48" s="1804">
        <v>0</v>
      </c>
      <c r="DW48" s="1804">
        <v>0</v>
      </c>
      <c r="DX48" s="1804">
        <v>0</v>
      </c>
      <c r="DY48" s="1804">
        <v>0</v>
      </c>
      <c r="DZ48" s="1804">
        <v>0</v>
      </c>
      <c r="EA48" s="1804">
        <v>0</v>
      </c>
      <c r="EB48" s="1804">
        <v>0</v>
      </c>
      <c r="EC48" s="1804">
        <v>0</v>
      </c>
      <c r="ED48" s="1804">
        <v>0</v>
      </c>
      <c r="EE48" s="1804">
        <v>0</v>
      </c>
      <c r="EF48" s="1804">
        <v>0</v>
      </c>
      <c r="EG48" s="1804">
        <v>0</v>
      </c>
      <c r="EH48" s="1804">
        <v>0</v>
      </c>
      <c r="EI48" s="1804">
        <v>0</v>
      </c>
      <c r="EJ48" s="1804">
        <v>0</v>
      </c>
      <c r="EK48" s="1804">
        <v>0</v>
      </c>
      <c r="EL48" s="1804">
        <v>0</v>
      </c>
      <c r="EM48" s="1804">
        <v>0</v>
      </c>
      <c r="EN48" s="1804">
        <v>0</v>
      </c>
      <c r="EO48" s="1804">
        <v>0</v>
      </c>
      <c r="EP48" s="1804">
        <v>0</v>
      </c>
      <c r="EQ48" s="1804">
        <v>0</v>
      </c>
      <c r="ER48" s="1804">
        <v>0</v>
      </c>
      <c r="ES48" s="1804">
        <v>0</v>
      </c>
      <c r="ET48" s="1804">
        <v>0</v>
      </c>
      <c r="EU48" s="1804">
        <v>0</v>
      </c>
      <c r="EV48" s="1804">
        <v>0</v>
      </c>
      <c r="EW48" s="1804">
        <v>0</v>
      </c>
      <c r="EX48" s="1804">
        <v>0</v>
      </c>
      <c r="EY48" s="1804">
        <v>0</v>
      </c>
      <c r="EZ48" s="1804">
        <v>0</v>
      </c>
      <c r="FA48" s="1804">
        <v>0</v>
      </c>
      <c r="FB48" s="1804">
        <v>0</v>
      </c>
      <c r="FC48" s="1804">
        <v>0</v>
      </c>
      <c r="FD48" s="1804">
        <v>0</v>
      </c>
      <c r="FE48" s="1804">
        <v>0</v>
      </c>
      <c r="FF48" s="1804">
        <v>0</v>
      </c>
      <c r="FG48" s="1804">
        <v>0</v>
      </c>
      <c r="FH48" s="1804">
        <v>0</v>
      </c>
      <c r="FI48" s="1804">
        <v>0</v>
      </c>
      <c r="FJ48" s="1804">
        <v>0</v>
      </c>
      <c r="FK48" s="1804">
        <v>0</v>
      </c>
      <c r="FL48" s="1804">
        <v>0</v>
      </c>
      <c r="FM48" s="1804">
        <v>0</v>
      </c>
      <c r="FN48" s="1804">
        <v>0</v>
      </c>
      <c r="FO48" s="1804">
        <v>0</v>
      </c>
      <c r="FP48" s="1804">
        <v>0</v>
      </c>
      <c r="FQ48" s="1804">
        <v>0</v>
      </c>
      <c r="FR48" s="1804">
        <v>0</v>
      </c>
      <c r="FS48" s="1804">
        <v>0</v>
      </c>
      <c r="FT48" s="1804">
        <v>0</v>
      </c>
      <c r="FU48" s="1804">
        <v>0</v>
      </c>
      <c r="FV48" s="1804">
        <v>0</v>
      </c>
      <c r="FW48" s="1804">
        <v>0</v>
      </c>
      <c r="FX48" s="1804">
        <v>0</v>
      </c>
      <c r="FY48" s="1804">
        <v>0</v>
      </c>
      <c r="FZ48" s="1804">
        <v>0</v>
      </c>
      <c r="GA48" s="1804">
        <v>0</v>
      </c>
      <c r="GB48" s="1804">
        <v>0</v>
      </c>
      <c r="GC48" s="1804">
        <v>0</v>
      </c>
      <c r="GD48" s="1804">
        <v>0</v>
      </c>
      <c r="GE48" s="1804">
        <v>0</v>
      </c>
      <c r="GF48" s="1804">
        <v>0</v>
      </c>
      <c r="GG48" s="1804">
        <v>0</v>
      </c>
      <c r="GH48" s="1804">
        <v>0</v>
      </c>
      <c r="GI48" s="1804">
        <v>0</v>
      </c>
      <c r="GJ48" s="1804">
        <v>0</v>
      </c>
      <c r="GK48" s="1804">
        <v>0</v>
      </c>
      <c r="GL48" s="1804">
        <v>0</v>
      </c>
      <c r="GM48" s="1804">
        <v>0</v>
      </c>
      <c r="GN48" s="1804">
        <v>0</v>
      </c>
      <c r="GO48" s="1804">
        <v>0</v>
      </c>
      <c r="GP48" s="1804">
        <v>0</v>
      </c>
      <c r="GQ48" s="1804">
        <v>0</v>
      </c>
      <c r="GR48" s="1804">
        <v>0</v>
      </c>
      <c r="GS48" s="1804">
        <v>0</v>
      </c>
      <c r="GT48" s="1804">
        <v>0</v>
      </c>
      <c r="GU48" s="1804">
        <v>0</v>
      </c>
      <c r="GV48" s="1804">
        <v>0</v>
      </c>
      <c r="GW48" s="1804">
        <v>0</v>
      </c>
      <c r="GX48" s="1804">
        <v>0</v>
      </c>
      <c r="GY48" s="1804">
        <v>0</v>
      </c>
      <c r="GZ48" s="1804">
        <v>0</v>
      </c>
      <c r="HA48" s="1804">
        <v>0</v>
      </c>
      <c r="HB48" s="1804">
        <v>0</v>
      </c>
      <c r="HC48" s="1804">
        <v>0</v>
      </c>
      <c r="HD48" s="1804">
        <v>0</v>
      </c>
      <c r="HE48" s="1804">
        <v>0</v>
      </c>
    </row>
    <row r="49" spans="1:213" ht="15" customHeight="1" x14ac:dyDescent="0.2">
      <c r="A49" s="1966"/>
      <c r="B49" s="1970"/>
      <c r="C49" s="1816" t="s">
        <v>795</v>
      </c>
      <c r="D49" s="1881"/>
      <c r="E49" s="1983"/>
      <c r="F49" s="1838">
        <v>0</v>
      </c>
      <c r="G49" s="1804">
        <v>0</v>
      </c>
      <c r="H49" s="1804">
        <v>0</v>
      </c>
      <c r="I49" s="1804">
        <v>0</v>
      </c>
      <c r="J49" s="1804">
        <v>0</v>
      </c>
      <c r="K49" s="1804">
        <v>0</v>
      </c>
      <c r="L49" s="1804">
        <v>0</v>
      </c>
      <c r="M49" s="1804">
        <v>0</v>
      </c>
      <c r="N49" s="1804">
        <v>0</v>
      </c>
      <c r="O49" s="1804">
        <v>0</v>
      </c>
      <c r="P49" s="1804">
        <v>0</v>
      </c>
      <c r="Q49" s="1804">
        <v>0</v>
      </c>
      <c r="R49" s="1804">
        <v>0</v>
      </c>
      <c r="S49" s="1804">
        <v>0</v>
      </c>
      <c r="T49" s="1804">
        <v>0</v>
      </c>
      <c r="U49" s="1804">
        <v>0</v>
      </c>
      <c r="V49" s="1804">
        <v>0</v>
      </c>
      <c r="W49" s="1804">
        <v>0</v>
      </c>
      <c r="X49" s="1804">
        <v>0</v>
      </c>
      <c r="Y49" s="1804">
        <v>0</v>
      </c>
      <c r="Z49" s="1804">
        <v>0</v>
      </c>
      <c r="AA49" s="1804">
        <v>0</v>
      </c>
      <c r="AB49" s="1804">
        <v>0</v>
      </c>
      <c r="AC49" s="1804">
        <v>0</v>
      </c>
      <c r="AD49" s="1804">
        <v>0</v>
      </c>
      <c r="AE49" s="1804">
        <v>0</v>
      </c>
      <c r="AF49" s="1804">
        <v>0</v>
      </c>
      <c r="AG49" s="1804">
        <v>0</v>
      </c>
      <c r="AH49" s="1804">
        <v>0</v>
      </c>
      <c r="AI49" s="1804">
        <v>0</v>
      </c>
      <c r="AJ49" s="1804">
        <v>0</v>
      </c>
      <c r="AK49" s="1804">
        <v>0</v>
      </c>
      <c r="AL49" s="1804">
        <v>0</v>
      </c>
      <c r="AM49" s="1804">
        <v>0</v>
      </c>
      <c r="AN49" s="1804">
        <v>0</v>
      </c>
      <c r="AO49" s="1804">
        <v>0</v>
      </c>
      <c r="AP49" s="1804">
        <v>0</v>
      </c>
      <c r="AQ49" s="1804">
        <v>0</v>
      </c>
      <c r="AR49" s="1804">
        <v>0</v>
      </c>
      <c r="AS49" s="1804">
        <v>0</v>
      </c>
      <c r="AT49" s="1804">
        <v>0</v>
      </c>
      <c r="AU49" s="1804">
        <v>0</v>
      </c>
      <c r="AV49" s="1804">
        <v>0</v>
      </c>
      <c r="AW49" s="1804">
        <v>0</v>
      </c>
      <c r="AX49" s="1804">
        <v>0</v>
      </c>
      <c r="AY49" s="1804">
        <v>0</v>
      </c>
      <c r="AZ49" s="1804">
        <v>0</v>
      </c>
      <c r="BA49" s="1804">
        <v>0</v>
      </c>
      <c r="BB49" s="1804">
        <v>0</v>
      </c>
      <c r="BC49" s="1804">
        <v>0</v>
      </c>
      <c r="BD49" s="1804">
        <v>0</v>
      </c>
      <c r="BE49" s="1804">
        <v>0</v>
      </c>
      <c r="BF49" s="1804">
        <v>0</v>
      </c>
      <c r="BG49" s="1804">
        <v>0</v>
      </c>
      <c r="BH49" s="1804">
        <v>0</v>
      </c>
      <c r="BI49" s="1804">
        <v>0</v>
      </c>
      <c r="BJ49" s="1804">
        <v>0</v>
      </c>
      <c r="BK49" s="1804">
        <v>0</v>
      </c>
      <c r="BL49" s="1804">
        <v>0</v>
      </c>
      <c r="BM49" s="1804">
        <v>0</v>
      </c>
      <c r="BN49" s="1804">
        <v>0</v>
      </c>
      <c r="BO49" s="1804">
        <v>0</v>
      </c>
      <c r="BP49" s="1804">
        <v>0</v>
      </c>
      <c r="BQ49" s="1804">
        <v>0</v>
      </c>
      <c r="BR49" s="1804">
        <v>0</v>
      </c>
      <c r="BS49" s="1804">
        <v>0</v>
      </c>
      <c r="BT49" s="1804">
        <v>0</v>
      </c>
      <c r="BU49" s="1804">
        <v>0</v>
      </c>
      <c r="BV49" s="1804">
        <v>0</v>
      </c>
      <c r="BW49" s="1804">
        <v>0</v>
      </c>
      <c r="BX49" s="1804">
        <v>0</v>
      </c>
      <c r="BY49" s="1804">
        <v>0</v>
      </c>
      <c r="BZ49" s="1804">
        <v>0</v>
      </c>
      <c r="CA49" s="1804">
        <v>0</v>
      </c>
      <c r="CB49" s="1804">
        <v>0</v>
      </c>
      <c r="CC49" s="1804">
        <v>0</v>
      </c>
      <c r="CD49" s="1804">
        <v>0</v>
      </c>
      <c r="CE49" s="1804">
        <v>0</v>
      </c>
      <c r="CF49" s="1804">
        <v>0</v>
      </c>
      <c r="CG49" s="1804">
        <v>0</v>
      </c>
      <c r="CH49" s="1804">
        <v>0</v>
      </c>
      <c r="CI49" s="1804">
        <v>0</v>
      </c>
      <c r="CJ49" s="1804">
        <v>0</v>
      </c>
      <c r="CK49" s="1804">
        <v>0</v>
      </c>
      <c r="CL49" s="1804">
        <v>0</v>
      </c>
      <c r="CM49" s="1804">
        <v>0</v>
      </c>
      <c r="CN49" s="1804">
        <v>0</v>
      </c>
      <c r="CO49" s="1804">
        <v>0</v>
      </c>
      <c r="CP49" s="1804">
        <v>0</v>
      </c>
      <c r="CQ49" s="1804">
        <v>0</v>
      </c>
      <c r="CR49" s="1804">
        <v>0</v>
      </c>
      <c r="CS49" s="1804">
        <v>0</v>
      </c>
      <c r="CT49" s="1804">
        <v>0</v>
      </c>
      <c r="CU49" s="1804">
        <v>0</v>
      </c>
      <c r="CV49" s="1804">
        <v>0</v>
      </c>
      <c r="CW49" s="1804">
        <v>0</v>
      </c>
      <c r="CX49" s="1804">
        <v>0</v>
      </c>
      <c r="CY49" s="1804">
        <v>0</v>
      </c>
      <c r="CZ49" s="1804">
        <v>0</v>
      </c>
      <c r="DA49" s="1804">
        <v>0</v>
      </c>
      <c r="DB49" s="1804">
        <v>0</v>
      </c>
      <c r="DC49" s="1804">
        <v>0</v>
      </c>
      <c r="DD49" s="1804">
        <v>0</v>
      </c>
      <c r="DE49" s="1804">
        <v>0</v>
      </c>
      <c r="DF49" s="1804">
        <v>0</v>
      </c>
      <c r="DG49" s="1804">
        <v>0</v>
      </c>
      <c r="DH49" s="1804">
        <v>0</v>
      </c>
      <c r="DI49" s="1804">
        <v>0</v>
      </c>
      <c r="DJ49" s="1804">
        <v>0</v>
      </c>
      <c r="DK49" s="1804">
        <v>0</v>
      </c>
      <c r="DL49" s="1804">
        <v>0</v>
      </c>
      <c r="DM49" s="1804">
        <v>0</v>
      </c>
      <c r="DN49" s="1804">
        <v>0</v>
      </c>
      <c r="DO49" s="1804">
        <v>0</v>
      </c>
      <c r="DP49" s="1804">
        <v>0</v>
      </c>
      <c r="DQ49" s="1804">
        <v>0</v>
      </c>
      <c r="DR49" s="1804">
        <v>0</v>
      </c>
      <c r="DS49" s="1804">
        <v>0</v>
      </c>
      <c r="DT49" s="1804">
        <v>0</v>
      </c>
      <c r="DU49" s="1804">
        <v>0</v>
      </c>
      <c r="DV49" s="1804">
        <v>0</v>
      </c>
      <c r="DW49" s="1804">
        <v>0</v>
      </c>
      <c r="DX49" s="1804">
        <v>0</v>
      </c>
      <c r="DY49" s="1804">
        <v>0</v>
      </c>
      <c r="DZ49" s="1804">
        <v>0</v>
      </c>
      <c r="EA49" s="1804">
        <v>0</v>
      </c>
      <c r="EB49" s="1804">
        <v>0</v>
      </c>
      <c r="EC49" s="1804">
        <v>0</v>
      </c>
      <c r="ED49" s="1804">
        <v>0</v>
      </c>
      <c r="EE49" s="1804">
        <v>0</v>
      </c>
      <c r="EF49" s="1804">
        <v>0</v>
      </c>
      <c r="EG49" s="1804">
        <v>0</v>
      </c>
      <c r="EH49" s="1804">
        <v>0</v>
      </c>
      <c r="EI49" s="1804">
        <v>0</v>
      </c>
      <c r="EJ49" s="1804">
        <v>0</v>
      </c>
      <c r="EK49" s="1804">
        <v>0</v>
      </c>
      <c r="EL49" s="1804">
        <v>0</v>
      </c>
      <c r="EM49" s="1804">
        <v>0</v>
      </c>
      <c r="EN49" s="1804">
        <v>0</v>
      </c>
      <c r="EO49" s="1804">
        <v>0</v>
      </c>
      <c r="EP49" s="1804">
        <v>0</v>
      </c>
      <c r="EQ49" s="1804">
        <v>0</v>
      </c>
      <c r="ER49" s="1804">
        <v>0</v>
      </c>
      <c r="ES49" s="1804">
        <v>0</v>
      </c>
      <c r="ET49" s="1804">
        <v>0</v>
      </c>
      <c r="EU49" s="1804">
        <v>0</v>
      </c>
      <c r="EV49" s="1804">
        <v>0</v>
      </c>
      <c r="EW49" s="1804">
        <v>0</v>
      </c>
      <c r="EX49" s="1804">
        <v>0</v>
      </c>
      <c r="EY49" s="1804">
        <v>0</v>
      </c>
      <c r="EZ49" s="1804">
        <v>0</v>
      </c>
      <c r="FA49" s="1804">
        <v>0</v>
      </c>
      <c r="FB49" s="1804">
        <v>0</v>
      </c>
      <c r="FC49" s="1804">
        <v>0</v>
      </c>
      <c r="FD49" s="1804">
        <v>0</v>
      </c>
      <c r="FE49" s="1804">
        <v>0</v>
      </c>
      <c r="FF49" s="1804">
        <v>0</v>
      </c>
      <c r="FG49" s="1804">
        <v>0</v>
      </c>
      <c r="FH49" s="1804">
        <v>0</v>
      </c>
      <c r="FI49" s="1804">
        <v>0</v>
      </c>
      <c r="FJ49" s="1804">
        <v>0</v>
      </c>
      <c r="FK49" s="1804">
        <v>0</v>
      </c>
      <c r="FL49" s="1804">
        <v>0</v>
      </c>
      <c r="FM49" s="1804">
        <v>0</v>
      </c>
      <c r="FN49" s="1804">
        <v>0</v>
      </c>
      <c r="FO49" s="1804">
        <v>0</v>
      </c>
      <c r="FP49" s="1804">
        <v>0</v>
      </c>
      <c r="FQ49" s="1804">
        <v>0</v>
      </c>
      <c r="FR49" s="1804">
        <v>0</v>
      </c>
      <c r="FS49" s="1804">
        <v>0</v>
      </c>
      <c r="FT49" s="1804">
        <v>0</v>
      </c>
      <c r="FU49" s="1804">
        <v>0</v>
      </c>
      <c r="FV49" s="1804">
        <v>0</v>
      </c>
      <c r="FW49" s="1804">
        <v>0</v>
      </c>
      <c r="FX49" s="1804">
        <v>0</v>
      </c>
      <c r="FY49" s="1804">
        <v>0</v>
      </c>
      <c r="FZ49" s="1804">
        <v>0</v>
      </c>
      <c r="GA49" s="1804">
        <v>0</v>
      </c>
      <c r="GB49" s="1804">
        <v>0</v>
      </c>
      <c r="GC49" s="1804">
        <v>0</v>
      </c>
      <c r="GD49" s="1804">
        <v>0</v>
      </c>
      <c r="GE49" s="1804">
        <v>0</v>
      </c>
      <c r="GF49" s="1804">
        <v>0</v>
      </c>
      <c r="GG49" s="1804">
        <v>0</v>
      </c>
      <c r="GH49" s="1804">
        <v>0</v>
      </c>
      <c r="GI49" s="1804">
        <v>0</v>
      </c>
      <c r="GJ49" s="1804">
        <v>0</v>
      </c>
      <c r="GK49" s="1804">
        <v>0</v>
      </c>
      <c r="GL49" s="1804">
        <v>0</v>
      </c>
      <c r="GM49" s="1804">
        <v>0</v>
      </c>
      <c r="GN49" s="1804">
        <v>0</v>
      </c>
      <c r="GO49" s="1804">
        <v>0</v>
      </c>
      <c r="GP49" s="1804">
        <v>0</v>
      </c>
      <c r="GQ49" s="1804">
        <v>0</v>
      </c>
      <c r="GR49" s="1804">
        <v>0</v>
      </c>
      <c r="GS49" s="1804">
        <v>0</v>
      </c>
      <c r="GT49" s="1804">
        <v>0</v>
      </c>
      <c r="GU49" s="1804">
        <v>0</v>
      </c>
      <c r="GV49" s="1804">
        <v>0</v>
      </c>
      <c r="GW49" s="1804">
        <v>0</v>
      </c>
      <c r="GX49" s="1804">
        <v>0</v>
      </c>
      <c r="GY49" s="1804">
        <v>0</v>
      </c>
      <c r="GZ49" s="1804">
        <v>0</v>
      </c>
      <c r="HA49" s="1804">
        <v>0</v>
      </c>
      <c r="HB49" s="1804">
        <v>0</v>
      </c>
      <c r="HC49" s="1804">
        <v>0</v>
      </c>
      <c r="HD49" s="1804">
        <v>0</v>
      </c>
      <c r="HE49" s="1804">
        <v>0</v>
      </c>
    </row>
    <row r="50" spans="1:213" ht="15" customHeight="1" thickBot="1" x14ac:dyDescent="0.25">
      <c r="A50" s="1966"/>
      <c r="B50" s="1971"/>
      <c r="C50" s="1690" t="s">
        <v>796</v>
      </c>
      <c r="D50" s="1881"/>
      <c r="E50" s="1983"/>
      <c r="F50" s="1838">
        <v>0</v>
      </c>
      <c r="G50" s="1804">
        <v>0</v>
      </c>
      <c r="H50" s="1804">
        <v>0</v>
      </c>
      <c r="I50" s="1804">
        <v>0</v>
      </c>
      <c r="J50" s="1804">
        <v>0</v>
      </c>
      <c r="K50" s="1804">
        <v>0</v>
      </c>
      <c r="L50" s="1804">
        <v>0</v>
      </c>
      <c r="M50" s="1804">
        <v>0</v>
      </c>
      <c r="N50" s="1804">
        <v>0</v>
      </c>
      <c r="O50" s="1804">
        <v>0</v>
      </c>
      <c r="P50" s="1804">
        <v>0</v>
      </c>
      <c r="Q50" s="1804">
        <v>0</v>
      </c>
      <c r="R50" s="1804">
        <v>0</v>
      </c>
      <c r="S50" s="1804">
        <v>0</v>
      </c>
      <c r="T50" s="1804">
        <v>0</v>
      </c>
      <c r="U50" s="1804">
        <v>0</v>
      </c>
      <c r="V50" s="1804">
        <v>0</v>
      </c>
      <c r="W50" s="1804">
        <v>0</v>
      </c>
      <c r="X50" s="1804">
        <v>0</v>
      </c>
      <c r="Y50" s="1804">
        <v>0</v>
      </c>
      <c r="Z50" s="1804">
        <v>0</v>
      </c>
      <c r="AA50" s="1804">
        <v>0</v>
      </c>
      <c r="AB50" s="1804">
        <v>0</v>
      </c>
      <c r="AC50" s="1804">
        <v>0</v>
      </c>
      <c r="AD50" s="1804">
        <v>0</v>
      </c>
      <c r="AE50" s="1804">
        <v>0</v>
      </c>
      <c r="AF50" s="1804">
        <v>0</v>
      </c>
      <c r="AG50" s="1804">
        <v>0</v>
      </c>
      <c r="AH50" s="1804">
        <v>0</v>
      </c>
      <c r="AI50" s="1804">
        <v>0</v>
      </c>
      <c r="AJ50" s="1804">
        <v>0</v>
      </c>
      <c r="AK50" s="1804">
        <v>0</v>
      </c>
      <c r="AL50" s="1804">
        <v>0</v>
      </c>
      <c r="AM50" s="1804">
        <v>0</v>
      </c>
      <c r="AN50" s="1804">
        <v>0</v>
      </c>
      <c r="AO50" s="1804">
        <v>0</v>
      </c>
      <c r="AP50" s="1804">
        <v>0</v>
      </c>
      <c r="AQ50" s="1804">
        <v>0</v>
      </c>
      <c r="AR50" s="1804">
        <v>0</v>
      </c>
      <c r="AS50" s="1804">
        <v>0</v>
      </c>
      <c r="AT50" s="1804">
        <v>0</v>
      </c>
      <c r="AU50" s="1804">
        <v>0</v>
      </c>
      <c r="AV50" s="1804">
        <v>0</v>
      </c>
      <c r="AW50" s="1804">
        <v>0</v>
      </c>
      <c r="AX50" s="1804">
        <v>0</v>
      </c>
      <c r="AY50" s="1804">
        <v>0</v>
      </c>
      <c r="AZ50" s="1804">
        <v>0</v>
      </c>
      <c r="BA50" s="1804">
        <v>0</v>
      </c>
      <c r="BB50" s="1804">
        <v>0</v>
      </c>
      <c r="BC50" s="1804">
        <v>0</v>
      </c>
      <c r="BD50" s="1804">
        <v>0</v>
      </c>
      <c r="BE50" s="1804">
        <v>0</v>
      </c>
      <c r="BF50" s="1804">
        <v>0</v>
      </c>
      <c r="BG50" s="1804">
        <v>0</v>
      </c>
      <c r="BH50" s="1804">
        <v>0</v>
      </c>
      <c r="BI50" s="1804">
        <v>0</v>
      </c>
      <c r="BJ50" s="1804">
        <v>0</v>
      </c>
      <c r="BK50" s="1804">
        <v>0</v>
      </c>
      <c r="BL50" s="1804">
        <v>0</v>
      </c>
      <c r="BM50" s="1804">
        <v>0</v>
      </c>
      <c r="BN50" s="1804">
        <v>0</v>
      </c>
      <c r="BO50" s="1804">
        <v>0</v>
      </c>
      <c r="BP50" s="1804">
        <v>0</v>
      </c>
      <c r="BQ50" s="1804">
        <v>0</v>
      </c>
      <c r="BR50" s="1804">
        <v>0</v>
      </c>
      <c r="BS50" s="1804">
        <v>0</v>
      </c>
      <c r="BT50" s="1804">
        <v>0</v>
      </c>
      <c r="BU50" s="1804">
        <v>0</v>
      </c>
      <c r="BV50" s="1804">
        <v>0</v>
      </c>
      <c r="BW50" s="1804">
        <v>0</v>
      </c>
      <c r="BX50" s="1804">
        <v>0</v>
      </c>
      <c r="BY50" s="1804">
        <v>0</v>
      </c>
      <c r="BZ50" s="1804">
        <v>0</v>
      </c>
      <c r="CA50" s="1804">
        <v>0</v>
      </c>
      <c r="CB50" s="1804">
        <v>0</v>
      </c>
      <c r="CC50" s="1804">
        <v>0</v>
      </c>
      <c r="CD50" s="1804">
        <v>0</v>
      </c>
      <c r="CE50" s="1804">
        <v>0</v>
      </c>
      <c r="CF50" s="1804">
        <v>0</v>
      </c>
      <c r="CG50" s="1804">
        <v>0</v>
      </c>
      <c r="CH50" s="1804">
        <v>0</v>
      </c>
      <c r="CI50" s="1804">
        <v>0</v>
      </c>
      <c r="CJ50" s="1804">
        <v>0</v>
      </c>
      <c r="CK50" s="1804">
        <v>0</v>
      </c>
      <c r="CL50" s="1804">
        <v>0</v>
      </c>
      <c r="CM50" s="1804">
        <v>0</v>
      </c>
      <c r="CN50" s="1804">
        <v>0</v>
      </c>
      <c r="CO50" s="1804">
        <v>0</v>
      </c>
      <c r="CP50" s="1804">
        <v>0</v>
      </c>
      <c r="CQ50" s="1804">
        <v>0</v>
      </c>
      <c r="CR50" s="1804">
        <v>0</v>
      </c>
      <c r="CS50" s="1804">
        <v>0</v>
      </c>
      <c r="CT50" s="1804">
        <v>0</v>
      </c>
      <c r="CU50" s="1804">
        <v>0</v>
      </c>
      <c r="CV50" s="1804">
        <v>0</v>
      </c>
      <c r="CW50" s="1804">
        <v>0</v>
      </c>
      <c r="CX50" s="1804">
        <v>0</v>
      </c>
      <c r="CY50" s="1804">
        <v>0</v>
      </c>
      <c r="CZ50" s="1804">
        <v>0</v>
      </c>
      <c r="DA50" s="1804">
        <v>0</v>
      </c>
      <c r="DB50" s="1804">
        <v>0</v>
      </c>
      <c r="DC50" s="1804">
        <v>0</v>
      </c>
      <c r="DD50" s="1804">
        <v>0</v>
      </c>
      <c r="DE50" s="1804">
        <v>0</v>
      </c>
      <c r="DF50" s="1804">
        <v>0</v>
      </c>
      <c r="DG50" s="1804">
        <v>0</v>
      </c>
      <c r="DH50" s="1804">
        <v>0</v>
      </c>
      <c r="DI50" s="1804">
        <v>0</v>
      </c>
      <c r="DJ50" s="1804">
        <v>0</v>
      </c>
      <c r="DK50" s="1804">
        <v>0</v>
      </c>
      <c r="DL50" s="1804">
        <v>0</v>
      </c>
      <c r="DM50" s="1804">
        <v>0</v>
      </c>
      <c r="DN50" s="1804">
        <v>0</v>
      </c>
      <c r="DO50" s="1804">
        <v>0</v>
      </c>
      <c r="DP50" s="1804">
        <v>0</v>
      </c>
      <c r="DQ50" s="1804">
        <v>0</v>
      </c>
      <c r="DR50" s="1804">
        <v>0</v>
      </c>
      <c r="DS50" s="1804">
        <v>0</v>
      </c>
      <c r="DT50" s="1804">
        <v>0</v>
      </c>
      <c r="DU50" s="1804">
        <v>0</v>
      </c>
      <c r="DV50" s="1804">
        <v>0</v>
      </c>
      <c r="DW50" s="1804">
        <v>0</v>
      </c>
      <c r="DX50" s="1804">
        <v>0</v>
      </c>
      <c r="DY50" s="1804">
        <v>0</v>
      </c>
      <c r="DZ50" s="1804">
        <v>0</v>
      </c>
      <c r="EA50" s="1804">
        <v>0</v>
      </c>
      <c r="EB50" s="1804">
        <v>0</v>
      </c>
      <c r="EC50" s="1804">
        <v>0</v>
      </c>
      <c r="ED50" s="1804">
        <v>0</v>
      </c>
      <c r="EE50" s="1804">
        <v>0</v>
      </c>
      <c r="EF50" s="1804">
        <v>0</v>
      </c>
      <c r="EG50" s="1804">
        <v>0</v>
      </c>
      <c r="EH50" s="1804">
        <v>0</v>
      </c>
      <c r="EI50" s="1804">
        <v>0</v>
      </c>
      <c r="EJ50" s="1804">
        <v>0</v>
      </c>
      <c r="EK50" s="1804">
        <v>0</v>
      </c>
      <c r="EL50" s="1804">
        <v>0</v>
      </c>
      <c r="EM50" s="1804">
        <v>0</v>
      </c>
      <c r="EN50" s="1804">
        <v>0</v>
      </c>
      <c r="EO50" s="1804">
        <v>0</v>
      </c>
      <c r="EP50" s="1804">
        <v>0</v>
      </c>
      <c r="EQ50" s="1804">
        <v>0</v>
      </c>
      <c r="ER50" s="1804">
        <v>0</v>
      </c>
      <c r="ES50" s="1804">
        <v>0</v>
      </c>
      <c r="ET50" s="1804">
        <v>0</v>
      </c>
      <c r="EU50" s="1804">
        <v>0</v>
      </c>
      <c r="EV50" s="1804">
        <v>0</v>
      </c>
      <c r="EW50" s="1804">
        <v>0</v>
      </c>
      <c r="EX50" s="1804">
        <v>0</v>
      </c>
      <c r="EY50" s="1804">
        <v>0</v>
      </c>
      <c r="EZ50" s="1804">
        <v>0</v>
      </c>
      <c r="FA50" s="1804">
        <v>0</v>
      </c>
      <c r="FB50" s="1804">
        <v>0</v>
      </c>
      <c r="FC50" s="1804">
        <v>0</v>
      </c>
      <c r="FD50" s="1804">
        <v>0</v>
      </c>
      <c r="FE50" s="1804">
        <v>0</v>
      </c>
      <c r="FF50" s="1804">
        <v>0</v>
      </c>
      <c r="FG50" s="1804">
        <v>0</v>
      </c>
      <c r="FH50" s="1804">
        <v>0</v>
      </c>
      <c r="FI50" s="1804">
        <v>0</v>
      </c>
      <c r="FJ50" s="1804">
        <v>0</v>
      </c>
      <c r="FK50" s="1804">
        <v>0</v>
      </c>
      <c r="FL50" s="1804">
        <v>0</v>
      </c>
      <c r="FM50" s="1804">
        <v>0</v>
      </c>
      <c r="FN50" s="1804">
        <v>0</v>
      </c>
      <c r="FO50" s="1804">
        <v>0</v>
      </c>
      <c r="FP50" s="1804">
        <v>0</v>
      </c>
      <c r="FQ50" s="1804">
        <v>0</v>
      </c>
      <c r="FR50" s="1804">
        <v>0</v>
      </c>
      <c r="FS50" s="1804">
        <v>0</v>
      </c>
      <c r="FT50" s="1804">
        <v>0</v>
      </c>
      <c r="FU50" s="1804">
        <v>0</v>
      </c>
      <c r="FV50" s="1804">
        <v>0</v>
      </c>
      <c r="FW50" s="1804">
        <v>0</v>
      </c>
      <c r="FX50" s="1804">
        <v>0</v>
      </c>
      <c r="FY50" s="1804">
        <v>0</v>
      </c>
      <c r="FZ50" s="1804">
        <v>0</v>
      </c>
      <c r="GA50" s="1804">
        <v>0</v>
      </c>
      <c r="GB50" s="1804">
        <v>0</v>
      </c>
      <c r="GC50" s="1804">
        <v>0</v>
      </c>
      <c r="GD50" s="1804">
        <v>0</v>
      </c>
      <c r="GE50" s="1804">
        <v>0</v>
      </c>
      <c r="GF50" s="1804">
        <v>0</v>
      </c>
      <c r="GG50" s="1804">
        <v>0</v>
      </c>
      <c r="GH50" s="1804">
        <v>0</v>
      </c>
      <c r="GI50" s="1804">
        <v>0</v>
      </c>
      <c r="GJ50" s="1804">
        <v>0</v>
      </c>
      <c r="GK50" s="1804">
        <v>0</v>
      </c>
      <c r="GL50" s="1804">
        <v>0</v>
      </c>
      <c r="GM50" s="1804">
        <v>0</v>
      </c>
      <c r="GN50" s="1804">
        <v>0</v>
      </c>
      <c r="GO50" s="1804">
        <v>0</v>
      </c>
      <c r="GP50" s="1804">
        <v>0</v>
      </c>
      <c r="GQ50" s="1804">
        <v>0</v>
      </c>
      <c r="GR50" s="1804">
        <v>0</v>
      </c>
      <c r="GS50" s="1804">
        <v>0</v>
      </c>
      <c r="GT50" s="1804">
        <v>0</v>
      </c>
      <c r="GU50" s="1804">
        <v>0</v>
      </c>
      <c r="GV50" s="1804">
        <v>0</v>
      </c>
      <c r="GW50" s="1804">
        <v>0</v>
      </c>
      <c r="GX50" s="1804">
        <v>0</v>
      </c>
      <c r="GY50" s="1804">
        <v>0</v>
      </c>
      <c r="GZ50" s="1804">
        <v>0</v>
      </c>
      <c r="HA50" s="1804">
        <v>0</v>
      </c>
      <c r="HB50" s="1804">
        <v>0</v>
      </c>
      <c r="HC50" s="1804">
        <v>0</v>
      </c>
      <c r="HD50" s="1804">
        <v>0</v>
      </c>
      <c r="HE50" s="1804">
        <v>0</v>
      </c>
    </row>
    <row r="51" spans="1:213" ht="21" customHeight="1" thickBot="1" x14ac:dyDescent="0.25">
      <c r="A51" s="1981" t="s">
        <v>2392</v>
      </c>
      <c r="B51" s="1982"/>
      <c r="C51" s="1982"/>
      <c r="D51" s="1884"/>
      <c r="E51" s="1841"/>
      <c r="F51" s="1865"/>
      <c r="G51" s="1866"/>
      <c r="H51" s="1866"/>
      <c r="I51" s="1866"/>
      <c r="J51" s="1866"/>
      <c r="K51" s="1866"/>
      <c r="L51" s="1866"/>
      <c r="M51" s="1866"/>
      <c r="N51" s="1866"/>
      <c r="O51" s="1866"/>
      <c r="P51" s="1866"/>
      <c r="Q51" s="1866"/>
      <c r="R51" s="1866"/>
      <c r="S51" s="1866"/>
      <c r="T51" s="1866"/>
      <c r="U51" s="1866"/>
      <c r="V51" s="1866"/>
      <c r="W51" s="1866"/>
      <c r="X51" s="1866"/>
      <c r="Y51" s="1866"/>
      <c r="Z51" s="1866"/>
      <c r="AA51" s="1866"/>
      <c r="AB51" s="1866"/>
      <c r="AC51" s="1866"/>
      <c r="AD51" s="1866"/>
      <c r="AE51" s="1866"/>
      <c r="AF51" s="1866"/>
      <c r="AG51" s="1866"/>
      <c r="AH51" s="1866"/>
      <c r="AI51" s="1866"/>
      <c r="AJ51" s="1866"/>
      <c r="AK51" s="1866"/>
      <c r="AL51" s="1866"/>
      <c r="AM51" s="1866"/>
      <c r="AN51" s="1866"/>
      <c r="AO51" s="1866"/>
      <c r="AP51" s="1866"/>
      <c r="AQ51" s="1866"/>
      <c r="AR51" s="1866"/>
      <c r="AS51" s="1866"/>
      <c r="AT51" s="1866"/>
      <c r="AU51" s="1866"/>
      <c r="AV51" s="1866"/>
      <c r="AW51" s="1866"/>
      <c r="AX51" s="1866"/>
      <c r="AY51" s="1866"/>
      <c r="AZ51" s="1866"/>
      <c r="BA51" s="1866"/>
      <c r="BB51" s="1866"/>
      <c r="BC51" s="1866"/>
      <c r="BD51" s="1866"/>
      <c r="BE51" s="1866"/>
      <c r="BF51" s="1866"/>
      <c r="BG51" s="1866"/>
      <c r="BH51" s="1866"/>
      <c r="BI51" s="1866"/>
      <c r="BJ51" s="1866"/>
      <c r="BK51" s="1866"/>
      <c r="BL51" s="1866"/>
      <c r="BM51" s="1866"/>
      <c r="BN51" s="1866"/>
      <c r="BO51" s="1866"/>
      <c r="BP51" s="1866"/>
      <c r="BQ51" s="1866"/>
      <c r="BR51" s="1866"/>
      <c r="BS51" s="1866"/>
      <c r="BT51" s="1866"/>
      <c r="BU51" s="1866"/>
      <c r="BV51" s="1866"/>
      <c r="BW51" s="1866"/>
      <c r="BX51" s="1866"/>
      <c r="BY51" s="1866"/>
      <c r="BZ51" s="1866"/>
      <c r="CA51" s="1866"/>
      <c r="CB51" s="1866"/>
      <c r="CC51" s="1866"/>
      <c r="CD51" s="1866"/>
      <c r="CE51" s="1866"/>
      <c r="CF51" s="1866"/>
      <c r="CG51" s="1866"/>
      <c r="CH51" s="1866"/>
      <c r="CI51" s="1866"/>
      <c r="CJ51" s="1866"/>
      <c r="CK51" s="1866"/>
      <c r="CL51" s="1866"/>
      <c r="CM51" s="1866"/>
      <c r="CN51" s="1866"/>
      <c r="CO51" s="1866"/>
      <c r="CP51" s="1866"/>
      <c r="CQ51" s="1866"/>
      <c r="CR51" s="1866"/>
      <c r="CS51" s="1866"/>
      <c r="CT51" s="1866"/>
      <c r="CU51" s="1866"/>
      <c r="CV51" s="1866"/>
      <c r="CW51" s="1866"/>
      <c r="CX51" s="1866"/>
      <c r="CY51" s="1866"/>
      <c r="CZ51" s="1866"/>
      <c r="DA51" s="1866"/>
      <c r="DB51" s="1866"/>
      <c r="DC51" s="1866"/>
      <c r="DD51" s="1866"/>
      <c r="DE51" s="1866"/>
      <c r="DF51" s="1866"/>
      <c r="DG51" s="1866"/>
      <c r="DH51" s="1866"/>
      <c r="DI51" s="1866"/>
      <c r="DJ51" s="1866"/>
      <c r="DK51" s="1866"/>
      <c r="DL51" s="1866"/>
      <c r="DM51" s="1866"/>
      <c r="DN51" s="1866"/>
      <c r="DO51" s="1866"/>
      <c r="DP51" s="1866"/>
      <c r="DQ51" s="1866"/>
      <c r="DR51" s="1866"/>
      <c r="DS51" s="1866"/>
      <c r="DT51" s="1866"/>
      <c r="DU51" s="1866"/>
      <c r="DV51" s="1866"/>
      <c r="DW51" s="1866"/>
      <c r="DX51" s="1866"/>
      <c r="DY51" s="1866"/>
      <c r="DZ51" s="1866"/>
      <c r="EA51" s="1866"/>
      <c r="EB51" s="1866"/>
      <c r="EC51" s="1866"/>
      <c r="ED51" s="1866"/>
      <c r="EE51" s="1866"/>
      <c r="EF51" s="1866"/>
      <c r="EG51" s="1866"/>
      <c r="EH51" s="1866"/>
      <c r="EI51" s="1866"/>
      <c r="EJ51" s="1866"/>
      <c r="EK51" s="1866"/>
      <c r="EL51" s="1866"/>
      <c r="EM51" s="1866"/>
      <c r="EN51" s="1866"/>
      <c r="EO51" s="1866"/>
      <c r="EP51" s="1866"/>
      <c r="EQ51" s="1866"/>
      <c r="ER51" s="1866"/>
      <c r="ES51" s="1866"/>
      <c r="ET51" s="1866"/>
      <c r="EU51" s="1866"/>
      <c r="EV51" s="1866"/>
      <c r="EW51" s="1866"/>
      <c r="EX51" s="1866"/>
      <c r="EY51" s="1866"/>
      <c r="EZ51" s="1866"/>
      <c r="FA51" s="1866"/>
      <c r="FB51" s="1866"/>
      <c r="FC51" s="1866"/>
      <c r="FD51" s="1866"/>
      <c r="FE51" s="1866"/>
      <c r="FF51" s="1866"/>
      <c r="FG51" s="1866"/>
      <c r="FH51" s="1866"/>
      <c r="FI51" s="1866"/>
      <c r="FJ51" s="1866"/>
      <c r="FK51" s="1866"/>
      <c r="FL51" s="1866"/>
      <c r="FM51" s="1866"/>
      <c r="FN51" s="1866"/>
      <c r="FO51" s="1866"/>
      <c r="FP51" s="1866"/>
      <c r="FQ51" s="1866"/>
      <c r="FR51" s="1866"/>
      <c r="FS51" s="1866"/>
      <c r="FT51" s="1866"/>
      <c r="FU51" s="1866"/>
      <c r="FV51" s="1866"/>
      <c r="FW51" s="1866"/>
      <c r="FX51" s="1866"/>
      <c r="FY51" s="1866"/>
      <c r="FZ51" s="1866"/>
      <c r="GA51" s="1866"/>
      <c r="GB51" s="1866"/>
      <c r="GC51" s="1866"/>
      <c r="GD51" s="1866"/>
      <c r="GE51" s="1866"/>
      <c r="GF51" s="1866"/>
      <c r="GG51" s="1866"/>
      <c r="GH51" s="1866"/>
      <c r="GI51" s="1866"/>
      <c r="GJ51" s="1866"/>
      <c r="GK51" s="1866"/>
      <c r="GL51" s="1866"/>
      <c r="GM51" s="1866"/>
      <c r="GN51" s="1866"/>
      <c r="GO51" s="1866"/>
      <c r="GP51" s="1866"/>
      <c r="GQ51" s="1866"/>
      <c r="GR51" s="1866"/>
      <c r="GS51" s="1866"/>
      <c r="GT51" s="1866"/>
      <c r="GU51" s="1866"/>
      <c r="GV51" s="1866"/>
      <c r="GW51" s="1866"/>
      <c r="GX51" s="1866"/>
      <c r="GY51" s="1866"/>
      <c r="GZ51" s="1866"/>
      <c r="HA51" s="1866"/>
      <c r="HB51" s="1866"/>
      <c r="HC51" s="1866"/>
      <c r="HD51" s="1866"/>
      <c r="HE51" s="1866"/>
    </row>
    <row r="52" spans="1:213" ht="21" customHeight="1" thickBot="1" x14ac:dyDescent="0.25">
      <c r="A52" s="1975" t="s">
        <v>2333</v>
      </c>
      <c r="B52" s="1969" t="s">
        <v>204</v>
      </c>
      <c r="C52" s="1691" t="s">
        <v>946</v>
      </c>
      <c r="D52" s="1880"/>
      <c r="E52" s="1983"/>
      <c r="F52" s="1865"/>
      <c r="G52" s="1866"/>
      <c r="H52" s="1866"/>
      <c r="I52" s="1866"/>
      <c r="J52" s="1866"/>
      <c r="K52" s="1866"/>
      <c r="L52" s="1866"/>
      <c r="M52" s="1866"/>
      <c r="N52" s="1866"/>
      <c r="O52" s="1866"/>
      <c r="P52" s="1866"/>
      <c r="Q52" s="1866"/>
      <c r="R52" s="1866"/>
      <c r="S52" s="1866"/>
      <c r="T52" s="1866"/>
      <c r="U52" s="1866"/>
      <c r="V52" s="1866"/>
      <c r="W52" s="1866"/>
      <c r="X52" s="1866"/>
      <c r="Y52" s="1866"/>
      <c r="Z52" s="1866"/>
      <c r="AA52" s="1866"/>
      <c r="AB52" s="1866"/>
      <c r="AC52" s="1866"/>
      <c r="AD52" s="1866"/>
      <c r="AE52" s="1866"/>
      <c r="AF52" s="1866"/>
      <c r="AG52" s="1866"/>
      <c r="AH52" s="1866"/>
      <c r="AI52" s="1866"/>
      <c r="AJ52" s="1866"/>
      <c r="AK52" s="1866"/>
      <c r="AL52" s="1866"/>
      <c r="AM52" s="1866"/>
      <c r="AN52" s="1866"/>
      <c r="AO52" s="1866"/>
      <c r="AP52" s="1866"/>
      <c r="AQ52" s="1866"/>
      <c r="AR52" s="1866"/>
      <c r="AS52" s="1866"/>
      <c r="AT52" s="1866"/>
      <c r="AU52" s="1866"/>
      <c r="AV52" s="1866"/>
      <c r="AW52" s="1866"/>
      <c r="AX52" s="1866"/>
      <c r="AY52" s="1866"/>
      <c r="AZ52" s="1866"/>
      <c r="BA52" s="1866"/>
      <c r="BB52" s="1866"/>
      <c r="BC52" s="1866"/>
      <c r="BD52" s="1866"/>
      <c r="BE52" s="1866"/>
      <c r="BF52" s="1866"/>
      <c r="BG52" s="1866"/>
      <c r="BH52" s="1866"/>
      <c r="BI52" s="1866"/>
      <c r="BJ52" s="1866"/>
      <c r="BK52" s="1866"/>
      <c r="BL52" s="1866"/>
      <c r="BM52" s="1866"/>
      <c r="BN52" s="1866"/>
      <c r="BO52" s="1866"/>
      <c r="BP52" s="1866"/>
      <c r="BQ52" s="1866"/>
      <c r="BR52" s="1866"/>
      <c r="BS52" s="1866"/>
      <c r="BT52" s="1866"/>
      <c r="BU52" s="1866"/>
      <c r="BV52" s="1866"/>
      <c r="BW52" s="1866"/>
      <c r="BX52" s="1866"/>
      <c r="BY52" s="1866"/>
      <c r="BZ52" s="1866"/>
      <c r="CA52" s="1866"/>
      <c r="CB52" s="1866"/>
      <c r="CC52" s="1866"/>
      <c r="CD52" s="1866"/>
      <c r="CE52" s="1866"/>
      <c r="CF52" s="1866"/>
      <c r="CG52" s="1866"/>
      <c r="CH52" s="1866"/>
      <c r="CI52" s="1866"/>
      <c r="CJ52" s="1866"/>
      <c r="CK52" s="1866"/>
      <c r="CL52" s="1866"/>
      <c r="CM52" s="1866"/>
      <c r="CN52" s="1866"/>
      <c r="CO52" s="1866"/>
      <c r="CP52" s="1866"/>
      <c r="CQ52" s="1866"/>
      <c r="CR52" s="1866"/>
      <c r="CS52" s="1866"/>
      <c r="CT52" s="1866"/>
      <c r="CU52" s="1866"/>
      <c r="CV52" s="1866"/>
      <c r="CW52" s="1866"/>
      <c r="CX52" s="1866"/>
      <c r="CY52" s="1866"/>
      <c r="CZ52" s="1866"/>
      <c r="DA52" s="1866"/>
      <c r="DB52" s="1866"/>
      <c r="DC52" s="1866"/>
      <c r="DD52" s="1866"/>
      <c r="DE52" s="1866"/>
      <c r="DF52" s="1866"/>
      <c r="DG52" s="1866"/>
      <c r="DH52" s="1866"/>
      <c r="DI52" s="1866"/>
      <c r="DJ52" s="1866"/>
      <c r="DK52" s="1866"/>
      <c r="DL52" s="1866"/>
      <c r="DM52" s="1866"/>
      <c r="DN52" s="1866"/>
      <c r="DO52" s="1866"/>
      <c r="DP52" s="1866"/>
      <c r="DQ52" s="1866"/>
      <c r="DR52" s="1866"/>
      <c r="DS52" s="1866"/>
      <c r="DT52" s="1866"/>
      <c r="DU52" s="1866"/>
      <c r="DV52" s="1866"/>
      <c r="DW52" s="1866"/>
      <c r="DX52" s="1866"/>
      <c r="DY52" s="1866"/>
      <c r="DZ52" s="1866"/>
      <c r="EA52" s="1866"/>
      <c r="EB52" s="1866"/>
      <c r="EC52" s="1866"/>
      <c r="ED52" s="1866"/>
      <c r="EE52" s="1866"/>
      <c r="EF52" s="1866"/>
      <c r="EG52" s="1866"/>
      <c r="EH52" s="1866"/>
      <c r="EI52" s="1866"/>
      <c r="EJ52" s="1866"/>
      <c r="EK52" s="1866"/>
      <c r="EL52" s="1866"/>
      <c r="EM52" s="1866"/>
      <c r="EN52" s="1866"/>
      <c r="EO52" s="1866"/>
      <c r="EP52" s="1866"/>
      <c r="EQ52" s="1866"/>
      <c r="ER52" s="1866"/>
      <c r="ES52" s="1866"/>
      <c r="ET52" s="1866"/>
      <c r="EU52" s="1866"/>
      <c r="EV52" s="1866"/>
      <c r="EW52" s="1866"/>
      <c r="EX52" s="1866"/>
      <c r="EY52" s="1866"/>
      <c r="EZ52" s="1866"/>
      <c r="FA52" s="1866"/>
      <c r="FB52" s="1866"/>
      <c r="FC52" s="1866"/>
      <c r="FD52" s="1866"/>
      <c r="FE52" s="1866"/>
      <c r="FF52" s="1866"/>
      <c r="FG52" s="1866"/>
      <c r="FH52" s="1866"/>
      <c r="FI52" s="1866"/>
      <c r="FJ52" s="1866"/>
      <c r="FK52" s="1866"/>
      <c r="FL52" s="1866"/>
      <c r="FM52" s="1866"/>
      <c r="FN52" s="1866"/>
      <c r="FO52" s="1866"/>
      <c r="FP52" s="1866"/>
      <c r="FQ52" s="1866"/>
      <c r="FR52" s="1866"/>
      <c r="FS52" s="1866"/>
      <c r="FT52" s="1866"/>
      <c r="FU52" s="1866"/>
      <c r="FV52" s="1866"/>
      <c r="FW52" s="1866"/>
      <c r="FX52" s="1866"/>
      <c r="FY52" s="1866"/>
      <c r="FZ52" s="1866"/>
      <c r="GA52" s="1866"/>
      <c r="GB52" s="1866"/>
      <c r="GC52" s="1866"/>
      <c r="GD52" s="1866"/>
      <c r="GE52" s="1866"/>
      <c r="GF52" s="1866"/>
      <c r="GG52" s="1866"/>
      <c r="GH52" s="1866"/>
      <c r="GI52" s="1866"/>
      <c r="GJ52" s="1866"/>
      <c r="GK52" s="1866"/>
      <c r="GL52" s="1866"/>
      <c r="GM52" s="1866"/>
      <c r="GN52" s="1866"/>
      <c r="GO52" s="1866"/>
      <c r="GP52" s="1866"/>
      <c r="GQ52" s="1866"/>
      <c r="GR52" s="1866"/>
      <c r="GS52" s="1866"/>
      <c r="GT52" s="1866"/>
      <c r="GU52" s="1866"/>
      <c r="GV52" s="1866"/>
      <c r="GW52" s="1866"/>
      <c r="GX52" s="1866"/>
      <c r="GY52" s="1866"/>
      <c r="GZ52" s="1866"/>
      <c r="HA52" s="1866"/>
      <c r="HB52" s="1866"/>
      <c r="HC52" s="1866"/>
      <c r="HD52" s="1866"/>
      <c r="HE52" s="1866"/>
    </row>
    <row r="53" spans="1:213" ht="15" customHeight="1" x14ac:dyDescent="0.2">
      <c r="A53" s="1976"/>
      <c r="B53" s="1970"/>
      <c r="C53" s="1690" t="s">
        <v>797</v>
      </c>
      <c r="D53" s="1881"/>
      <c r="E53" s="1983"/>
      <c r="F53" s="1838">
        <v>0</v>
      </c>
      <c r="G53" s="1804">
        <v>0</v>
      </c>
      <c r="H53" s="1804">
        <v>0</v>
      </c>
      <c r="I53" s="1804">
        <v>0</v>
      </c>
      <c r="J53" s="1804">
        <v>0</v>
      </c>
      <c r="K53" s="1804">
        <v>0</v>
      </c>
      <c r="L53" s="1804">
        <v>0</v>
      </c>
      <c r="M53" s="1804">
        <v>0</v>
      </c>
      <c r="N53" s="1804">
        <v>0</v>
      </c>
      <c r="O53" s="1804">
        <v>0</v>
      </c>
      <c r="P53" s="1804">
        <v>0</v>
      </c>
      <c r="Q53" s="1804">
        <v>0</v>
      </c>
      <c r="R53" s="1804">
        <v>0</v>
      </c>
      <c r="S53" s="1804">
        <v>0</v>
      </c>
      <c r="T53" s="1804">
        <v>0</v>
      </c>
      <c r="U53" s="1804">
        <v>0</v>
      </c>
      <c r="V53" s="1804">
        <v>0</v>
      </c>
      <c r="W53" s="1804">
        <v>0</v>
      </c>
      <c r="X53" s="1804">
        <v>0</v>
      </c>
      <c r="Y53" s="1804">
        <v>0</v>
      </c>
      <c r="Z53" s="1804">
        <v>0</v>
      </c>
      <c r="AA53" s="1804">
        <v>0</v>
      </c>
      <c r="AB53" s="1804">
        <v>0</v>
      </c>
      <c r="AC53" s="1804">
        <v>0</v>
      </c>
      <c r="AD53" s="1804">
        <v>0</v>
      </c>
      <c r="AE53" s="1804">
        <v>0</v>
      </c>
      <c r="AF53" s="1804">
        <v>0</v>
      </c>
      <c r="AG53" s="1804">
        <v>0</v>
      </c>
      <c r="AH53" s="1804">
        <v>0</v>
      </c>
      <c r="AI53" s="1804">
        <v>0</v>
      </c>
      <c r="AJ53" s="1804">
        <v>0</v>
      </c>
      <c r="AK53" s="1804">
        <v>0</v>
      </c>
      <c r="AL53" s="1804">
        <v>0</v>
      </c>
      <c r="AM53" s="1804">
        <v>0</v>
      </c>
      <c r="AN53" s="1804">
        <v>0</v>
      </c>
      <c r="AO53" s="1804">
        <v>0</v>
      </c>
      <c r="AP53" s="1804">
        <v>0</v>
      </c>
      <c r="AQ53" s="1804">
        <v>0</v>
      </c>
      <c r="AR53" s="1804">
        <v>0</v>
      </c>
      <c r="AS53" s="1804">
        <v>0</v>
      </c>
      <c r="AT53" s="1804">
        <v>0</v>
      </c>
      <c r="AU53" s="1804">
        <v>0</v>
      </c>
      <c r="AV53" s="1804">
        <v>0</v>
      </c>
      <c r="AW53" s="1804">
        <v>0</v>
      </c>
      <c r="AX53" s="1804">
        <v>0</v>
      </c>
      <c r="AY53" s="1804">
        <v>0</v>
      </c>
      <c r="AZ53" s="1804">
        <v>0</v>
      </c>
      <c r="BA53" s="1804">
        <v>0</v>
      </c>
      <c r="BB53" s="1804">
        <v>0</v>
      </c>
      <c r="BC53" s="1804">
        <v>0</v>
      </c>
      <c r="BD53" s="1804">
        <v>0</v>
      </c>
      <c r="BE53" s="1804">
        <v>0</v>
      </c>
      <c r="BF53" s="1804">
        <v>0</v>
      </c>
      <c r="BG53" s="1804">
        <v>0</v>
      </c>
      <c r="BH53" s="1804">
        <v>0</v>
      </c>
      <c r="BI53" s="1804">
        <v>0</v>
      </c>
      <c r="BJ53" s="1804">
        <v>0</v>
      </c>
      <c r="BK53" s="1804">
        <v>0</v>
      </c>
      <c r="BL53" s="1804">
        <v>0</v>
      </c>
      <c r="BM53" s="1804">
        <v>0</v>
      </c>
      <c r="BN53" s="1804">
        <v>0</v>
      </c>
      <c r="BO53" s="1804">
        <v>0</v>
      </c>
      <c r="BP53" s="1804">
        <v>0</v>
      </c>
      <c r="BQ53" s="1804">
        <v>0</v>
      </c>
      <c r="BR53" s="1804">
        <v>0</v>
      </c>
      <c r="BS53" s="1804">
        <v>0</v>
      </c>
      <c r="BT53" s="1804">
        <v>0</v>
      </c>
      <c r="BU53" s="1804">
        <v>0</v>
      </c>
      <c r="BV53" s="1804">
        <v>0</v>
      </c>
      <c r="BW53" s="1804">
        <v>0</v>
      </c>
      <c r="BX53" s="1804">
        <v>0</v>
      </c>
      <c r="BY53" s="1804">
        <v>0</v>
      </c>
      <c r="BZ53" s="1804">
        <v>0</v>
      </c>
      <c r="CA53" s="1804">
        <v>0</v>
      </c>
      <c r="CB53" s="1804">
        <v>0</v>
      </c>
      <c r="CC53" s="1804">
        <v>0</v>
      </c>
      <c r="CD53" s="1804">
        <v>0</v>
      </c>
      <c r="CE53" s="1804">
        <v>0</v>
      </c>
      <c r="CF53" s="1804">
        <v>0</v>
      </c>
      <c r="CG53" s="1804">
        <v>0</v>
      </c>
      <c r="CH53" s="1804">
        <v>0</v>
      </c>
      <c r="CI53" s="1804">
        <v>0</v>
      </c>
      <c r="CJ53" s="1804">
        <v>0</v>
      </c>
      <c r="CK53" s="1804">
        <v>0</v>
      </c>
      <c r="CL53" s="1804">
        <v>0</v>
      </c>
      <c r="CM53" s="1804">
        <v>0</v>
      </c>
      <c r="CN53" s="1804">
        <v>0</v>
      </c>
      <c r="CO53" s="1804">
        <v>0</v>
      </c>
      <c r="CP53" s="1804">
        <v>0</v>
      </c>
      <c r="CQ53" s="1804">
        <v>0</v>
      </c>
      <c r="CR53" s="1804">
        <v>0</v>
      </c>
      <c r="CS53" s="1804">
        <v>0</v>
      </c>
      <c r="CT53" s="1804">
        <v>0</v>
      </c>
      <c r="CU53" s="1804">
        <v>0</v>
      </c>
      <c r="CV53" s="1804">
        <v>0</v>
      </c>
      <c r="CW53" s="1804">
        <v>0</v>
      </c>
      <c r="CX53" s="1804">
        <v>0</v>
      </c>
      <c r="CY53" s="1804">
        <v>0</v>
      </c>
      <c r="CZ53" s="1804">
        <v>0</v>
      </c>
      <c r="DA53" s="1804">
        <v>0</v>
      </c>
      <c r="DB53" s="1804">
        <v>0</v>
      </c>
      <c r="DC53" s="1804">
        <v>0</v>
      </c>
      <c r="DD53" s="1804">
        <v>0</v>
      </c>
      <c r="DE53" s="1804">
        <v>0</v>
      </c>
      <c r="DF53" s="1804">
        <v>0</v>
      </c>
      <c r="DG53" s="1804">
        <v>0</v>
      </c>
      <c r="DH53" s="1804">
        <v>0</v>
      </c>
      <c r="DI53" s="1804">
        <v>0</v>
      </c>
      <c r="DJ53" s="1804">
        <v>0</v>
      </c>
      <c r="DK53" s="1804">
        <v>0</v>
      </c>
      <c r="DL53" s="1804">
        <v>0</v>
      </c>
      <c r="DM53" s="1804">
        <v>0</v>
      </c>
      <c r="DN53" s="1804">
        <v>0</v>
      </c>
      <c r="DO53" s="1804">
        <v>0</v>
      </c>
      <c r="DP53" s="1804">
        <v>0</v>
      </c>
      <c r="DQ53" s="1804">
        <v>0</v>
      </c>
      <c r="DR53" s="1804">
        <v>0</v>
      </c>
      <c r="DS53" s="1804">
        <v>0</v>
      </c>
      <c r="DT53" s="1804">
        <v>0</v>
      </c>
      <c r="DU53" s="1804">
        <v>0</v>
      </c>
      <c r="DV53" s="1804">
        <v>0</v>
      </c>
      <c r="DW53" s="1804">
        <v>0</v>
      </c>
      <c r="DX53" s="1804">
        <v>0</v>
      </c>
      <c r="DY53" s="1804">
        <v>0</v>
      </c>
      <c r="DZ53" s="1804">
        <v>0</v>
      </c>
      <c r="EA53" s="1804">
        <v>0</v>
      </c>
      <c r="EB53" s="1804">
        <v>0</v>
      </c>
      <c r="EC53" s="1804">
        <v>0</v>
      </c>
      <c r="ED53" s="1804">
        <v>0</v>
      </c>
      <c r="EE53" s="1804">
        <v>0</v>
      </c>
      <c r="EF53" s="1804">
        <v>0</v>
      </c>
      <c r="EG53" s="1804">
        <v>0</v>
      </c>
      <c r="EH53" s="1804">
        <v>0</v>
      </c>
      <c r="EI53" s="1804">
        <v>0</v>
      </c>
      <c r="EJ53" s="1804">
        <v>0</v>
      </c>
      <c r="EK53" s="1804">
        <v>0</v>
      </c>
      <c r="EL53" s="1804">
        <v>0</v>
      </c>
      <c r="EM53" s="1804">
        <v>0</v>
      </c>
      <c r="EN53" s="1804">
        <v>0</v>
      </c>
      <c r="EO53" s="1804">
        <v>0</v>
      </c>
      <c r="EP53" s="1804">
        <v>0</v>
      </c>
      <c r="EQ53" s="1804">
        <v>0</v>
      </c>
      <c r="ER53" s="1804">
        <v>0</v>
      </c>
      <c r="ES53" s="1804">
        <v>0</v>
      </c>
      <c r="ET53" s="1804">
        <v>0</v>
      </c>
      <c r="EU53" s="1804">
        <v>0</v>
      </c>
      <c r="EV53" s="1804">
        <v>0</v>
      </c>
      <c r="EW53" s="1804">
        <v>0</v>
      </c>
      <c r="EX53" s="1804">
        <v>0</v>
      </c>
      <c r="EY53" s="1804">
        <v>0</v>
      </c>
      <c r="EZ53" s="1804">
        <v>0</v>
      </c>
      <c r="FA53" s="1804">
        <v>0</v>
      </c>
      <c r="FB53" s="1804">
        <v>0</v>
      </c>
      <c r="FC53" s="1804">
        <v>0</v>
      </c>
      <c r="FD53" s="1804">
        <v>0</v>
      </c>
      <c r="FE53" s="1804">
        <v>0</v>
      </c>
      <c r="FF53" s="1804">
        <v>0</v>
      </c>
      <c r="FG53" s="1804">
        <v>0</v>
      </c>
      <c r="FH53" s="1804">
        <v>0</v>
      </c>
      <c r="FI53" s="1804">
        <v>0</v>
      </c>
      <c r="FJ53" s="1804">
        <v>0</v>
      </c>
      <c r="FK53" s="1804">
        <v>0</v>
      </c>
      <c r="FL53" s="1804">
        <v>0</v>
      </c>
      <c r="FM53" s="1804">
        <v>0</v>
      </c>
      <c r="FN53" s="1804">
        <v>0</v>
      </c>
      <c r="FO53" s="1804">
        <v>0</v>
      </c>
      <c r="FP53" s="1804">
        <v>0</v>
      </c>
      <c r="FQ53" s="1804">
        <v>0</v>
      </c>
      <c r="FR53" s="1804">
        <v>0</v>
      </c>
      <c r="FS53" s="1804">
        <v>0</v>
      </c>
      <c r="FT53" s="1804">
        <v>0</v>
      </c>
      <c r="FU53" s="1804">
        <v>0</v>
      </c>
      <c r="FV53" s="1804">
        <v>0</v>
      </c>
      <c r="FW53" s="1804">
        <v>0</v>
      </c>
      <c r="FX53" s="1804">
        <v>0</v>
      </c>
      <c r="FY53" s="1804">
        <v>0</v>
      </c>
      <c r="FZ53" s="1804">
        <v>0</v>
      </c>
      <c r="GA53" s="1804">
        <v>0</v>
      </c>
      <c r="GB53" s="1804">
        <v>0</v>
      </c>
      <c r="GC53" s="1804">
        <v>0</v>
      </c>
      <c r="GD53" s="1804">
        <v>0</v>
      </c>
      <c r="GE53" s="1804">
        <v>0</v>
      </c>
      <c r="GF53" s="1804">
        <v>0</v>
      </c>
      <c r="GG53" s="1804">
        <v>0</v>
      </c>
      <c r="GH53" s="1804">
        <v>0</v>
      </c>
      <c r="GI53" s="1804">
        <v>0</v>
      </c>
      <c r="GJ53" s="1804">
        <v>0</v>
      </c>
      <c r="GK53" s="1804">
        <v>0</v>
      </c>
      <c r="GL53" s="1804">
        <v>0</v>
      </c>
      <c r="GM53" s="1804">
        <v>0</v>
      </c>
      <c r="GN53" s="1804">
        <v>0</v>
      </c>
      <c r="GO53" s="1804">
        <v>0</v>
      </c>
      <c r="GP53" s="1804">
        <v>0</v>
      </c>
      <c r="GQ53" s="1804">
        <v>0</v>
      </c>
      <c r="GR53" s="1804">
        <v>0</v>
      </c>
      <c r="GS53" s="1804">
        <v>0</v>
      </c>
      <c r="GT53" s="1804">
        <v>0</v>
      </c>
      <c r="GU53" s="1804">
        <v>0</v>
      </c>
      <c r="GV53" s="1804">
        <v>0</v>
      </c>
      <c r="GW53" s="1804">
        <v>0</v>
      </c>
      <c r="GX53" s="1804">
        <v>0</v>
      </c>
      <c r="GY53" s="1804">
        <v>0</v>
      </c>
      <c r="GZ53" s="1804">
        <v>0</v>
      </c>
      <c r="HA53" s="1804">
        <v>0</v>
      </c>
      <c r="HB53" s="1804">
        <v>0</v>
      </c>
      <c r="HC53" s="1804">
        <v>0</v>
      </c>
      <c r="HD53" s="1804">
        <v>0</v>
      </c>
      <c r="HE53" s="1804">
        <v>0</v>
      </c>
    </row>
    <row r="54" spans="1:213" ht="15" customHeight="1" x14ac:dyDescent="0.2">
      <c r="A54" s="1976"/>
      <c r="B54" s="1970"/>
      <c r="C54" s="1816" t="s">
        <v>798</v>
      </c>
      <c r="D54" s="1881"/>
      <c r="E54" s="1983"/>
      <c r="F54" s="1838">
        <v>0</v>
      </c>
      <c r="G54" s="1804">
        <v>0</v>
      </c>
      <c r="H54" s="1804">
        <v>0</v>
      </c>
      <c r="I54" s="1804">
        <v>0</v>
      </c>
      <c r="J54" s="1804">
        <v>0</v>
      </c>
      <c r="K54" s="1804">
        <v>0</v>
      </c>
      <c r="L54" s="1804">
        <v>0</v>
      </c>
      <c r="M54" s="1804">
        <v>0</v>
      </c>
      <c r="N54" s="1804">
        <v>0</v>
      </c>
      <c r="O54" s="1804">
        <v>0</v>
      </c>
      <c r="P54" s="1804">
        <v>0</v>
      </c>
      <c r="Q54" s="1804">
        <v>0</v>
      </c>
      <c r="R54" s="1804">
        <v>0</v>
      </c>
      <c r="S54" s="1804">
        <v>0</v>
      </c>
      <c r="T54" s="1804">
        <v>0</v>
      </c>
      <c r="U54" s="1804">
        <v>0</v>
      </c>
      <c r="V54" s="1804">
        <v>0</v>
      </c>
      <c r="W54" s="1804">
        <v>0</v>
      </c>
      <c r="X54" s="1804">
        <v>0</v>
      </c>
      <c r="Y54" s="1804">
        <v>0</v>
      </c>
      <c r="Z54" s="1804">
        <v>0</v>
      </c>
      <c r="AA54" s="1804">
        <v>0</v>
      </c>
      <c r="AB54" s="1804">
        <v>0</v>
      </c>
      <c r="AC54" s="1804">
        <v>0</v>
      </c>
      <c r="AD54" s="1804">
        <v>0</v>
      </c>
      <c r="AE54" s="1804">
        <v>0</v>
      </c>
      <c r="AF54" s="1804">
        <v>0</v>
      </c>
      <c r="AG54" s="1804">
        <v>0</v>
      </c>
      <c r="AH54" s="1804">
        <v>0</v>
      </c>
      <c r="AI54" s="1804">
        <v>0</v>
      </c>
      <c r="AJ54" s="1804">
        <v>0</v>
      </c>
      <c r="AK54" s="1804">
        <v>0</v>
      </c>
      <c r="AL54" s="1804">
        <v>0</v>
      </c>
      <c r="AM54" s="1804">
        <v>0</v>
      </c>
      <c r="AN54" s="1804">
        <v>0</v>
      </c>
      <c r="AO54" s="1804">
        <v>0</v>
      </c>
      <c r="AP54" s="1804">
        <v>0</v>
      </c>
      <c r="AQ54" s="1804">
        <v>0</v>
      </c>
      <c r="AR54" s="1804">
        <v>0</v>
      </c>
      <c r="AS54" s="1804">
        <v>0</v>
      </c>
      <c r="AT54" s="1804">
        <v>0</v>
      </c>
      <c r="AU54" s="1804">
        <v>0</v>
      </c>
      <c r="AV54" s="1804">
        <v>0</v>
      </c>
      <c r="AW54" s="1804">
        <v>0</v>
      </c>
      <c r="AX54" s="1804">
        <v>0</v>
      </c>
      <c r="AY54" s="1804">
        <v>0</v>
      </c>
      <c r="AZ54" s="1804">
        <v>0</v>
      </c>
      <c r="BA54" s="1804">
        <v>0</v>
      </c>
      <c r="BB54" s="1804">
        <v>0</v>
      </c>
      <c r="BC54" s="1804">
        <v>0</v>
      </c>
      <c r="BD54" s="1804">
        <v>0</v>
      </c>
      <c r="BE54" s="1804">
        <v>0</v>
      </c>
      <c r="BF54" s="1804">
        <v>0</v>
      </c>
      <c r="BG54" s="1804">
        <v>0</v>
      </c>
      <c r="BH54" s="1804">
        <v>0</v>
      </c>
      <c r="BI54" s="1804">
        <v>0</v>
      </c>
      <c r="BJ54" s="1804">
        <v>0</v>
      </c>
      <c r="BK54" s="1804">
        <v>0</v>
      </c>
      <c r="BL54" s="1804">
        <v>0</v>
      </c>
      <c r="BM54" s="1804">
        <v>0</v>
      </c>
      <c r="BN54" s="1804">
        <v>0</v>
      </c>
      <c r="BO54" s="1804">
        <v>0</v>
      </c>
      <c r="BP54" s="1804">
        <v>0</v>
      </c>
      <c r="BQ54" s="1804">
        <v>0</v>
      </c>
      <c r="BR54" s="1804">
        <v>0</v>
      </c>
      <c r="BS54" s="1804">
        <v>0</v>
      </c>
      <c r="BT54" s="1804">
        <v>0</v>
      </c>
      <c r="BU54" s="1804">
        <v>0</v>
      </c>
      <c r="BV54" s="1804">
        <v>0</v>
      </c>
      <c r="BW54" s="1804">
        <v>0</v>
      </c>
      <c r="BX54" s="1804">
        <v>0</v>
      </c>
      <c r="BY54" s="1804">
        <v>0</v>
      </c>
      <c r="BZ54" s="1804">
        <v>0</v>
      </c>
      <c r="CA54" s="1804">
        <v>0</v>
      </c>
      <c r="CB54" s="1804">
        <v>0</v>
      </c>
      <c r="CC54" s="1804">
        <v>0</v>
      </c>
      <c r="CD54" s="1804">
        <v>0</v>
      </c>
      <c r="CE54" s="1804">
        <v>0</v>
      </c>
      <c r="CF54" s="1804">
        <v>0</v>
      </c>
      <c r="CG54" s="1804">
        <v>0</v>
      </c>
      <c r="CH54" s="1804">
        <v>0</v>
      </c>
      <c r="CI54" s="1804">
        <v>0</v>
      </c>
      <c r="CJ54" s="1804">
        <v>0</v>
      </c>
      <c r="CK54" s="1804">
        <v>0</v>
      </c>
      <c r="CL54" s="1804">
        <v>0</v>
      </c>
      <c r="CM54" s="1804">
        <v>0</v>
      </c>
      <c r="CN54" s="1804">
        <v>0</v>
      </c>
      <c r="CO54" s="1804">
        <v>0</v>
      </c>
      <c r="CP54" s="1804">
        <v>0</v>
      </c>
      <c r="CQ54" s="1804">
        <v>0</v>
      </c>
      <c r="CR54" s="1804">
        <v>0</v>
      </c>
      <c r="CS54" s="1804">
        <v>0</v>
      </c>
      <c r="CT54" s="1804">
        <v>0</v>
      </c>
      <c r="CU54" s="1804">
        <v>0</v>
      </c>
      <c r="CV54" s="1804">
        <v>0</v>
      </c>
      <c r="CW54" s="1804">
        <v>0</v>
      </c>
      <c r="CX54" s="1804">
        <v>0</v>
      </c>
      <c r="CY54" s="1804">
        <v>0</v>
      </c>
      <c r="CZ54" s="1804">
        <v>0</v>
      </c>
      <c r="DA54" s="1804">
        <v>0</v>
      </c>
      <c r="DB54" s="1804">
        <v>0</v>
      </c>
      <c r="DC54" s="1804">
        <v>0</v>
      </c>
      <c r="DD54" s="1804">
        <v>0</v>
      </c>
      <c r="DE54" s="1804">
        <v>0</v>
      </c>
      <c r="DF54" s="1804">
        <v>0</v>
      </c>
      <c r="DG54" s="1804">
        <v>0</v>
      </c>
      <c r="DH54" s="1804">
        <v>0</v>
      </c>
      <c r="DI54" s="1804">
        <v>0</v>
      </c>
      <c r="DJ54" s="1804">
        <v>0</v>
      </c>
      <c r="DK54" s="1804">
        <v>0</v>
      </c>
      <c r="DL54" s="1804">
        <v>0</v>
      </c>
      <c r="DM54" s="1804">
        <v>0</v>
      </c>
      <c r="DN54" s="1804">
        <v>0</v>
      </c>
      <c r="DO54" s="1804">
        <v>0</v>
      </c>
      <c r="DP54" s="1804">
        <v>0</v>
      </c>
      <c r="DQ54" s="1804">
        <v>0</v>
      </c>
      <c r="DR54" s="1804">
        <v>0</v>
      </c>
      <c r="DS54" s="1804">
        <v>0</v>
      </c>
      <c r="DT54" s="1804">
        <v>0</v>
      </c>
      <c r="DU54" s="1804">
        <v>0</v>
      </c>
      <c r="DV54" s="1804">
        <v>0</v>
      </c>
      <c r="DW54" s="1804">
        <v>0</v>
      </c>
      <c r="DX54" s="1804">
        <v>0</v>
      </c>
      <c r="DY54" s="1804">
        <v>0</v>
      </c>
      <c r="DZ54" s="1804">
        <v>0</v>
      </c>
      <c r="EA54" s="1804">
        <v>0</v>
      </c>
      <c r="EB54" s="1804">
        <v>0</v>
      </c>
      <c r="EC54" s="1804">
        <v>0</v>
      </c>
      <c r="ED54" s="1804">
        <v>0</v>
      </c>
      <c r="EE54" s="1804">
        <v>0</v>
      </c>
      <c r="EF54" s="1804">
        <v>0</v>
      </c>
      <c r="EG54" s="1804">
        <v>0</v>
      </c>
      <c r="EH54" s="1804">
        <v>0</v>
      </c>
      <c r="EI54" s="1804">
        <v>0</v>
      </c>
      <c r="EJ54" s="1804">
        <v>0</v>
      </c>
      <c r="EK54" s="1804">
        <v>0</v>
      </c>
      <c r="EL54" s="1804">
        <v>0</v>
      </c>
      <c r="EM54" s="1804">
        <v>0</v>
      </c>
      <c r="EN54" s="1804">
        <v>0</v>
      </c>
      <c r="EO54" s="1804">
        <v>0</v>
      </c>
      <c r="EP54" s="1804">
        <v>0</v>
      </c>
      <c r="EQ54" s="1804">
        <v>0</v>
      </c>
      <c r="ER54" s="1804">
        <v>0</v>
      </c>
      <c r="ES54" s="1804">
        <v>0</v>
      </c>
      <c r="ET54" s="1804">
        <v>0</v>
      </c>
      <c r="EU54" s="1804">
        <v>0</v>
      </c>
      <c r="EV54" s="1804">
        <v>0</v>
      </c>
      <c r="EW54" s="1804">
        <v>0</v>
      </c>
      <c r="EX54" s="1804">
        <v>0</v>
      </c>
      <c r="EY54" s="1804">
        <v>0</v>
      </c>
      <c r="EZ54" s="1804">
        <v>0</v>
      </c>
      <c r="FA54" s="1804">
        <v>0</v>
      </c>
      <c r="FB54" s="1804">
        <v>0</v>
      </c>
      <c r="FC54" s="1804">
        <v>0</v>
      </c>
      <c r="FD54" s="1804">
        <v>0</v>
      </c>
      <c r="FE54" s="1804">
        <v>0</v>
      </c>
      <c r="FF54" s="1804">
        <v>0</v>
      </c>
      <c r="FG54" s="1804">
        <v>0</v>
      </c>
      <c r="FH54" s="1804">
        <v>0</v>
      </c>
      <c r="FI54" s="1804">
        <v>0</v>
      </c>
      <c r="FJ54" s="1804">
        <v>0</v>
      </c>
      <c r="FK54" s="1804">
        <v>0</v>
      </c>
      <c r="FL54" s="1804">
        <v>0</v>
      </c>
      <c r="FM54" s="1804">
        <v>0</v>
      </c>
      <c r="FN54" s="1804">
        <v>0</v>
      </c>
      <c r="FO54" s="1804">
        <v>0</v>
      </c>
      <c r="FP54" s="1804">
        <v>0</v>
      </c>
      <c r="FQ54" s="1804">
        <v>0</v>
      </c>
      <c r="FR54" s="1804">
        <v>0</v>
      </c>
      <c r="FS54" s="1804">
        <v>0</v>
      </c>
      <c r="FT54" s="1804">
        <v>0</v>
      </c>
      <c r="FU54" s="1804">
        <v>0</v>
      </c>
      <c r="FV54" s="1804">
        <v>0</v>
      </c>
      <c r="FW54" s="1804">
        <v>0</v>
      </c>
      <c r="FX54" s="1804">
        <v>0</v>
      </c>
      <c r="FY54" s="1804">
        <v>0</v>
      </c>
      <c r="FZ54" s="1804">
        <v>0</v>
      </c>
      <c r="GA54" s="1804">
        <v>0</v>
      </c>
      <c r="GB54" s="1804">
        <v>0</v>
      </c>
      <c r="GC54" s="1804">
        <v>0</v>
      </c>
      <c r="GD54" s="1804">
        <v>0</v>
      </c>
      <c r="GE54" s="1804">
        <v>0</v>
      </c>
      <c r="GF54" s="1804">
        <v>0</v>
      </c>
      <c r="GG54" s="1804">
        <v>0</v>
      </c>
      <c r="GH54" s="1804">
        <v>0</v>
      </c>
      <c r="GI54" s="1804">
        <v>0</v>
      </c>
      <c r="GJ54" s="1804">
        <v>0</v>
      </c>
      <c r="GK54" s="1804">
        <v>0</v>
      </c>
      <c r="GL54" s="1804">
        <v>0</v>
      </c>
      <c r="GM54" s="1804">
        <v>0</v>
      </c>
      <c r="GN54" s="1804">
        <v>0</v>
      </c>
      <c r="GO54" s="1804">
        <v>0</v>
      </c>
      <c r="GP54" s="1804">
        <v>0</v>
      </c>
      <c r="GQ54" s="1804">
        <v>0</v>
      </c>
      <c r="GR54" s="1804">
        <v>0</v>
      </c>
      <c r="GS54" s="1804">
        <v>0</v>
      </c>
      <c r="GT54" s="1804">
        <v>0</v>
      </c>
      <c r="GU54" s="1804">
        <v>0</v>
      </c>
      <c r="GV54" s="1804">
        <v>0</v>
      </c>
      <c r="GW54" s="1804">
        <v>0</v>
      </c>
      <c r="GX54" s="1804">
        <v>0</v>
      </c>
      <c r="GY54" s="1804">
        <v>0</v>
      </c>
      <c r="GZ54" s="1804">
        <v>0</v>
      </c>
      <c r="HA54" s="1804">
        <v>0</v>
      </c>
      <c r="HB54" s="1804">
        <v>0</v>
      </c>
      <c r="HC54" s="1804">
        <v>0</v>
      </c>
      <c r="HD54" s="1804">
        <v>0</v>
      </c>
      <c r="HE54" s="1804">
        <v>0</v>
      </c>
    </row>
    <row r="55" spans="1:213" ht="15" customHeight="1" x14ac:dyDescent="0.2">
      <c r="A55" s="1976"/>
      <c r="B55" s="1970"/>
      <c r="C55" s="1816" t="s">
        <v>799</v>
      </c>
      <c r="D55" s="1881"/>
      <c r="E55" s="1983"/>
      <c r="F55" s="1838">
        <v>0</v>
      </c>
      <c r="G55" s="1804">
        <v>0</v>
      </c>
      <c r="H55" s="1804">
        <v>0</v>
      </c>
      <c r="I55" s="1804">
        <v>0</v>
      </c>
      <c r="J55" s="1804">
        <v>0</v>
      </c>
      <c r="K55" s="1804">
        <v>0</v>
      </c>
      <c r="L55" s="1804">
        <v>0</v>
      </c>
      <c r="M55" s="1804">
        <v>0</v>
      </c>
      <c r="N55" s="1804">
        <v>0</v>
      </c>
      <c r="O55" s="1804">
        <v>0</v>
      </c>
      <c r="P55" s="1804">
        <v>0</v>
      </c>
      <c r="Q55" s="1804">
        <v>0</v>
      </c>
      <c r="R55" s="1804">
        <v>0</v>
      </c>
      <c r="S55" s="1804">
        <v>0</v>
      </c>
      <c r="T55" s="1804">
        <v>0</v>
      </c>
      <c r="U55" s="1804">
        <v>0</v>
      </c>
      <c r="V55" s="1804">
        <v>0</v>
      </c>
      <c r="W55" s="1804">
        <v>0</v>
      </c>
      <c r="X55" s="1804">
        <v>0</v>
      </c>
      <c r="Y55" s="1804">
        <v>0</v>
      </c>
      <c r="Z55" s="1804">
        <v>0</v>
      </c>
      <c r="AA55" s="1804">
        <v>0</v>
      </c>
      <c r="AB55" s="1804">
        <v>0</v>
      </c>
      <c r="AC55" s="1804">
        <v>0</v>
      </c>
      <c r="AD55" s="1804">
        <v>0</v>
      </c>
      <c r="AE55" s="1804">
        <v>0</v>
      </c>
      <c r="AF55" s="1804">
        <v>0</v>
      </c>
      <c r="AG55" s="1804">
        <v>0</v>
      </c>
      <c r="AH55" s="1804">
        <v>0</v>
      </c>
      <c r="AI55" s="1804">
        <v>0</v>
      </c>
      <c r="AJ55" s="1804">
        <v>0</v>
      </c>
      <c r="AK55" s="1804">
        <v>0</v>
      </c>
      <c r="AL55" s="1804">
        <v>0</v>
      </c>
      <c r="AM55" s="1804">
        <v>0</v>
      </c>
      <c r="AN55" s="1804">
        <v>0</v>
      </c>
      <c r="AO55" s="1804">
        <v>0</v>
      </c>
      <c r="AP55" s="1804">
        <v>0</v>
      </c>
      <c r="AQ55" s="1804">
        <v>0</v>
      </c>
      <c r="AR55" s="1804">
        <v>0</v>
      </c>
      <c r="AS55" s="1804">
        <v>0</v>
      </c>
      <c r="AT55" s="1804">
        <v>0</v>
      </c>
      <c r="AU55" s="1804">
        <v>0</v>
      </c>
      <c r="AV55" s="1804">
        <v>0</v>
      </c>
      <c r="AW55" s="1804">
        <v>0</v>
      </c>
      <c r="AX55" s="1804">
        <v>0</v>
      </c>
      <c r="AY55" s="1804">
        <v>0</v>
      </c>
      <c r="AZ55" s="1804">
        <v>0</v>
      </c>
      <c r="BA55" s="1804">
        <v>0</v>
      </c>
      <c r="BB55" s="1804">
        <v>0</v>
      </c>
      <c r="BC55" s="1804">
        <v>0</v>
      </c>
      <c r="BD55" s="1804">
        <v>0</v>
      </c>
      <c r="BE55" s="1804">
        <v>0</v>
      </c>
      <c r="BF55" s="1804">
        <v>0</v>
      </c>
      <c r="BG55" s="1804">
        <v>0</v>
      </c>
      <c r="BH55" s="1804">
        <v>0</v>
      </c>
      <c r="BI55" s="1804">
        <v>0</v>
      </c>
      <c r="BJ55" s="1804">
        <v>0</v>
      </c>
      <c r="BK55" s="1804">
        <v>0</v>
      </c>
      <c r="BL55" s="1804">
        <v>0</v>
      </c>
      <c r="BM55" s="1804">
        <v>0</v>
      </c>
      <c r="BN55" s="1804">
        <v>0</v>
      </c>
      <c r="BO55" s="1804">
        <v>0</v>
      </c>
      <c r="BP55" s="1804">
        <v>0</v>
      </c>
      <c r="BQ55" s="1804">
        <v>0</v>
      </c>
      <c r="BR55" s="1804">
        <v>0</v>
      </c>
      <c r="BS55" s="1804">
        <v>0</v>
      </c>
      <c r="BT55" s="1804">
        <v>0</v>
      </c>
      <c r="BU55" s="1804">
        <v>0</v>
      </c>
      <c r="BV55" s="1804">
        <v>0</v>
      </c>
      <c r="BW55" s="1804">
        <v>0</v>
      </c>
      <c r="BX55" s="1804">
        <v>0</v>
      </c>
      <c r="BY55" s="1804">
        <v>0</v>
      </c>
      <c r="BZ55" s="1804">
        <v>0</v>
      </c>
      <c r="CA55" s="1804">
        <v>0</v>
      </c>
      <c r="CB55" s="1804">
        <v>0</v>
      </c>
      <c r="CC55" s="1804">
        <v>0</v>
      </c>
      <c r="CD55" s="1804">
        <v>0</v>
      </c>
      <c r="CE55" s="1804">
        <v>0</v>
      </c>
      <c r="CF55" s="1804">
        <v>0</v>
      </c>
      <c r="CG55" s="1804">
        <v>0</v>
      </c>
      <c r="CH55" s="1804">
        <v>0</v>
      </c>
      <c r="CI55" s="1804">
        <v>0</v>
      </c>
      <c r="CJ55" s="1804">
        <v>0</v>
      </c>
      <c r="CK55" s="1804">
        <v>0</v>
      </c>
      <c r="CL55" s="1804">
        <v>0</v>
      </c>
      <c r="CM55" s="1804">
        <v>0</v>
      </c>
      <c r="CN55" s="1804">
        <v>0</v>
      </c>
      <c r="CO55" s="1804">
        <v>0</v>
      </c>
      <c r="CP55" s="1804">
        <v>0</v>
      </c>
      <c r="CQ55" s="1804">
        <v>0</v>
      </c>
      <c r="CR55" s="1804">
        <v>0</v>
      </c>
      <c r="CS55" s="1804">
        <v>0</v>
      </c>
      <c r="CT55" s="1804">
        <v>0</v>
      </c>
      <c r="CU55" s="1804">
        <v>0</v>
      </c>
      <c r="CV55" s="1804">
        <v>0</v>
      </c>
      <c r="CW55" s="1804">
        <v>0</v>
      </c>
      <c r="CX55" s="1804">
        <v>0</v>
      </c>
      <c r="CY55" s="1804">
        <v>0</v>
      </c>
      <c r="CZ55" s="1804">
        <v>0</v>
      </c>
      <c r="DA55" s="1804">
        <v>0</v>
      </c>
      <c r="DB55" s="1804">
        <v>0</v>
      </c>
      <c r="DC55" s="1804">
        <v>0</v>
      </c>
      <c r="DD55" s="1804">
        <v>0</v>
      </c>
      <c r="DE55" s="1804">
        <v>0</v>
      </c>
      <c r="DF55" s="1804">
        <v>0</v>
      </c>
      <c r="DG55" s="1804">
        <v>0</v>
      </c>
      <c r="DH55" s="1804">
        <v>0</v>
      </c>
      <c r="DI55" s="1804">
        <v>0</v>
      </c>
      <c r="DJ55" s="1804">
        <v>0</v>
      </c>
      <c r="DK55" s="1804">
        <v>0</v>
      </c>
      <c r="DL55" s="1804">
        <v>0</v>
      </c>
      <c r="DM55" s="1804">
        <v>0</v>
      </c>
      <c r="DN55" s="1804">
        <v>0</v>
      </c>
      <c r="DO55" s="1804">
        <v>0</v>
      </c>
      <c r="DP55" s="1804">
        <v>0</v>
      </c>
      <c r="DQ55" s="1804">
        <v>0</v>
      </c>
      <c r="DR55" s="1804">
        <v>0</v>
      </c>
      <c r="DS55" s="1804">
        <v>0</v>
      </c>
      <c r="DT55" s="1804">
        <v>0</v>
      </c>
      <c r="DU55" s="1804">
        <v>0</v>
      </c>
      <c r="DV55" s="1804">
        <v>0</v>
      </c>
      <c r="DW55" s="1804">
        <v>0</v>
      </c>
      <c r="DX55" s="1804">
        <v>0</v>
      </c>
      <c r="DY55" s="1804">
        <v>0</v>
      </c>
      <c r="DZ55" s="1804">
        <v>0</v>
      </c>
      <c r="EA55" s="1804">
        <v>0</v>
      </c>
      <c r="EB55" s="1804">
        <v>0</v>
      </c>
      <c r="EC55" s="1804">
        <v>0</v>
      </c>
      <c r="ED55" s="1804">
        <v>0</v>
      </c>
      <c r="EE55" s="1804">
        <v>0</v>
      </c>
      <c r="EF55" s="1804">
        <v>0</v>
      </c>
      <c r="EG55" s="1804">
        <v>0</v>
      </c>
      <c r="EH55" s="1804">
        <v>0</v>
      </c>
      <c r="EI55" s="1804">
        <v>0</v>
      </c>
      <c r="EJ55" s="1804">
        <v>0</v>
      </c>
      <c r="EK55" s="1804">
        <v>0</v>
      </c>
      <c r="EL55" s="1804">
        <v>0</v>
      </c>
      <c r="EM55" s="1804">
        <v>0</v>
      </c>
      <c r="EN55" s="1804">
        <v>0</v>
      </c>
      <c r="EO55" s="1804">
        <v>0</v>
      </c>
      <c r="EP55" s="1804">
        <v>0</v>
      </c>
      <c r="EQ55" s="1804">
        <v>0</v>
      </c>
      <c r="ER55" s="1804">
        <v>0</v>
      </c>
      <c r="ES55" s="1804">
        <v>0</v>
      </c>
      <c r="ET55" s="1804">
        <v>0</v>
      </c>
      <c r="EU55" s="1804">
        <v>0</v>
      </c>
      <c r="EV55" s="1804">
        <v>0</v>
      </c>
      <c r="EW55" s="1804">
        <v>0</v>
      </c>
      <c r="EX55" s="1804">
        <v>0</v>
      </c>
      <c r="EY55" s="1804">
        <v>0</v>
      </c>
      <c r="EZ55" s="1804">
        <v>0</v>
      </c>
      <c r="FA55" s="1804">
        <v>0</v>
      </c>
      <c r="FB55" s="1804">
        <v>0</v>
      </c>
      <c r="FC55" s="1804">
        <v>0</v>
      </c>
      <c r="FD55" s="1804">
        <v>0</v>
      </c>
      <c r="FE55" s="1804">
        <v>0</v>
      </c>
      <c r="FF55" s="1804">
        <v>0</v>
      </c>
      <c r="FG55" s="1804">
        <v>0</v>
      </c>
      <c r="FH55" s="1804">
        <v>0</v>
      </c>
      <c r="FI55" s="1804">
        <v>0</v>
      </c>
      <c r="FJ55" s="1804">
        <v>0</v>
      </c>
      <c r="FK55" s="1804">
        <v>0</v>
      </c>
      <c r="FL55" s="1804">
        <v>0</v>
      </c>
      <c r="FM55" s="1804">
        <v>0</v>
      </c>
      <c r="FN55" s="1804">
        <v>0</v>
      </c>
      <c r="FO55" s="1804">
        <v>0</v>
      </c>
      <c r="FP55" s="1804">
        <v>0</v>
      </c>
      <c r="FQ55" s="1804">
        <v>0</v>
      </c>
      <c r="FR55" s="1804">
        <v>0</v>
      </c>
      <c r="FS55" s="1804">
        <v>0</v>
      </c>
      <c r="FT55" s="1804">
        <v>0</v>
      </c>
      <c r="FU55" s="1804">
        <v>0</v>
      </c>
      <c r="FV55" s="1804">
        <v>0</v>
      </c>
      <c r="FW55" s="1804">
        <v>0</v>
      </c>
      <c r="FX55" s="1804">
        <v>0</v>
      </c>
      <c r="FY55" s="1804">
        <v>0</v>
      </c>
      <c r="FZ55" s="1804">
        <v>0</v>
      </c>
      <c r="GA55" s="1804">
        <v>0</v>
      </c>
      <c r="GB55" s="1804">
        <v>0</v>
      </c>
      <c r="GC55" s="1804">
        <v>0</v>
      </c>
      <c r="GD55" s="1804">
        <v>0</v>
      </c>
      <c r="GE55" s="1804">
        <v>0</v>
      </c>
      <c r="GF55" s="1804">
        <v>0</v>
      </c>
      <c r="GG55" s="1804">
        <v>0</v>
      </c>
      <c r="GH55" s="1804">
        <v>0</v>
      </c>
      <c r="GI55" s="1804">
        <v>0</v>
      </c>
      <c r="GJ55" s="1804">
        <v>0</v>
      </c>
      <c r="GK55" s="1804">
        <v>0</v>
      </c>
      <c r="GL55" s="1804">
        <v>0</v>
      </c>
      <c r="GM55" s="1804">
        <v>0</v>
      </c>
      <c r="GN55" s="1804">
        <v>0</v>
      </c>
      <c r="GO55" s="1804">
        <v>0</v>
      </c>
      <c r="GP55" s="1804">
        <v>0</v>
      </c>
      <c r="GQ55" s="1804">
        <v>0</v>
      </c>
      <c r="GR55" s="1804">
        <v>0</v>
      </c>
      <c r="GS55" s="1804">
        <v>0</v>
      </c>
      <c r="GT55" s="1804">
        <v>0</v>
      </c>
      <c r="GU55" s="1804">
        <v>0</v>
      </c>
      <c r="GV55" s="1804">
        <v>0</v>
      </c>
      <c r="GW55" s="1804">
        <v>0</v>
      </c>
      <c r="GX55" s="1804">
        <v>0</v>
      </c>
      <c r="GY55" s="1804">
        <v>0</v>
      </c>
      <c r="GZ55" s="1804">
        <v>0</v>
      </c>
      <c r="HA55" s="1804">
        <v>0</v>
      </c>
      <c r="HB55" s="1804">
        <v>0</v>
      </c>
      <c r="HC55" s="1804">
        <v>0</v>
      </c>
      <c r="HD55" s="1804">
        <v>0</v>
      </c>
      <c r="HE55" s="1804">
        <v>0</v>
      </c>
    </row>
    <row r="56" spans="1:213" ht="15" customHeight="1" x14ac:dyDescent="0.2">
      <c r="A56" s="1976"/>
      <c r="B56" s="1970"/>
      <c r="C56" s="1816" t="s">
        <v>800</v>
      </c>
      <c r="D56" s="1881"/>
      <c r="E56" s="1983"/>
      <c r="F56" s="1838">
        <v>0</v>
      </c>
      <c r="G56" s="1804">
        <v>0</v>
      </c>
      <c r="H56" s="1804">
        <v>0</v>
      </c>
      <c r="I56" s="1804">
        <v>0</v>
      </c>
      <c r="J56" s="1804">
        <v>0</v>
      </c>
      <c r="K56" s="1804">
        <v>0</v>
      </c>
      <c r="L56" s="1804">
        <v>0</v>
      </c>
      <c r="M56" s="1804">
        <v>0</v>
      </c>
      <c r="N56" s="1804">
        <v>0</v>
      </c>
      <c r="O56" s="1804">
        <v>0</v>
      </c>
      <c r="P56" s="1804">
        <v>0</v>
      </c>
      <c r="Q56" s="1804">
        <v>0</v>
      </c>
      <c r="R56" s="1804">
        <v>0</v>
      </c>
      <c r="S56" s="1804">
        <v>0</v>
      </c>
      <c r="T56" s="1804">
        <v>0</v>
      </c>
      <c r="U56" s="1804">
        <v>0</v>
      </c>
      <c r="V56" s="1804">
        <v>0</v>
      </c>
      <c r="W56" s="1804">
        <v>0</v>
      </c>
      <c r="X56" s="1804">
        <v>0</v>
      </c>
      <c r="Y56" s="1804">
        <v>0</v>
      </c>
      <c r="Z56" s="1804">
        <v>0</v>
      </c>
      <c r="AA56" s="1804">
        <v>0</v>
      </c>
      <c r="AB56" s="1804">
        <v>0</v>
      </c>
      <c r="AC56" s="1804">
        <v>0</v>
      </c>
      <c r="AD56" s="1804">
        <v>0</v>
      </c>
      <c r="AE56" s="1804">
        <v>0</v>
      </c>
      <c r="AF56" s="1804">
        <v>0</v>
      </c>
      <c r="AG56" s="1804">
        <v>0</v>
      </c>
      <c r="AH56" s="1804">
        <v>0</v>
      </c>
      <c r="AI56" s="1804">
        <v>0</v>
      </c>
      <c r="AJ56" s="1804">
        <v>0</v>
      </c>
      <c r="AK56" s="1804">
        <v>0</v>
      </c>
      <c r="AL56" s="1804">
        <v>0</v>
      </c>
      <c r="AM56" s="1804">
        <v>0</v>
      </c>
      <c r="AN56" s="1804">
        <v>0</v>
      </c>
      <c r="AO56" s="1804">
        <v>0</v>
      </c>
      <c r="AP56" s="1804">
        <v>0</v>
      </c>
      <c r="AQ56" s="1804">
        <v>0</v>
      </c>
      <c r="AR56" s="1804">
        <v>0</v>
      </c>
      <c r="AS56" s="1804">
        <v>0</v>
      </c>
      <c r="AT56" s="1804">
        <v>0</v>
      </c>
      <c r="AU56" s="1804">
        <v>0</v>
      </c>
      <c r="AV56" s="1804">
        <v>0</v>
      </c>
      <c r="AW56" s="1804">
        <v>0</v>
      </c>
      <c r="AX56" s="1804">
        <v>0</v>
      </c>
      <c r="AY56" s="1804">
        <v>0</v>
      </c>
      <c r="AZ56" s="1804">
        <v>0</v>
      </c>
      <c r="BA56" s="1804">
        <v>0</v>
      </c>
      <c r="BB56" s="1804">
        <v>0</v>
      </c>
      <c r="BC56" s="1804">
        <v>0</v>
      </c>
      <c r="BD56" s="1804">
        <v>0</v>
      </c>
      <c r="BE56" s="1804">
        <v>0</v>
      </c>
      <c r="BF56" s="1804">
        <v>0</v>
      </c>
      <c r="BG56" s="1804">
        <v>0</v>
      </c>
      <c r="BH56" s="1804">
        <v>0</v>
      </c>
      <c r="BI56" s="1804">
        <v>0</v>
      </c>
      <c r="BJ56" s="1804">
        <v>0</v>
      </c>
      <c r="BK56" s="1804">
        <v>0</v>
      </c>
      <c r="BL56" s="1804">
        <v>0</v>
      </c>
      <c r="BM56" s="1804">
        <v>0</v>
      </c>
      <c r="BN56" s="1804">
        <v>0</v>
      </c>
      <c r="BO56" s="1804">
        <v>0</v>
      </c>
      <c r="BP56" s="1804">
        <v>0</v>
      </c>
      <c r="BQ56" s="1804">
        <v>0</v>
      </c>
      <c r="BR56" s="1804">
        <v>0</v>
      </c>
      <c r="BS56" s="1804">
        <v>0</v>
      </c>
      <c r="BT56" s="1804">
        <v>0</v>
      </c>
      <c r="BU56" s="1804">
        <v>0</v>
      </c>
      <c r="BV56" s="1804">
        <v>0</v>
      </c>
      <c r="BW56" s="1804">
        <v>0</v>
      </c>
      <c r="BX56" s="1804">
        <v>0</v>
      </c>
      <c r="BY56" s="1804">
        <v>0</v>
      </c>
      <c r="BZ56" s="1804">
        <v>0</v>
      </c>
      <c r="CA56" s="1804">
        <v>0</v>
      </c>
      <c r="CB56" s="1804">
        <v>0</v>
      </c>
      <c r="CC56" s="1804">
        <v>0</v>
      </c>
      <c r="CD56" s="1804">
        <v>0</v>
      </c>
      <c r="CE56" s="1804">
        <v>0</v>
      </c>
      <c r="CF56" s="1804">
        <v>0</v>
      </c>
      <c r="CG56" s="1804">
        <v>0</v>
      </c>
      <c r="CH56" s="1804">
        <v>0</v>
      </c>
      <c r="CI56" s="1804">
        <v>0</v>
      </c>
      <c r="CJ56" s="1804">
        <v>0</v>
      </c>
      <c r="CK56" s="1804">
        <v>0</v>
      </c>
      <c r="CL56" s="1804">
        <v>0</v>
      </c>
      <c r="CM56" s="1804">
        <v>0</v>
      </c>
      <c r="CN56" s="1804">
        <v>0</v>
      </c>
      <c r="CO56" s="1804">
        <v>0</v>
      </c>
      <c r="CP56" s="1804">
        <v>0</v>
      </c>
      <c r="CQ56" s="1804">
        <v>0</v>
      </c>
      <c r="CR56" s="1804">
        <v>0</v>
      </c>
      <c r="CS56" s="1804">
        <v>0</v>
      </c>
      <c r="CT56" s="1804">
        <v>0</v>
      </c>
      <c r="CU56" s="1804">
        <v>0</v>
      </c>
      <c r="CV56" s="1804">
        <v>0</v>
      </c>
      <c r="CW56" s="1804">
        <v>0</v>
      </c>
      <c r="CX56" s="1804">
        <v>0</v>
      </c>
      <c r="CY56" s="1804">
        <v>0</v>
      </c>
      <c r="CZ56" s="1804">
        <v>0</v>
      </c>
      <c r="DA56" s="1804">
        <v>0</v>
      </c>
      <c r="DB56" s="1804">
        <v>0</v>
      </c>
      <c r="DC56" s="1804">
        <v>0</v>
      </c>
      <c r="DD56" s="1804">
        <v>0</v>
      </c>
      <c r="DE56" s="1804">
        <v>0</v>
      </c>
      <c r="DF56" s="1804">
        <v>0</v>
      </c>
      <c r="DG56" s="1804">
        <v>0</v>
      </c>
      <c r="DH56" s="1804">
        <v>0</v>
      </c>
      <c r="DI56" s="1804">
        <v>0</v>
      </c>
      <c r="DJ56" s="1804">
        <v>0</v>
      </c>
      <c r="DK56" s="1804">
        <v>0</v>
      </c>
      <c r="DL56" s="1804">
        <v>0</v>
      </c>
      <c r="DM56" s="1804">
        <v>0</v>
      </c>
      <c r="DN56" s="1804">
        <v>0</v>
      </c>
      <c r="DO56" s="1804">
        <v>0</v>
      </c>
      <c r="DP56" s="1804">
        <v>0</v>
      </c>
      <c r="DQ56" s="1804">
        <v>0</v>
      </c>
      <c r="DR56" s="1804">
        <v>0</v>
      </c>
      <c r="DS56" s="1804">
        <v>0</v>
      </c>
      <c r="DT56" s="1804">
        <v>0</v>
      </c>
      <c r="DU56" s="1804">
        <v>0</v>
      </c>
      <c r="DV56" s="1804">
        <v>0</v>
      </c>
      <c r="DW56" s="1804">
        <v>0</v>
      </c>
      <c r="DX56" s="1804">
        <v>0</v>
      </c>
      <c r="DY56" s="1804">
        <v>0</v>
      </c>
      <c r="DZ56" s="1804">
        <v>0</v>
      </c>
      <c r="EA56" s="1804">
        <v>0</v>
      </c>
      <c r="EB56" s="1804">
        <v>0</v>
      </c>
      <c r="EC56" s="1804">
        <v>0</v>
      </c>
      <c r="ED56" s="1804">
        <v>0</v>
      </c>
      <c r="EE56" s="1804">
        <v>0</v>
      </c>
      <c r="EF56" s="1804">
        <v>0</v>
      </c>
      <c r="EG56" s="1804">
        <v>0</v>
      </c>
      <c r="EH56" s="1804">
        <v>0</v>
      </c>
      <c r="EI56" s="1804">
        <v>0</v>
      </c>
      <c r="EJ56" s="1804">
        <v>0</v>
      </c>
      <c r="EK56" s="1804">
        <v>0</v>
      </c>
      <c r="EL56" s="1804">
        <v>0</v>
      </c>
      <c r="EM56" s="1804">
        <v>0</v>
      </c>
      <c r="EN56" s="1804">
        <v>0</v>
      </c>
      <c r="EO56" s="1804">
        <v>0</v>
      </c>
      <c r="EP56" s="1804">
        <v>0</v>
      </c>
      <c r="EQ56" s="1804">
        <v>0</v>
      </c>
      <c r="ER56" s="1804">
        <v>0</v>
      </c>
      <c r="ES56" s="1804">
        <v>0</v>
      </c>
      <c r="ET56" s="1804">
        <v>0</v>
      </c>
      <c r="EU56" s="1804">
        <v>0</v>
      </c>
      <c r="EV56" s="1804">
        <v>0</v>
      </c>
      <c r="EW56" s="1804">
        <v>0</v>
      </c>
      <c r="EX56" s="1804">
        <v>0</v>
      </c>
      <c r="EY56" s="1804">
        <v>0</v>
      </c>
      <c r="EZ56" s="1804">
        <v>0</v>
      </c>
      <c r="FA56" s="1804">
        <v>0</v>
      </c>
      <c r="FB56" s="1804">
        <v>0</v>
      </c>
      <c r="FC56" s="1804">
        <v>0</v>
      </c>
      <c r="FD56" s="1804">
        <v>0</v>
      </c>
      <c r="FE56" s="1804">
        <v>0</v>
      </c>
      <c r="FF56" s="1804">
        <v>0</v>
      </c>
      <c r="FG56" s="1804">
        <v>0</v>
      </c>
      <c r="FH56" s="1804">
        <v>0</v>
      </c>
      <c r="FI56" s="1804">
        <v>0</v>
      </c>
      <c r="FJ56" s="1804">
        <v>0</v>
      </c>
      <c r="FK56" s="1804">
        <v>0</v>
      </c>
      <c r="FL56" s="1804">
        <v>0</v>
      </c>
      <c r="FM56" s="1804">
        <v>0</v>
      </c>
      <c r="FN56" s="1804">
        <v>0</v>
      </c>
      <c r="FO56" s="1804">
        <v>0</v>
      </c>
      <c r="FP56" s="1804">
        <v>0</v>
      </c>
      <c r="FQ56" s="1804">
        <v>0</v>
      </c>
      <c r="FR56" s="1804">
        <v>0</v>
      </c>
      <c r="FS56" s="1804">
        <v>0</v>
      </c>
      <c r="FT56" s="1804">
        <v>0</v>
      </c>
      <c r="FU56" s="1804">
        <v>0</v>
      </c>
      <c r="FV56" s="1804">
        <v>0</v>
      </c>
      <c r="FW56" s="1804">
        <v>0</v>
      </c>
      <c r="FX56" s="1804">
        <v>0</v>
      </c>
      <c r="FY56" s="1804">
        <v>0</v>
      </c>
      <c r="FZ56" s="1804">
        <v>0</v>
      </c>
      <c r="GA56" s="1804">
        <v>0</v>
      </c>
      <c r="GB56" s="1804">
        <v>0</v>
      </c>
      <c r="GC56" s="1804">
        <v>0</v>
      </c>
      <c r="GD56" s="1804">
        <v>0</v>
      </c>
      <c r="GE56" s="1804">
        <v>0</v>
      </c>
      <c r="GF56" s="1804">
        <v>0</v>
      </c>
      <c r="GG56" s="1804">
        <v>0</v>
      </c>
      <c r="GH56" s="1804">
        <v>0</v>
      </c>
      <c r="GI56" s="1804">
        <v>0</v>
      </c>
      <c r="GJ56" s="1804">
        <v>0</v>
      </c>
      <c r="GK56" s="1804">
        <v>0</v>
      </c>
      <c r="GL56" s="1804">
        <v>0</v>
      </c>
      <c r="GM56" s="1804">
        <v>0</v>
      </c>
      <c r="GN56" s="1804">
        <v>0</v>
      </c>
      <c r="GO56" s="1804">
        <v>0</v>
      </c>
      <c r="GP56" s="1804">
        <v>0</v>
      </c>
      <c r="GQ56" s="1804">
        <v>0</v>
      </c>
      <c r="GR56" s="1804">
        <v>0</v>
      </c>
      <c r="GS56" s="1804">
        <v>0</v>
      </c>
      <c r="GT56" s="1804">
        <v>0</v>
      </c>
      <c r="GU56" s="1804">
        <v>0</v>
      </c>
      <c r="GV56" s="1804">
        <v>0</v>
      </c>
      <c r="GW56" s="1804">
        <v>0</v>
      </c>
      <c r="GX56" s="1804">
        <v>0</v>
      </c>
      <c r="GY56" s="1804">
        <v>0</v>
      </c>
      <c r="GZ56" s="1804">
        <v>0</v>
      </c>
      <c r="HA56" s="1804">
        <v>0</v>
      </c>
      <c r="HB56" s="1804">
        <v>0</v>
      </c>
      <c r="HC56" s="1804">
        <v>0</v>
      </c>
      <c r="HD56" s="1804">
        <v>0</v>
      </c>
      <c r="HE56" s="1804">
        <v>0</v>
      </c>
    </row>
    <row r="57" spans="1:213" ht="15" customHeight="1" thickBot="1" x14ac:dyDescent="0.25">
      <c r="A57" s="1977"/>
      <c r="B57" s="1971"/>
      <c r="C57" s="1691" t="s">
        <v>801</v>
      </c>
      <c r="D57" s="1881"/>
      <c r="E57" s="1983"/>
      <c r="F57" s="1838">
        <v>0</v>
      </c>
      <c r="G57" s="1804">
        <v>0</v>
      </c>
      <c r="H57" s="1804">
        <v>0</v>
      </c>
      <c r="I57" s="1804">
        <v>0</v>
      </c>
      <c r="J57" s="1804">
        <v>0</v>
      </c>
      <c r="K57" s="1804">
        <v>0</v>
      </c>
      <c r="L57" s="1804">
        <v>0</v>
      </c>
      <c r="M57" s="1804">
        <v>0</v>
      </c>
      <c r="N57" s="1804">
        <v>0</v>
      </c>
      <c r="O57" s="1804">
        <v>0</v>
      </c>
      <c r="P57" s="1804">
        <v>0</v>
      </c>
      <c r="Q57" s="1804">
        <v>0</v>
      </c>
      <c r="R57" s="1804">
        <v>0</v>
      </c>
      <c r="S57" s="1804">
        <v>0</v>
      </c>
      <c r="T57" s="1804">
        <v>0</v>
      </c>
      <c r="U57" s="1804">
        <v>0</v>
      </c>
      <c r="V57" s="1804">
        <v>0</v>
      </c>
      <c r="W57" s="1804">
        <v>0</v>
      </c>
      <c r="X57" s="1804">
        <v>0</v>
      </c>
      <c r="Y57" s="1804">
        <v>0</v>
      </c>
      <c r="Z57" s="1804">
        <v>0</v>
      </c>
      <c r="AA57" s="1804">
        <v>0</v>
      </c>
      <c r="AB57" s="1804">
        <v>0</v>
      </c>
      <c r="AC57" s="1804">
        <v>0</v>
      </c>
      <c r="AD57" s="1804">
        <v>0</v>
      </c>
      <c r="AE57" s="1804">
        <v>0</v>
      </c>
      <c r="AF57" s="1804">
        <v>0</v>
      </c>
      <c r="AG57" s="1804">
        <v>0</v>
      </c>
      <c r="AH57" s="1804">
        <v>0</v>
      </c>
      <c r="AI57" s="1804">
        <v>0</v>
      </c>
      <c r="AJ57" s="1804">
        <v>0</v>
      </c>
      <c r="AK57" s="1804">
        <v>0</v>
      </c>
      <c r="AL57" s="1804">
        <v>0</v>
      </c>
      <c r="AM57" s="1804">
        <v>0</v>
      </c>
      <c r="AN57" s="1804">
        <v>0</v>
      </c>
      <c r="AO57" s="1804">
        <v>0</v>
      </c>
      <c r="AP57" s="1804">
        <v>0</v>
      </c>
      <c r="AQ57" s="1804">
        <v>0</v>
      </c>
      <c r="AR57" s="1804">
        <v>0</v>
      </c>
      <c r="AS57" s="1804">
        <v>0</v>
      </c>
      <c r="AT57" s="1804">
        <v>0</v>
      </c>
      <c r="AU57" s="1804">
        <v>0</v>
      </c>
      <c r="AV57" s="1804">
        <v>0</v>
      </c>
      <c r="AW57" s="1804">
        <v>0</v>
      </c>
      <c r="AX57" s="1804">
        <v>0</v>
      </c>
      <c r="AY57" s="1804">
        <v>0</v>
      </c>
      <c r="AZ57" s="1804">
        <v>0</v>
      </c>
      <c r="BA57" s="1804">
        <v>0</v>
      </c>
      <c r="BB57" s="1804">
        <v>0</v>
      </c>
      <c r="BC57" s="1804">
        <v>0</v>
      </c>
      <c r="BD57" s="1804">
        <v>0</v>
      </c>
      <c r="BE57" s="1804">
        <v>0</v>
      </c>
      <c r="BF57" s="1804">
        <v>0</v>
      </c>
      <c r="BG57" s="1804">
        <v>0</v>
      </c>
      <c r="BH57" s="1804">
        <v>0</v>
      </c>
      <c r="BI57" s="1804">
        <v>0</v>
      </c>
      <c r="BJ57" s="1804">
        <v>0</v>
      </c>
      <c r="BK57" s="1804">
        <v>0</v>
      </c>
      <c r="BL57" s="1804">
        <v>0</v>
      </c>
      <c r="BM57" s="1804">
        <v>0</v>
      </c>
      <c r="BN57" s="1804">
        <v>0</v>
      </c>
      <c r="BO57" s="1804">
        <v>0</v>
      </c>
      <c r="BP57" s="1804">
        <v>0</v>
      </c>
      <c r="BQ57" s="1804">
        <v>0</v>
      </c>
      <c r="BR57" s="1804">
        <v>0</v>
      </c>
      <c r="BS57" s="1804">
        <v>0</v>
      </c>
      <c r="BT57" s="1804">
        <v>0</v>
      </c>
      <c r="BU57" s="1804">
        <v>0</v>
      </c>
      <c r="BV57" s="1804">
        <v>0</v>
      </c>
      <c r="BW57" s="1804">
        <v>0</v>
      </c>
      <c r="BX57" s="1804">
        <v>0</v>
      </c>
      <c r="BY57" s="1804">
        <v>0</v>
      </c>
      <c r="BZ57" s="1804">
        <v>0</v>
      </c>
      <c r="CA57" s="1804">
        <v>0</v>
      </c>
      <c r="CB57" s="1804">
        <v>0</v>
      </c>
      <c r="CC57" s="1804">
        <v>0</v>
      </c>
      <c r="CD57" s="1804">
        <v>0</v>
      </c>
      <c r="CE57" s="1804">
        <v>0</v>
      </c>
      <c r="CF57" s="1804">
        <v>0</v>
      </c>
      <c r="CG57" s="1804">
        <v>0</v>
      </c>
      <c r="CH57" s="1804">
        <v>0</v>
      </c>
      <c r="CI57" s="1804">
        <v>0</v>
      </c>
      <c r="CJ57" s="1804">
        <v>0</v>
      </c>
      <c r="CK57" s="1804">
        <v>0</v>
      </c>
      <c r="CL57" s="1804">
        <v>0</v>
      </c>
      <c r="CM57" s="1804">
        <v>0</v>
      </c>
      <c r="CN57" s="1804">
        <v>0</v>
      </c>
      <c r="CO57" s="1804">
        <v>0</v>
      </c>
      <c r="CP57" s="1804">
        <v>0</v>
      </c>
      <c r="CQ57" s="1804">
        <v>0</v>
      </c>
      <c r="CR57" s="1804">
        <v>0</v>
      </c>
      <c r="CS57" s="1804">
        <v>0</v>
      </c>
      <c r="CT57" s="1804">
        <v>0</v>
      </c>
      <c r="CU57" s="1804">
        <v>0</v>
      </c>
      <c r="CV57" s="1804">
        <v>0</v>
      </c>
      <c r="CW57" s="1804">
        <v>0</v>
      </c>
      <c r="CX57" s="1804">
        <v>0</v>
      </c>
      <c r="CY57" s="1804">
        <v>0</v>
      </c>
      <c r="CZ57" s="1804">
        <v>0</v>
      </c>
      <c r="DA57" s="1804">
        <v>0</v>
      </c>
      <c r="DB57" s="1804">
        <v>0</v>
      </c>
      <c r="DC57" s="1804">
        <v>0</v>
      </c>
      <c r="DD57" s="1804">
        <v>0</v>
      </c>
      <c r="DE57" s="1804">
        <v>0</v>
      </c>
      <c r="DF57" s="1804">
        <v>0</v>
      </c>
      <c r="DG57" s="1804">
        <v>0</v>
      </c>
      <c r="DH57" s="1804">
        <v>0</v>
      </c>
      <c r="DI57" s="1804">
        <v>0</v>
      </c>
      <c r="DJ57" s="1804">
        <v>0</v>
      </c>
      <c r="DK57" s="1804">
        <v>0</v>
      </c>
      <c r="DL57" s="1804">
        <v>0</v>
      </c>
      <c r="DM57" s="1804">
        <v>0</v>
      </c>
      <c r="DN57" s="1804">
        <v>0</v>
      </c>
      <c r="DO57" s="1804">
        <v>0</v>
      </c>
      <c r="DP57" s="1804">
        <v>0</v>
      </c>
      <c r="DQ57" s="1804">
        <v>0</v>
      </c>
      <c r="DR57" s="1804">
        <v>0</v>
      </c>
      <c r="DS57" s="1804">
        <v>0</v>
      </c>
      <c r="DT57" s="1804">
        <v>0</v>
      </c>
      <c r="DU57" s="1804">
        <v>0</v>
      </c>
      <c r="DV57" s="1804">
        <v>0</v>
      </c>
      <c r="DW57" s="1804">
        <v>0</v>
      </c>
      <c r="DX57" s="1804">
        <v>0</v>
      </c>
      <c r="DY57" s="1804">
        <v>0</v>
      </c>
      <c r="DZ57" s="1804">
        <v>0</v>
      </c>
      <c r="EA57" s="1804">
        <v>0</v>
      </c>
      <c r="EB57" s="1804">
        <v>0</v>
      </c>
      <c r="EC57" s="1804">
        <v>0</v>
      </c>
      <c r="ED57" s="1804">
        <v>0</v>
      </c>
      <c r="EE57" s="1804">
        <v>0</v>
      </c>
      <c r="EF57" s="1804">
        <v>0</v>
      </c>
      <c r="EG57" s="1804">
        <v>0</v>
      </c>
      <c r="EH57" s="1804">
        <v>0</v>
      </c>
      <c r="EI57" s="1804">
        <v>0</v>
      </c>
      <c r="EJ57" s="1804">
        <v>0</v>
      </c>
      <c r="EK57" s="1804">
        <v>0</v>
      </c>
      <c r="EL57" s="1804">
        <v>0</v>
      </c>
      <c r="EM57" s="1804">
        <v>0</v>
      </c>
      <c r="EN57" s="1804">
        <v>0</v>
      </c>
      <c r="EO57" s="1804">
        <v>0</v>
      </c>
      <c r="EP57" s="1804">
        <v>0</v>
      </c>
      <c r="EQ57" s="1804">
        <v>0</v>
      </c>
      <c r="ER57" s="1804">
        <v>0</v>
      </c>
      <c r="ES57" s="1804">
        <v>0</v>
      </c>
      <c r="ET57" s="1804">
        <v>0</v>
      </c>
      <c r="EU57" s="1804">
        <v>0</v>
      </c>
      <c r="EV57" s="1804">
        <v>0</v>
      </c>
      <c r="EW57" s="1804">
        <v>0</v>
      </c>
      <c r="EX57" s="1804">
        <v>0</v>
      </c>
      <c r="EY57" s="1804">
        <v>0</v>
      </c>
      <c r="EZ57" s="1804">
        <v>0</v>
      </c>
      <c r="FA57" s="1804">
        <v>0</v>
      </c>
      <c r="FB57" s="1804">
        <v>0</v>
      </c>
      <c r="FC57" s="1804">
        <v>0</v>
      </c>
      <c r="FD57" s="1804">
        <v>0</v>
      </c>
      <c r="FE57" s="1804">
        <v>0</v>
      </c>
      <c r="FF57" s="1804">
        <v>0</v>
      </c>
      <c r="FG57" s="1804">
        <v>0</v>
      </c>
      <c r="FH57" s="1804">
        <v>0</v>
      </c>
      <c r="FI57" s="1804">
        <v>0</v>
      </c>
      <c r="FJ57" s="1804">
        <v>0</v>
      </c>
      <c r="FK57" s="1804">
        <v>0</v>
      </c>
      <c r="FL57" s="1804">
        <v>0</v>
      </c>
      <c r="FM57" s="1804">
        <v>0</v>
      </c>
      <c r="FN57" s="1804">
        <v>0</v>
      </c>
      <c r="FO57" s="1804">
        <v>0</v>
      </c>
      <c r="FP57" s="1804">
        <v>0</v>
      </c>
      <c r="FQ57" s="1804">
        <v>0</v>
      </c>
      <c r="FR57" s="1804">
        <v>0</v>
      </c>
      <c r="FS57" s="1804">
        <v>0</v>
      </c>
      <c r="FT57" s="1804">
        <v>0</v>
      </c>
      <c r="FU57" s="1804">
        <v>0</v>
      </c>
      <c r="FV57" s="1804">
        <v>0</v>
      </c>
      <c r="FW57" s="1804">
        <v>0</v>
      </c>
      <c r="FX57" s="1804">
        <v>0</v>
      </c>
      <c r="FY57" s="1804">
        <v>0</v>
      </c>
      <c r="FZ57" s="1804">
        <v>0</v>
      </c>
      <c r="GA57" s="1804">
        <v>0</v>
      </c>
      <c r="GB57" s="1804">
        <v>0</v>
      </c>
      <c r="GC57" s="1804">
        <v>0</v>
      </c>
      <c r="GD57" s="1804">
        <v>0</v>
      </c>
      <c r="GE57" s="1804">
        <v>0</v>
      </c>
      <c r="GF57" s="1804">
        <v>0</v>
      </c>
      <c r="GG57" s="1804">
        <v>0</v>
      </c>
      <c r="GH57" s="1804">
        <v>0</v>
      </c>
      <c r="GI57" s="1804">
        <v>0</v>
      </c>
      <c r="GJ57" s="1804">
        <v>0</v>
      </c>
      <c r="GK57" s="1804">
        <v>0</v>
      </c>
      <c r="GL57" s="1804">
        <v>0</v>
      </c>
      <c r="GM57" s="1804">
        <v>0</v>
      </c>
      <c r="GN57" s="1804">
        <v>0</v>
      </c>
      <c r="GO57" s="1804">
        <v>0</v>
      </c>
      <c r="GP57" s="1804">
        <v>0</v>
      </c>
      <c r="GQ57" s="1804">
        <v>0</v>
      </c>
      <c r="GR57" s="1804">
        <v>0</v>
      </c>
      <c r="GS57" s="1804">
        <v>0</v>
      </c>
      <c r="GT57" s="1804">
        <v>0</v>
      </c>
      <c r="GU57" s="1804">
        <v>0</v>
      </c>
      <c r="GV57" s="1804">
        <v>0</v>
      </c>
      <c r="GW57" s="1804">
        <v>0</v>
      </c>
      <c r="GX57" s="1804">
        <v>0</v>
      </c>
      <c r="GY57" s="1804">
        <v>0</v>
      </c>
      <c r="GZ57" s="1804">
        <v>0</v>
      </c>
      <c r="HA57" s="1804">
        <v>0</v>
      </c>
      <c r="HB57" s="1804">
        <v>0</v>
      </c>
      <c r="HC57" s="1804">
        <v>0</v>
      </c>
      <c r="HD57" s="1804">
        <v>0</v>
      </c>
      <c r="HE57" s="1804">
        <v>0</v>
      </c>
    </row>
    <row r="58" spans="1:213" ht="21" customHeight="1" thickBot="1" x14ac:dyDescent="0.25">
      <c r="A58" s="1968" t="s">
        <v>2334</v>
      </c>
      <c r="B58" s="1969" t="s">
        <v>947</v>
      </c>
      <c r="C58" s="1691" t="s">
        <v>588</v>
      </c>
      <c r="D58" s="1880"/>
      <c r="E58" s="1983"/>
      <c r="F58" s="1865"/>
      <c r="G58" s="1866"/>
      <c r="H58" s="1866"/>
      <c r="I58" s="1866"/>
      <c r="J58" s="1866"/>
      <c r="K58" s="1866"/>
      <c r="L58" s="1866"/>
      <c r="M58" s="1866"/>
      <c r="N58" s="1866"/>
      <c r="O58" s="1866"/>
      <c r="P58" s="1866"/>
      <c r="Q58" s="1866"/>
      <c r="R58" s="1866"/>
      <c r="S58" s="1866"/>
      <c r="T58" s="1866"/>
      <c r="U58" s="1866"/>
      <c r="V58" s="1866"/>
      <c r="W58" s="1866"/>
      <c r="X58" s="1866"/>
      <c r="Y58" s="1866"/>
      <c r="Z58" s="1866"/>
      <c r="AA58" s="1866"/>
      <c r="AB58" s="1866"/>
      <c r="AC58" s="1866"/>
      <c r="AD58" s="1866"/>
      <c r="AE58" s="1866"/>
      <c r="AF58" s="1866"/>
      <c r="AG58" s="1866"/>
      <c r="AH58" s="1866"/>
      <c r="AI58" s="1866"/>
      <c r="AJ58" s="1866"/>
      <c r="AK58" s="1866"/>
      <c r="AL58" s="1866"/>
      <c r="AM58" s="1866"/>
      <c r="AN58" s="1866"/>
      <c r="AO58" s="1866"/>
      <c r="AP58" s="1866"/>
      <c r="AQ58" s="1866"/>
      <c r="AR58" s="1866"/>
      <c r="AS58" s="1866"/>
      <c r="AT58" s="1866"/>
      <c r="AU58" s="1866"/>
      <c r="AV58" s="1866"/>
      <c r="AW58" s="1866"/>
      <c r="AX58" s="1866"/>
      <c r="AY58" s="1866"/>
      <c r="AZ58" s="1866"/>
      <c r="BA58" s="1866"/>
      <c r="BB58" s="1866"/>
      <c r="BC58" s="1866"/>
      <c r="BD58" s="1866"/>
      <c r="BE58" s="1866"/>
      <c r="BF58" s="1866"/>
      <c r="BG58" s="1866"/>
      <c r="BH58" s="1866"/>
      <c r="BI58" s="1866"/>
      <c r="BJ58" s="1866"/>
      <c r="BK58" s="1866"/>
      <c r="BL58" s="1866"/>
      <c r="BM58" s="1866"/>
      <c r="BN58" s="1866"/>
      <c r="BO58" s="1866"/>
      <c r="BP58" s="1866"/>
      <c r="BQ58" s="1866"/>
      <c r="BR58" s="1866"/>
      <c r="BS58" s="1866"/>
      <c r="BT58" s="1866"/>
      <c r="BU58" s="1866"/>
      <c r="BV58" s="1866"/>
      <c r="BW58" s="1866"/>
      <c r="BX58" s="1866"/>
      <c r="BY58" s="1866"/>
      <c r="BZ58" s="1866"/>
      <c r="CA58" s="1866"/>
      <c r="CB58" s="1866"/>
      <c r="CC58" s="1866"/>
      <c r="CD58" s="1866"/>
      <c r="CE58" s="1866"/>
      <c r="CF58" s="1866"/>
      <c r="CG58" s="1866"/>
      <c r="CH58" s="1866"/>
      <c r="CI58" s="1866"/>
      <c r="CJ58" s="1866"/>
      <c r="CK58" s="1866"/>
      <c r="CL58" s="1866"/>
      <c r="CM58" s="1866"/>
      <c r="CN58" s="1866"/>
      <c r="CO58" s="1866"/>
      <c r="CP58" s="1866"/>
      <c r="CQ58" s="1866"/>
      <c r="CR58" s="1866"/>
      <c r="CS58" s="1866"/>
      <c r="CT58" s="1866"/>
      <c r="CU58" s="1866"/>
      <c r="CV58" s="1866"/>
      <c r="CW58" s="1866"/>
      <c r="CX58" s="1866"/>
      <c r="CY58" s="1866"/>
      <c r="CZ58" s="1866"/>
      <c r="DA58" s="1866"/>
      <c r="DB58" s="1866"/>
      <c r="DC58" s="1866"/>
      <c r="DD58" s="1866"/>
      <c r="DE58" s="1866"/>
      <c r="DF58" s="1866"/>
      <c r="DG58" s="1866"/>
      <c r="DH58" s="1866"/>
      <c r="DI58" s="1866"/>
      <c r="DJ58" s="1866"/>
      <c r="DK58" s="1866"/>
      <c r="DL58" s="1866"/>
      <c r="DM58" s="1866"/>
      <c r="DN58" s="1866"/>
      <c r="DO58" s="1866"/>
      <c r="DP58" s="1866"/>
      <c r="DQ58" s="1866"/>
      <c r="DR58" s="1866"/>
      <c r="DS58" s="1866"/>
      <c r="DT58" s="1866"/>
      <c r="DU58" s="1866"/>
      <c r="DV58" s="1866"/>
      <c r="DW58" s="1866"/>
      <c r="DX58" s="1866"/>
      <c r="DY58" s="1866"/>
      <c r="DZ58" s="1866"/>
      <c r="EA58" s="1866"/>
      <c r="EB58" s="1866"/>
      <c r="EC58" s="1866"/>
      <c r="ED58" s="1866"/>
      <c r="EE58" s="1866"/>
      <c r="EF58" s="1866"/>
      <c r="EG58" s="1866"/>
      <c r="EH58" s="1866"/>
      <c r="EI58" s="1866"/>
      <c r="EJ58" s="1866"/>
      <c r="EK58" s="1866"/>
      <c r="EL58" s="1866"/>
      <c r="EM58" s="1866"/>
      <c r="EN58" s="1866"/>
      <c r="EO58" s="1866"/>
      <c r="EP58" s="1866"/>
      <c r="EQ58" s="1866"/>
      <c r="ER58" s="1866"/>
      <c r="ES58" s="1866"/>
      <c r="ET58" s="1866"/>
      <c r="EU58" s="1866"/>
      <c r="EV58" s="1866"/>
      <c r="EW58" s="1866"/>
      <c r="EX58" s="1866"/>
      <c r="EY58" s="1866"/>
      <c r="EZ58" s="1866"/>
      <c r="FA58" s="1866"/>
      <c r="FB58" s="1866"/>
      <c r="FC58" s="1866"/>
      <c r="FD58" s="1866"/>
      <c r="FE58" s="1866"/>
      <c r="FF58" s="1866"/>
      <c r="FG58" s="1866"/>
      <c r="FH58" s="1866"/>
      <c r="FI58" s="1866"/>
      <c r="FJ58" s="1866"/>
      <c r="FK58" s="1866"/>
      <c r="FL58" s="1866"/>
      <c r="FM58" s="1866"/>
      <c r="FN58" s="1866"/>
      <c r="FO58" s="1866"/>
      <c r="FP58" s="1866"/>
      <c r="FQ58" s="1866"/>
      <c r="FR58" s="1866"/>
      <c r="FS58" s="1866"/>
      <c r="FT58" s="1866"/>
      <c r="FU58" s="1866"/>
      <c r="FV58" s="1866"/>
      <c r="FW58" s="1866"/>
      <c r="FX58" s="1866"/>
      <c r="FY58" s="1866"/>
      <c r="FZ58" s="1866"/>
      <c r="GA58" s="1866"/>
      <c r="GB58" s="1866"/>
      <c r="GC58" s="1866"/>
      <c r="GD58" s="1866"/>
      <c r="GE58" s="1866"/>
      <c r="GF58" s="1866"/>
      <c r="GG58" s="1866"/>
      <c r="GH58" s="1866"/>
      <c r="GI58" s="1866"/>
      <c r="GJ58" s="1866"/>
      <c r="GK58" s="1866"/>
      <c r="GL58" s="1866"/>
      <c r="GM58" s="1866"/>
      <c r="GN58" s="1866"/>
      <c r="GO58" s="1866"/>
      <c r="GP58" s="1866"/>
      <c r="GQ58" s="1866"/>
      <c r="GR58" s="1866"/>
      <c r="GS58" s="1866"/>
      <c r="GT58" s="1866"/>
      <c r="GU58" s="1866"/>
      <c r="GV58" s="1866"/>
      <c r="GW58" s="1866"/>
      <c r="GX58" s="1866"/>
      <c r="GY58" s="1866"/>
      <c r="GZ58" s="1866"/>
      <c r="HA58" s="1866"/>
      <c r="HB58" s="1866"/>
      <c r="HC58" s="1866"/>
      <c r="HD58" s="1866"/>
      <c r="HE58" s="1866"/>
    </row>
    <row r="59" spans="1:213" ht="15" customHeight="1" x14ac:dyDescent="0.2">
      <c r="A59" s="1966"/>
      <c r="B59" s="1970"/>
      <c r="C59" s="1690" t="s">
        <v>589</v>
      </c>
      <c r="D59" s="1883"/>
      <c r="E59" s="1983"/>
      <c r="F59" s="1838">
        <v>0</v>
      </c>
      <c r="G59" s="1804">
        <v>0</v>
      </c>
      <c r="H59" s="1804">
        <v>0</v>
      </c>
      <c r="I59" s="1804">
        <v>0</v>
      </c>
      <c r="J59" s="1804">
        <v>0</v>
      </c>
      <c r="K59" s="1804">
        <v>0</v>
      </c>
      <c r="L59" s="1804">
        <v>0</v>
      </c>
      <c r="M59" s="1804">
        <v>0</v>
      </c>
      <c r="N59" s="1804">
        <v>0</v>
      </c>
      <c r="O59" s="1804">
        <v>0</v>
      </c>
      <c r="P59" s="1804">
        <v>0</v>
      </c>
      <c r="Q59" s="1804">
        <v>0</v>
      </c>
      <c r="R59" s="1804">
        <v>0</v>
      </c>
      <c r="S59" s="1804">
        <v>0</v>
      </c>
      <c r="T59" s="1804">
        <v>0</v>
      </c>
      <c r="U59" s="1804">
        <v>0</v>
      </c>
      <c r="V59" s="1804">
        <v>0</v>
      </c>
      <c r="W59" s="1804">
        <v>0</v>
      </c>
      <c r="X59" s="1804">
        <v>0</v>
      </c>
      <c r="Y59" s="1804">
        <v>0</v>
      </c>
      <c r="Z59" s="1804">
        <v>0</v>
      </c>
      <c r="AA59" s="1804">
        <v>0</v>
      </c>
      <c r="AB59" s="1804">
        <v>0</v>
      </c>
      <c r="AC59" s="1804">
        <v>0</v>
      </c>
      <c r="AD59" s="1804">
        <v>0</v>
      </c>
      <c r="AE59" s="1804">
        <v>0</v>
      </c>
      <c r="AF59" s="1804">
        <v>0</v>
      </c>
      <c r="AG59" s="1804">
        <v>0</v>
      </c>
      <c r="AH59" s="1804">
        <v>0</v>
      </c>
      <c r="AI59" s="1804">
        <v>0</v>
      </c>
      <c r="AJ59" s="1804">
        <v>0</v>
      </c>
      <c r="AK59" s="1804">
        <v>0</v>
      </c>
      <c r="AL59" s="1804">
        <v>0</v>
      </c>
      <c r="AM59" s="1804">
        <v>0</v>
      </c>
      <c r="AN59" s="1804">
        <v>0</v>
      </c>
      <c r="AO59" s="1804">
        <v>0</v>
      </c>
      <c r="AP59" s="1804">
        <v>0</v>
      </c>
      <c r="AQ59" s="1804">
        <v>0</v>
      </c>
      <c r="AR59" s="1804">
        <v>0</v>
      </c>
      <c r="AS59" s="1804">
        <v>0</v>
      </c>
      <c r="AT59" s="1804">
        <v>0</v>
      </c>
      <c r="AU59" s="1804">
        <v>0</v>
      </c>
      <c r="AV59" s="1804">
        <v>0</v>
      </c>
      <c r="AW59" s="1804">
        <v>0</v>
      </c>
      <c r="AX59" s="1804">
        <v>0</v>
      </c>
      <c r="AY59" s="1804">
        <v>0</v>
      </c>
      <c r="AZ59" s="1804">
        <v>0</v>
      </c>
      <c r="BA59" s="1804">
        <v>0</v>
      </c>
      <c r="BB59" s="1804">
        <v>0</v>
      </c>
      <c r="BC59" s="1804">
        <v>0</v>
      </c>
      <c r="BD59" s="1804">
        <v>0</v>
      </c>
      <c r="BE59" s="1804">
        <v>0</v>
      </c>
      <c r="BF59" s="1804">
        <v>0</v>
      </c>
      <c r="BG59" s="1804">
        <v>0</v>
      </c>
      <c r="BH59" s="1804">
        <v>0</v>
      </c>
      <c r="BI59" s="1804">
        <v>0</v>
      </c>
      <c r="BJ59" s="1804">
        <v>0</v>
      </c>
      <c r="BK59" s="1804">
        <v>0</v>
      </c>
      <c r="BL59" s="1804">
        <v>0</v>
      </c>
      <c r="BM59" s="1804">
        <v>0</v>
      </c>
      <c r="BN59" s="1804">
        <v>0</v>
      </c>
      <c r="BO59" s="1804">
        <v>0</v>
      </c>
      <c r="BP59" s="1804">
        <v>0</v>
      </c>
      <c r="BQ59" s="1804">
        <v>0</v>
      </c>
      <c r="BR59" s="1804">
        <v>0</v>
      </c>
      <c r="BS59" s="1804">
        <v>0</v>
      </c>
      <c r="BT59" s="1804">
        <v>0</v>
      </c>
      <c r="BU59" s="1804">
        <v>0</v>
      </c>
      <c r="BV59" s="1804">
        <v>0</v>
      </c>
      <c r="BW59" s="1804">
        <v>0</v>
      </c>
      <c r="BX59" s="1804">
        <v>0</v>
      </c>
      <c r="BY59" s="1804">
        <v>0</v>
      </c>
      <c r="BZ59" s="1804">
        <v>0</v>
      </c>
      <c r="CA59" s="1804">
        <v>0</v>
      </c>
      <c r="CB59" s="1804">
        <v>0</v>
      </c>
      <c r="CC59" s="1804">
        <v>0</v>
      </c>
      <c r="CD59" s="1804">
        <v>0</v>
      </c>
      <c r="CE59" s="1804">
        <v>0</v>
      </c>
      <c r="CF59" s="1804">
        <v>0</v>
      </c>
      <c r="CG59" s="1804">
        <v>0</v>
      </c>
      <c r="CH59" s="1804">
        <v>0</v>
      </c>
      <c r="CI59" s="1804">
        <v>0</v>
      </c>
      <c r="CJ59" s="1804">
        <v>0</v>
      </c>
      <c r="CK59" s="1804">
        <v>0</v>
      </c>
      <c r="CL59" s="1804">
        <v>0</v>
      </c>
      <c r="CM59" s="1804">
        <v>0</v>
      </c>
      <c r="CN59" s="1804">
        <v>0</v>
      </c>
      <c r="CO59" s="1804">
        <v>0</v>
      </c>
      <c r="CP59" s="1804">
        <v>0</v>
      </c>
      <c r="CQ59" s="1804">
        <v>0</v>
      </c>
      <c r="CR59" s="1804">
        <v>0</v>
      </c>
      <c r="CS59" s="1804">
        <v>0</v>
      </c>
      <c r="CT59" s="1804">
        <v>0</v>
      </c>
      <c r="CU59" s="1804">
        <v>0</v>
      </c>
      <c r="CV59" s="1804">
        <v>0</v>
      </c>
      <c r="CW59" s="1804">
        <v>0</v>
      </c>
      <c r="CX59" s="1804">
        <v>0</v>
      </c>
      <c r="CY59" s="1804">
        <v>0</v>
      </c>
      <c r="CZ59" s="1804">
        <v>0</v>
      </c>
      <c r="DA59" s="1804">
        <v>0</v>
      </c>
      <c r="DB59" s="1804">
        <v>0</v>
      </c>
      <c r="DC59" s="1804">
        <v>0</v>
      </c>
      <c r="DD59" s="1804">
        <v>0</v>
      </c>
      <c r="DE59" s="1804">
        <v>0</v>
      </c>
      <c r="DF59" s="1804">
        <v>0</v>
      </c>
      <c r="DG59" s="1804">
        <v>0</v>
      </c>
      <c r="DH59" s="1804">
        <v>0</v>
      </c>
      <c r="DI59" s="1804">
        <v>0</v>
      </c>
      <c r="DJ59" s="1804">
        <v>0</v>
      </c>
      <c r="DK59" s="1804">
        <v>0</v>
      </c>
      <c r="DL59" s="1804">
        <v>0</v>
      </c>
      <c r="DM59" s="1804">
        <v>0</v>
      </c>
      <c r="DN59" s="1804">
        <v>0</v>
      </c>
      <c r="DO59" s="1804">
        <v>0</v>
      </c>
      <c r="DP59" s="1804">
        <v>0</v>
      </c>
      <c r="DQ59" s="1804">
        <v>0</v>
      </c>
      <c r="DR59" s="1804">
        <v>0</v>
      </c>
      <c r="DS59" s="1804">
        <v>0</v>
      </c>
      <c r="DT59" s="1804">
        <v>0</v>
      </c>
      <c r="DU59" s="1804">
        <v>0</v>
      </c>
      <c r="DV59" s="1804">
        <v>0</v>
      </c>
      <c r="DW59" s="1804">
        <v>0</v>
      </c>
      <c r="DX59" s="1804">
        <v>0</v>
      </c>
      <c r="DY59" s="1804">
        <v>0</v>
      </c>
      <c r="DZ59" s="1804">
        <v>0</v>
      </c>
      <c r="EA59" s="1804">
        <v>0</v>
      </c>
      <c r="EB59" s="1804">
        <v>0</v>
      </c>
      <c r="EC59" s="1804">
        <v>0</v>
      </c>
      <c r="ED59" s="1804">
        <v>0</v>
      </c>
      <c r="EE59" s="1804">
        <v>0</v>
      </c>
      <c r="EF59" s="1804">
        <v>0</v>
      </c>
      <c r="EG59" s="1804">
        <v>0</v>
      </c>
      <c r="EH59" s="1804">
        <v>0</v>
      </c>
      <c r="EI59" s="1804">
        <v>0</v>
      </c>
      <c r="EJ59" s="1804">
        <v>0</v>
      </c>
      <c r="EK59" s="1804">
        <v>0</v>
      </c>
      <c r="EL59" s="1804">
        <v>0</v>
      </c>
      <c r="EM59" s="1804">
        <v>0</v>
      </c>
      <c r="EN59" s="1804">
        <v>0</v>
      </c>
      <c r="EO59" s="1804">
        <v>0</v>
      </c>
      <c r="EP59" s="1804">
        <v>0</v>
      </c>
      <c r="EQ59" s="1804">
        <v>0</v>
      </c>
      <c r="ER59" s="1804">
        <v>0</v>
      </c>
      <c r="ES59" s="1804">
        <v>0</v>
      </c>
      <c r="ET59" s="1804">
        <v>0</v>
      </c>
      <c r="EU59" s="1804">
        <v>0</v>
      </c>
      <c r="EV59" s="1804">
        <v>0</v>
      </c>
      <c r="EW59" s="1804">
        <v>0</v>
      </c>
      <c r="EX59" s="1804">
        <v>0</v>
      </c>
      <c r="EY59" s="1804">
        <v>0</v>
      </c>
      <c r="EZ59" s="1804">
        <v>0</v>
      </c>
      <c r="FA59" s="1804">
        <v>0</v>
      </c>
      <c r="FB59" s="1804">
        <v>0</v>
      </c>
      <c r="FC59" s="1804">
        <v>0</v>
      </c>
      <c r="FD59" s="1804">
        <v>0</v>
      </c>
      <c r="FE59" s="1804">
        <v>0</v>
      </c>
      <c r="FF59" s="1804">
        <v>0</v>
      </c>
      <c r="FG59" s="1804">
        <v>0</v>
      </c>
      <c r="FH59" s="1804">
        <v>0</v>
      </c>
      <c r="FI59" s="1804">
        <v>0</v>
      </c>
      <c r="FJ59" s="1804">
        <v>0</v>
      </c>
      <c r="FK59" s="1804">
        <v>0</v>
      </c>
      <c r="FL59" s="1804">
        <v>0</v>
      </c>
      <c r="FM59" s="1804">
        <v>0</v>
      </c>
      <c r="FN59" s="1804">
        <v>0</v>
      </c>
      <c r="FO59" s="1804">
        <v>0</v>
      </c>
      <c r="FP59" s="1804">
        <v>0</v>
      </c>
      <c r="FQ59" s="1804">
        <v>0</v>
      </c>
      <c r="FR59" s="1804">
        <v>0</v>
      </c>
      <c r="FS59" s="1804">
        <v>0</v>
      </c>
      <c r="FT59" s="1804">
        <v>0</v>
      </c>
      <c r="FU59" s="1804">
        <v>0</v>
      </c>
      <c r="FV59" s="1804">
        <v>0</v>
      </c>
      <c r="FW59" s="1804">
        <v>0</v>
      </c>
      <c r="FX59" s="1804">
        <v>0</v>
      </c>
      <c r="FY59" s="1804">
        <v>0</v>
      </c>
      <c r="FZ59" s="1804">
        <v>0</v>
      </c>
      <c r="GA59" s="1804">
        <v>0</v>
      </c>
      <c r="GB59" s="1804">
        <v>0</v>
      </c>
      <c r="GC59" s="1804">
        <v>0</v>
      </c>
      <c r="GD59" s="1804">
        <v>0</v>
      </c>
      <c r="GE59" s="1804">
        <v>0</v>
      </c>
      <c r="GF59" s="1804">
        <v>0</v>
      </c>
      <c r="GG59" s="1804">
        <v>0</v>
      </c>
      <c r="GH59" s="1804">
        <v>0</v>
      </c>
      <c r="GI59" s="1804">
        <v>0</v>
      </c>
      <c r="GJ59" s="1804">
        <v>0</v>
      </c>
      <c r="GK59" s="1804">
        <v>0</v>
      </c>
      <c r="GL59" s="1804">
        <v>0</v>
      </c>
      <c r="GM59" s="1804">
        <v>0</v>
      </c>
      <c r="GN59" s="1804">
        <v>0</v>
      </c>
      <c r="GO59" s="1804">
        <v>0</v>
      </c>
      <c r="GP59" s="1804">
        <v>0</v>
      </c>
      <c r="GQ59" s="1804">
        <v>0</v>
      </c>
      <c r="GR59" s="1804">
        <v>0</v>
      </c>
      <c r="GS59" s="1804">
        <v>0</v>
      </c>
      <c r="GT59" s="1804">
        <v>0</v>
      </c>
      <c r="GU59" s="1804">
        <v>0</v>
      </c>
      <c r="GV59" s="1804">
        <v>0</v>
      </c>
      <c r="GW59" s="1804">
        <v>0</v>
      </c>
      <c r="GX59" s="1804">
        <v>0</v>
      </c>
      <c r="GY59" s="1804">
        <v>0</v>
      </c>
      <c r="GZ59" s="1804">
        <v>0</v>
      </c>
      <c r="HA59" s="1804">
        <v>0</v>
      </c>
      <c r="HB59" s="1804">
        <v>0</v>
      </c>
      <c r="HC59" s="1804">
        <v>0</v>
      </c>
      <c r="HD59" s="1804">
        <v>0</v>
      </c>
      <c r="HE59" s="1804">
        <v>0</v>
      </c>
    </row>
    <row r="60" spans="1:213" ht="15" customHeight="1" x14ac:dyDescent="0.2">
      <c r="A60" s="1966"/>
      <c r="B60" s="1970"/>
      <c r="C60" s="1816" t="s">
        <v>857</v>
      </c>
      <c r="D60" s="1883"/>
      <c r="E60" s="1983"/>
      <c r="F60" s="1838">
        <v>0</v>
      </c>
      <c r="G60" s="1804">
        <v>0</v>
      </c>
      <c r="H60" s="1804">
        <v>0</v>
      </c>
      <c r="I60" s="1804">
        <v>0</v>
      </c>
      <c r="J60" s="1804">
        <v>0</v>
      </c>
      <c r="K60" s="1804">
        <v>0</v>
      </c>
      <c r="L60" s="1804">
        <v>0</v>
      </c>
      <c r="M60" s="1804">
        <v>0</v>
      </c>
      <c r="N60" s="1804">
        <v>0</v>
      </c>
      <c r="O60" s="1804">
        <v>0</v>
      </c>
      <c r="P60" s="1804">
        <v>0</v>
      </c>
      <c r="Q60" s="1804">
        <v>0</v>
      </c>
      <c r="R60" s="1804">
        <v>0</v>
      </c>
      <c r="S60" s="1804">
        <v>0</v>
      </c>
      <c r="T60" s="1804">
        <v>0</v>
      </c>
      <c r="U60" s="1804">
        <v>0</v>
      </c>
      <c r="V60" s="1804">
        <v>0</v>
      </c>
      <c r="W60" s="1804">
        <v>0</v>
      </c>
      <c r="X60" s="1804">
        <v>0</v>
      </c>
      <c r="Y60" s="1804">
        <v>0</v>
      </c>
      <c r="Z60" s="1804">
        <v>0</v>
      </c>
      <c r="AA60" s="1804">
        <v>0</v>
      </c>
      <c r="AB60" s="1804">
        <v>0</v>
      </c>
      <c r="AC60" s="1804">
        <v>0</v>
      </c>
      <c r="AD60" s="1804">
        <v>0</v>
      </c>
      <c r="AE60" s="1804">
        <v>0</v>
      </c>
      <c r="AF60" s="1804">
        <v>0</v>
      </c>
      <c r="AG60" s="1804">
        <v>0</v>
      </c>
      <c r="AH60" s="1804">
        <v>0</v>
      </c>
      <c r="AI60" s="1804">
        <v>0</v>
      </c>
      <c r="AJ60" s="1804">
        <v>0</v>
      </c>
      <c r="AK60" s="1804">
        <v>0</v>
      </c>
      <c r="AL60" s="1804">
        <v>0</v>
      </c>
      <c r="AM60" s="1804">
        <v>0</v>
      </c>
      <c r="AN60" s="1804">
        <v>0</v>
      </c>
      <c r="AO60" s="1804">
        <v>0</v>
      </c>
      <c r="AP60" s="1804">
        <v>0</v>
      </c>
      <c r="AQ60" s="1804">
        <v>0</v>
      </c>
      <c r="AR60" s="1804">
        <v>0</v>
      </c>
      <c r="AS60" s="1804">
        <v>0</v>
      </c>
      <c r="AT60" s="1804">
        <v>0</v>
      </c>
      <c r="AU60" s="1804">
        <v>0</v>
      </c>
      <c r="AV60" s="1804">
        <v>0</v>
      </c>
      <c r="AW60" s="1804">
        <v>0</v>
      </c>
      <c r="AX60" s="1804">
        <v>0</v>
      </c>
      <c r="AY60" s="1804">
        <v>0</v>
      </c>
      <c r="AZ60" s="1804">
        <v>0</v>
      </c>
      <c r="BA60" s="1804">
        <v>0</v>
      </c>
      <c r="BB60" s="1804">
        <v>0</v>
      </c>
      <c r="BC60" s="1804">
        <v>0</v>
      </c>
      <c r="BD60" s="1804">
        <v>0</v>
      </c>
      <c r="BE60" s="1804">
        <v>0</v>
      </c>
      <c r="BF60" s="1804">
        <v>0</v>
      </c>
      <c r="BG60" s="1804">
        <v>0</v>
      </c>
      <c r="BH60" s="1804">
        <v>0</v>
      </c>
      <c r="BI60" s="1804">
        <v>0</v>
      </c>
      <c r="BJ60" s="1804">
        <v>0</v>
      </c>
      <c r="BK60" s="1804">
        <v>0</v>
      </c>
      <c r="BL60" s="1804">
        <v>0</v>
      </c>
      <c r="BM60" s="1804">
        <v>0</v>
      </c>
      <c r="BN60" s="1804">
        <v>0</v>
      </c>
      <c r="BO60" s="1804">
        <v>0</v>
      </c>
      <c r="BP60" s="1804">
        <v>0</v>
      </c>
      <c r="BQ60" s="1804">
        <v>0</v>
      </c>
      <c r="BR60" s="1804">
        <v>0</v>
      </c>
      <c r="BS60" s="1804">
        <v>0</v>
      </c>
      <c r="BT60" s="1804">
        <v>0</v>
      </c>
      <c r="BU60" s="1804">
        <v>0</v>
      </c>
      <c r="BV60" s="1804">
        <v>0</v>
      </c>
      <c r="BW60" s="1804">
        <v>0</v>
      </c>
      <c r="BX60" s="1804">
        <v>0</v>
      </c>
      <c r="BY60" s="1804">
        <v>0</v>
      </c>
      <c r="BZ60" s="1804">
        <v>0</v>
      </c>
      <c r="CA60" s="1804">
        <v>0</v>
      </c>
      <c r="CB60" s="1804">
        <v>0</v>
      </c>
      <c r="CC60" s="1804">
        <v>0</v>
      </c>
      <c r="CD60" s="1804">
        <v>0</v>
      </c>
      <c r="CE60" s="1804">
        <v>0</v>
      </c>
      <c r="CF60" s="1804">
        <v>0</v>
      </c>
      <c r="CG60" s="1804">
        <v>0</v>
      </c>
      <c r="CH60" s="1804">
        <v>0</v>
      </c>
      <c r="CI60" s="1804">
        <v>0</v>
      </c>
      <c r="CJ60" s="1804">
        <v>0</v>
      </c>
      <c r="CK60" s="1804">
        <v>0</v>
      </c>
      <c r="CL60" s="1804">
        <v>0</v>
      </c>
      <c r="CM60" s="1804">
        <v>0</v>
      </c>
      <c r="CN60" s="1804">
        <v>0</v>
      </c>
      <c r="CO60" s="1804">
        <v>0</v>
      </c>
      <c r="CP60" s="1804">
        <v>0</v>
      </c>
      <c r="CQ60" s="1804">
        <v>0</v>
      </c>
      <c r="CR60" s="1804">
        <v>0</v>
      </c>
      <c r="CS60" s="1804">
        <v>0</v>
      </c>
      <c r="CT60" s="1804">
        <v>0</v>
      </c>
      <c r="CU60" s="1804">
        <v>0</v>
      </c>
      <c r="CV60" s="1804">
        <v>0</v>
      </c>
      <c r="CW60" s="1804">
        <v>0</v>
      </c>
      <c r="CX60" s="1804">
        <v>0</v>
      </c>
      <c r="CY60" s="1804">
        <v>0</v>
      </c>
      <c r="CZ60" s="1804">
        <v>0</v>
      </c>
      <c r="DA60" s="1804">
        <v>0</v>
      </c>
      <c r="DB60" s="1804">
        <v>0</v>
      </c>
      <c r="DC60" s="1804">
        <v>0</v>
      </c>
      <c r="DD60" s="1804">
        <v>0</v>
      </c>
      <c r="DE60" s="1804">
        <v>0</v>
      </c>
      <c r="DF60" s="1804">
        <v>0</v>
      </c>
      <c r="DG60" s="1804">
        <v>0</v>
      </c>
      <c r="DH60" s="1804">
        <v>0</v>
      </c>
      <c r="DI60" s="1804">
        <v>0</v>
      </c>
      <c r="DJ60" s="1804">
        <v>0</v>
      </c>
      <c r="DK60" s="1804">
        <v>0</v>
      </c>
      <c r="DL60" s="1804">
        <v>0</v>
      </c>
      <c r="DM60" s="1804">
        <v>0</v>
      </c>
      <c r="DN60" s="1804">
        <v>0</v>
      </c>
      <c r="DO60" s="1804">
        <v>0</v>
      </c>
      <c r="DP60" s="1804">
        <v>0</v>
      </c>
      <c r="DQ60" s="1804">
        <v>0</v>
      </c>
      <c r="DR60" s="1804">
        <v>0</v>
      </c>
      <c r="DS60" s="1804">
        <v>0</v>
      </c>
      <c r="DT60" s="1804">
        <v>0</v>
      </c>
      <c r="DU60" s="1804">
        <v>0</v>
      </c>
      <c r="DV60" s="1804">
        <v>0</v>
      </c>
      <c r="DW60" s="1804">
        <v>0</v>
      </c>
      <c r="DX60" s="1804">
        <v>0</v>
      </c>
      <c r="DY60" s="1804">
        <v>0</v>
      </c>
      <c r="DZ60" s="1804">
        <v>0</v>
      </c>
      <c r="EA60" s="1804">
        <v>0</v>
      </c>
      <c r="EB60" s="1804">
        <v>0</v>
      </c>
      <c r="EC60" s="1804">
        <v>0</v>
      </c>
      <c r="ED60" s="1804">
        <v>0</v>
      </c>
      <c r="EE60" s="1804">
        <v>0</v>
      </c>
      <c r="EF60" s="1804">
        <v>0</v>
      </c>
      <c r="EG60" s="1804">
        <v>0</v>
      </c>
      <c r="EH60" s="1804">
        <v>0</v>
      </c>
      <c r="EI60" s="1804">
        <v>0</v>
      </c>
      <c r="EJ60" s="1804">
        <v>0</v>
      </c>
      <c r="EK60" s="1804">
        <v>0</v>
      </c>
      <c r="EL60" s="1804">
        <v>0</v>
      </c>
      <c r="EM60" s="1804">
        <v>0</v>
      </c>
      <c r="EN60" s="1804">
        <v>0</v>
      </c>
      <c r="EO60" s="1804">
        <v>0</v>
      </c>
      <c r="EP60" s="1804">
        <v>0</v>
      </c>
      <c r="EQ60" s="1804">
        <v>0</v>
      </c>
      <c r="ER60" s="1804">
        <v>0</v>
      </c>
      <c r="ES60" s="1804">
        <v>0</v>
      </c>
      <c r="ET60" s="1804">
        <v>0</v>
      </c>
      <c r="EU60" s="1804">
        <v>0</v>
      </c>
      <c r="EV60" s="1804">
        <v>0</v>
      </c>
      <c r="EW60" s="1804">
        <v>0</v>
      </c>
      <c r="EX60" s="1804">
        <v>0</v>
      </c>
      <c r="EY60" s="1804">
        <v>0</v>
      </c>
      <c r="EZ60" s="1804">
        <v>0</v>
      </c>
      <c r="FA60" s="1804">
        <v>0</v>
      </c>
      <c r="FB60" s="1804">
        <v>0</v>
      </c>
      <c r="FC60" s="1804">
        <v>0</v>
      </c>
      <c r="FD60" s="1804">
        <v>0</v>
      </c>
      <c r="FE60" s="1804">
        <v>0</v>
      </c>
      <c r="FF60" s="1804">
        <v>0</v>
      </c>
      <c r="FG60" s="1804">
        <v>0</v>
      </c>
      <c r="FH60" s="1804">
        <v>0</v>
      </c>
      <c r="FI60" s="1804">
        <v>0</v>
      </c>
      <c r="FJ60" s="1804">
        <v>0</v>
      </c>
      <c r="FK60" s="1804">
        <v>0</v>
      </c>
      <c r="FL60" s="1804">
        <v>0</v>
      </c>
      <c r="FM60" s="1804">
        <v>0</v>
      </c>
      <c r="FN60" s="1804">
        <v>0</v>
      </c>
      <c r="FO60" s="1804">
        <v>0</v>
      </c>
      <c r="FP60" s="1804">
        <v>0</v>
      </c>
      <c r="FQ60" s="1804">
        <v>0</v>
      </c>
      <c r="FR60" s="1804">
        <v>0</v>
      </c>
      <c r="FS60" s="1804">
        <v>0</v>
      </c>
      <c r="FT60" s="1804">
        <v>0</v>
      </c>
      <c r="FU60" s="1804">
        <v>0</v>
      </c>
      <c r="FV60" s="1804">
        <v>0</v>
      </c>
      <c r="FW60" s="1804">
        <v>0</v>
      </c>
      <c r="FX60" s="1804">
        <v>0</v>
      </c>
      <c r="FY60" s="1804">
        <v>0</v>
      </c>
      <c r="FZ60" s="1804">
        <v>0</v>
      </c>
      <c r="GA60" s="1804">
        <v>0</v>
      </c>
      <c r="GB60" s="1804">
        <v>0</v>
      </c>
      <c r="GC60" s="1804">
        <v>0</v>
      </c>
      <c r="GD60" s="1804">
        <v>0</v>
      </c>
      <c r="GE60" s="1804">
        <v>0</v>
      </c>
      <c r="GF60" s="1804">
        <v>0</v>
      </c>
      <c r="GG60" s="1804">
        <v>0</v>
      </c>
      <c r="GH60" s="1804">
        <v>0</v>
      </c>
      <c r="GI60" s="1804">
        <v>0</v>
      </c>
      <c r="GJ60" s="1804">
        <v>0</v>
      </c>
      <c r="GK60" s="1804">
        <v>0</v>
      </c>
      <c r="GL60" s="1804">
        <v>0</v>
      </c>
      <c r="GM60" s="1804">
        <v>0</v>
      </c>
      <c r="GN60" s="1804">
        <v>0</v>
      </c>
      <c r="GO60" s="1804">
        <v>0</v>
      </c>
      <c r="GP60" s="1804">
        <v>0</v>
      </c>
      <c r="GQ60" s="1804">
        <v>0</v>
      </c>
      <c r="GR60" s="1804">
        <v>0</v>
      </c>
      <c r="GS60" s="1804">
        <v>0</v>
      </c>
      <c r="GT60" s="1804">
        <v>0</v>
      </c>
      <c r="GU60" s="1804">
        <v>0</v>
      </c>
      <c r="GV60" s="1804">
        <v>0</v>
      </c>
      <c r="GW60" s="1804">
        <v>0</v>
      </c>
      <c r="GX60" s="1804">
        <v>0</v>
      </c>
      <c r="GY60" s="1804">
        <v>0</v>
      </c>
      <c r="GZ60" s="1804">
        <v>0</v>
      </c>
      <c r="HA60" s="1804">
        <v>0</v>
      </c>
      <c r="HB60" s="1804">
        <v>0</v>
      </c>
      <c r="HC60" s="1804">
        <v>0</v>
      </c>
      <c r="HD60" s="1804">
        <v>0</v>
      </c>
      <c r="HE60" s="1804">
        <v>0</v>
      </c>
    </row>
    <row r="61" spans="1:213" ht="15" customHeight="1" thickBot="1" x14ac:dyDescent="0.25">
      <c r="A61" s="1966"/>
      <c r="B61" s="1971"/>
      <c r="C61" s="1701" t="s">
        <v>560</v>
      </c>
      <c r="D61" s="1883"/>
      <c r="E61" s="1983"/>
      <c r="F61" s="1838">
        <v>0</v>
      </c>
      <c r="G61" s="1804">
        <v>0</v>
      </c>
      <c r="H61" s="1804">
        <v>0</v>
      </c>
      <c r="I61" s="1804">
        <v>0</v>
      </c>
      <c r="J61" s="1804">
        <v>0</v>
      </c>
      <c r="K61" s="1804">
        <v>0</v>
      </c>
      <c r="L61" s="1804">
        <v>0</v>
      </c>
      <c r="M61" s="1804">
        <v>0</v>
      </c>
      <c r="N61" s="1804">
        <v>0</v>
      </c>
      <c r="O61" s="1804">
        <v>0</v>
      </c>
      <c r="P61" s="1804">
        <v>0</v>
      </c>
      <c r="Q61" s="1804">
        <v>0</v>
      </c>
      <c r="R61" s="1804">
        <v>0</v>
      </c>
      <c r="S61" s="1804">
        <v>0</v>
      </c>
      <c r="T61" s="1804">
        <v>0</v>
      </c>
      <c r="U61" s="1804">
        <v>0</v>
      </c>
      <c r="V61" s="1804">
        <v>0</v>
      </c>
      <c r="W61" s="1804">
        <v>0</v>
      </c>
      <c r="X61" s="1804">
        <v>0</v>
      </c>
      <c r="Y61" s="1804">
        <v>0</v>
      </c>
      <c r="Z61" s="1804">
        <v>0</v>
      </c>
      <c r="AA61" s="1804">
        <v>0</v>
      </c>
      <c r="AB61" s="1804">
        <v>0</v>
      </c>
      <c r="AC61" s="1804">
        <v>0</v>
      </c>
      <c r="AD61" s="1804">
        <v>0</v>
      </c>
      <c r="AE61" s="1804">
        <v>0</v>
      </c>
      <c r="AF61" s="1804">
        <v>0</v>
      </c>
      <c r="AG61" s="1804">
        <v>0</v>
      </c>
      <c r="AH61" s="1804">
        <v>0</v>
      </c>
      <c r="AI61" s="1804">
        <v>0</v>
      </c>
      <c r="AJ61" s="1804">
        <v>0</v>
      </c>
      <c r="AK61" s="1804">
        <v>0</v>
      </c>
      <c r="AL61" s="1804">
        <v>0</v>
      </c>
      <c r="AM61" s="1804">
        <v>0</v>
      </c>
      <c r="AN61" s="1804">
        <v>0</v>
      </c>
      <c r="AO61" s="1804">
        <v>0</v>
      </c>
      <c r="AP61" s="1804">
        <v>0</v>
      </c>
      <c r="AQ61" s="1804">
        <v>0</v>
      </c>
      <c r="AR61" s="1804">
        <v>0</v>
      </c>
      <c r="AS61" s="1804">
        <v>0</v>
      </c>
      <c r="AT61" s="1804">
        <v>0</v>
      </c>
      <c r="AU61" s="1804">
        <v>0</v>
      </c>
      <c r="AV61" s="1804">
        <v>0</v>
      </c>
      <c r="AW61" s="1804">
        <v>0</v>
      </c>
      <c r="AX61" s="1804">
        <v>0</v>
      </c>
      <c r="AY61" s="1804">
        <v>0</v>
      </c>
      <c r="AZ61" s="1804">
        <v>0</v>
      </c>
      <c r="BA61" s="1804">
        <v>0</v>
      </c>
      <c r="BB61" s="1804">
        <v>0</v>
      </c>
      <c r="BC61" s="1804">
        <v>0</v>
      </c>
      <c r="BD61" s="1804">
        <v>0</v>
      </c>
      <c r="BE61" s="1804">
        <v>0</v>
      </c>
      <c r="BF61" s="1804">
        <v>0</v>
      </c>
      <c r="BG61" s="1804">
        <v>0</v>
      </c>
      <c r="BH61" s="1804">
        <v>0</v>
      </c>
      <c r="BI61" s="1804">
        <v>0</v>
      </c>
      <c r="BJ61" s="1804">
        <v>0</v>
      </c>
      <c r="BK61" s="1804">
        <v>0</v>
      </c>
      <c r="BL61" s="1804">
        <v>0</v>
      </c>
      <c r="BM61" s="1804">
        <v>0</v>
      </c>
      <c r="BN61" s="1804">
        <v>0</v>
      </c>
      <c r="BO61" s="1804">
        <v>0</v>
      </c>
      <c r="BP61" s="1804">
        <v>0</v>
      </c>
      <c r="BQ61" s="1804">
        <v>0</v>
      </c>
      <c r="BR61" s="1804">
        <v>0</v>
      </c>
      <c r="BS61" s="1804">
        <v>0</v>
      </c>
      <c r="BT61" s="1804">
        <v>0</v>
      </c>
      <c r="BU61" s="1804">
        <v>0</v>
      </c>
      <c r="BV61" s="1804">
        <v>0</v>
      </c>
      <c r="BW61" s="1804">
        <v>0</v>
      </c>
      <c r="BX61" s="1804">
        <v>0</v>
      </c>
      <c r="BY61" s="1804">
        <v>0</v>
      </c>
      <c r="BZ61" s="1804">
        <v>0</v>
      </c>
      <c r="CA61" s="1804">
        <v>0</v>
      </c>
      <c r="CB61" s="1804">
        <v>0</v>
      </c>
      <c r="CC61" s="1804">
        <v>0</v>
      </c>
      <c r="CD61" s="1804">
        <v>0</v>
      </c>
      <c r="CE61" s="1804">
        <v>0</v>
      </c>
      <c r="CF61" s="1804">
        <v>0</v>
      </c>
      <c r="CG61" s="1804">
        <v>0</v>
      </c>
      <c r="CH61" s="1804">
        <v>0</v>
      </c>
      <c r="CI61" s="1804">
        <v>0</v>
      </c>
      <c r="CJ61" s="1804">
        <v>0</v>
      </c>
      <c r="CK61" s="1804">
        <v>0</v>
      </c>
      <c r="CL61" s="1804">
        <v>0</v>
      </c>
      <c r="CM61" s="1804">
        <v>0</v>
      </c>
      <c r="CN61" s="1804">
        <v>0</v>
      </c>
      <c r="CO61" s="1804">
        <v>0</v>
      </c>
      <c r="CP61" s="1804">
        <v>0</v>
      </c>
      <c r="CQ61" s="1804">
        <v>0</v>
      </c>
      <c r="CR61" s="1804">
        <v>0</v>
      </c>
      <c r="CS61" s="1804">
        <v>0</v>
      </c>
      <c r="CT61" s="1804">
        <v>0</v>
      </c>
      <c r="CU61" s="1804">
        <v>0</v>
      </c>
      <c r="CV61" s="1804">
        <v>0</v>
      </c>
      <c r="CW61" s="1804">
        <v>0</v>
      </c>
      <c r="CX61" s="1804">
        <v>0</v>
      </c>
      <c r="CY61" s="1804">
        <v>0</v>
      </c>
      <c r="CZ61" s="1804">
        <v>0</v>
      </c>
      <c r="DA61" s="1804">
        <v>0</v>
      </c>
      <c r="DB61" s="1804">
        <v>0</v>
      </c>
      <c r="DC61" s="1804">
        <v>0</v>
      </c>
      <c r="DD61" s="1804">
        <v>0</v>
      </c>
      <c r="DE61" s="1804">
        <v>0</v>
      </c>
      <c r="DF61" s="1804">
        <v>0</v>
      </c>
      <c r="DG61" s="1804">
        <v>0</v>
      </c>
      <c r="DH61" s="1804">
        <v>0</v>
      </c>
      <c r="DI61" s="1804">
        <v>0</v>
      </c>
      <c r="DJ61" s="1804">
        <v>0</v>
      </c>
      <c r="DK61" s="1804">
        <v>0</v>
      </c>
      <c r="DL61" s="1804">
        <v>0</v>
      </c>
      <c r="DM61" s="1804">
        <v>0</v>
      </c>
      <c r="DN61" s="1804">
        <v>0</v>
      </c>
      <c r="DO61" s="1804">
        <v>0</v>
      </c>
      <c r="DP61" s="1804">
        <v>0</v>
      </c>
      <c r="DQ61" s="1804">
        <v>0</v>
      </c>
      <c r="DR61" s="1804">
        <v>0</v>
      </c>
      <c r="DS61" s="1804">
        <v>0</v>
      </c>
      <c r="DT61" s="1804">
        <v>0</v>
      </c>
      <c r="DU61" s="1804">
        <v>0</v>
      </c>
      <c r="DV61" s="1804">
        <v>0</v>
      </c>
      <c r="DW61" s="1804">
        <v>0</v>
      </c>
      <c r="DX61" s="1804">
        <v>0</v>
      </c>
      <c r="DY61" s="1804">
        <v>0</v>
      </c>
      <c r="DZ61" s="1804">
        <v>0</v>
      </c>
      <c r="EA61" s="1804">
        <v>0</v>
      </c>
      <c r="EB61" s="1804">
        <v>0</v>
      </c>
      <c r="EC61" s="1804">
        <v>0</v>
      </c>
      <c r="ED61" s="1804">
        <v>0</v>
      </c>
      <c r="EE61" s="1804">
        <v>0</v>
      </c>
      <c r="EF61" s="1804">
        <v>0</v>
      </c>
      <c r="EG61" s="1804">
        <v>0</v>
      </c>
      <c r="EH61" s="1804">
        <v>0</v>
      </c>
      <c r="EI61" s="1804">
        <v>0</v>
      </c>
      <c r="EJ61" s="1804">
        <v>0</v>
      </c>
      <c r="EK61" s="1804">
        <v>0</v>
      </c>
      <c r="EL61" s="1804">
        <v>0</v>
      </c>
      <c r="EM61" s="1804">
        <v>0</v>
      </c>
      <c r="EN61" s="1804">
        <v>0</v>
      </c>
      <c r="EO61" s="1804">
        <v>0</v>
      </c>
      <c r="EP61" s="1804">
        <v>0</v>
      </c>
      <c r="EQ61" s="1804">
        <v>0</v>
      </c>
      <c r="ER61" s="1804">
        <v>0</v>
      </c>
      <c r="ES61" s="1804">
        <v>0</v>
      </c>
      <c r="ET61" s="1804">
        <v>0</v>
      </c>
      <c r="EU61" s="1804">
        <v>0</v>
      </c>
      <c r="EV61" s="1804">
        <v>0</v>
      </c>
      <c r="EW61" s="1804">
        <v>0</v>
      </c>
      <c r="EX61" s="1804">
        <v>0</v>
      </c>
      <c r="EY61" s="1804">
        <v>0</v>
      </c>
      <c r="EZ61" s="1804">
        <v>0</v>
      </c>
      <c r="FA61" s="1804">
        <v>0</v>
      </c>
      <c r="FB61" s="1804">
        <v>0</v>
      </c>
      <c r="FC61" s="1804">
        <v>0</v>
      </c>
      <c r="FD61" s="1804">
        <v>0</v>
      </c>
      <c r="FE61" s="1804">
        <v>0</v>
      </c>
      <c r="FF61" s="1804">
        <v>0</v>
      </c>
      <c r="FG61" s="1804">
        <v>0</v>
      </c>
      <c r="FH61" s="1804">
        <v>0</v>
      </c>
      <c r="FI61" s="1804">
        <v>0</v>
      </c>
      <c r="FJ61" s="1804">
        <v>0</v>
      </c>
      <c r="FK61" s="1804">
        <v>0</v>
      </c>
      <c r="FL61" s="1804">
        <v>0</v>
      </c>
      <c r="FM61" s="1804">
        <v>0</v>
      </c>
      <c r="FN61" s="1804">
        <v>0</v>
      </c>
      <c r="FO61" s="1804">
        <v>0</v>
      </c>
      <c r="FP61" s="1804">
        <v>0</v>
      </c>
      <c r="FQ61" s="1804">
        <v>0</v>
      </c>
      <c r="FR61" s="1804">
        <v>0</v>
      </c>
      <c r="FS61" s="1804">
        <v>0</v>
      </c>
      <c r="FT61" s="1804">
        <v>0</v>
      </c>
      <c r="FU61" s="1804">
        <v>0</v>
      </c>
      <c r="FV61" s="1804">
        <v>0</v>
      </c>
      <c r="FW61" s="1804">
        <v>0</v>
      </c>
      <c r="FX61" s="1804">
        <v>0</v>
      </c>
      <c r="FY61" s="1804">
        <v>0</v>
      </c>
      <c r="FZ61" s="1804">
        <v>0</v>
      </c>
      <c r="GA61" s="1804">
        <v>0</v>
      </c>
      <c r="GB61" s="1804">
        <v>0</v>
      </c>
      <c r="GC61" s="1804">
        <v>0</v>
      </c>
      <c r="GD61" s="1804">
        <v>0</v>
      </c>
      <c r="GE61" s="1804">
        <v>0</v>
      </c>
      <c r="GF61" s="1804">
        <v>0</v>
      </c>
      <c r="GG61" s="1804">
        <v>0</v>
      </c>
      <c r="GH61" s="1804">
        <v>0</v>
      </c>
      <c r="GI61" s="1804">
        <v>0</v>
      </c>
      <c r="GJ61" s="1804">
        <v>0</v>
      </c>
      <c r="GK61" s="1804">
        <v>0</v>
      </c>
      <c r="GL61" s="1804">
        <v>0</v>
      </c>
      <c r="GM61" s="1804">
        <v>0</v>
      </c>
      <c r="GN61" s="1804">
        <v>0</v>
      </c>
      <c r="GO61" s="1804">
        <v>0</v>
      </c>
      <c r="GP61" s="1804">
        <v>0</v>
      </c>
      <c r="GQ61" s="1804">
        <v>0</v>
      </c>
      <c r="GR61" s="1804">
        <v>0</v>
      </c>
      <c r="GS61" s="1804">
        <v>0</v>
      </c>
      <c r="GT61" s="1804">
        <v>0</v>
      </c>
      <c r="GU61" s="1804">
        <v>0</v>
      </c>
      <c r="GV61" s="1804">
        <v>0</v>
      </c>
      <c r="GW61" s="1804">
        <v>0</v>
      </c>
      <c r="GX61" s="1804">
        <v>0</v>
      </c>
      <c r="GY61" s="1804">
        <v>0</v>
      </c>
      <c r="GZ61" s="1804">
        <v>0</v>
      </c>
      <c r="HA61" s="1804">
        <v>0</v>
      </c>
      <c r="HB61" s="1804">
        <v>0</v>
      </c>
      <c r="HC61" s="1804">
        <v>0</v>
      </c>
      <c r="HD61" s="1804">
        <v>0</v>
      </c>
      <c r="HE61" s="1804">
        <v>0</v>
      </c>
    </row>
    <row r="62" spans="1:213" ht="30" customHeight="1" thickBot="1" x14ac:dyDescent="0.25">
      <c r="A62" s="1972" t="s">
        <v>2335</v>
      </c>
      <c r="B62" s="1969" t="s">
        <v>1361</v>
      </c>
      <c r="C62" s="1693" t="s">
        <v>950</v>
      </c>
      <c r="D62" s="1880"/>
      <c r="E62" s="1983"/>
      <c r="F62" s="1865"/>
      <c r="G62" s="1866"/>
      <c r="H62" s="1866"/>
      <c r="I62" s="1866"/>
      <c r="J62" s="1866"/>
      <c r="K62" s="1866"/>
      <c r="L62" s="1866"/>
      <c r="M62" s="1866"/>
      <c r="N62" s="1866"/>
      <c r="O62" s="1866"/>
      <c r="P62" s="1866"/>
      <c r="Q62" s="1866"/>
      <c r="R62" s="1866"/>
      <c r="S62" s="1866"/>
      <c r="T62" s="1866"/>
      <c r="U62" s="1866"/>
      <c r="V62" s="1866"/>
      <c r="W62" s="1866"/>
      <c r="X62" s="1866"/>
      <c r="Y62" s="1866"/>
      <c r="Z62" s="1866"/>
      <c r="AA62" s="1866"/>
      <c r="AB62" s="1866"/>
      <c r="AC62" s="1866"/>
      <c r="AD62" s="1866"/>
      <c r="AE62" s="1866"/>
      <c r="AF62" s="1866"/>
      <c r="AG62" s="1866"/>
      <c r="AH62" s="1866"/>
      <c r="AI62" s="1866"/>
      <c r="AJ62" s="1866"/>
      <c r="AK62" s="1866"/>
      <c r="AL62" s="1866"/>
      <c r="AM62" s="1866"/>
      <c r="AN62" s="1866"/>
      <c r="AO62" s="1866"/>
      <c r="AP62" s="1866"/>
      <c r="AQ62" s="1866"/>
      <c r="AR62" s="1866"/>
      <c r="AS62" s="1866"/>
      <c r="AT62" s="1866"/>
      <c r="AU62" s="1866"/>
      <c r="AV62" s="1866"/>
      <c r="AW62" s="1866"/>
      <c r="AX62" s="1866"/>
      <c r="AY62" s="1866"/>
      <c r="AZ62" s="1866"/>
      <c r="BA62" s="1866"/>
      <c r="BB62" s="1866"/>
      <c r="BC62" s="1866"/>
      <c r="BD62" s="1866"/>
      <c r="BE62" s="1866"/>
      <c r="BF62" s="1866"/>
      <c r="BG62" s="1866"/>
      <c r="BH62" s="1866"/>
      <c r="BI62" s="1866"/>
      <c r="BJ62" s="1866"/>
      <c r="BK62" s="1866"/>
      <c r="BL62" s="1866"/>
      <c r="BM62" s="1866"/>
      <c r="BN62" s="1866"/>
      <c r="BO62" s="1866"/>
      <c r="BP62" s="1866"/>
      <c r="BQ62" s="1866"/>
      <c r="BR62" s="1866"/>
      <c r="BS62" s="1866"/>
      <c r="BT62" s="1866"/>
      <c r="BU62" s="1866"/>
      <c r="BV62" s="1866"/>
      <c r="BW62" s="1866"/>
      <c r="BX62" s="1866"/>
      <c r="BY62" s="1866"/>
      <c r="BZ62" s="1866"/>
      <c r="CA62" s="1866"/>
      <c r="CB62" s="1866"/>
      <c r="CC62" s="1866"/>
      <c r="CD62" s="1866"/>
      <c r="CE62" s="1866"/>
      <c r="CF62" s="1866"/>
      <c r="CG62" s="1866"/>
      <c r="CH62" s="1866"/>
      <c r="CI62" s="1866"/>
      <c r="CJ62" s="1866"/>
      <c r="CK62" s="1866"/>
      <c r="CL62" s="1866"/>
      <c r="CM62" s="1866"/>
      <c r="CN62" s="1866"/>
      <c r="CO62" s="1866"/>
      <c r="CP62" s="1866"/>
      <c r="CQ62" s="1866"/>
      <c r="CR62" s="1866"/>
      <c r="CS62" s="1866"/>
      <c r="CT62" s="1866"/>
      <c r="CU62" s="1866"/>
      <c r="CV62" s="1866"/>
      <c r="CW62" s="1866"/>
      <c r="CX62" s="1866"/>
      <c r="CY62" s="1866"/>
      <c r="CZ62" s="1866"/>
      <c r="DA62" s="1866"/>
      <c r="DB62" s="1866"/>
      <c r="DC62" s="1866"/>
      <c r="DD62" s="1866"/>
      <c r="DE62" s="1866"/>
      <c r="DF62" s="1866"/>
      <c r="DG62" s="1866"/>
      <c r="DH62" s="1866"/>
      <c r="DI62" s="1866"/>
      <c r="DJ62" s="1866"/>
      <c r="DK62" s="1866"/>
      <c r="DL62" s="1866"/>
      <c r="DM62" s="1866"/>
      <c r="DN62" s="1866"/>
      <c r="DO62" s="1866"/>
      <c r="DP62" s="1866"/>
      <c r="DQ62" s="1866"/>
      <c r="DR62" s="1866"/>
      <c r="DS62" s="1866"/>
      <c r="DT62" s="1866"/>
      <c r="DU62" s="1866"/>
      <c r="DV62" s="1866"/>
      <c r="DW62" s="1866"/>
      <c r="DX62" s="1866"/>
      <c r="DY62" s="1866"/>
      <c r="DZ62" s="1866"/>
      <c r="EA62" s="1866"/>
      <c r="EB62" s="1866"/>
      <c r="EC62" s="1866"/>
      <c r="ED62" s="1866"/>
      <c r="EE62" s="1866"/>
      <c r="EF62" s="1866"/>
      <c r="EG62" s="1866"/>
      <c r="EH62" s="1866"/>
      <c r="EI62" s="1866"/>
      <c r="EJ62" s="1866"/>
      <c r="EK62" s="1866"/>
      <c r="EL62" s="1866"/>
      <c r="EM62" s="1866"/>
      <c r="EN62" s="1866"/>
      <c r="EO62" s="1866"/>
      <c r="EP62" s="1866"/>
      <c r="EQ62" s="1866"/>
      <c r="ER62" s="1866"/>
      <c r="ES62" s="1866"/>
      <c r="ET62" s="1866"/>
      <c r="EU62" s="1866"/>
      <c r="EV62" s="1866"/>
      <c r="EW62" s="1866"/>
      <c r="EX62" s="1866"/>
      <c r="EY62" s="1866"/>
      <c r="EZ62" s="1866"/>
      <c r="FA62" s="1866"/>
      <c r="FB62" s="1866"/>
      <c r="FC62" s="1866"/>
      <c r="FD62" s="1866"/>
      <c r="FE62" s="1866"/>
      <c r="FF62" s="1866"/>
      <c r="FG62" s="1866"/>
      <c r="FH62" s="1866"/>
      <c r="FI62" s="1866"/>
      <c r="FJ62" s="1866"/>
      <c r="FK62" s="1866"/>
      <c r="FL62" s="1866"/>
      <c r="FM62" s="1866"/>
      <c r="FN62" s="1866"/>
      <c r="FO62" s="1866"/>
      <c r="FP62" s="1866"/>
      <c r="FQ62" s="1866"/>
      <c r="FR62" s="1866"/>
      <c r="FS62" s="1866"/>
      <c r="FT62" s="1866"/>
      <c r="FU62" s="1866"/>
      <c r="FV62" s="1866"/>
      <c r="FW62" s="1866"/>
      <c r="FX62" s="1866"/>
      <c r="FY62" s="1866"/>
      <c r="FZ62" s="1866"/>
      <c r="GA62" s="1866"/>
      <c r="GB62" s="1866"/>
      <c r="GC62" s="1866"/>
      <c r="GD62" s="1866"/>
      <c r="GE62" s="1866"/>
      <c r="GF62" s="1866"/>
      <c r="GG62" s="1866"/>
      <c r="GH62" s="1866"/>
      <c r="GI62" s="1866"/>
      <c r="GJ62" s="1866"/>
      <c r="GK62" s="1866"/>
      <c r="GL62" s="1866"/>
      <c r="GM62" s="1866"/>
      <c r="GN62" s="1866"/>
      <c r="GO62" s="1866"/>
      <c r="GP62" s="1866"/>
      <c r="GQ62" s="1866"/>
      <c r="GR62" s="1866"/>
      <c r="GS62" s="1866"/>
      <c r="GT62" s="1866"/>
      <c r="GU62" s="1866"/>
      <c r="GV62" s="1866"/>
      <c r="GW62" s="1866"/>
      <c r="GX62" s="1866"/>
      <c r="GY62" s="1866"/>
      <c r="GZ62" s="1866"/>
      <c r="HA62" s="1866"/>
      <c r="HB62" s="1866"/>
      <c r="HC62" s="1866"/>
      <c r="HD62" s="1866"/>
      <c r="HE62" s="1866"/>
    </row>
    <row r="63" spans="1:213" ht="15" customHeight="1" x14ac:dyDescent="0.2">
      <c r="A63" s="1973"/>
      <c r="B63" s="1970"/>
      <c r="C63" s="1690" t="s">
        <v>1362</v>
      </c>
      <c r="D63" s="1881"/>
      <c r="E63" s="1983"/>
      <c r="F63" s="1838">
        <v>0</v>
      </c>
      <c r="G63" s="1804">
        <v>0</v>
      </c>
      <c r="H63" s="1804">
        <v>0</v>
      </c>
      <c r="I63" s="1804">
        <v>0</v>
      </c>
      <c r="J63" s="1804">
        <v>0</v>
      </c>
      <c r="K63" s="1804">
        <v>0</v>
      </c>
      <c r="L63" s="1804">
        <v>0</v>
      </c>
      <c r="M63" s="1804">
        <v>0</v>
      </c>
      <c r="N63" s="1804">
        <v>0</v>
      </c>
      <c r="O63" s="1804">
        <v>0</v>
      </c>
      <c r="P63" s="1804">
        <v>0</v>
      </c>
      <c r="Q63" s="1804">
        <v>0</v>
      </c>
      <c r="R63" s="1804">
        <v>0</v>
      </c>
      <c r="S63" s="1804">
        <v>0</v>
      </c>
      <c r="T63" s="1804">
        <v>0</v>
      </c>
      <c r="U63" s="1804">
        <v>0</v>
      </c>
      <c r="V63" s="1804">
        <v>0</v>
      </c>
      <c r="W63" s="1804">
        <v>0</v>
      </c>
      <c r="X63" s="1804">
        <v>0</v>
      </c>
      <c r="Y63" s="1804">
        <v>0</v>
      </c>
      <c r="Z63" s="1804">
        <v>0</v>
      </c>
      <c r="AA63" s="1804">
        <v>0</v>
      </c>
      <c r="AB63" s="1804">
        <v>0</v>
      </c>
      <c r="AC63" s="1804">
        <v>0</v>
      </c>
      <c r="AD63" s="1804">
        <v>0</v>
      </c>
      <c r="AE63" s="1804">
        <v>0</v>
      </c>
      <c r="AF63" s="1804">
        <v>0</v>
      </c>
      <c r="AG63" s="1804">
        <v>0</v>
      </c>
      <c r="AH63" s="1804">
        <v>0</v>
      </c>
      <c r="AI63" s="1804">
        <v>0</v>
      </c>
      <c r="AJ63" s="1804">
        <v>0</v>
      </c>
      <c r="AK63" s="1804">
        <v>0</v>
      </c>
      <c r="AL63" s="1804">
        <v>0</v>
      </c>
      <c r="AM63" s="1804">
        <v>0</v>
      </c>
      <c r="AN63" s="1804">
        <v>0</v>
      </c>
      <c r="AO63" s="1804">
        <v>0</v>
      </c>
      <c r="AP63" s="1804">
        <v>0</v>
      </c>
      <c r="AQ63" s="1804">
        <v>0</v>
      </c>
      <c r="AR63" s="1804">
        <v>0</v>
      </c>
      <c r="AS63" s="1804">
        <v>0</v>
      </c>
      <c r="AT63" s="1804">
        <v>0</v>
      </c>
      <c r="AU63" s="1804">
        <v>0</v>
      </c>
      <c r="AV63" s="1804">
        <v>0</v>
      </c>
      <c r="AW63" s="1804">
        <v>0</v>
      </c>
      <c r="AX63" s="1804">
        <v>0</v>
      </c>
      <c r="AY63" s="1804">
        <v>0</v>
      </c>
      <c r="AZ63" s="1804">
        <v>0</v>
      </c>
      <c r="BA63" s="1804">
        <v>0</v>
      </c>
      <c r="BB63" s="1804">
        <v>0</v>
      </c>
      <c r="BC63" s="1804">
        <v>0</v>
      </c>
      <c r="BD63" s="1804">
        <v>0</v>
      </c>
      <c r="BE63" s="1804">
        <v>0</v>
      </c>
      <c r="BF63" s="1804">
        <v>0</v>
      </c>
      <c r="BG63" s="1804">
        <v>0</v>
      </c>
      <c r="BH63" s="1804">
        <v>0</v>
      </c>
      <c r="BI63" s="1804">
        <v>0</v>
      </c>
      <c r="BJ63" s="1804">
        <v>0</v>
      </c>
      <c r="BK63" s="1804">
        <v>0</v>
      </c>
      <c r="BL63" s="1804">
        <v>0</v>
      </c>
      <c r="BM63" s="1804">
        <v>0</v>
      </c>
      <c r="BN63" s="1804">
        <v>0</v>
      </c>
      <c r="BO63" s="1804">
        <v>0</v>
      </c>
      <c r="BP63" s="1804">
        <v>0</v>
      </c>
      <c r="BQ63" s="1804">
        <v>0</v>
      </c>
      <c r="BR63" s="1804">
        <v>0</v>
      </c>
      <c r="BS63" s="1804">
        <v>0</v>
      </c>
      <c r="BT63" s="1804">
        <v>0</v>
      </c>
      <c r="BU63" s="1804">
        <v>0</v>
      </c>
      <c r="BV63" s="1804">
        <v>0</v>
      </c>
      <c r="BW63" s="1804">
        <v>0</v>
      </c>
      <c r="BX63" s="1804">
        <v>0</v>
      </c>
      <c r="BY63" s="1804">
        <v>0</v>
      </c>
      <c r="BZ63" s="1804">
        <v>0</v>
      </c>
      <c r="CA63" s="1804">
        <v>0</v>
      </c>
      <c r="CB63" s="1804">
        <v>0</v>
      </c>
      <c r="CC63" s="1804">
        <v>0</v>
      </c>
      <c r="CD63" s="1804">
        <v>0</v>
      </c>
      <c r="CE63" s="1804">
        <v>0</v>
      </c>
      <c r="CF63" s="1804">
        <v>0</v>
      </c>
      <c r="CG63" s="1804">
        <v>0</v>
      </c>
      <c r="CH63" s="1804">
        <v>0</v>
      </c>
      <c r="CI63" s="1804">
        <v>0</v>
      </c>
      <c r="CJ63" s="1804">
        <v>0</v>
      </c>
      <c r="CK63" s="1804">
        <v>0</v>
      </c>
      <c r="CL63" s="1804">
        <v>0</v>
      </c>
      <c r="CM63" s="1804">
        <v>0</v>
      </c>
      <c r="CN63" s="1804">
        <v>0</v>
      </c>
      <c r="CO63" s="1804">
        <v>0</v>
      </c>
      <c r="CP63" s="1804">
        <v>0</v>
      </c>
      <c r="CQ63" s="1804">
        <v>0</v>
      </c>
      <c r="CR63" s="1804">
        <v>0</v>
      </c>
      <c r="CS63" s="1804">
        <v>0</v>
      </c>
      <c r="CT63" s="1804">
        <v>0</v>
      </c>
      <c r="CU63" s="1804">
        <v>0</v>
      </c>
      <c r="CV63" s="1804">
        <v>0</v>
      </c>
      <c r="CW63" s="1804">
        <v>0</v>
      </c>
      <c r="CX63" s="1804">
        <v>0</v>
      </c>
      <c r="CY63" s="1804">
        <v>0</v>
      </c>
      <c r="CZ63" s="1804">
        <v>0</v>
      </c>
      <c r="DA63" s="1804">
        <v>0</v>
      </c>
      <c r="DB63" s="1804">
        <v>0</v>
      </c>
      <c r="DC63" s="1804">
        <v>0</v>
      </c>
      <c r="DD63" s="1804">
        <v>0</v>
      </c>
      <c r="DE63" s="1804">
        <v>0</v>
      </c>
      <c r="DF63" s="1804">
        <v>0</v>
      </c>
      <c r="DG63" s="1804">
        <v>0</v>
      </c>
      <c r="DH63" s="1804">
        <v>0</v>
      </c>
      <c r="DI63" s="1804">
        <v>0</v>
      </c>
      <c r="DJ63" s="1804">
        <v>0</v>
      </c>
      <c r="DK63" s="1804">
        <v>0</v>
      </c>
      <c r="DL63" s="1804">
        <v>0</v>
      </c>
      <c r="DM63" s="1804">
        <v>0</v>
      </c>
      <c r="DN63" s="1804">
        <v>0</v>
      </c>
      <c r="DO63" s="1804">
        <v>0</v>
      </c>
      <c r="DP63" s="1804">
        <v>0</v>
      </c>
      <c r="DQ63" s="1804">
        <v>0</v>
      </c>
      <c r="DR63" s="1804">
        <v>0</v>
      </c>
      <c r="DS63" s="1804">
        <v>0</v>
      </c>
      <c r="DT63" s="1804">
        <v>0</v>
      </c>
      <c r="DU63" s="1804">
        <v>0</v>
      </c>
      <c r="DV63" s="1804">
        <v>0</v>
      </c>
      <c r="DW63" s="1804">
        <v>0</v>
      </c>
      <c r="DX63" s="1804">
        <v>0</v>
      </c>
      <c r="DY63" s="1804">
        <v>0</v>
      </c>
      <c r="DZ63" s="1804">
        <v>0</v>
      </c>
      <c r="EA63" s="1804">
        <v>0</v>
      </c>
      <c r="EB63" s="1804">
        <v>0</v>
      </c>
      <c r="EC63" s="1804">
        <v>0</v>
      </c>
      <c r="ED63" s="1804">
        <v>0</v>
      </c>
      <c r="EE63" s="1804">
        <v>0</v>
      </c>
      <c r="EF63" s="1804">
        <v>0</v>
      </c>
      <c r="EG63" s="1804">
        <v>0</v>
      </c>
      <c r="EH63" s="1804">
        <v>0</v>
      </c>
      <c r="EI63" s="1804">
        <v>0</v>
      </c>
      <c r="EJ63" s="1804">
        <v>0</v>
      </c>
      <c r="EK63" s="1804">
        <v>0</v>
      </c>
      <c r="EL63" s="1804">
        <v>0</v>
      </c>
      <c r="EM63" s="1804">
        <v>0</v>
      </c>
      <c r="EN63" s="1804">
        <v>0</v>
      </c>
      <c r="EO63" s="1804">
        <v>0</v>
      </c>
      <c r="EP63" s="1804">
        <v>0</v>
      </c>
      <c r="EQ63" s="1804">
        <v>0</v>
      </c>
      <c r="ER63" s="1804">
        <v>0</v>
      </c>
      <c r="ES63" s="1804">
        <v>0</v>
      </c>
      <c r="ET63" s="1804">
        <v>0</v>
      </c>
      <c r="EU63" s="1804">
        <v>0</v>
      </c>
      <c r="EV63" s="1804">
        <v>0</v>
      </c>
      <c r="EW63" s="1804">
        <v>0</v>
      </c>
      <c r="EX63" s="1804">
        <v>0</v>
      </c>
      <c r="EY63" s="1804">
        <v>0</v>
      </c>
      <c r="EZ63" s="1804">
        <v>0</v>
      </c>
      <c r="FA63" s="1804">
        <v>0</v>
      </c>
      <c r="FB63" s="1804">
        <v>0</v>
      </c>
      <c r="FC63" s="1804">
        <v>0</v>
      </c>
      <c r="FD63" s="1804">
        <v>0</v>
      </c>
      <c r="FE63" s="1804">
        <v>0</v>
      </c>
      <c r="FF63" s="1804">
        <v>0</v>
      </c>
      <c r="FG63" s="1804">
        <v>0</v>
      </c>
      <c r="FH63" s="1804">
        <v>0</v>
      </c>
      <c r="FI63" s="1804">
        <v>0</v>
      </c>
      <c r="FJ63" s="1804">
        <v>0</v>
      </c>
      <c r="FK63" s="1804">
        <v>0</v>
      </c>
      <c r="FL63" s="1804">
        <v>0</v>
      </c>
      <c r="FM63" s="1804">
        <v>0</v>
      </c>
      <c r="FN63" s="1804">
        <v>0</v>
      </c>
      <c r="FO63" s="1804">
        <v>0</v>
      </c>
      <c r="FP63" s="1804">
        <v>0</v>
      </c>
      <c r="FQ63" s="1804">
        <v>0</v>
      </c>
      <c r="FR63" s="1804">
        <v>0</v>
      </c>
      <c r="FS63" s="1804">
        <v>0</v>
      </c>
      <c r="FT63" s="1804">
        <v>0</v>
      </c>
      <c r="FU63" s="1804">
        <v>0</v>
      </c>
      <c r="FV63" s="1804">
        <v>0</v>
      </c>
      <c r="FW63" s="1804">
        <v>0</v>
      </c>
      <c r="FX63" s="1804">
        <v>0</v>
      </c>
      <c r="FY63" s="1804">
        <v>0</v>
      </c>
      <c r="FZ63" s="1804">
        <v>0</v>
      </c>
      <c r="GA63" s="1804">
        <v>0</v>
      </c>
      <c r="GB63" s="1804">
        <v>0</v>
      </c>
      <c r="GC63" s="1804">
        <v>0</v>
      </c>
      <c r="GD63" s="1804">
        <v>0</v>
      </c>
      <c r="GE63" s="1804">
        <v>0</v>
      </c>
      <c r="GF63" s="1804">
        <v>0</v>
      </c>
      <c r="GG63" s="1804">
        <v>0</v>
      </c>
      <c r="GH63" s="1804">
        <v>0</v>
      </c>
      <c r="GI63" s="1804">
        <v>0</v>
      </c>
      <c r="GJ63" s="1804">
        <v>0</v>
      </c>
      <c r="GK63" s="1804">
        <v>0</v>
      </c>
      <c r="GL63" s="1804">
        <v>0</v>
      </c>
      <c r="GM63" s="1804">
        <v>0</v>
      </c>
      <c r="GN63" s="1804">
        <v>0</v>
      </c>
      <c r="GO63" s="1804">
        <v>0</v>
      </c>
      <c r="GP63" s="1804">
        <v>0</v>
      </c>
      <c r="GQ63" s="1804">
        <v>0</v>
      </c>
      <c r="GR63" s="1804">
        <v>0</v>
      </c>
      <c r="GS63" s="1804">
        <v>0</v>
      </c>
      <c r="GT63" s="1804">
        <v>0</v>
      </c>
      <c r="GU63" s="1804">
        <v>0</v>
      </c>
      <c r="GV63" s="1804">
        <v>0</v>
      </c>
      <c r="GW63" s="1804">
        <v>0</v>
      </c>
      <c r="GX63" s="1804">
        <v>0</v>
      </c>
      <c r="GY63" s="1804">
        <v>0</v>
      </c>
      <c r="GZ63" s="1804">
        <v>0</v>
      </c>
      <c r="HA63" s="1804">
        <v>0</v>
      </c>
      <c r="HB63" s="1804">
        <v>0</v>
      </c>
      <c r="HC63" s="1804">
        <v>0</v>
      </c>
      <c r="HD63" s="1804">
        <v>0</v>
      </c>
      <c r="HE63" s="1804">
        <v>0</v>
      </c>
    </row>
    <row r="64" spans="1:213" ht="15" customHeight="1" x14ac:dyDescent="0.2">
      <c r="A64" s="1973"/>
      <c r="B64" s="1970"/>
      <c r="C64" s="1816" t="s">
        <v>951</v>
      </c>
      <c r="D64" s="1885"/>
      <c r="E64" s="1983"/>
      <c r="F64" s="1838">
        <v>0</v>
      </c>
      <c r="G64" s="1804">
        <v>0</v>
      </c>
      <c r="H64" s="1804">
        <v>0</v>
      </c>
      <c r="I64" s="1804">
        <v>0</v>
      </c>
      <c r="J64" s="1804">
        <v>0</v>
      </c>
      <c r="K64" s="1804">
        <v>0</v>
      </c>
      <c r="L64" s="1804">
        <v>0</v>
      </c>
      <c r="M64" s="1804">
        <v>0</v>
      </c>
      <c r="N64" s="1804">
        <v>0</v>
      </c>
      <c r="O64" s="1804">
        <v>0</v>
      </c>
      <c r="P64" s="1804">
        <v>0</v>
      </c>
      <c r="Q64" s="1804">
        <v>0</v>
      </c>
      <c r="R64" s="1804">
        <v>0</v>
      </c>
      <c r="S64" s="1804">
        <v>0</v>
      </c>
      <c r="T64" s="1804">
        <v>0</v>
      </c>
      <c r="U64" s="1804">
        <v>0</v>
      </c>
      <c r="V64" s="1804">
        <v>0</v>
      </c>
      <c r="W64" s="1804">
        <v>0</v>
      </c>
      <c r="X64" s="1804">
        <v>0</v>
      </c>
      <c r="Y64" s="1804">
        <v>0</v>
      </c>
      <c r="Z64" s="1804">
        <v>0</v>
      </c>
      <c r="AA64" s="1804">
        <v>0</v>
      </c>
      <c r="AB64" s="1804">
        <v>0</v>
      </c>
      <c r="AC64" s="1804">
        <v>0</v>
      </c>
      <c r="AD64" s="1804">
        <v>0</v>
      </c>
      <c r="AE64" s="1804">
        <v>0</v>
      </c>
      <c r="AF64" s="1804">
        <v>0</v>
      </c>
      <c r="AG64" s="1804">
        <v>0</v>
      </c>
      <c r="AH64" s="1804">
        <v>0</v>
      </c>
      <c r="AI64" s="1804">
        <v>0</v>
      </c>
      <c r="AJ64" s="1804">
        <v>0</v>
      </c>
      <c r="AK64" s="1804">
        <v>0</v>
      </c>
      <c r="AL64" s="1804">
        <v>0</v>
      </c>
      <c r="AM64" s="1804">
        <v>0</v>
      </c>
      <c r="AN64" s="1804">
        <v>0</v>
      </c>
      <c r="AO64" s="1804">
        <v>0</v>
      </c>
      <c r="AP64" s="1804">
        <v>0</v>
      </c>
      <c r="AQ64" s="1804">
        <v>0</v>
      </c>
      <c r="AR64" s="1804">
        <v>0</v>
      </c>
      <c r="AS64" s="1804">
        <v>0</v>
      </c>
      <c r="AT64" s="1804">
        <v>0</v>
      </c>
      <c r="AU64" s="1804">
        <v>0</v>
      </c>
      <c r="AV64" s="1804">
        <v>0</v>
      </c>
      <c r="AW64" s="1804">
        <v>0</v>
      </c>
      <c r="AX64" s="1804">
        <v>0</v>
      </c>
      <c r="AY64" s="1804">
        <v>0</v>
      </c>
      <c r="AZ64" s="1804">
        <v>0</v>
      </c>
      <c r="BA64" s="1804">
        <v>0</v>
      </c>
      <c r="BB64" s="1804">
        <v>0</v>
      </c>
      <c r="BC64" s="1804">
        <v>0</v>
      </c>
      <c r="BD64" s="1804">
        <v>0</v>
      </c>
      <c r="BE64" s="1804">
        <v>0</v>
      </c>
      <c r="BF64" s="1804">
        <v>0</v>
      </c>
      <c r="BG64" s="1804">
        <v>0</v>
      </c>
      <c r="BH64" s="1804">
        <v>0</v>
      </c>
      <c r="BI64" s="1804">
        <v>0</v>
      </c>
      <c r="BJ64" s="1804">
        <v>0</v>
      </c>
      <c r="BK64" s="1804">
        <v>0</v>
      </c>
      <c r="BL64" s="1804">
        <v>0</v>
      </c>
      <c r="BM64" s="1804">
        <v>0</v>
      </c>
      <c r="BN64" s="1804">
        <v>0</v>
      </c>
      <c r="BO64" s="1804">
        <v>0</v>
      </c>
      <c r="BP64" s="1804">
        <v>0</v>
      </c>
      <c r="BQ64" s="1804">
        <v>0</v>
      </c>
      <c r="BR64" s="1804">
        <v>0</v>
      </c>
      <c r="BS64" s="1804">
        <v>0</v>
      </c>
      <c r="BT64" s="1804">
        <v>0</v>
      </c>
      <c r="BU64" s="1804">
        <v>0</v>
      </c>
      <c r="BV64" s="1804">
        <v>0</v>
      </c>
      <c r="BW64" s="1804">
        <v>0</v>
      </c>
      <c r="BX64" s="1804">
        <v>0</v>
      </c>
      <c r="BY64" s="1804">
        <v>0</v>
      </c>
      <c r="BZ64" s="1804">
        <v>0</v>
      </c>
      <c r="CA64" s="1804">
        <v>0</v>
      </c>
      <c r="CB64" s="1804">
        <v>0</v>
      </c>
      <c r="CC64" s="1804">
        <v>0</v>
      </c>
      <c r="CD64" s="1804">
        <v>0</v>
      </c>
      <c r="CE64" s="1804">
        <v>0</v>
      </c>
      <c r="CF64" s="1804">
        <v>0</v>
      </c>
      <c r="CG64" s="1804">
        <v>0</v>
      </c>
      <c r="CH64" s="1804">
        <v>0</v>
      </c>
      <c r="CI64" s="1804">
        <v>0</v>
      </c>
      <c r="CJ64" s="1804">
        <v>0</v>
      </c>
      <c r="CK64" s="1804">
        <v>0</v>
      </c>
      <c r="CL64" s="1804">
        <v>0</v>
      </c>
      <c r="CM64" s="1804">
        <v>0</v>
      </c>
      <c r="CN64" s="1804">
        <v>0</v>
      </c>
      <c r="CO64" s="1804">
        <v>0</v>
      </c>
      <c r="CP64" s="1804">
        <v>0</v>
      </c>
      <c r="CQ64" s="1804">
        <v>0</v>
      </c>
      <c r="CR64" s="1804">
        <v>0</v>
      </c>
      <c r="CS64" s="1804">
        <v>0</v>
      </c>
      <c r="CT64" s="1804">
        <v>0</v>
      </c>
      <c r="CU64" s="1804">
        <v>0</v>
      </c>
      <c r="CV64" s="1804">
        <v>0</v>
      </c>
      <c r="CW64" s="1804">
        <v>0</v>
      </c>
      <c r="CX64" s="1804">
        <v>0</v>
      </c>
      <c r="CY64" s="1804">
        <v>0</v>
      </c>
      <c r="CZ64" s="1804">
        <v>0</v>
      </c>
      <c r="DA64" s="1804">
        <v>0</v>
      </c>
      <c r="DB64" s="1804">
        <v>0</v>
      </c>
      <c r="DC64" s="1804">
        <v>0</v>
      </c>
      <c r="DD64" s="1804">
        <v>0</v>
      </c>
      <c r="DE64" s="1804">
        <v>0</v>
      </c>
      <c r="DF64" s="1804">
        <v>0</v>
      </c>
      <c r="DG64" s="1804">
        <v>0</v>
      </c>
      <c r="DH64" s="1804">
        <v>0</v>
      </c>
      <c r="DI64" s="1804">
        <v>0</v>
      </c>
      <c r="DJ64" s="1804">
        <v>0</v>
      </c>
      <c r="DK64" s="1804">
        <v>0</v>
      </c>
      <c r="DL64" s="1804">
        <v>0</v>
      </c>
      <c r="DM64" s="1804">
        <v>0</v>
      </c>
      <c r="DN64" s="1804">
        <v>0</v>
      </c>
      <c r="DO64" s="1804">
        <v>0</v>
      </c>
      <c r="DP64" s="1804">
        <v>0</v>
      </c>
      <c r="DQ64" s="1804">
        <v>0</v>
      </c>
      <c r="DR64" s="1804">
        <v>0</v>
      </c>
      <c r="DS64" s="1804">
        <v>0</v>
      </c>
      <c r="DT64" s="1804">
        <v>0</v>
      </c>
      <c r="DU64" s="1804">
        <v>0</v>
      </c>
      <c r="DV64" s="1804">
        <v>0</v>
      </c>
      <c r="DW64" s="1804">
        <v>0</v>
      </c>
      <c r="DX64" s="1804">
        <v>0</v>
      </c>
      <c r="DY64" s="1804">
        <v>0</v>
      </c>
      <c r="DZ64" s="1804">
        <v>0</v>
      </c>
      <c r="EA64" s="1804">
        <v>0</v>
      </c>
      <c r="EB64" s="1804">
        <v>0</v>
      </c>
      <c r="EC64" s="1804">
        <v>0</v>
      </c>
      <c r="ED64" s="1804">
        <v>0</v>
      </c>
      <c r="EE64" s="1804">
        <v>0</v>
      </c>
      <c r="EF64" s="1804">
        <v>0</v>
      </c>
      <c r="EG64" s="1804">
        <v>0</v>
      </c>
      <c r="EH64" s="1804">
        <v>0</v>
      </c>
      <c r="EI64" s="1804">
        <v>0</v>
      </c>
      <c r="EJ64" s="1804">
        <v>0</v>
      </c>
      <c r="EK64" s="1804">
        <v>0</v>
      </c>
      <c r="EL64" s="1804">
        <v>0</v>
      </c>
      <c r="EM64" s="1804">
        <v>0</v>
      </c>
      <c r="EN64" s="1804">
        <v>0</v>
      </c>
      <c r="EO64" s="1804">
        <v>0</v>
      </c>
      <c r="EP64" s="1804">
        <v>0</v>
      </c>
      <c r="EQ64" s="1804">
        <v>0</v>
      </c>
      <c r="ER64" s="1804">
        <v>0</v>
      </c>
      <c r="ES64" s="1804">
        <v>0</v>
      </c>
      <c r="ET64" s="1804">
        <v>0</v>
      </c>
      <c r="EU64" s="1804">
        <v>0</v>
      </c>
      <c r="EV64" s="1804">
        <v>0</v>
      </c>
      <c r="EW64" s="1804">
        <v>0</v>
      </c>
      <c r="EX64" s="1804">
        <v>0</v>
      </c>
      <c r="EY64" s="1804">
        <v>0</v>
      </c>
      <c r="EZ64" s="1804">
        <v>0</v>
      </c>
      <c r="FA64" s="1804">
        <v>0</v>
      </c>
      <c r="FB64" s="1804">
        <v>0</v>
      </c>
      <c r="FC64" s="1804">
        <v>0</v>
      </c>
      <c r="FD64" s="1804">
        <v>0</v>
      </c>
      <c r="FE64" s="1804">
        <v>0</v>
      </c>
      <c r="FF64" s="1804">
        <v>0</v>
      </c>
      <c r="FG64" s="1804">
        <v>0</v>
      </c>
      <c r="FH64" s="1804">
        <v>0</v>
      </c>
      <c r="FI64" s="1804">
        <v>0</v>
      </c>
      <c r="FJ64" s="1804">
        <v>0</v>
      </c>
      <c r="FK64" s="1804">
        <v>0</v>
      </c>
      <c r="FL64" s="1804">
        <v>0</v>
      </c>
      <c r="FM64" s="1804">
        <v>0</v>
      </c>
      <c r="FN64" s="1804">
        <v>0</v>
      </c>
      <c r="FO64" s="1804">
        <v>0</v>
      </c>
      <c r="FP64" s="1804">
        <v>0</v>
      </c>
      <c r="FQ64" s="1804">
        <v>0</v>
      </c>
      <c r="FR64" s="1804">
        <v>0</v>
      </c>
      <c r="FS64" s="1804">
        <v>0</v>
      </c>
      <c r="FT64" s="1804">
        <v>0</v>
      </c>
      <c r="FU64" s="1804">
        <v>0</v>
      </c>
      <c r="FV64" s="1804">
        <v>0</v>
      </c>
      <c r="FW64" s="1804">
        <v>0</v>
      </c>
      <c r="FX64" s="1804">
        <v>0</v>
      </c>
      <c r="FY64" s="1804">
        <v>0</v>
      </c>
      <c r="FZ64" s="1804">
        <v>0</v>
      </c>
      <c r="GA64" s="1804">
        <v>0</v>
      </c>
      <c r="GB64" s="1804">
        <v>0</v>
      </c>
      <c r="GC64" s="1804">
        <v>0</v>
      </c>
      <c r="GD64" s="1804">
        <v>0</v>
      </c>
      <c r="GE64" s="1804">
        <v>0</v>
      </c>
      <c r="GF64" s="1804">
        <v>0</v>
      </c>
      <c r="GG64" s="1804">
        <v>0</v>
      </c>
      <c r="GH64" s="1804">
        <v>0</v>
      </c>
      <c r="GI64" s="1804">
        <v>0</v>
      </c>
      <c r="GJ64" s="1804">
        <v>0</v>
      </c>
      <c r="GK64" s="1804">
        <v>0</v>
      </c>
      <c r="GL64" s="1804">
        <v>0</v>
      </c>
      <c r="GM64" s="1804">
        <v>0</v>
      </c>
      <c r="GN64" s="1804">
        <v>0</v>
      </c>
      <c r="GO64" s="1804">
        <v>0</v>
      </c>
      <c r="GP64" s="1804">
        <v>0</v>
      </c>
      <c r="GQ64" s="1804">
        <v>0</v>
      </c>
      <c r="GR64" s="1804">
        <v>0</v>
      </c>
      <c r="GS64" s="1804">
        <v>0</v>
      </c>
      <c r="GT64" s="1804">
        <v>0</v>
      </c>
      <c r="GU64" s="1804">
        <v>0</v>
      </c>
      <c r="GV64" s="1804">
        <v>0</v>
      </c>
      <c r="GW64" s="1804">
        <v>0</v>
      </c>
      <c r="GX64" s="1804">
        <v>0</v>
      </c>
      <c r="GY64" s="1804">
        <v>0</v>
      </c>
      <c r="GZ64" s="1804">
        <v>0</v>
      </c>
      <c r="HA64" s="1804">
        <v>0</v>
      </c>
      <c r="HB64" s="1804">
        <v>0</v>
      </c>
      <c r="HC64" s="1804">
        <v>0</v>
      </c>
      <c r="HD64" s="1804">
        <v>0</v>
      </c>
      <c r="HE64" s="1804">
        <v>0</v>
      </c>
    </row>
    <row r="65" spans="1:213" ht="15" customHeight="1" x14ac:dyDescent="0.2">
      <c r="A65" s="1973"/>
      <c r="B65" s="1970"/>
      <c r="C65" s="1816" t="s">
        <v>952</v>
      </c>
      <c r="D65" s="1885"/>
      <c r="E65" s="1983"/>
      <c r="F65" s="1838">
        <v>0</v>
      </c>
      <c r="G65" s="1804">
        <v>0</v>
      </c>
      <c r="H65" s="1804">
        <v>0</v>
      </c>
      <c r="I65" s="1804">
        <v>0</v>
      </c>
      <c r="J65" s="1804">
        <v>0</v>
      </c>
      <c r="K65" s="1804">
        <v>0</v>
      </c>
      <c r="L65" s="1804">
        <v>0</v>
      </c>
      <c r="M65" s="1804">
        <v>0</v>
      </c>
      <c r="N65" s="1804">
        <v>0</v>
      </c>
      <c r="O65" s="1804">
        <v>0</v>
      </c>
      <c r="P65" s="1804">
        <v>0</v>
      </c>
      <c r="Q65" s="1804">
        <v>0</v>
      </c>
      <c r="R65" s="1804">
        <v>0</v>
      </c>
      <c r="S65" s="1804">
        <v>0</v>
      </c>
      <c r="T65" s="1804">
        <v>0</v>
      </c>
      <c r="U65" s="1804">
        <v>0</v>
      </c>
      <c r="V65" s="1804">
        <v>0</v>
      </c>
      <c r="W65" s="1804">
        <v>0</v>
      </c>
      <c r="X65" s="1804">
        <v>0</v>
      </c>
      <c r="Y65" s="1804">
        <v>0</v>
      </c>
      <c r="Z65" s="1804">
        <v>0</v>
      </c>
      <c r="AA65" s="1804">
        <v>0</v>
      </c>
      <c r="AB65" s="1804">
        <v>0</v>
      </c>
      <c r="AC65" s="1804">
        <v>0</v>
      </c>
      <c r="AD65" s="1804">
        <v>0</v>
      </c>
      <c r="AE65" s="1804">
        <v>0</v>
      </c>
      <c r="AF65" s="1804">
        <v>0</v>
      </c>
      <c r="AG65" s="1804">
        <v>0</v>
      </c>
      <c r="AH65" s="1804">
        <v>0</v>
      </c>
      <c r="AI65" s="1804">
        <v>0</v>
      </c>
      <c r="AJ65" s="1804">
        <v>0</v>
      </c>
      <c r="AK65" s="1804">
        <v>0</v>
      </c>
      <c r="AL65" s="1804">
        <v>0</v>
      </c>
      <c r="AM65" s="1804">
        <v>0</v>
      </c>
      <c r="AN65" s="1804">
        <v>0</v>
      </c>
      <c r="AO65" s="1804">
        <v>0</v>
      </c>
      <c r="AP65" s="1804">
        <v>0</v>
      </c>
      <c r="AQ65" s="1804">
        <v>0</v>
      </c>
      <c r="AR65" s="1804">
        <v>0</v>
      </c>
      <c r="AS65" s="1804">
        <v>0</v>
      </c>
      <c r="AT65" s="1804">
        <v>0</v>
      </c>
      <c r="AU65" s="1804">
        <v>0</v>
      </c>
      <c r="AV65" s="1804">
        <v>0</v>
      </c>
      <c r="AW65" s="1804">
        <v>0</v>
      </c>
      <c r="AX65" s="1804">
        <v>0</v>
      </c>
      <c r="AY65" s="1804">
        <v>0</v>
      </c>
      <c r="AZ65" s="1804">
        <v>0</v>
      </c>
      <c r="BA65" s="1804">
        <v>0</v>
      </c>
      <c r="BB65" s="1804">
        <v>0</v>
      </c>
      <c r="BC65" s="1804">
        <v>0</v>
      </c>
      <c r="BD65" s="1804">
        <v>0</v>
      </c>
      <c r="BE65" s="1804">
        <v>0</v>
      </c>
      <c r="BF65" s="1804">
        <v>0</v>
      </c>
      <c r="BG65" s="1804">
        <v>0</v>
      </c>
      <c r="BH65" s="1804">
        <v>0</v>
      </c>
      <c r="BI65" s="1804">
        <v>0</v>
      </c>
      <c r="BJ65" s="1804">
        <v>0</v>
      </c>
      <c r="BK65" s="1804">
        <v>0</v>
      </c>
      <c r="BL65" s="1804">
        <v>0</v>
      </c>
      <c r="BM65" s="1804">
        <v>0</v>
      </c>
      <c r="BN65" s="1804">
        <v>0</v>
      </c>
      <c r="BO65" s="1804">
        <v>0</v>
      </c>
      <c r="BP65" s="1804">
        <v>0</v>
      </c>
      <c r="BQ65" s="1804">
        <v>0</v>
      </c>
      <c r="BR65" s="1804">
        <v>0</v>
      </c>
      <c r="BS65" s="1804">
        <v>0</v>
      </c>
      <c r="BT65" s="1804">
        <v>0</v>
      </c>
      <c r="BU65" s="1804">
        <v>0</v>
      </c>
      <c r="BV65" s="1804">
        <v>0</v>
      </c>
      <c r="BW65" s="1804">
        <v>0</v>
      </c>
      <c r="BX65" s="1804">
        <v>0</v>
      </c>
      <c r="BY65" s="1804">
        <v>0</v>
      </c>
      <c r="BZ65" s="1804">
        <v>0</v>
      </c>
      <c r="CA65" s="1804">
        <v>0</v>
      </c>
      <c r="CB65" s="1804">
        <v>0</v>
      </c>
      <c r="CC65" s="1804">
        <v>0</v>
      </c>
      <c r="CD65" s="1804">
        <v>0</v>
      </c>
      <c r="CE65" s="1804">
        <v>0</v>
      </c>
      <c r="CF65" s="1804">
        <v>0</v>
      </c>
      <c r="CG65" s="1804">
        <v>0</v>
      </c>
      <c r="CH65" s="1804">
        <v>0</v>
      </c>
      <c r="CI65" s="1804">
        <v>0</v>
      </c>
      <c r="CJ65" s="1804">
        <v>0</v>
      </c>
      <c r="CK65" s="1804">
        <v>0</v>
      </c>
      <c r="CL65" s="1804">
        <v>0</v>
      </c>
      <c r="CM65" s="1804">
        <v>0</v>
      </c>
      <c r="CN65" s="1804">
        <v>0</v>
      </c>
      <c r="CO65" s="1804">
        <v>0</v>
      </c>
      <c r="CP65" s="1804">
        <v>0</v>
      </c>
      <c r="CQ65" s="1804">
        <v>0</v>
      </c>
      <c r="CR65" s="1804">
        <v>0</v>
      </c>
      <c r="CS65" s="1804">
        <v>0</v>
      </c>
      <c r="CT65" s="1804">
        <v>0</v>
      </c>
      <c r="CU65" s="1804">
        <v>0</v>
      </c>
      <c r="CV65" s="1804">
        <v>0</v>
      </c>
      <c r="CW65" s="1804">
        <v>0</v>
      </c>
      <c r="CX65" s="1804">
        <v>0</v>
      </c>
      <c r="CY65" s="1804">
        <v>0</v>
      </c>
      <c r="CZ65" s="1804">
        <v>0</v>
      </c>
      <c r="DA65" s="1804">
        <v>0</v>
      </c>
      <c r="DB65" s="1804">
        <v>0</v>
      </c>
      <c r="DC65" s="1804">
        <v>0</v>
      </c>
      <c r="DD65" s="1804">
        <v>0</v>
      </c>
      <c r="DE65" s="1804">
        <v>0</v>
      </c>
      <c r="DF65" s="1804">
        <v>0</v>
      </c>
      <c r="DG65" s="1804">
        <v>0</v>
      </c>
      <c r="DH65" s="1804">
        <v>0</v>
      </c>
      <c r="DI65" s="1804">
        <v>0</v>
      </c>
      <c r="DJ65" s="1804">
        <v>0</v>
      </c>
      <c r="DK65" s="1804">
        <v>0</v>
      </c>
      <c r="DL65" s="1804">
        <v>0</v>
      </c>
      <c r="DM65" s="1804">
        <v>0</v>
      </c>
      <c r="DN65" s="1804">
        <v>0</v>
      </c>
      <c r="DO65" s="1804">
        <v>0</v>
      </c>
      <c r="DP65" s="1804">
        <v>0</v>
      </c>
      <c r="DQ65" s="1804">
        <v>0</v>
      </c>
      <c r="DR65" s="1804">
        <v>0</v>
      </c>
      <c r="DS65" s="1804">
        <v>0</v>
      </c>
      <c r="DT65" s="1804">
        <v>0</v>
      </c>
      <c r="DU65" s="1804">
        <v>0</v>
      </c>
      <c r="DV65" s="1804">
        <v>0</v>
      </c>
      <c r="DW65" s="1804">
        <v>0</v>
      </c>
      <c r="DX65" s="1804">
        <v>0</v>
      </c>
      <c r="DY65" s="1804">
        <v>0</v>
      </c>
      <c r="DZ65" s="1804">
        <v>0</v>
      </c>
      <c r="EA65" s="1804">
        <v>0</v>
      </c>
      <c r="EB65" s="1804">
        <v>0</v>
      </c>
      <c r="EC65" s="1804">
        <v>0</v>
      </c>
      <c r="ED65" s="1804">
        <v>0</v>
      </c>
      <c r="EE65" s="1804">
        <v>0</v>
      </c>
      <c r="EF65" s="1804">
        <v>0</v>
      </c>
      <c r="EG65" s="1804">
        <v>0</v>
      </c>
      <c r="EH65" s="1804">
        <v>0</v>
      </c>
      <c r="EI65" s="1804">
        <v>0</v>
      </c>
      <c r="EJ65" s="1804">
        <v>0</v>
      </c>
      <c r="EK65" s="1804">
        <v>0</v>
      </c>
      <c r="EL65" s="1804">
        <v>0</v>
      </c>
      <c r="EM65" s="1804">
        <v>0</v>
      </c>
      <c r="EN65" s="1804">
        <v>0</v>
      </c>
      <c r="EO65" s="1804">
        <v>0</v>
      </c>
      <c r="EP65" s="1804">
        <v>0</v>
      </c>
      <c r="EQ65" s="1804">
        <v>0</v>
      </c>
      <c r="ER65" s="1804">
        <v>0</v>
      </c>
      <c r="ES65" s="1804">
        <v>0</v>
      </c>
      <c r="ET65" s="1804">
        <v>0</v>
      </c>
      <c r="EU65" s="1804">
        <v>0</v>
      </c>
      <c r="EV65" s="1804">
        <v>0</v>
      </c>
      <c r="EW65" s="1804">
        <v>0</v>
      </c>
      <c r="EX65" s="1804">
        <v>0</v>
      </c>
      <c r="EY65" s="1804">
        <v>0</v>
      </c>
      <c r="EZ65" s="1804">
        <v>0</v>
      </c>
      <c r="FA65" s="1804">
        <v>0</v>
      </c>
      <c r="FB65" s="1804">
        <v>0</v>
      </c>
      <c r="FC65" s="1804">
        <v>0</v>
      </c>
      <c r="FD65" s="1804">
        <v>0</v>
      </c>
      <c r="FE65" s="1804">
        <v>0</v>
      </c>
      <c r="FF65" s="1804">
        <v>0</v>
      </c>
      <c r="FG65" s="1804">
        <v>0</v>
      </c>
      <c r="FH65" s="1804">
        <v>0</v>
      </c>
      <c r="FI65" s="1804">
        <v>0</v>
      </c>
      <c r="FJ65" s="1804">
        <v>0</v>
      </c>
      <c r="FK65" s="1804">
        <v>0</v>
      </c>
      <c r="FL65" s="1804">
        <v>0</v>
      </c>
      <c r="FM65" s="1804">
        <v>0</v>
      </c>
      <c r="FN65" s="1804">
        <v>0</v>
      </c>
      <c r="FO65" s="1804">
        <v>0</v>
      </c>
      <c r="FP65" s="1804">
        <v>0</v>
      </c>
      <c r="FQ65" s="1804">
        <v>0</v>
      </c>
      <c r="FR65" s="1804">
        <v>0</v>
      </c>
      <c r="FS65" s="1804">
        <v>0</v>
      </c>
      <c r="FT65" s="1804">
        <v>0</v>
      </c>
      <c r="FU65" s="1804">
        <v>0</v>
      </c>
      <c r="FV65" s="1804">
        <v>0</v>
      </c>
      <c r="FW65" s="1804">
        <v>0</v>
      </c>
      <c r="FX65" s="1804">
        <v>0</v>
      </c>
      <c r="FY65" s="1804">
        <v>0</v>
      </c>
      <c r="FZ65" s="1804">
        <v>0</v>
      </c>
      <c r="GA65" s="1804">
        <v>0</v>
      </c>
      <c r="GB65" s="1804">
        <v>0</v>
      </c>
      <c r="GC65" s="1804">
        <v>0</v>
      </c>
      <c r="GD65" s="1804">
        <v>0</v>
      </c>
      <c r="GE65" s="1804">
        <v>0</v>
      </c>
      <c r="GF65" s="1804">
        <v>0</v>
      </c>
      <c r="GG65" s="1804">
        <v>0</v>
      </c>
      <c r="GH65" s="1804">
        <v>0</v>
      </c>
      <c r="GI65" s="1804">
        <v>0</v>
      </c>
      <c r="GJ65" s="1804">
        <v>0</v>
      </c>
      <c r="GK65" s="1804">
        <v>0</v>
      </c>
      <c r="GL65" s="1804">
        <v>0</v>
      </c>
      <c r="GM65" s="1804">
        <v>0</v>
      </c>
      <c r="GN65" s="1804">
        <v>0</v>
      </c>
      <c r="GO65" s="1804">
        <v>0</v>
      </c>
      <c r="GP65" s="1804">
        <v>0</v>
      </c>
      <c r="GQ65" s="1804">
        <v>0</v>
      </c>
      <c r="GR65" s="1804">
        <v>0</v>
      </c>
      <c r="GS65" s="1804">
        <v>0</v>
      </c>
      <c r="GT65" s="1804">
        <v>0</v>
      </c>
      <c r="GU65" s="1804">
        <v>0</v>
      </c>
      <c r="GV65" s="1804">
        <v>0</v>
      </c>
      <c r="GW65" s="1804">
        <v>0</v>
      </c>
      <c r="GX65" s="1804">
        <v>0</v>
      </c>
      <c r="GY65" s="1804">
        <v>0</v>
      </c>
      <c r="GZ65" s="1804">
        <v>0</v>
      </c>
      <c r="HA65" s="1804">
        <v>0</v>
      </c>
      <c r="HB65" s="1804">
        <v>0</v>
      </c>
      <c r="HC65" s="1804">
        <v>0</v>
      </c>
      <c r="HD65" s="1804">
        <v>0</v>
      </c>
      <c r="HE65" s="1804">
        <v>0</v>
      </c>
    </row>
    <row r="66" spans="1:213" ht="15" customHeight="1" x14ac:dyDescent="0.2">
      <c r="A66" s="1973"/>
      <c r="B66" s="1970"/>
      <c r="C66" s="1816" t="s">
        <v>953</v>
      </c>
      <c r="D66" s="1885"/>
      <c r="E66" s="1983"/>
      <c r="F66" s="1838">
        <v>0</v>
      </c>
      <c r="G66" s="1804">
        <v>0</v>
      </c>
      <c r="H66" s="1804">
        <v>0</v>
      </c>
      <c r="I66" s="1804">
        <v>0</v>
      </c>
      <c r="J66" s="1804">
        <v>0</v>
      </c>
      <c r="K66" s="1804">
        <v>0</v>
      </c>
      <c r="L66" s="1804">
        <v>0</v>
      </c>
      <c r="M66" s="1804">
        <v>0</v>
      </c>
      <c r="N66" s="1804">
        <v>0</v>
      </c>
      <c r="O66" s="1804">
        <v>0</v>
      </c>
      <c r="P66" s="1804">
        <v>0</v>
      </c>
      <c r="Q66" s="1804">
        <v>0</v>
      </c>
      <c r="R66" s="1804">
        <v>0</v>
      </c>
      <c r="S66" s="1804">
        <v>0</v>
      </c>
      <c r="T66" s="1804">
        <v>0</v>
      </c>
      <c r="U66" s="1804">
        <v>0</v>
      </c>
      <c r="V66" s="1804">
        <v>0</v>
      </c>
      <c r="W66" s="1804">
        <v>0</v>
      </c>
      <c r="X66" s="1804">
        <v>0</v>
      </c>
      <c r="Y66" s="1804">
        <v>0</v>
      </c>
      <c r="Z66" s="1804">
        <v>0</v>
      </c>
      <c r="AA66" s="1804">
        <v>0</v>
      </c>
      <c r="AB66" s="1804">
        <v>0</v>
      </c>
      <c r="AC66" s="1804">
        <v>0</v>
      </c>
      <c r="AD66" s="1804">
        <v>0</v>
      </c>
      <c r="AE66" s="1804">
        <v>0</v>
      </c>
      <c r="AF66" s="1804">
        <v>0</v>
      </c>
      <c r="AG66" s="1804">
        <v>0</v>
      </c>
      <c r="AH66" s="1804">
        <v>0</v>
      </c>
      <c r="AI66" s="1804">
        <v>0</v>
      </c>
      <c r="AJ66" s="1804">
        <v>0</v>
      </c>
      <c r="AK66" s="1804">
        <v>0</v>
      </c>
      <c r="AL66" s="1804">
        <v>0</v>
      </c>
      <c r="AM66" s="1804">
        <v>0</v>
      </c>
      <c r="AN66" s="1804">
        <v>0</v>
      </c>
      <c r="AO66" s="1804">
        <v>0</v>
      </c>
      <c r="AP66" s="1804">
        <v>0</v>
      </c>
      <c r="AQ66" s="1804">
        <v>0</v>
      </c>
      <c r="AR66" s="1804">
        <v>0</v>
      </c>
      <c r="AS66" s="1804">
        <v>0</v>
      </c>
      <c r="AT66" s="1804">
        <v>0</v>
      </c>
      <c r="AU66" s="1804">
        <v>0</v>
      </c>
      <c r="AV66" s="1804">
        <v>0</v>
      </c>
      <c r="AW66" s="1804">
        <v>0</v>
      </c>
      <c r="AX66" s="1804">
        <v>0</v>
      </c>
      <c r="AY66" s="1804">
        <v>0</v>
      </c>
      <c r="AZ66" s="1804">
        <v>0</v>
      </c>
      <c r="BA66" s="1804">
        <v>0</v>
      </c>
      <c r="BB66" s="1804">
        <v>0</v>
      </c>
      <c r="BC66" s="1804">
        <v>0</v>
      </c>
      <c r="BD66" s="1804">
        <v>0</v>
      </c>
      <c r="BE66" s="1804">
        <v>0</v>
      </c>
      <c r="BF66" s="1804">
        <v>0</v>
      </c>
      <c r="BG66" s="1804">
        <v>0</v>
      </c>
      <c r="BH66" s="1804">
        <v>0</v>
      </c>
      <c r="BI66" s="1804">
        <v>0</v>
      </c>
      <c r="BJ66" s="1804">
        <v>0</v>
      </c>
      <c r="BK66" s="1804">
        <v>0</v>
      </c>
      <c r="BL66" s="1804">
        <v>0</v>
      </c>
      <c r="BM66" s="1804">
        <v>0</v>
      </c>
      <c r="BN66" s="1804">
        <v>0</v>
      </c>
      <c r="BO66" s="1804">
        <v>0</v>
      </c>
      <c r="BP66" s="1804">
        <v>0</v>
      </c>
      <c r="BQ66" s="1804">
        <v>0</v>
      </c>
      <c r="BR66" s="1804">
        <v>0</v>
      </c>
      <c r="BS66" s="1804">
        <v>0</v>
      </c>
      <c r="BT66" s="1804">
        <v>0</v>
      </c>
      <c r="BU66" s="1804">
        <v>0</v>
      </c>
      <c r="BV66" s="1804">
        <v>0</v>
      </c>
      <c r="BW66" s="1804">
        <v>0</v>
      </c>
      <c r="BX66" s="1804">
        <v>0</v>
      </c>
      <c r="BY66" s="1804">
        <v>0</v>
      </c>
      <c r="BZ66" s="1804">
        <v>0</v>
      </c>
      <c r="CA66" s="1804">
        <v>0</v>
      </c>
      <c r="CB66" s="1804">
        <v>0</v>
      </c>
      <c r="CC66" s="1804">
        <v>0</v>
      </c>
      <c r="CD66" s="1804">
        <v>0</v>
      </c>
      <c r="CE66" s="1804">
        <v>0</v>
      </c>
      <c r="CF66" s="1804">
        <v>0</v>
      </c>
      <c r="CG66" s="1804">
        <v>0</v>
      </c>
      <c r="CH66" s="1804">
        <v>0</v>
      </c>
      <c r="CI66" s="1804">
        <v>0</v>
      </c>
      <c r="CJ66" s="1804">
        <v>0</v>
      </c>
      <c r="CK66" s="1804">
        <v>0</v>
      </c>
      <c r="CL66" s="1804">
        <v>0</v>
      </c>
      <c r="CM66" s="1804">
        <v>0</v>
      </c>
      <c r="CN66" s="1804">
        <v>0</v>
      </c>
      <c r="CO66" s="1804">
        <v>0</v>
      </c>
      <c r="CP66" s="1804">
        <v>0</v>
      </c>
      <c r="CQ66" s="1804">
        <v>0</v>
      </c>
      <c r="CR66" s="1804">
        <v>0</v>
      </c>
      <c r="CS66" s="1804">
        <v>0</v>
      </c>
      <c r="CT66" s="1804">
        <v>0</v>
      </c>
      <c r="CU66" s="1804">
        <v>0</v>
      </c>
      <c r="CV66" s="1804">
        <v>0</v>
      </c>
      <c r="CW66" s="1804">
        <v>0</v>
      </c>
      <c r="CX66" s="1804">
        <v>0</v>
      </c>
      <c r="CY66" s="1804">
        <v>0</v>
      </c>
      <c r="CZ66" s="1804">
        <v>0</v>
      </c>
      <c r="DA66" s="1804">
        <v>0</v>
      </c>
      <c r="DB66" s="1804">
        <v>0</v>
      </c>
      <c r="DC66" s="1804">
        <v>0</v>
      </c>
      <c r="DD66" s="1804">
        <v>0</v>
      </c>
      <c r="DE66" s="1804">
        <v>0</v>
      </c>
      <c r="DF66" s="1804">
        <v>0</v>
      </c>
      <c r="DG66" s="1804">
        <v>0</v>
      </c>
      <c r="DH66" s="1804">
        <v>0</v>
      </c>
      <c r="DI66" s="1804">
        <v>0</v>
      </c>
      <c r="DJ66" s="1804">
        <v>0</v>
      </c>
      <c r="DK66" s="1804">
        <v>0</v>
      </c>
      <c r="DL66" s="1804">
        <v>0</v>
      </c>
      <c r="DM66" s="1804">
        <v>0</v>
      </c>
      <c r="DN66" s="1804">
        <v>0</v>
      </c>
      <c r="DO66" s="1804">
        <v>0</v>
      </c>
      <c r="DP66" s="1804">
        <v>0</v>
      </c>
      <c r="DQ66" s="1804">
        <v>0</v>
      </c>
      <c r="DR66" s="1804">
        <v>0</v>
      </c>
      <c r="DS66" s="1804">
        <v>0</v>
      </c>
      <c r="DT66" s="1804">
        <v>0</v>
      </c>
      <c r="DU66" s="1804">
        <v>0</v>
      </c>
      <c r="DV66" s="1804">
        <v>0</v>
      </c>
      <c r="DW66" s="1804">
        <v>0</v>
      </c>
      <c r="DX66" s="1804">
        <v>0</v>
      </c>
      <c r="DY66" s="1804">
        <v>0</v>
      </c>
      <c r="DZ66" s="1804">
        <v>0</v>
      </c>
      <c r="EA66" s="1804">
        <v>0</v>
      </c>
      <c r="EB66" s="1804">
        <v>0</v>
      </c>
      <c r="EC66" s="1804">
        <v>0</v>
      </c>
      <c r="ED66" s="1804">
        <v>0</v>
      </c>
      <c r="EE66" s="1804">
        <v>0</v>
      </c>
      <c r="EF66" s="1804">
        <v>0</v>
      </c>
      <c r="EG66" s="1804">
        <v>0</v>
      </c>
      <c r="EH66" s="1804">
        <v>0</v>
      </c>
      <c r="EI66" s="1804">
        <v>0</v>
      </c>
      <c r="EJ66" s="1804">
        <v>0</v>
      </c>
      <c r="EK66" s="1804">
        <v>0</v>
      </c>
      <c r="EL66" s="1804">
        <v>0</v>
      </c>
      <c r="EM66" s="1804">
        <v>0</v>
      </c>
      <c r="EN66" s="1804">
        <v>0</v>
      </c>
      <c r="EO66" s="1804">
        <v>0</v>
      </c>
      <c r="EP66" s="1804">
        <v>0</v>
      </c>
      <c r="EQ66" s="1804">
        <v>0</v>
      </c>
      <c r="ER66" s="1804">
        <v>0</v>
      </c>
      <c r="ES66" s="1804">
        <v>0</v>
      </c>
      <c r="ET66" s="1804">
        <v>0</v>
      </c>
      <c r="EU66" s="1804">
        <v>0</v>
      </c>
      <c r="EV66" s="1804">
        <v>0</v>
      </c>
      <c r="EW66" s="1804">
        <v>0</v>
      </c>
      <c r="EX66" s="1804">
        <v>0</v>
      </c>
      <c r="EY66" s="1804">
        <v>0</v>
      </c>
      <c r="EZ66" s="1804">
        <v>0</v>
      </c>
      <c r="FA66" s="1804">
        <v>0</v>
      </c>
      <c r="FB66" s="1804">
        <v>0</v>
      </c>
      <c r="FC66" s="1804">
        <v>0</v>
      </c>
      <c r="FD66" s="1804">
        <v>0</v>
      </c>
      <c r="FE66" s="1804">
        <v>0</v>
      </c>
      <c r="FF66" s="1804">
        <v>0</v>
      </c>
      <c r="FG66" s="1804">
        <v>0</v>
      </c>
      <c r="FH66" s="1804">
        <v>0</v>
      </c>
      <c r="FI66" s="1804">
        <v>0</v>
      </c>
      <c r="FJ66" s="1804">
        <v>0</v>
      </c>
      <c r="FK66" s="1804">
        <v>0</v>
      </c>
      <c r="FL66" s="1804">
        <v>0</v>
      </c>
      <c r="FM66" s="1804">
        <v>0</v>
      </c>
      <c r="FN66" s="1804">
        <v>0</v>
      </c>
      <c r="FO66" s="1804">
        <v>0</v>
      </c>
      <c r="FP66" s="1804">
        <v>0</v>
      </c>
      <c r="FQ66" s="1804">
        <v>0</v>
      </c>
      <c r="FR66" s="1804">
        <v>0</v>
      </c>
      <c r="FS66" s="1804">
        <v>0</v>
      </c>
      <c r="FT66" s="1804">
        <v>0</v>
      </c>
      <c r="FU66" s="1804">
        <v>0</v>
      </c>
      <c r="FV66" s="1804">
        <v>0</v>
      </c>
      <c r="FW66" s="1804">
        <v>0</v>
      </c>
      <c r="FX66" s="1804">
        <v>0</v>
      </c>
      <c r="FY66" s="1804">
        <v>0</v>
      </c>
      <c r="FZ66" s="1804">
        <v>0</v>
      </c>
      <c r="GA66" s="1804">
        <v>0</v>
      </c>
      <c r="GB66" s="1804">
        <v>0</v>
      </c>
      <c r="GC66" s="1804">
        <v>0</v>
      </c>
      <c r="GD66" s="1804">
        <v>0</v>
      </c>
      <c r="GE66" s="1804">
        <v>0</v>
      </c>
      <c r="GF66" s="1804">
        <v>0</v>
      </c>
      <c r="GG66" s="1804">
        <v>0</v>
      </c>
      <c r="GH66" s="1804">
        <v>0</v>
      </c>
      <c r="GI66" s="1804">
        <v>0</v>
      </c>
      <c r="GJ66" s="1804">
        <v>0</v>
      </c>
      <c r="GK66" s="1804">
        <v>0</v>
      </c>
      <c r="GL66" s="1804">
        <v>0</v>
      </c>
      <c r="GM66" s="1804">
        <v>0</v>
      </c>
      <c r="GN66" s="1804">
        <v>0</v>
      </c>
      <c r="GO66" s="1804">
        <v>0</v>
      </c>
      <c r="GP66" s="1804">
        <v>0</v>
      </c>
      <c r="GQ66" s="1804">
        <v>0</v>
      </c>
      <c r="GR66" s="1804">
        <v>0</v>
      </c>
      <c r="GS66" s="1804">
        <v>0</v>
      </c>
      <c r="GT66" s="1804">
        <v>0</v>
      </c>
      <c r="GU66" s="1804">
        <v>0</v>
      </c>
      <c r="GV66" s="1804">
        <v>0</v>
      </c>
      <c r="GW66" s="1804">
        <v>0</v>
      </c>
      <c r="GX66" s="1804">
        <v>0</v>
      </c>
      <c r="GY66" s="1804">
        <v>0</v>
      </c>
      <c r="GZ66" s="1804">
        <v>0</v>
      </c>
      <c r="HA66" s="1804">
        <v>0</v>
      </c>
      <c r="HB66" s="1804">
        <v>0</v>
      </c>
      <c r="HC66" s="1804">
        <v>0</v>
      </c>
      <c r="HD66" s="1804">
        <v>0</v>
      </c>
      <c r="HE66" s="1804">
        <v>0</v>
      </c>
    </row>
    <row r="67" spans="1:213" ht="15" customHeight="1" x14ac:dyDescent="0.2">
      <c r="A67" s="1973"/>
      <c r="B67" s="1970"/>
      <c r="C67" s="1816" t="s">
        <v>954</v>
      </c>
      <c r="D67" s="1885"/>
      <c r="E67" s="1983"/>
      <c r="F67" s="1838">
        <v>0</v>
      </c>
      <c r="G67" s="1804">
        <v>0</v>
      </c>
      <c r="H67" s="1804">
        <v>0</v>
      </c>
      <c r="I67" s="1804">
        <v>0</v>
      </c>
      <c r="J67" s="1804">
        <v>0</v>
      </c>
      <c r="K67" s="1804">
        <v>0</v>
      </c>
      <c r="L67" s="1804">
        <v>0</v>
      </c>
      <c r="M67" s="1804">
        <v>0</v>
      </c>
      <c r="N67" s="1804">
        <v>0</v>
      </c>
      <c r="O67" s="1804">
        <v>0</v>
      </c>
      <c r="P67" s="1804">
        <v>0</v>
      </c>
      <c r="Q67" s="1804">
        <v>0</v>
      </c>
      <c r="R67" s="1804">
        <v>0</v>
      </c>
      <c r="S67" s="1804">
        <v>0</v>
      </c>
      <c r="T67" s="1804">
        <v>0</v>
      </c>
      <c r="U67" s="1804">
        <v>0</v>
      </c>
      <c r="V67" s="1804">
        <v>0</v>
      </c>
      <c r="W67" s="1804">
        <v>0</v>
      </c>
      <c r="X67" s="1804">
        <v>0</v>
      </c>
      <c r="Y67" s="1804">
        <v>0</v>
      </c>
      <c r="Z67" s="1804">
        <v>0</v>
      </c>
      <c r="AA67" s="1804">
        <v>0</v>
      </c>
      <c r="AB67" s="1804">
        <v>0</v>
      </c>
      <c r="AC67" s="1804">
        <v>0</v>
      </c>
      <c r="AD67" s="1804">
        <v>0</v>
      </c>
      <c r="AE67" s="1804">
        <v>0</v>
      </c>
      <c r="AF67" s="1804">
        <v>0</v>
      </c>
      <c r="AG67" s="1804">
        <v>0</v>
      </c>
      <c r="AH67" s="1804">
        <v>0</v>
      </c>
      <c r="AI67" s="1804">
        <v>0</v>
      </c>
      <c r="AJ67" s="1804">
        <v>0</v>
      </c>
      <c r="AK67" s="1804">
        <v>0</v>
      </c>
      <c r="AL67" s="1804">
        <v>0</v>
      </c>
      <c r="AM67" s="1804">
        <v>0</v>
      </c>
      <c r="AN67" s="1804">
        <v>0</v>
      </c>
      <c r="AO67" s="1804">
        <v>0</v>
      </c>
      <c r="AP67" s="1804">
        <v>0</v>
      </c>
      <c r="AQ67" s="1804">
        <v>0</v>
      </c>
      <c r="AR67" s="1804">
        <v>0</v>
      </c>
      <c r="AS67" s="1804">
        <v>0</v>
      </c>
      <c r="AT67" s="1804">
        <v>0</v>
      </c>
      <c r="AU67" s="1804">
        <v>0</v>
      </c>
      <c r="AV67" s="1804">
        <v>0</v>
      </c>
      <c r="AW67" s="1804">
        <v>0</v>
      </c>
      <c r="AX67" s="1804">
        <v>0</v>
      </c>
      <c r="AY67" s="1804">
        <v>0</v>
      </c>
      <c r="AZ67" s="1804">
        <v>0</v>
      </c>
      <c r="BA67" s="1804">
        <v>0</v>
      </c>
      <c r="BB67" s="1804">
        <v>0</v>
      </c>
      <c r="BC67" s="1804">
        <v>0</v>
      </c>
      <c r="BD67" s="1804">
        <v>0</v>
      </c>
      <c r="BE67" s="1804">
        <v>0</v>
      </c>
      <c r="BF67" s="1804">
        <v>0</v>
      </c>
      <c r="BG67" s="1804">
        <v>0</v>
      </c>
      <c r="BH67" s="1804">
        <v>0</v>
      </c>
      <c r="BI67" s="1804">
        <v>0</v>
      </c>
      <c r="BJ67" s="1804">
        <v>0</v>
      </c>
      <c r="BK67" s="1804">
        <v>0</v>
      </c>
      <c r="BL67" s="1804">
        <v>0</v>
      </c>
      <c r="BM67" s="1804">
        <v>0</v>
      </c>
      <c r="BN67" s="1804">
        <v>0</v>
      </c>
      <c r="BO67" s="1804">
        <v>0</v>
      </c>
      <c r="BP67" s="1804">
        <v>0</v>
      </c>
      <c r="BQ67" s="1804">
        <v>0</v>
      </c>
      <c r="BR67" s="1804">
        <v>0</v>
      </c>
      <c r="BS67" s="1804">
        <v>0</v>
      </c>
      <c r="BT67" s="1804">
        <v>0</v>
      </c>
      <c r="BU67" s="1804">
        <v>0</v>
      </c>
      <c r="BV67" s="1804">
        <v>0</v>
      </c>
      <c r="BW67" s="1804">
        <v>0</v>
      </c>
      <c r="BX67" s="1804">
        <v>0</v>
      </c>
      <c r="BY67" s="1804">
        <v>0</v>
      </c>
      <c r="BZ67" s="1804">
        <v>0</v>
      </c>
      <c r="CA67" s="1804">
        <v>0</v>
      </c>
      <c r="CB67" s="1804">
        <v>0</v>
      </c>
      <c r="CC67" s="1804">
        <v>0</v>
      </c>
      <c r="CD67" s="1804">
        <v>0</v>
      </c>
      <c r="CE67" s="1804">
        <v>0</v>
      </c>
      <c r="CF67" s="1804">
        <v>0</v>
      </c>
      <c r="CG67" s="1804">
        <v>0</v>
      </c>
      <c r="CH67" s="1804">
        <v>0</v>
      </c>
      <c r="CI67" s="1804">
        <v>0</v>
      </c>
      <c r="CJ67" s="1804">
        <v>0</v>
      </c>
      <c r="CK67" s="1804">
        <v>0</v>
      </c>
      <c r="CL67" s="1804">
        <v>0</v>
      </c>
      <c r="CM67" s="1804">
        <v>0</v>
      </c>
      <c r="CN67" s="1804">
        <v>0</v>
      </c>
      <c r="CO67" s="1804">
        <v>0</v>
      </c>
      <c r="CP67" s="1804">
        <v>0</v>
      </c>
      <c r="CQ67" s="1804">
        <v>0</v>
      </c>
      <c r="CR67" s="1804">
        <v>0</v>
      </c>
      <c r="CS67" s="1804">
        <v>0</v>
      </c>
      <c r="CT67" s="1804">
        <v>0</v>
      </c>
      <c r="CU67" s="1804">
        <v>0</v>
      </c>
      <c r="CV67" s="1804">
        <v>0</v>
      </c>
      <c r="CW67" s="1804">
        <v>0</v>
      </c>
      <c r="CX67" s="1804">
        <v>0</v>
      </c>
      <c r="CY67" s="1804">
        <v>0</v>
      </c>
      <c r="CZ67" s="1804">
        <v>0</v>
      </c>
      <c r="DA67" s="1804">
        <v>0</v>
      </c>
      <c r="DB67" s="1804">
        <v>0</v>
      </c>
      <c r="DC67" s="1804">
        <v>0</v>
      </c>
      <c r="DD67" s="1804">
        <v>0</v>
      </c>
      <c r="DE67" s="1804">
        <v>0</v>
      </c>
      <c r="DF67" s="1804">
        <v>0</v>
      </c>
      <c r="DG67" s="1804">
        <v>0</v>
      </c>
      <c r="DH67" s="1804">
        <v>0</v>
      </c>
      <c r="DI67" s="1804">
        <v>0</v>
      </c>
      <c r="DJ67" s="1804">
        <v>0</v>
      </c>
      <c r="DK67" s="1804">
        <v>0</v>
      </c>
      <c r="DL67" s="1804">
        <v>0</v>
      </c>
      <c r="DM67" s="1804">
        <v>0</v>
      </c>
      <c r="DN67" s="1804">
        <v>0</v>
      </c>
      <c r="DO67" s="1804">
        <v>0</v>
      </c>
      <c r="DP67" s="1804">
        <v>0</v>
      </c>
      <c r="DQ67" s="1804">
        <v>0</v>
      </c>
      <c r="DR67" s="1804">
        <v>0</v>
      </c>
      <c r="DS67" s="1804">
        <v>0</v>
      </c>
      <c r="DT67" s="1804">
        <v>0</v>
      </c>
      <c r="DU67" s="1804">
        <v>0</v>
      </c>
      <c r="DV67" s="1804">
        <v>0</v>
      </c>
      <c r="DW67" s="1804">
        <v>0</v>
      </c>
      <c r="DX67" s="1804">
        <v>0</v>
      </c>
      <c r="DY67" s="1804">
        <v>0</v>
      </c>
      <c r="DZ67" s="1804">
        <v>0</v>
      </c>
      <c r="EA67" s="1804">
        <v>0</v>
      </c>
      <c r="EB67" s="1804">
        <v>0</v>
      </c>
      <c r="EC67" s="1804">
        <v>0</v>
      </c>
      <c r="ED67" s="1804">
        <v>0</v>
      </c>
      <c r="EE67" s="1804">
        <v>0</v>
      </c>
      <c r="EF67" s="1804">
        <v>0</v>
      </c>
      <c r="EG67" s="1804">
        <v>0</v>
      </c>
      <c r="EH67" s="1804">
        <v>0</v>
      </c>
      <c r="EI67" s="1804">
        <v>0</v>
      </c>
      <c r="EJ67" s="1804">
        <v>0</v>
      </c>
      <c r="EK67" s="1804">
        <v>0</v>
      </c>
      <c r="EL67" s="1804">
        <v>0</v>
      </c>
      <c r="EM67" s="1804">
        <v>0</v>
      </c>
      <c r="EN67" s="1804">
        <v>0</v>
      </c>
      <c r="EO67" s="1804">
        <v>0</v>
      </c>
      <c r="EP67" s="1804">
        <v>0</v>
      </c>
      <c r="EQ67" s="1804">
        <v>0</v>
      </c>
      <c r="ER67" s="1804">
        <v>0</v>
      </c>
      <c r="ES67" s="1804">
        <v>0</v>
      </c>
      <c r="ET67" s="1804">
        <v>0</v>
      </c>
      <c r="EU67" s="1804">
        <v>0</v>
      </c>
      <c r="EV67" s="1804">
        <v>0</v>
      </c>
      <c r="EW67" s="1804">
        <v>0</v>
      </c>
      <c r="EX67" s="1804">
        <v>0</v>
      </c>
      <c r="EY67" s="1804">
        <v>0</v>
      </c>
      <c r="EZ67" s="1804">
        <v>0</v>
      </c>
      <c r="FA67" s="1804">
        <v>0</v>
      </c>
      <c r="FB67" s="1804">
        <v>0</v>
      </c>
      <c r="FC67" s="1804">
        <v>0</v>
      </c>
      <c r="FD67" s="1804">
        <v>0</v>
      </c>
      <c r="FE67" s="1804">
        <v>0</v>
      </c>
      <c r="FF67" s="1804">
        <v>0</v>
      </c>
      <c r="FG67" s="1804">
        <v>0</v>
      </c>
      <c r="FH67" s="1804">
        <v>0</v>
      </c>
      <c r="FI67" s="1804">
        <v>0</v>
      </c>
      <c r="FJ67" s="1804">
        <v>0</v>
      </c>
      <c r="FK67" s="1804">
        <v>0</v>
      </c>
      <c r="FL67" s="1804">
        <v>0</v>
      </c>
      <c r="FM67" s="1804">
        <v>0</v>
      </c>
      <c r="FN67" s="1804">
        <v>0</v>
      </c>
      <c r="FO67" s="1804">
        <v>0</v>
      </c>
      <c r="FP67" s="1804">
        <v>0</v>
      </c>
      <c r="FQ67" s="1804">
        <v>0</v>
      </c>
      <c r="FR67" s="1804">
        <v>0</v>
      </c>
      <c r="FS67" s="1804">
        <v>0</v>
      </c>
      <c r="FT67" s="1804">
        <v>0</v>
      </c>
      <c r="FU67" s="1804">
        <v>0</v>
      </c>
      <c r="FV67" s="1804">
        <v>0</v>
      </c>
      <c r="FW67" s="1804">
        <v>0</v>
      </c>
      <c r="FX67" s="1804">
        <v>0</v>
      </c>
      <c r="FY67" s="1804">
        <v>0</v>
      </c>
      <c r="FZ67" s="1804">
        <v>0</v>
      </c>
      <c r="GA67" s="1804">
        <v>0</v>
      </c>
      <c r="GB67" s="1804">
        <v>0</v>
      </c>
      <c r="GC67" s="1804">
        <v>0</v>
      </c>
      <c r="GD67" s="1804">
        <v>0</v>
      </c>
      <c r="GE67" s="1804">
        <v>0</v>
      </c>
      <c r="GF67" s="1804">
        <v>0</v>
      </c>
      <c r="GG67" s="1804">
        <v>0</v>
      </c>
      <c r="GH67" s="1804">
        <v>0</v>
      </c>
      <c r="GI67" s="1804">
        <v>0</v>
      </c>
      <c r="GJ67" s="1804">
        <v>0</v>
      </c>
      <c r="GK67" s="1804">
        <v>0</v>
      </c>
      <c r="GL67" s="1804">
        <v>0</v>
      </c>
      <c r="GM67" s="1804">
        <v>0</v>
      </c>
      <c r="GN67" s="1804">
        <v>0</v>
      </c>
      <c r="GO67" s="1804">
        <v>0</v>
      </c>
      <c r="GP67" s="1804">
        <v>0</v>
      </c>
      <c r="GQ67" s="1804">
        <v>0</v>
      </c>
      <c r="GR67" s="1804">
        <v>0</v>
      </c>
      <c r="GS67" s="1804">
        <v>0</v>
      </c>
      <c r="GT67" s="1804">
        <v>0</v>
      </c>
      <c r="GU67" s="1804">
        <v>0</v>
      </c>
      <c r="GV67" s="1804">
        <v>0</v>
      </c>
      <c r="GW67" s="1804">
        <v>0</v>
      </c>
      <c r="GX67" s="1804">
        <v>0</v>
      </c>
      <c r="GY67" s="1804">
        <v>0</v>
      </c>
      <c r="GZ67" s="1804">
        <v>0</v>
      </c>
      <c r="HA67" s="1804">
        <v>0</v>
      </c>
      <c r="HB67" s="1804">
        <v>0</v>
      </c>
      <c r="HC67" s="1804">
        <v>0</v>
      </c>
      <c r="HD67" s="1804">
        <v>0</v>
      </c>
      <c r="HE67" s="1804">
        <v>0</v>
      </c>
    </row>
    <row r="68" spans="1:213" ht="15" customHeight="1" x14ac:dyDescent="0.2">
      <c r="A68" s="1973"/>
      <c r="B68" s="1970"/>
      <c r="C68" s="1816" t="s">
        <v>955</v>
      </c>
      <c r="D68" s="1885"/>
      <c r="E68" s="1983"/>
      <c r="F68" s="1838">
        <v>0</v>
      </c>
      <c r="G68" s="1804">
        <v>0</v>
      </c>
      <c r="H68" s="1804">
        <v>0</v>
      </c>
      <c r="I68" s="1804">
        <v>0</v>
      </c>
      <c r="J68" s="1804">
        <v>0</v>
      </c>
      <c r="K68" s="1804">
        <v>0</v>
      </c>
      <c r="L68" s="1804">
        <v>0</v>
      </c>
      <c r="M68" s="1804">
        <v>0</v>
      </c>
      <c r="N68" s="1804">
        <v>0</v>
      </c>
      <c r="O68" s="1804">
        <v>0</v>
      </c>
      <c r="P68" s="1804">
        <v>0</v>
      </c>
      <c r="Q68" s="1804">
        <v>0</v>
      </c>
      <c r="R68" s="1804">
        <v>0</v>
      </c>
      <c r="S68" s="1804">
        <v>0</v>
      </c>
      <c r="T68" s="1804">
        <v>0</v>
      </c>
      <c r="U68" s="1804">
        <v>0</v>
      </c>
      <c r="V68" s="1804">
        <v>0</v>
      </c>
      <c r="W68" s="1804">
        <v>0</v>
      </c>
      <c r="X68" s="1804">
        <v>0</v>
      </c>
      <c r="Y68" s="1804">
        <v>0</v>
      </c>
      <c r="Z68" s="1804">
        <v>0</v>
      </c>
      <c r="AA68" s="1804">
        <v>0</v>
      </c>
      <c r="AB68" s="1804">
        <v>0</v>
      </c>
      <c r="AC68" s="1804">
        <v>0</v>
      </c>
      <c r="AD68" s="1804">
        <v>0</v>
      </c>
      <c r="AE68" s="1804">
        <v>0</v>
      </c>
      <c r="AF68" s="1804">
        <v>0</v>
      </c>
      <c r="AG68" s="1804">
        <v>0</v>
      </c>
      <c r="AH68" s="1804">
        <v>0</v>
      </c>
      <c r="AI68" s="1804">
        <v>0</v>
      </c>
      <c r="AJ68" s="1804">
        <v>0</v>
      </c>
      <c r="AK68" s="1804">
        <v>0</v>
      </c>
      <c r="AL68" s="1804">
        <v>0</v>
      </c>
      <c r="AM68" s="1804">
        <v>0</v>
      </c>
      <c r="AN68" s="1804">
        <v>0</v>
      </c>
      <c r="AO68" s="1804">
        <v>0</v>
      </c>
      <c r="AP68" s="1804">
        <v>0</v>
      </c>
      <c r="AQ68" s="1804">
        <v>0</v>
      </c>
      <c r="AR68" s="1804">
        <v>0</v>
      </c>
      <c r="AS68" s="1804">
        <v>0</v>
      </c>
      <c r="AT68" s="1804">
        <v>0</v>
      </c>
      <c r="AU68" s="1804">
        <v>0</v>
      </c>
      <c r="AV68" s="1804">
        <v>0</v>
      </c>
      <c r="AW68" s="1804">
        <v>0</v>
      </c>
      <c r="AX68" s="1804">
        <v>0</v>
      </c>
      <c r="AY68" s="1804">
        <v>0</v>
      </c>
      <c r="AZ68" s="1804">
        <v>0</v>
      </c>
      <c r="BA68" s="1804">
        <v>0</v>
      </c>
      <c r="BB68" s="1804">
        <v>0</v>
      </c>
      <c r="BC68" s="1804">
        <v>0</v>
      </c>
      <c r="BD68" s="1804">
        <v>0</v>
      </c>
      <c r="BE68" s="1804">
        <v>0</v>
      </c>
      <c r="BF68" s="1804">
        <v>0</v>
      </c>
      <c r="BG68" s="1804">
        <v>0</v>
      </c>
      <c r="BH68" s="1804">
        <v>0</v>
      </c>
      <c r="BI68" s="1804">
        <v>0</v>
      </c>
      <c r="BJ68" s="1804">
        <v>0</v>
      </c>
      <c r="BK68" s="1804">
        <v>0</v>
      </c>
      <c r="BL68" s="1804">
        <v>0</v>
      </c>
      <c r="BM68" s="1804">
        <v>0</v>
      </c>
      <c r="BN68" s="1804">
        <v>0</v>
      </c>
      <c r="BO68" s="1804">
        <v>0</v>
      </c>
      <c r="BP68" s="1804">
        <v>0</v>
      </c>
      <c r="BQ68" s="1804">
        <v>0</v>
      </c>
      <c r="BR68" s="1804">
        <v>0</v>
      </c>
      <c r="BS68" s="1804">
        <v>0</v>
      </c>
      <c r="BT68" s="1804">
        <v>0</v>
      </c>
      <c r="BU68" s="1804">
        <v>0</v>
      </c>
      <c r="BV68" s="1804">
        <v>0</v>
      </c>
      <c r="BW68" s="1804">
        <v>0</v>
      </c>
      <c r="BX68" s="1804">
        <v>0</v>
      </c>
      <c r="BY68" s="1804">
        <v>0</v>
      </c>
      <c r="BZ68" s="1804">
        <v>0</v>
      </c>
      <c r="CA68" s="1804">
        <v>0</v>
      </c>
      <c r="CB68" s="1804">
        <v>0</v>
      </c>
      <c r="CC68" s="1804">
        <v>0</v>
      </c>
      <c r="CD68" s="1804">
        <v>0</v>
      </c>
      <c r="CE68" s="1804">
        <v>0</v>
      </c>
      <c r="CF68" s="1804">
        <v>0</v>
      </c>
      <c r="CG68" s="1804">
        <v>0</v>
      </c>
      <c r="CH68" s="1804">
        <v>0</v>
      </c>
      <c r="CI68" s="1804">
        <v>0</v>
      </c>
      <c r="CJ68" s="1804">
        <v>0</v>
      </c>
      <c r="CK68" s="1804">
        <v>0</v>
      </c>
      <c r="CL68" s="1804">
        <v>0</v>
      </c>
      <c r="CM68" s="1804">
        <v>0</v>
      </c>
      <c r="CN68" s="1804">
        <v>0</v>
      </c>
      <c r="CO68" s="1804">
        <v>0</v>
      </c>
      <c r="CP68" s="1804">
        <v>0</v>
      </c>
      <c r="CQ68" s="1804">
        <v>0</v>
      </c>
      <c r="CR68" s="1804">
        <v>0</v>
      </c>
      <c r="CS68" s="1804">
        <v>0</v>
      </c>
      <c r="CT68" s="1804">
        <v>0</v>
      </c>
      <c r="CU68" s="1804">
        <v>0</v>
      </c>
      <c r="CV68" s="1804">
        <v>0</v>
      </c>
      <c r="CW68" s="1804">
        <v>0</v>
      </c>
      <c r="CX68" s="1804">
        <v>0</v>
      </c>
      <c r="CY68" s="1804">
        <v>0</v>
      </c>
      <c r="CZ68" s="1804">
        <v>0</v>
      </c>
      <c r="DA68" s="1804">
        <v>0</v>
      </c>
      <c r="DB68" s="1804">
        <v>0</v>
      </c>
      <c r="DC68" s="1804">
        <v>0</v>
      </c>
      <c r="DD68" s="1804">
        <v>0</v>
      </c>
      <c r="DE68" s="1804">
        <v>0</v>
      </c>
      <c r="DF68" s="1804">
        <v>0</v>
      </c>
      <c r="DG68" s="1804">
        <v>0</v>
      </c>
      <c r="DH68" s="1804">
        <v>0</v>
      </c>
      <c r="DI68" s="1804">
        <v>0</v>
      </c>
      <c r="DJ68" s="1804">
        <v>0</v>
      </c>
      <c r="DK68" s="1804">
        <v>0</v>
      </c>
      <c r="DL68" s="1804">
        <v>0</v>
      </c>
      <c r="DM68" s="1804">
        <v>0</v>
      </c>
      <c r="DN68" s="1804">
        <v>0</v>
      </c>
      <c r="DO68" s="1804">
        <v>0</v>
      </c>
      <c r="DP68" s="1804">
        <v>0</v>
      </c>
      <c r="DQ68" s="1804">
        <v>0</v>
      </c>
      <c r="DR68" s="1804">
        <v>0</v>
      </c>
      <c r="DS68" s="1804">
        <v>0</v>
      </c>
      <c r="DT68" s="1804">
        <v>0</v>
      </c>
      <c r="DU68" s="1804">
        <v>0</v>
      </c>
      <c r="DV68" s="1804">
        <v>0</v>
      </c>
      <c r="DW68" s="1804">
        <v>0</v>
      </c>
      <c r="DX68" s="1804">
        <v>0</v>
      </c>
      <c r="DY68" s="1804">
        <v>0</v>
      </c>
      <c r="DZ68" s="1804">
        <v>0</v>
      </c>
      <c r="EA68" s="1804">
        <v>0</v>
      </c>
      <c r="EB68" s="1804">
        <v>0</v>
      </c>
      <c r="EC68" s="1804">
        <v>0</v>
      </c>
      <c r="ED68" s="1804">
        <v>0</v>
      </c>
      <c r="EE68" s="1804">
        <v>0</v>
      </c>
      <c r="EF68" s="1804">
        <v>0</v>
      </c>
      <c r="EG68" s="1804">
        <v>0</v>
      </c>
      <c r="EH68" s="1804">
        <v>0</v>
      </c>
      <c r="EI68" s="1804">
        <v>0</v>
      </c>
      <c r="EJ68" s="1804">
        <v>0</v>
      </c>
      <c r="EK68" s="1804">
        <v>0</v>
      </c>
      <c r="EL68" s="1804">
        <v>0</v>
      </c>
      <c r="EM68" s="1804">
        <v>0</v>
      </c>
      <c r="EN68" s="1804">
        <v>0</v>
      </c>
      <c r="EO68" s="1804">
        <v>0</v>
      </c>
      <c r="EP68" s="1804">
        <v>0</v>
      </c>
      <c r="EQ68" s="1804">
        <v>0</v>
      </c>
      <c r="ER68" s="1804">
        <v>0</v>
      </c>
      <c r="ES68" s="1804">
        <v>0</v>
      </c>
      <c r="ET68" s="1804">
        <v>0</v>
      </c>
      <c r="EU68" s="1804">
        <v>0</v>
      </c>
      <c r="EV68" s="1804">
        <v>0</v>
      </c>
      <c r="EW68" s="1804">
        <v>0</v>
      </c>
      <c r="EX68" s="1804">
        <v>0</v>
      </c>
      <c r="EY68" s="1804">
        <v>0</v>
      </c>
      <c r="EZ68" s="1804">
        <v>0</v>
      </c>
      <c r="FA68" s="1804">
        <v>0</v>
      </c>
      <c r="FB68" s="1804">
        <v>0</v>
      </c>
      <c r="FC68" s="1804">
        <v>0</v>
      </c>
      <c r="FD68" s="1804">
        <v>0</v>
      </c>
      <c r="FE68" s="1804">
        <v>0</v>
      </c>
      <c r="FF68" s="1804">
        <v>0</v>
      </c>
      <c r="FG68" s="1804">
        <v>0</v>
      </c>
      <c r="FH68" s="1804">
        <v>0</v>
      </c>
      <c r="FI68" s="1804">
        <v>0</v>
      </c>
      <c r="FJ68" s="1804">
        <v>0</v>
      </c>
      <c r="FK68" s="1804">
        <v>0</v>
      </c>
      <c r="FL68" s="1804">
        <v>0</v>
      </c>
      <c r="FM68" s="1804">
        <v>0</v>
      </c>
      <c r="FN68" s="1804">
        <v>0</v>
      </c>
      <c r="FO68" s="1804">
        <v>0</v>
      </c>
      <c r="FP68" s="1804">
        <v>0</v>
      </c>
      <c r="FQ68" s="1804">
        <v>0</v>
      </c>
      <c r="FR68" s="1804">
        <v>0</v>
      </c>
      <c r="FS68" s="1804">
        <v>0</v>
      </c>
      <c r="FT68" s="1804">
        <v>0</v>
      </c>
      <c r="FU68" s="1804">
        <v>0</v>
      </c>
      <c r="FV68" s="1804">
        <v>0</v>
      </c>
      <c r="FW68" s="1804">
        <v>0</v>
      </c>
      <c r="FX68" s="1804">
        <v>0</v>
      </c>
      <c r="FY68" s="1804">
        <v>0</v>
      </c>
      <c r="FZ68" s="1804">
        <v>0</v>
      </c>
      <c r="GA68" s="1804">
        <v>0</v>
      </c>
      <c r="GB68" s="1804">
        <v>0</v>
      </c>
      <c r="GC68" s="1804">
        <v>0</v>
      </c>
      <c r="GD68" s="1804">
        <v>0</v>
      </c>
      <c r="GE68" s="1804">
        <v>0</v>
      </c>
      <c r="GF68" s="1804">
        <v>0</v>
      </c>
      <c r="GG68" s="1804">
        <v>0</v>
      </c>
      <c r="GH68" s="1804">
        <v>0</v>
      </c>
      <c r="GI68" s="1804">
        <v>0</v>
      </c>
      <c r="GJ68" s="1804">
        <v>0</v>
      </c>
      <c r="GK68" s="1804">
        <v>0</v>
      </c>
      <c r="GL68" s="1804">
        <v>0</v>
      </c>
      <c r="GM68" s="1804">
        <v>0</v>
      </c>
      <c r="GN68" s="1804">
        <v>0</v>
      </c>
      <c r="GO68" s="1804">
        <v>0</v>
      </c>
      <c r="GP68" s="1804">
        <v>0</v>
      </c>
      <c r="GQ68" s="1804">
        <v>0</v>
      </c>
      <c r="GR68" s="1804">
        <v>0</v>
      </c>
      <c r="GS68" s="1804">
        <v>0</v>
      </c>
      <c r="GT68" s="1804">
        <v>0</v>
      </c>
      <c r="GU68" s="1804">
        <v>0</v>
      </c>
      <c r="GV68" s="1804">
        <v>0</v>
      </c>
      <c r="GW68" s="1804">
        <v>0</v>
      </c>
      <c r="GX68" s="1804">
        <v>0</v>
      </c>
      <c r="GY68" s="1804">
        <v>0</v>
      </c>
      <c r="GZ68" s="1804">
        <v>0</v>
      </c>
      <c r="HA68" s="1804">
        <v>0</v>
      </c>
      <c r="HB68" s="1804">
        <v>0</v>
      </c>
      <c r="HC68" s="1804">
        <v>0</v>
      </c>
      <c r="HD68" s="1804">
        <v>0</v>
      </c>
      <c r="HE68" s="1804">
        <v>0</v>
      </c>
    </row>
    <row r="69" spans="1:213" ht="15" customHeight="1" thickBot="1" x14ac:dyDescent="0.25">
      <c r="A69" s="1974"/>
      <c r="B69" s="1971"/>
      <c r="C69" s="1691" t="s">
        <v>956</v>
      </c>
      <c r="D69" s="1886"/>
      <c r="E69" s="1983"/>
      <c r="F69" s="1836">
        <v>0</v>
      </c>
      <c r="G69" s="1802">
        <v>0</v>
      </c>
      <c r="H69" s="1802">
        <v>0</v>
      </c>
      <c r="I69" s="1802">
        <v>0</v>
      </c>
      <c r="J69" s="1802">
        <v>0</v>
      </c>
      <c r="K69" s="1802">
        <v>0</v>
      </c>
      <c r="L69" s="1802">
        <v>0</v>
      </c>
      <c r="M69" s="1802">
        <v>0</v>
      </c>
      <c r="N69" s="1802">
        <v>0</v>
      </c>
      <c r="O69" s="1802">
        <v>0</v>
      </c>
      <c r="P69" s="1802">
        <v>0</v>
      </c>
      <c r="Q69" s="1802">
        <v>0</v>
      </c>
      <c r="R69" s="1802">
        <v>0</v>
      </c>
      <c r="S69" s="1802">
        <v>0</v>
      </c>
      <c r="T69" s="1802">
        <v>0</v>
      </c>
      <c r="U69" s="1802">
        <v>0</v>
      </c>
      <c r="V69" s="1802">
        <v>0</v>
      </c>
      <c r="W69" s="1802">
        <v>0</v>
      </c>
      <c r="X69" s="1802">
        <v>0</v>
      </c>
      <c r="Y69" s="1802">
        <v>0</v>
      </c>
      <c r="Z69" s="1802">
        <v>0</v>
      </c>
      <c r="AA69" s="1802">
        <v>0</v>
      </c>
      <c r="AB69" s="1802">
        <v>0</v>
      </c>
      <c r="AC69" s="1802">
        <v>0</v>
      </c>
      <c r="AD69" s="1802">
        <v>0</v>
      </c>
      <c r="AE69" s="1802">
        <v>0</v>
      </c>
      <c r="AF69" s="1802">
        <v>0</v>
      </c>
      <c r="AG69" s="1802">
        <v>0</v>
      </c>
      <c r="AH69" s="1802">
        <v>0</v>
      </c>
      <c r="AI69" s="1802">
        <v>0</v>
      </c>
      <c r="AJ69" s="1802">
        <v>0</v>
      </c>
      <c r="AK69" s="1802">
        <v>0</v>
      </c>
      <c r="AL69" s="1802">
        <v>0</v>
      </c>
      <c r="AM69" s="1802">
        <v>0</v>
      </c>
      <c r="AN69" s="1802">
        <v>0</v>
      </c>
      <c r="AO69" s="1802">
        <v>0</v>
      </c>
      <c r="AP69" s="1802">
        <v>0</v>
      </c>
      <c r="AQ69" s="1802">
        <v>0</v>
      </c>
      <c r="AR69" s="1802">
        <v>0</v>
      </c>
      <c r="AS69" s="1802">
        <v>0</v>
      </c>
      <c r="AT69" s="1802">
        <v>0</v>
      </c>
      <c r="AU69" s="1802">
        <v>0</v>
      </c>
      <c r="AV69" s="1802">
        <v>0</v>
      </c>
      <c r="AW69" s="1802">
        <v>0</v>
      </c>
      <c r="AX69" s="1802">
        <v>0</v>
      </c>
      <c r="AY69" s="1802">
        <v>0</v>
      </c>
      <c r="AZ69" s="1802">
        <v>0</v>
      </c>
      <c r="BA69" s="1802">
        <v>0</v>
      </c>
      <c r="BB69" s="1802">
        <v>0</v>
      </c>
      <c r="BC69" s="1802">
        <v>0</v>
      </c>
      <c r="BD69" s="1802">
        <v>0</v>
      </c>
      <c r="BE69" s="1802">
        <v>0</v>
      </c>
      <c r="BF69" s="1802">
        <v>0</v>
      </c>
      <c r="BG69" s="1802">
        <v>0</v>
      </c>
      <c r="BH69" s="1802">
        <v>0</v>
      </c>
      <c r="BI69" s="1802">
        <v>0</v>
      </c>
      <c r="BJ69" s="1802">
        <v>0</v>
      </c>
      <c r="BK69" s="1802">
        <v>0</v>
      </c>
      <c r="BL69" s="1802">
        <v>0</v>
      </c>
      <c r="BM69" s="1802">
        <v>0</v>
      </c>
      <c r="BN69" s="1802">
        <v>0</v>
      </c>
      <c r="BO69" s="1802">
        <v>0</v>
      </c>
      <c r="BP69" s="1802">
        <v>0</v>
      </c>
      <c r="BQ69" s="1802">
        <v>0</v>
      </c>
      <c r="BR69" s="1802">
        <v>0</v>
      </c>
      <c r="BS69" s="1802">
        <v>0</v>
      </c>
      <c r="BT69" s="1802">
        <v>0</v>
      </c>
      <c r="BU69" s="1802">
        <v>0</v>
      </c>
      <c r="BV69" s="1802">
        <v>0</v>
      </c>
      <c r="BW69" s="1802">
        <v>0</v>
      </c>
      <c r="BX69" s="1802">
        <v>0</v>
      </c>
      <c r="BY69" s="1802">
        <v>0</v>
      </c>
      <c r="BZ69" s="1802">
        <v>0</v>
      </c>
      <c r="CA69" s="1802">
        <v>0</v>
      </c>
      <c r="CB69" s="1802">
        <v>0</v>
      </c>
      <c r="CC69" s="1802">
        <v>0</v>
      </c>
      <c r="CD69" s="1802">
        <v>0</v>
      </c>
      <c r="CE69" s="1802">
        <v>0</v>
      </c>
      <c r="CF69" s="1802">
        <v>0</v>
      </c>
      <c r="CG69" s="1802">
        <v>0</v>
      </c>
      <c r="CH69" s="1802">
        <v>0</v>
      </c>
      <c r="CI69" s="1802">
        <v>0</v>
      </c>
      <c r="CJ69" s="1802">
        <v>0</v>
      </c>
      <c r="CK69" s="1802">
        <v>0</v>
      </c>
      <c r="CL69" s="1802">
        <v>0</v>
      </c>
      <c r="CM69" s="1802">
        <v>0</v>
      </c>
      <c r="CN69" s="1802">
        <v>0</v>
      </c>
      <c r="CO69" s="1802">
        <v>0</v>
      </c>
      <c r="CP69" s="1802">
        <v>0</v>
      </c>
      <c r="CQ69" s="1802">
        <v>0</v>
      </c>
      <c r="CR69" s="1802">
        <v>0</v>
      </c>
      <c r="CS69" s="1802">
        <v>0</v>
      </c>
      <c r="CT69" s="1802">
        <v>0</v>
      </c>
      <c r="CU69" s="1802">
        <v>0</v>
      </c>
      <c r="CV69" s="1802">
        <v>0</v>
      </c>
      <c r="CW69" s="1802">
        <v>0</v>
      </c>
      <c r="CX69" s="1802">
        <v>0</v>
      </c>
      <c r="CY69" s="1802">
        <v>0</v>
      </c>
      <c r="CZ69" s="1802">
        <v>0</v>
      </c>
      <c r="DA69" s="1802">
        <v>0</v>
      </c>
      <c r="DB69" s="1802">
        <v>0</v>
      </c>
      <c r="DC69" s="1802">
        <v>0</v>
      </c>
      <c r="DD69" s="1802">
        <v>0</v>
      </c>
      <c r="DE69" s="1802">
        <v>0</v>
      </c>
      <c r="DF69" s="1802">
        <v>0</v>
      </c>
      <c r="DG69" s="1802">
        <v>0</v>
      </c>
      <c r="DH69" s="1802">
        <v>0</v>
      </c>
      <c r="DI69" s="1802">
        <v>0</v>
      </c>
      <c r="DJ69" s="1802">
        <v>0</v>
      </c>
      <c r="DK69" s="1802">
        <v>0</v>
      </c>
      <c r="DL69" s="1802">
        <v>0</v>
      </c>
      <c r="DM69" s="1802">
        <v>0</v>
      </c>
      <c r="DN69" s="1802">
        <v>0</v>
      </c>
      <c r="DO69" s="1802">
        <v>0</v>
      </c>
      <c r="DP69" s="1802">
        <v>0</v>
      </c>
      <c r="DQ69" s="1802">
        <v>0</v>
      </c>
      <c r="DR69" s="1802">
        <v>0</v>
      </c>
      <c r="DS69" s="1802">
        <v>0</v>
      </c>
      <c r="DT69" s="1802">
        <v>0</v>
      </c>
      <c r="DU69" s="1802">
        <v>0</v>
      </c>
      <c r="DV69" s="1802">
        <v>0</v>
      </c>
      <c r="DW69" s="1802">
        <v>0</v>
      </c>
      <c r="DX69" s="1802">
        <v>0</v>
      </c>
      <c r="DY69" s="1802">
        <v>0</v>
      </c>
      <c r="DZ69" s="1802">
        <v>0</v>
      </c>
      <c r="EA69" s="1802">
        <v>0</v>
      </c>
      <c r="EB69" s="1802">
        <v>0</v>
      </c>
      <c r="EC69" s="1802">
        <v>0</v>
      </c>
      <c r="ED69" s="1802">
        <v>0</v>
      </c>
      <c r="EE69" s="1802">
        <v>0</v>
      </c>
      <c r="EF69" s="1802">
        <v>0</v>
      </c>
      <c r="EG69" s="1802">
        <v>0</v>
      </c>
      <c r="EH69" s="1802">
        <v>0</v>
      </c>
      <c r="EI69" s="1802">
        <v>0</v>
      </c>
      <c r="EJ69" s="1802">
        <v>0</v>
      </c>
      <c r="EK69" s="1802">
        <v>0</v>
      </c>
      <c r="EL69" s="1802">
        <v>0</v>
      </c>
      <c r="EM69" s="1802">
        <v>0</v>
      </c>
      <c r="EN69" s="1802">
        <v>0</v>
      </c>
      <c r="EO69" s="1802">
        <v>0</v>
      </c>
      <c r="EP69" s="1802">
        <v>0</v>
      </c>
      <c r="EQ69" s="1802">
        <v>0</v>
      </c>
      <c r="ER69" s="1802">
        <v>0</v>
      </c>
      <c r="ES69" s="1802">
        <v>0</v>
      </c>
      <c r="ET69" s="1802">
        <v>0</v>
      </c>
      <c r="EU69" s="1802">
        <v>0</v>
      </c>
      <c r="EV69" s="1802">
        <v>0</v>
      </c>
      <c r="EW69" s="1802">
        <v>0</v>
      </c>
      <c r="EX69" s="1802">
        <v>0</v>
      </c>
      <c r="EY69" s="1802">
        <v>0</v>
      </c>
      <c r="EZ69" s="1802">
        <v>0</v>
      </c>
      <c r="FA69" s="1802">
        <v>0</v>
      </c>
      <c r="FB69" s="1802">
        <v>0</v>
      </c>
      <c r="FC69" s="1802">
        <v>0</v>
      </c>
      <c r="FD69" s="1802">
        <v>0</v>
      </c>
      <c r="FE69" s="1802">
        <v>0</v>
      </c>
      <c r="FF69" s="1802">
        <v>0</v>
      </c>
      <c r="FG69" s="1802">
        <v>0</v>
      </c>
      <c r="FH69" s="1802">
        <v>0</v>
      </c>
      <c r="FI69" s="1802">
        <v>0</v>
      </c>
      <c r="FJ69" s="1802">
        <v>0</v>
      </c>
      <c r="FK69" s="1802">
        <v>0</v>
      </c>
      <c r="FL69" s="1802">
        <v>0</v>
      </c>
      <c r="FM69" s="1802">
        <v>0</v>
      </c>
      <c r="FN69" s="1802">
        <v>0</v>
      </c>
      <c r="FO69" s="1802">
        <v>0</v>
      </c>
      <c r="FP69" s="1802">
        <v>0</v>
      </c>
      <c r="FQ69" s="1802">
        <v>0</v>
      </c>
      <c r="FR69" s="1802">
        <v>0</v>
      </c>
      <c r="FS69" s="1802">
        <v>0</v>
      </c>
      <c r="FT69" s="1802">
        <v>0</v>
      </c>
      <c r="FU69" s="1802">
        <v>0</v>
      </c>
      <c r="FV69" s="1802">
        <v>0</v>
      </c>
      <c r="FW69" s="1802">
        <v>0</v>
      </c>
      <c r="FX69" s="1802">
        <v>0</v>
      </c>
      <c r="FY69" s="1802">
        <v>0</v>
      </c>
      <c r="FZ69" s="1802">
        <v>0</v>
      </c>
      <c r="GA69" s="1802">
        <v>0</v>
      </c>
      <c r="GB69" s="1802">
        <v>0</v>
      </c>
      <c r="GC69" s="1802">
        <v>0</v>
      </c>
      <c r="GD69" s="1802">
        <v>0</v>
      </c>
      <c r="GE69" s="1802">
        <v>0</v>
      </c>
      <c r="GF69" s="1802">
        <v>0</v>
      </c>
      <c r="GG69" s="1802">
        <v>0</v>
      </c>
      <c r="GH69" s="1802">
        <v>0</v>
      </c>
      <c r="GI69" s="1802">
        <v>0</v>
      </c>
      <c r="GJ69" s="1802">
        <v>0</v>
      </c>
      <c r="GK69" s="1802">
        <v>0</v>
      </c>
      <c r="GL69" s="1802">
        <v>0</v>
      </c>
      <c r="GM69" s="1802">
        <v>0</v>
      </c>
      <c r="GN69" s="1802">
        <v>0</v>
      </c>
      <c r="GO69" s="1802">
        <v>0</v>
      </c>
      <c r="GP69" s="1802">
        <v>0</v>
      </c>
      <c r="GQ69" s="1802">
        <v>0</v>
      </c>
      <c r="GR69" s="1802">
        <v>0</v>
      </c>
      <c r="GS69" s="1802">
        <v>0</v>
      </c>
      <c r="GT69" s="1802">
        <v>0</v>
      </c>
      <c r="GU69" s="1802">
        <v>0</v>
      </c>
      <c r="GV69" s="1802">
        <v>0</v>
      </c>
      <c r="GW69" s="1802">
        <v>0</v>
      </c>
      <c r="GX69" s="1802">
        <v>0</v>
      </c>
      <c r="GY69" s="1802">
        <v>0</v>
      </c>
      <c r="GZ69" s="1802">
        <v>0</v>
      </c>
      <c r="HA69" s="1802">
        <v>0</v>
      </c>
      <c r="HB69" s="1802">
        <v>0</v>
      </c>
      <c r="HC69" s="1802">
        <v>0</v>
      </c>
      <c r="HD69" s="1802">
        <v>0</v>
      </c>
      <c r="HE69" s="1802">
        <v>0</v>
      </c>
    </row>
    <row r="70" spans="1:213" ht="30" customHeight="1" thickBot="1" x14ac:dyDescent="0.25">
      <c r="A70" s="1692" t="s">
        <v>2336</v>
      </c>
      <c r="B70" s="1695" t="s">
        <v>1364</v>
      </c>
      <c r="C70" s="1693" t="s">
        <v>1363</v>
      </c>
      <c r="D70" s="1883"/>
      <c r="E70" s="1844"/>
      <c r="F70" s="1836">
        <v>0</v>
      </c>
      <c r="G70" s="1802">
        <v>0</v>
      </c>
      <c r="H70" s="1802">
        <v>0</v>
      </c>
      <c r="I70" s="1802">
        <v>0</v>
      </c>
      <c r="J70" s="1802">
        <v>0</v>
      </c>
      <c r="K70" s="1802">
        <v>0</v>
      </c>
      <c r="L70" s="1802">
        <v>0</v>
      </c>
      <c r="M70" s="1802">
        <v>0</v>
      </c>
      <c r="N70" s="1802">
        <v>0</v>
      </c>
      <c r="O70" s="1802">
        <v>0</v>
      </c>
      <c r="P70" s="1802">
        <v>0</v>
      </c>
      <c r="Q70" s="1802">
        <v>0</v>
      </c>
      <c r="R70" s="1802">
        <v>0</v>
      </c>
      <c r="S70" s="1802">
        <v>0</v>
      </c>
      <c r="T70" s="1802">
        <v>0</v>
      </c>
      <c r="U70" s="1802">
        <v>0</v>
      </c>
      <c r="V70" s="1802">
        <v>0</v>
      </c>
      <c r="W70" s="1802">
        <v>0</v>
      </c>
      <c r="X70" s="1802">
        <v>0</v>
      </c>
      <c r="Y70" s="1802">
        <v>0</v>
      </c>
      <c r="Z70" s="1802">
        <v>0</v>
      </c>
      <c r="AA70" s="1802">
        <v>0</v>
      </c>
      <c r="AB70" s="1802">
        <v>0</v>
      </c>
      <c r="AC70" s="1802">
        <v>0</v>
      </c>
      <c r="AD70" s="1802">
        <v>0</v>
      </c>
      <c r="AE70" s="1802">
        <v>0</v>
      </c>
      <c r="AF70" s="1802">
        <v>0</v>
      </c>
      <c r="AG70" s="1802">
        <v>0</v>
      </c>
      <c r="AH70" s="1802">
        <v>0</v>
      </c>
      <c r="AI70" s="1802">
        <v>0</v>
      </c>
      <c r="AJ70" s="1802">
        <v>0</v>
      </c>
      <c r="AK70" s="1802">
        <v>0</v>
      </c>
      <c r="AL70" s="1802">
        <v>0</v>
      </c>
      <c r="AM70" s="1802">
        <v>0</v>
      </c>
      <c r="AN70" s="1802">
        <v>0</v>
      </c>
      <c r="AO70" s="1802">
        <v>0</v>
      </c>
      <c r="AP70" s="1802">
        <v>0</v>
      </c>
      <c r="AQ70" s="1802">
        <v>0</v>
      </c>
      <c r="AR70" s="1802">
        <v>0</v>
      </c>
      <c r="AS70" s="1802">
        <v>0</v>
      </c>
      <c r="AT70" s="1802">
        <v>0</v>
      </c>
      <c r="AU70" s="1802">
        <v>0</v>
      </c>
      <c r="AV70" s="1802">
        <v>0</v>
      </c>
      <c r="AW70" s="1802">
        <v>0</v>
      </c>
      <c r="AX70" s="1802">
        <v>0</v>
      </c>
      <c r="AY70" s="1802">
        <v>0</v>
      </c>
      <c r="AZ70" s="1802">
        <v>0</v>
      </c>
      <c r="BA70" s="1802">
        <v>0</v>
      </c>
      <c r="BB70" s="1802">
        <v>0</v>
      </c>
      <c r="BC70" s="1802">
        <v>0</v>
      </c>
      <c r="BD70" s="1802">
        <v>0</v>
      </c>
      <c r="BE70" s="1802">
        <v>0</v>
      </c>
      <c r="BF70" s="1802">
        <v>0</v>
      </c>
      <c r="BG70" s="1802">
        <v>0</v>
      </c>
      <c r="BH70" s="1802">
        <v>0</v>
      </c>
      <c r="BI70" s="1802">
        <v>0</v>
      </c>
      <c r="BJ70" s="1802">
        <v>0</v>
      </c>
      <c r="BK70" s="1802">
        <v>0</v>
      </c>
      <c r="BL70" s="1802">
        <v>0</v>
      </c>
      <c r="BM70" s="1802">
        <v>0</v>
      </c>
      <c r="BN70" s="1802">
        <v>0</v>
      </c>
      <c r="BO70" s="1802">
        <v>0</v>
      </c>
      <c r="BP70" s="1802">
        <v>0</v>
      </c>
      <c r="BQ70" s="1802">
        <v>0</v>
      </c>
      <c r="BR70" s="1802">
        <v>0</v>
      </c>
      <c r="BS70" s="1802">
        <v>0</v>
      </c>
      <c r="BT70" s="1802">
        <v>0</v>
      </c>
      <c r="BU70" s="1802">
        <v>0</v>
      </c>
      <c r="BV70" s="1802">
        <v>0</v>
      </c>
      <c r="BW70" s="1802">
        <v>0</v>
      </c>
      <c r="BX70" s="1802">
        <v>0</v>
      </c>
      <c r="BY70" s="1802">
        <v>0</v>
      </c>
      <c r="BZ70" s="1802">
        <v>0</v>
      </c>
      <c r="CA70" s="1802">
        <v>0</v>
      </c>
      <c r="CB70" s="1802">
        <v>0</v>
      </c>
      <c r="CC70" s="1802">
        <v>0</v>
      </c>
      <c r="CD70" s="1802">
        <v>0</v>
      </c>
      <c r="CE70" s="1802">
        <v>0</v>
      </c>
      <c r="CF70" s="1802">
        <v>0</v>
      </c>
      <c r="CG70" s="1802">
        <v>0</v>
      </c>
      <c r="CH70" s="1802">
        <v>0</v>
      </c>
      <c r="CI70" s="1802">
        <v>0</v>
      </c>
      <c r="CJ70" s="1802">
        <v>0</v>
      </c>
      <c r="CK70" s="1802">
        <v>0</v>
      </c>
      <c r="CL70" s="1802">
        <v>0</v>
      </c>
      <c r="CM70" s="1802">
        <v>0</v>
      </c>
      <c r="CN70" s="1802">
        <v>0</v>
      </c>
      <c r="CO70" s="1802">
        <v>0</v>
      </c>
      <c r="CP70" s="1802">
        <v>0</v>
      </c>
      <c r="CQ70" s="1802">
        <v>0</v>
      </c>
      <c r="CR70" s="1802">
        <v>0</v>
      </c>
      <c r="CS70" s="1802">
        <v>0</v>
      </c>
      <c r="CT70" s="1802">
        <v>0</v>
      </c>
      <c r="CU70" s="1802">
        <v>0</v>
      </c>
      <c r="CV70" s="1802">
        <v>0</v>
      </c>
      <c r="CW70" s="1802">
        <v>0</v>
      </c>
      <c r="CX70" s="1802">
        <v>0</v>
      </c>
      <c r="CY70" s="1802">
        <v>0</v>
      </c>
      <c r="CZ70" s="1802">
        <v>0</v>
      </c>
      <c r="DA70" s="1802">
        <v>0</v>
      </c>
      <c r="DB70" s="1802">
        <v>0</v>
      </c>
      <c r="DC70" s="1802">
        <v>0</v>
      </c>
      <c r="DD70" s="1802">
        <v>0</v>
      </c>
      <c r="DE70" s="1802">
        <v>0</v>
      </c>
      <c r="DF70" s="1802">
        <v>0</v>
      </c>
      <c r="DG70" s="1802">
        <v>0</v>
      </c>
      <c r="DH70" s="1802">
        <v>0</v>
      </c>
      <c r="DI70" s="1802">
        <v>0</v>
      </c>
      <c r="DJ70" s="1802">
        <v>0</v>
      </c>
      <c r="DK70" s="1802">
        <v>0</v>
      </c>
      <c r="DL70" s="1802">
        <v>0</v>
      </c>
      <c r="DM70" s="1802">
        <v>0</v>
      </c>
      <c r="DN70" s="1802">
        <v>0</v>
      </c>
      <c r="DO70" s="1802">
        <v>0</v>
      </c>
      <c r="DP70" s="1802">
        <v>0</v>
      </c>
      <c r="DQ70" s="1802">
        <v>0</v>
      </c>
      <c r="DR70" s="1802">
        <v>0</v>
      </c>
      <c r="DS70" s="1802">
        <v>0</v>
      </c>
      <c r="DT70" s="1802">
        <v>0</v>
      </c>
      <c r="DU70" s="1802">
        <v>0</v>
      </c>
      <c r="DV70" s="1802">
        <v>0</v>
      </c>
      <c r="DW70" s="1802">
        <v>0</v>
      </c>
      <c r="DX70" s="1802">
        <v>0</v>
      </c>
      <c r="DY70" s="1802">
        <v>0</v>
      </c>
      <c r="DZ70" s="1802">
        <v>0</v>
      </c>
      <c r="EA70" s="1802">
        <v>0</v>
      </c>
      <c r="EB70" s="1802">
        <v>0</v>
      </c>
      <c r="EC70" s="1802">
        <v>0</v>
      </c>
      <c r="ED70" s="1802">
        <v>0</v>
      </c>
      <c r="EE70" s="1802">
        <v>0</v>
      </c>
      <c r="EF70" s="1802">
        <v>0</v>
      </c>
      <c r="EG70" s="1802">
        <v>0</v>
      </c>
      <c r="EH70" s="1802">
        <v>0</v>
      </c>
      <c r="EI70" s="1802">
        <v>0</v>
      </c>
      <c r="EJ70" s="1802">
        <v>0</v>
      </c>
      <c r="EK70" s="1802">
        <v>0</v>
      </c>
      <c r="EL70" s="1802">
        <v>0</v>
      </c>
      <c r="EM70" s="1802">
        <v>0</v>
      </c>
      <c r="EN70" s="1802">
        <v>0</v>
      </c>
      <c r="EO70" s="1802">
        <v>0</v>
      </c>
      <c r="EP70" s="1802">
        <v>0</v>
      </c>
      <c r="EQ70" s="1802">
        <v>0</v>
      </c>
      <c r="ER70" s="1802">
        <v>0</v>
      </c>
      <c r="ES70" s="1802">
        <v>0</v>
      </c>
      <c r="ET70" s="1802">
        <v>0</v>
      </c>
      <c r="EU70" s="1802">
        <v>0</v>
      </c>
      <c r="EV70" s="1802">
        <v>0</v>
      </c>
      <c r="EW70" s="1802">
        <v>0</v>
      </c>
      <c r="EX70" s="1802">
        <v>0</v>
      </c>
      <c r="EY70" s="1802">
        <v>0</v>
      </c>
      <c r="EZ70" s="1802">
        <v>0</v>
      </c>
      <c r="FA70" s="1802">
        <v>0</v>
      </c>
      <c r="FB70" s="1802">
        <v>0</v>
      </c>
      <c r="FC70" s="1802">
        <v>0</v>
      </c>
      <c r="FD70" s="1802">
        <v>0</v>
      </c>
      <c r="FE70" s="1802">
        <v>0</v>
      </c>
      <c r="FF70" s="1802">
        <v>0</v>
      </c>
      <c r="FG70" s="1802">
        <v>0</v>
      </c>
      <c r="FH70" s="1802">
        <v>0</v>
      </c>
      <c r="FI70" s="1802">
        <v>0</v>
      </c>
      <c r="FJ70" s="1802">
        <v>0</v>
      </c>
      <c r="FK70" s="1802">
        <v>0</v>
      </c>
      <c r="FL70" s="1802">
        <v>0</v>
      </c>
      <c r="FM70" s="1802">
        <v>0</v>
      </c>
      <c r="FN70" s="1802">
        <v>0</v>
      </c>
      <c r="FO70" s="1802">
        <v>0</v>
      </c>
      <c r="FP70" s="1802">
        <v>0</v>
      </c>
      <c r="FQ70" s="1802">
        <v>0</v>
      </c>
      <c r="FR70" s="1802">
        <v>0</v>
      </c>
      <c r="FS70" s="1802">
        <v>0</v>
      </c>
      <c r="FT70" s="1802">
        <v>0</v>
      </c>
      <c r="FU70" s="1802">
        <v>0</v>
      </c>
      <c r="FV70" s="1802">
        <v>0</v>
      </c>
      <c r="FW70" s="1802">
        <v>0</v>
      </c>
      <c r="FX70" s="1802">
        <v>0</v>
      </c>
      <c r="FY70" s="1802">
        <v>0</v>
      </c>
      <c r="FZ70" s="1802">
        <v>0</v>
      </c>
      <c r="GA70" s="1802">
        <v>0</v>
      </c>
      <c r="GB70" s="1802">
        <v>0</v>
      </c>
      <c r="GC70" s="1802">
        <v>0</v>
      </c>
      <c r="GD70" s="1802">
        <v>0</v>
      </c>
      <c r="GE70" s="1802">
        <v>0</v>
      </c>
      <c r="GF70" s="1802">
        <v>0</v>
      </c>
      <c r="GG70" s="1802">
        <v>0</v>
      </c>
      <c r="GH70" s="1802">
        <v>0</v>
      </c>
      <c r="GI70" s="1802">
        <v>0</v>
      </c>
      <c r="GJ70" s="1802">
        <v>0</v>
      </c>
      <c r="GK70" s="1802">
        <v>0</v>
      </c>
      <c r="GL70" s="1802">
        <v>0</v>
      </c>
      <c r="GM70" s="1802">
        <v>0</v>
      </c>
      <c r="GN70" s="1802">
        <v>0</v>
      </c>
      <c r="GO70" s="1802">
        <v>0</v>
      </c>
      <c r="GP70" s="1802">
        <v>0</v>
      </c>
      <c r="GQ70" s="1802">
        <v>0</v>
      </c>
      <c r="GR70" s="1802">
        <v>0</v>
      </c>
      <c r="GS70" s="1802">
        <v>0</v>
      </c>
      <c r="GT70" s="1802">
        <v>0</v>
      </c>
      <c r="GU70" s="1802">
        <v>0</v>
      </c>
      <c r="GV70" s="1802">
        <v>0</v>
      </c>
      <c r="GW70" s="1802">
        <v>0</v>
      </c>
      <c r="GX70" s="1802">
        <v>0</v>
      </c>
      <c r="GY70" s="1802">
        <v>0</v>
      </c>
      <c r="GZ70" s="1802">
        <v>0</v>
      </c>
      <c r="HA70" s="1802">
        <v>0</v>
      </c>
      <c r="HB70" s="1802">
        <v>0</v>
      </c>
      <c r="HC70" s="1802">
        <v>0</v>
      </c>
      <c r="HD70" s="1802">
        <v>0</v>
      </c>
      <c r="HE70" s="1802">
        <v>0</v>
      </c>
    </row>
    <row r="71" spans="1:213" ht="21" customHeight="1" thickBot="1" x14ac:dyDescent="0.25">
      <c r="A71" s="1968" t="s">
        <v>2337</v>
      </c>
      <c r="B71" s="1988" t="s">
        <v>1365</v>
      </c>
      <c r="C71" s="1699" t="s">
        <v>984</v>
      </c>
      <c r="D71" s="1880"/>
      <c r="E71" s="1984"/>
      <c r="F71" s="1865"/>
      <c r="G71" s="1866"/>
      <c r="H71" s="1866"/>
      <c r="I71" s="1866"/>
      <c r="J71" s="1866"/>
      <c r="K71" s="1866"/>
      <c r="L71" s="1866"/>
      <c r="M71" s="1866"/>
      <c r="N71" s="1866"/>
      <c r="O71" s="1866"/>
      <c r="P71" s="1866"/>
      <c r="Q71" s="1866"/>
      <c r="R71" s="1866"/>
      <c r="S71" s="1866"/>
      <c r="T71" s="1866"/>
      <c r="U71" s="1866"/>
      <c r="V71" s="1866"/>
      <c r="W71" s="1866"/>
      <c r="X71" s="1866"/>
      <c r="Y71" s="1866"/>
      <c r="Z71" s="1866"/>
      <c r="AA71" s="1866"/>
      <c r="AB71" s="1866"/>
      <c r="AC71" s="1866"/>
      <c r="AD71" s="1866"/>
      <c r="AE71" s="1866"/>
      <c r="AF71" s="1866"/>
      <c r="AG71" s="1866"/>
      <c r="AH71" s="1866"/>
      <c r="AI71" s="1866"/>
      <c r="AJ71" s="1866"/>
      <c r="AK71" s="1866"/>
      <c r="AL71" s="1866"/>
      <c r="AM71" s="1866"/>
      <c r="AN71" s="1866"/>
      <c r="AO71" s="1866"/>
      <c r="AP71" s="1866"/>
      <c r="AQ71" s="1866"/>
      <c r="AR71" s="1866"/>
      <c r="AS71" s="1866"/>
      <c r="AT71" s="1866"/>
      <c r="AU71" s="1866"/>
      <c r="AV71" s="1866"/>
      <c r="AW71" s="1866"/>
      <c r="AX71" s="1866"/>
      <c r="AY71" s="1866"/>
      <c r="AZ71" s="1866"/>
      <c r="BA71" s="1866"/>
      <c r="BB71" s="1866"/>
      <c r="BC71" s="1866"/>
      <c r="BD71" s="1866"/>
      <c r="BE71" s="1866"/>
      <c r="BF71" s="1866"/>
      <c r="BG71" s="1866"/>
      <c r="BH71" s="1866"/>
      <c r="BI71" s="1866"/>
      <c r="BJ71" s="1866"/>
      <c r="BK71" s="1866"/>
      <c r="BL71" s="1866"/>
      <c r="BM71" s="1866"/>
      <c r="BN71" s="1866"/>
      <c r="BO71" s="1866"/>
      <c r="BP71" s="1866"/>
      <c r="BQ71" s="1866"/>
      <c r="BR71" s="1866"/>
      <c r="BS71" s="1866"/>
      <c r="BT71" s="1866"/>
      <c r="BU71" s="1866"/>
      <c r="BV71" s="1866"/>
      <c r="BW71" s="1866"/>
      <c r="BX71" s="1866"/>
      <c r="BY71" s="1866"/>
      <c r="BZ71" s="1866"/>
      <c r="CA71" s="1866"/>
      <c r="CB71" s="1866"/>
      <c r="CC71" s="1866"/>
      <c r="CD71" s="1866"/>
      <c r="CE71" s="1866"/>
      <c r="CF71" s="1866"/>
      <c r="CG71" s="1866"/>
      <c r="CH71" s="1866"/>
      <c r="CI71" s="1866"/>
      <c r="CJ71" s="1866"/>
      <c r="CK71" s="1866"/>
      <c r="CL71" s="1866"/>
      <c r="CM71" s="1866"/>
      <c r="CN71" s="1866"/>
      <c r="CO71" s="1866"/>
      <c r="CP71" s="1866"/>
      <c r="CQ71" s="1866"/>
      <c r="CR71" s="1866"/>
      <c r="CS71" s="1866"/>
      <c r="CT71" s="1866"/>
      <c r="CU71" s="1866"/>
      <c r="CV71" s="1866"/>
      <c r="CW71" s="1866"/>
      <c r="CX71" s="1866"/>
      <c r="CY71" s="1866"/>
      <c r="CZ71" s="1866"/>
      <c r="DA71" s="1866"/>
      <c r="DB71" s="1866"/>
      <c r="DC71" s="1866"/>
      <c r="DD71" s="1866"/>
      <c r="DE71" s="1866"/>
      <c r="DF71" s="1866"/>
      <c r="DG71" s="1866"/>
      <c r="DH71" s="1866"/>
      <c r="DI71" s="1866"/>
      <c r="DJ71" s="1866"/>
      <c r="DK71" s="1866"/>
      <c r="DL71" s="1866"/>
      <c r="DM71" s="1866"/>
      <c r="DN71" s="1866"/>
      <c r="DO71" s="1866"/>
      <c r="DP71" s="1866"/>
      <c r="DQ71" s="1866"/>
      <c r="DR71" s="1866"/>
      <c r="DS71" s="1866"/>
      <c r="DT71" s="1866"/>
      <c r="DU71" s="1866"/>
      <c r="DV71" s="1866"/>
      <c r="DW71" s="1866"/>
      <c r="DX71" s="1866"/>
      <c r="DY71" s="1866"/>
      <c r="DZ71" s="1866"/>
      <c r="EA71" s="1866"/>
      <c r="EB71" s="1866"/>
      <c r="EC71" s="1866"/>
      <c r="ED71" s="1866"/>
      <c r="EE71" s="1866"/>
      <c r="EF71" s="1866"/>
      <c r="EG71" s="1866"/>
      <c r="EH71" s="1866"/>
      <c r="EI71" s="1866"/>
      <c r="EJ71" s="1866"/>
      <c r="EK71" s="1866"/>
      <c r="EL71" s="1866"/>
      <c r="EM71" s="1866"/>
      <c r="EN71" s="1866"/>
      <c r="EO71" s="1866"/>
      <c r="EP71" s="1866"/>
      <c r="EQ71" s="1866"/>
      <c r="ER71" s="1866"/>
      <c r="ES71" s="1866"/>
      <c r="ET71" s="1866"/>
      <c r="EU71" s="1866"/>
      <c r="EV71" s="1866"/>
      <c r="EW71" s="1866"/>
      <c r="EX71" s="1866"/>
      <c r="EY71" s="1866"/>
      <c r="EZ71" s="1866"/>
      <c r="FA71" s="1866"/>
      <c r="FB71" s="1866"/>
      <c r="FC71" s="1866"/>
      <c r="FD71" s="1866"/>
      <c r="FE71" s="1866"/>
      <c r="FF71" s="1866"/>
      <c r="FG71" s="1866"/>
      <c r="FH71" s="1866"/>
      <c r="FI71" s="1866"/>
      <c r="FJ71" s="1866"/>
      <c r="FK71" s="1866"/>
      <c r="FL71" s="1866"/>
      <c r="FM71" s="1866"/>
      <c r="FN71" s="1866"/>
      <c r="FO71" s="1866"/>
      <c r="FP71" s="1866"/>
      <c r="FQ71" s="1866"/>
      <c r="FR71" s="1866"/>
      <c r="FS71" s="1866"/>
      <c r="FT71" s="1866"/>
      <c r="FU71" s="1866"/>
      <c r="FV71" s="1866"/>
      <c r="FW71" s="1866"/>
      <c r="FX71" s="1866"/>
      <c r="FY71" s="1866"/>
      <c r="FZ71" s="1866"/>
      <c r="GA71" s="1866"/>
      <c r="GB71" s="1866"/>
      <c r="GC71" s="1866"/>
      <c r="GD71" s="1866"/>
      <c r="GE71" s="1866"/>
      <c r="GF71" s="1866"/>
      <c r="GG71" s="1866"/>
      <c r="GH71" s="1866"/>
      <c r="GI71" s="1866"/>
      <c r="GJ71" s="1866"/>
      <c r="GK71" s="1866"/>
      <c r="GL71" s="1866"/>
      <c r="GM71" s="1866"/>
      <c r="GN71" s="1866"/>
      <c r="GO71" s="1866"/>
      <c r="GP71" s="1866"/>
      <c r="GQ71" s="1866"/>
      <c r="GR71" s="1866"/>
      <c r="GS71" s="1866"/>
      <c r="GT71" s="1866"/>
      <c r="GU71" s="1866"/>
      <c r="GV71" s="1866"/>
      <c r="GW71" s="1866"/>
      <c r="GX71" s="1866"/>
      <c r="GY71" s="1866"/>
      <c r="GZ71" s="1866"/>
      <c r="HA71" s="1866"/>
      <c r="HB71" s="1866"/>
      <c r="HC71" s="1866"/>
      <c r="HD71" s="1866"/>
      <c r="HE71" s="1866"/>
    </row>
    <row r="72" spans="1:213" ht="15" customHeight="1" x14ac:dyDescent="0.2">
      <c r="A72" s="1966"/>
      <c r="B72" s="1989"/>
      <c r="C72" s="1696" t="s">
        <v>1366</v>
      </c>
      <c r="D72" s="1886"/>
      <c r="E72" s="1984"/>
      <c r="F72" s="1838">
        <v>0</v>
      </c>
      <c r="G72" s="1804">
        <v>0</v>
      </c>
      <c r="H72" s="1804">
        <v>0</v>
      </c>
      <c r="I72" s="1804">
        <v>0</v>
      </c>
      <c r="J72" s="1804">
        <v>0</v>
      </c>
      <c r="K72" s="1804">
        <v>0</v>
      </c>
      <c r="L72" s="1804">
        <v>0</v>
      </c>
      <c r="M72" s="1804">
        <v>0</v>
      </c>
      <c r="N72" s="1804">
        <v>0</v>
      </c>
      <c r="O72" s="1804">
        <v>0</v>
      </c>
      <c r="P72" s="1804">
        <v>0</v>
      </c>
      <c r="Q72" s="1804">
        <v>0</v>
      </c>
      <c r="R72" s="1804">
        <v>0</v>
      </c>
      <c r="S72" s="1804">
        <v>0</v>
      </c>
      <c r="T72" s="1804">
        <v>0</v>
      </c>
      <c r="U72" s="1804">
        <v>0</v>
      </c>
      <c r="V72" s="1804">
        <v>0</v>
      </c>
      <c r="W72" s="1804">
        <v>0</v>
      </c>
      <c r="X72" s="1804">
        <v>0</v>
      </c>
      <c r="Y72" s="1804">
        <v>0</v>
      </c>
      <c r="Z72" s="1804">
        <v>0</v>
      </c>
      <c r="AA72" s="1804">
        <v>0</v>
      </c>
      <c r="AB72" s="1804">
        <v>0</v>
      </c>
      <c r="AC72" s="1804">
        <v>0</v>
      </c>
      <c r="AD72" s="1804">
        <v>0</v>
      </c>
      <c r="AE72" s="1804">
        <v>0</v>
      </c>
      <c r="AF72" s="1804">
        <v>0</v>
      </c>
      <c r="AG72" s="1804">
        <v>0</v>
      </c>
      <c r="AH72" s="1804">
        <v>0</v>
      </c>
      <c r="AI72" s="1804">
        <v>0</v>
      </c>
      <c r="AJ72" s="1804">
        <v>0</v>
      </c>
      <c r="AK72" s="1804">
        <v>0</v>
      </c>
      <c r="AL72" s="1804">
        <v>0</v>
      </c>
      <c r="AM72" s="1804">
        <v>0</v>
      </c>
      <c r="AN72" s="1804">
        <v>0</v>
      </c>
      <c r="AO72" s="1804">
        <v>0</v>
      </c>
      <c r="AP72" s="1804">
        <v>0</v>
      </c>
      <c r="AQ72" s="1804">
        <v>0</v>
      </c>
      <c r="AR72" s="1804">
        <v>0</v>
      </c>
      <c r="AS72" s="1804">
        <v>0</v>
      </c>
      <c r="AT72" s="1804">
        <v>0</v>
      </c>
      <c r="AU72" s="1804">
        <v>0</v>
      </c>
      <c r="AV72" s="1804">
        <v>0</v>
      </c>
      <c r="AW72" s="1804">
        <v>0</v>
      </c>
      <c r="AX72" s="1804">
        <v>0</v>
      </c>
      <c r="AY72" s="1804">
        <v>0</v>
      </c>
      <c r="AZ72" s="1804">
        <v>0</v>
      </c>
      <c r="BA72" s="1804">
        <v>0</v>
      </c>
      <c r="BB72" s="1804">
        <v>0</v>
      </c>
      <c r="BC72" s="1804">
        <v>0</v>
      </c>
      <c r="BD72" s="1804">
        <v>0</v>
      </c>
      <c r="BE72" s="1804">
        <v>0</v>
      </c>
      <c r="BF72" s="1804">
        <v>0</v>
      </c>
      <c r="BG72" s="1804">
        <v>0</v>
      </c>
      <c r="BH72" s="1804">
        <v>0</v>
      </c>
      <c r="BI72" s="1804">
        <v>0</v>
      </c>
      <c r="BJ72" s="1804">
        <v>0</v>
      </c>
      <c r="BK72" s="1804">
        <v>0</v>
      </c>
      <c r="BL72" s="1804">
        <v>0</v>
      </c>
      <c r="BM72" s="1804">
        <v>0</v>
      </c>
      <c r="BN72" s="1804">
        <v>0</v>
      </c>
      <c r="BO72" s="1804">
        <v>0</v>
      </c>
      <c r="BP72" s="1804">
        <v>0</v>
      </c>
      <c r="BQ72" s="1804">
        <v>0</v>
      </c>
      <c r="BR72" s="1804">
        <v>0</v>
      </c>
      <c r="BS72" s="1804">
        <v>0</v>
      </c>
      <c r="BT72" s="1804">
        <v>0</v>
      </c>
      <c r="BU72" s="1804">
        <v>0</v>
      </c>
      <c r="BV72" s="1804">
        <v>0</v>
      </c>
      <c r="BW72" s="1804">
        <v>0</v>
      </c>
      <c r="BX72" s="1804">
        <v>0</v>
      </c>
      <c r="BY72" s="1804">
        <v>0</v>
      </c>
      <c r="BZ72" s="1804">
        <v>0</v>
      </c>
      <c r="CA72" s="1804">
        <v>0</v>
      </c>
      <c r="CB72" s="1804">
        <v>0</v>
      </c>
      <c r="CC72" s="1804">
        <v>0</v>
      </c>
      <c r="CD72" s="1804">
        <v>0</v>
      </c>
      <c r="CE72" s="1804">
        <v>0</v>
      </c>
      <c r="CF72" s="1804">
        <v>0</v>
      </c>
      <c r="CG72" s="1804">
        <v>0</v>
      </c>
      <c r="CH72" s="1804">
        <v>0</v>
      </c>
      <c r="CI72" s="1804">
        <v>0</v>
      </c>
      <c r="CJ72" s="1804">
        <v>0</v>
      </c>
      <c r="CK72" s="1804">
        <v>0</v>
      </c>
      <c r="CL72" s="1804">
        <v>0</v>
      </c>
      <c r="CM72" s="1804">
        <v>0</v>
      </c>
      <c r="CN72" s="1804">
        <v>0</v>
      </c>
      <c r="CO72" s="1804">
        <v>0</v>
      </c>
      <c r="CP72" s="1804">
        <v>0</v>
      </c>
      <c r="CQ72" s="1804">
        <v>0</v>
      </c>
      <c r="CR72" s="1804">
        <v>0</v>
      </c>
      <c r="CS72" s="1804">
        <v>0</v>
      </c>
      <c r="CT72" s="1804">
        <v>0</v>
      </c>
      <c r="CU72" s="1804">
        <v>0</v>
      </c>
      <c r="CV72" s="1804">
        <v>0</v>
      </c>
      <c r="CW72" s="1804">
        <v>0</v>
      </c>
      <c r="CX72" s="1804">
        <v>0</v>
      </c>
      <c r="CY72" s="1804">
        <v>0</v>
      </c>
      <c r="CZ72" s="1804">
        <v>0</v>
      </c>
      <c r="DA72" s="1804">
        <v>0</v>
      </c>
      <c r="DB72" s="1804">
        <v>0</v>
      </c>
      <c r="DC72" s="1804">
        <v>0</v>
      </c>
      <c r="DD72" s="1804">
        <v>0</v>
      </c>
      <c r="DE72" s="1804">
        <v>0</v>
      </c>
      <c r="DF72" s="1804">
        <v>0</v>
      </c>
      <c r="DG72" s="1804">
        <v>0</v>
      </c>
      <c r="DH72" s="1804">
        <v>0</v>
      </c>
      <c r="DI72" s="1804">
        <v>0</v>
      </c>
      <c r="DJ72" s="1804">
        <v>0</v>
      </c>
      <c r="DK72" s="1804">
        <v>0</v>
      </c>
      <c r="DL72" s="1804">
        <v>0</v>
      </c>
      <c r="DM72" s="1804">
        <v>0</v>
      </c>
      <c r="DN72" s="1804">
        <v>0</v>
      </c>
      <c r="DO72" s="1804">
        <v>0</v>
      </c>
      <c r="DP72" s="1804">
        <v>0</v>
      </c>
      <c r="DQ72" s="1804">
        <v>0</v>
      </c>
      <c r="DR72" s="1804">
        <v>0</v>
      </c>
      <c r="DS72" s="1804">
        <v>0</v>
      </c>
      <c r="DT72" s="1804">
        <v>0</v>
      </c>
      <c r="DU72" s="1804">
        <v>0</v>
      </c>
      <c r="DV72" s="1804">
        <v>0</v>
      </c>
      <c r="DW72" s="1804">
        <v>0</v>
      </c>
      <c r="DX72" s="1804">
        <v>0</v>
      </c>
      <c r="DY72" s="1804">
        <v>0</v>
      </c>
      <c r="DZ72" s="1804">
        <v>0</v>
      </c>
      <c r="EA72" s="1804">
        <v>0</v>
      </c>
      <c r="EB72" s="1804">
        <v>0</v>
      </c>
      <c r="EC72" s="1804">
        <v>0</v>
      </c>
      <c r="ED72" s="1804">
        <v>0</v>
      </c>
      <c r="EE72" s="1804">
        <v>0</v>
      </c>
      <c r="EF72" s="1804">
        <v>0</v>
      </c>
      <c r="EG72" s="1804">
        <v>0</v>
      </c>
      <c r="EH72" s="1804">
        <v>0</v>
      </c>
      <c r="EI72" s="1804">
        <v>0</v>
      </c>
      <c r="EJ72" s="1804">
        <v>0</v>
      </c>
      <c r="EK72" s="1804">
        <v>0</v>
      </c>
      <c r="EL72" s="1804">
        <v>0</v>
      </c>
      <c r="EM72" s="1804">
        <v>0</v>
      </c>
      <c r="EN72" s="1804">
        <v>0</v>
      </c>
      <c r="EO72" s="1804">
        <v>0</v>
      </c>
      <c r="EP72" s="1804">
        <v>0</v>
      </c>
      <c r="EQ72" s="1804">
        <v>0</v>
      </c>
      <c r="ER72" s="1804">
        <v>0</v>
      </c>
      <c r="ES72" s="1804">
        <v>0</v>
      </c>
      <c r="ET72" s="1804">
        <v>0</v>
      </c>
      <c r="EU72" s="1804">
        <v>0</v>
      </c>
      <c r="EV72" s="1804">
        <v>0</v>
      </c>
      <c r="EW72" s="1804">
        <v>0</v>
      </c>
      <c r="EX72" s="1804">
        <v>0</v>
      </c>
      <c r="EY72" s="1804">
        <v>0</v>
      </c>
      <c r="EZ72" s="1804">
        <v>0</v>
      </c>
      <c r="FA72" s="1804">
        <v>0</v>
      </c>
      <c r="FB72" s="1804">
        <v>0</v>
      </c>
      <c r="FC72" s="1804">
        <v>0</v>
      </c>
      <c r="FD72" s="1804">
        <v>0</v>
      </c>
      <c r="FE72" s="1804">
        <v>0</v>
      </c>
      <c r="FF72" s="1804">
        <v>0</v>
      </c>
      <c r="FG72" s="1804">
        <v>0</v>
      </c>
      <c r="FH72" s="1804">
        <v>0</v>
      </c>
      <c r="FI72" s="1804">
        <v>0</v>
      </c>
      <c r="FJ72" s="1804">
        <v>0</v>
      </c>
      <c r="FK72" s="1804">
        <v>0</v>
      </c>
      <c r="FL72" s="1804">
        <v>0</v>
      </c>
      <c r="FM72" s="1804">
        <v>0</v>
      </c>
      <c r="FN72" s="1804">
        <v>0</v>
      </c>
      <c r="FO72" s="1804">
        <v>0</v>
      </c>
      <c r="FP72" s="1804">
        <v>0</v>
      </c>
      <c r="FQ72" s="1804">
        <v>0</v>
      </c>
      <c r="FR72" s="1804">
        <v>0</v>
      </c>
      <c r="FS72" s="1804">
        <v>0</v>
      </c>
      <c r="FT72" s="1804">
        <v>0</v>
      </c>
      <c r="FU72" s="1804">
        <v>0</v>
      </c>
      <c r="FV72" s="1804">
        <v>0</v>
      </c>
      <c r="FW72" s="1804">
        <v>0</v>
      </c>
      <c r="FX72" s="1804">
        <v>0</v>
      </c>
      <c r="FY72" s="1804">
        <v>0</v>
      </c>
      <c r="FZ72" s="1804">
        <v>0</v>
      </c>
      <c r="GA72" s="1804">
        <v>0</v>
      </c>
      <c r="GB72" s="1804">
        <v>0</v>
      </c>
      <c r="GC72" s="1804">
        <v>0</v>
      </c>
      <c r="GD72" s="1804">
        <v>0</v>
      </c>
      <c r="GE72" s="1804">
        <v>0</v>
      </c>
      <c r="GF72" s="1804">
        <v>0</v>
      </c>
      <c r="GG72" s="1804">
        <v>0</v>
      </c>
      <c r="GH72" s="1804">
        <v>0</v>
      </c>
      <c r="GI72" s="1804">
        <v>0</v>
      </c>
      <c r="GJ72" s="1804">
        <v>0</v>
      </c>
      <c r="GK72" s="1804">
        <v>0</v>
      </c>
      <c r="GL72" s="1804">
        <v>0</v>
      </c>
      <c r="GM72" s="1804">
        <v>0</v>
      </c>
      <c r="GN72" s="1804">
        <v>0</v>
      </c>
      <c r="GO72" s="1804">
        <v>0</v>
      </c>
      <c r="GP72" s="1804">
        <v>0</v>
      </c>
      <c r="GQ72" s="1804">
        <v>0</v>
      </c>
      <c r="GR72" s="1804">
        <v>0</v>
      </c>
      <c r="GS72" s="1804">
        <v>0</v>
      </c>
      <c r="GT72" s="1804">
        <v>0</v>
      </c>
      <c r="GU72" s="1804">
        <v>0</v>
      </c>
      <c r="GV72" s="1804">
        <v>0</v>
      </c>
      <c r="GW72" s="1804">
        <v>0</v>
      </c>
      <c r="GX72" s="1804">
        <v>0</v>
      </c>
      <c r="GY72" s="1804">
        <v>0</v>
      </c>
      <c r="GZ72" s="1804">
        <v>0</v>
      </c>
      <c r="HA72" s="1804">
        <v>0</v>
      </c>
      <c r="HB72" s="1804">
        <v>0</v>
      </c>
      <c r="HC72" s="1804">
        <v>0</v>
      </c>
      <c r="HD72" s="1804">
        <v>0</v>
      </c>
      <c r="HE72" s="1804">
        <v>0</v>
      </c>
    </row>
    <row r="73" spans="1:213" ht="15" customHeight="1" x14ac:dyDescent="0.2">
      <c r="A73" s="1966"/>
      <c r="B73" s="1989"/>
      <c r="C73" s="1818" t="s">
        <v>1367</v>
      </c>
      <c r="D73" s="1886"/>
      <c r="E73" s="1984"/>
      <c r="F73" s="1838">
        <v>0</v>
      </c>
      <c r="G73" s="1804">
        <v>0</v>
      </c>
      <c r="H73" s="1804">
        <v>0</v>
      </c>
      <c r="I73" s="1804">
        <v>0</v>
      </c>
      <c r="J73" s="1804">
        <v>0</v>
      </c>
      <c r="K73" s="1804">
        <v>0</v>
      </c>
      <c r="L73" s="1804">
        <v>0</v>
      </c>
      <c r="M73" s="1804">
        <v>0</v>
      </c>
      <c r="N73" s="1804">
        <v>0</v>
      </c>
      <c r="O73" s="1804">
        <v>0</v>
      </c>
      <c r="P73" s="1804">
        <v>0</v>
      </c>
      <c r="Q73" s="1804">
        <v>0</v>
      </c>
      <c r="R73" s="1804">
        <v>0</v>
      </c>
      <c r="S73" s="1804">
        <v>0</v>
      </c>
      <c r="T73" s="1804">
        <v>0</v>
      </c>
      <c r="U73" s="1804">
        <v>0</v>
      </c>
      <c r="V73" s="1804">
        <v>0</v>
      </c>
      <c r="W73" s="1804">
        <v>0</v>
      </c>
      <c r="X73" s="1804">
        <v>0</v>
      </c>
      <c r="Y73" s="1804">
        <v>0</v>
      </c>
      <c r="Z73" s="1804">
        <v>0</v>
      </c>
      <c r="AA73" s="1804">
        <v>0</v>
      </c>
      <c r="AB73" s="1804">
        <v>0</v>
      </c>
      <c r="AC73" s="1804">
        <v>0</v>
      </c>
      <c r="AD73" s="1804">
        <v>0</v>
      </c>
      <c r="AE73" s="1804">
        <v>0</v>
      </c>
      <c r="AF73" s="1804">
        <v>0</v>
      </c>
      <c r="AG73" s="1804">
        <v>0</v>
      </c>
      <c r="AH73" s="1804">
        <v>0</v>
      </c>
      <c r="AI73" s="1804">
        <v>0</v>
      </c>
      <c r="AJ73" s="1804">
        <v>0</v>
      </c>
      <c r="AK73" s="1804">
        <v>0</v>
      </c>
      <c r="AL73" s="1804">
        <v>0</v>
      </c>
      <c r="AM73" s="1804">
        <v>0</v>
      </c>
      <c r="AN73" s="1804">
        <v>0</v>
      </c>
      <c r="AO73" s="1804">
        <v>0</v>
      </c>
      <c r="AP73" s="1804">
        <v>0</v>
      </c>
      <c r="AQ73" s="1804">
        <v>0</v>
      </c>
      <c r="AR73" s="1804">
        <v>0</v>
      </c>
      <c r="AS73" s="1804">
        <v>0</v>
      </c>
      <c r="AT73" s="1804">
        <v>0</v>
      </c>
      <c r="AU73" s="1804">
        <v>0</v>
      </c>
      <c r="AV73" s="1804">
        <v>0</v>
      </c>
      <c r="AW73" s="1804">
        <v>0</v>
      </c>
      <c r="AX73" s="1804">
        <v>0</v>
      </c>
      <c r="AY73" s="1804">
        <v>0</v>
      </c>
      <c r="AZ73" s="1804">
        <v>0</v>
      </c>
      <c r="BA73" s="1804">
        <v>0</v>
      </c>
      <c r="BB73" s="1804">
        <v>0</v>
      </c>
      <c r="BC73" s="1804">
        <v>0</v>
      </c>
      <c r="BD73" s="1804">
        <v>0</v>
      </c>
      <c r="BE73" s="1804">
        <v>0</v>
      </c>
      <c r="BF73" s="1804">
        <v>0</v>
      </c>
      <c r="BG73" s="1804">
        <v>0</v>
      </c>
      <c r="BH73" s="1804">
        <v>0</v>
      </c>
      <c r="BI73" s="1804">
        <v>0</v>
      </c>
      <c r="BJ73" s="1804">
        <v>0</v>
      </c>
      <c r="BK73" s="1804">
        <v>0</v>
      </c>
      <c r="BL73" s="1804">
        <v>0</v>
      </c>
      <c r="BM73" s="1804">
        <v>0</v>
      </c>
      <c r="BN73" s="1804">
        <v>0</v>
      </c>
      <c r="BO73" s="1804">
        <v>0</v>
      </c>
      <c r="BP73" s="1804">
        <v>0</v>
      </c>
      <c r="BQ73" s="1804">
        <v>0</v>
      </c>
      <c r="BR73" s="1804">
        <v>0</v>
      </c>
      <c r="BS73" s="1804">
        <v>0</v>
      </c>
      <c r="BT73" s="1804">
        <v>0</v>
      </c>
      <c r="BU73" s="1804">
        <v>0</v>
      </c>
      <c r="BV73" s="1804">
        <v>0</v>
      </c>
      <c r="BW73" s="1804">
        <v>0</v>
      </c>
      <c r="BX73" s="1804">
        <v>0</v>
      </c>
      <c r="BY73" s="1804">
        <v>0</v>
      </c>
      <c r="BZ73" s="1804">
        <v>0</v>
      </c>
      <c r="CA73" s="1804">
        <v>0</v>
      </c>
      <c r="CB73" s="1804">
        <v>0</v>
      </c>
      <c r="CC73" s="1804">
        <v>0</v>
      </c>
      <c r="CD73" s="1804">
        <v>0</v>
      </c>
      <c r="CE73" s="1804">
        <v>0</v>
      </c>
      <c r="CF73" s="1804">
        <v>0</v>
      </c>
      <c r="CG73" s="1804">
        <v>0</v>
      </c>
      <c r="CH73" s="1804">
        <v>0</v>
      </c>
      <c r="CI73" s="1804">
        <v>0</v>
      </c>
      <c r="CJ73" s="1804">
        <v>0</v>
      </c>
      <c r="CK73" s="1804">
        <v>0</v>
      </c>
      <c r="CL73" s="1804">
        <v>0</v>
      </c>
      <c r="CM73" s="1804">
        <v>0</v>
      </c>
      <c r="CN73" s="1804">
        <v>0</v>
      </c>
      <c r="CO73" s="1804">
        <v>0</v>
      </c>
      <c r="CP73" s="1804">
        <v>0</v>
      </c>
      <c r="CQ73" s="1804">
        <v>0</v>
      </c>
      <c r="CR73" s="1804">
        <v>0</v>
      </c>
      <c r="CS73" s="1804">
        <v>0</v>
      </c>
      <c r="CT73" s="1804">
        <v>0</v>
      </c>
      <c r="CU73" s="1804">
        <v>0</v>
      </c>
      <c r="CV73" s="1804">
        <v>0</v>
      </c>
      <c r="CW73" s="1804">
        <v>0</v>
      </c>
      <c r="CX73" s="1804">
        <v>0</v>
      </c>
      <c r="CY73" s="1804">
        <v>0</v>
      </c>
      <c r="CZ73" s="1804">
        <v>0</v>
      </c>
      <c r="DA73" s="1804">
        <v>0</v>
      </c>
      <c r="DB73" s="1804">
        <v>0</v>
      </c>
      <c r="DC73" s="1804">
        <v>0</v>
      </c>
      <c r="DD73" s="1804">
        <v>0</v>
      </c>
      <c r="DE73" s="1804">
        <v>0</v>
      </c>
      <c r="DF73" s="1804">
        <v>0</v>
      </c>
      <c r="DG73" s="1804">
        <v>0</v>
      </c>
      <c r="DH73" s="1804">
        <v>0</v>
      </c>
      <c r="DI73" s="1804">
        <v>0</v>
      </c>
      <c r="DJ73" s="1804">
        <v>0</v>
      </c>
      <c r="DK73" s="1804">
        <v>0</v>
      </c>
      <c r="DL73" s="1804">
        <v>0</v>
      </c>
      <c r="DM73" s="1804">
        <v>0</v>
      </c>
      <c r="DN73" s="1804">
        <v>0</v>
      </c>
      <c r="DO73" s="1804">
        <v>0</v>
      </c>
      <c r="DP73" s="1804">
        <v>0</v>
      </c>
      <c r="DQ73" s="1804">
        <v>0</v>
      </c>
      <c r="DR73" s="1804">
        <v>0</v>
      </c>
      <c r="DS73" s="1804">
        <v>0</v>
      </c>
      <c r="DT73" s="1804">
        <v>0</v>
      </c>
      <c r="DU73" s="1804">
        <v>0</v>
      </c>
      <c r="DV73" s="1804">
        <v>0</v>
      </c>
      <c r="DW73" s="1804">
        <v>0</v>
      </c>
      <c r="DX73" s="1804">
        <v>0</v>
      </c>
      <c r="DY73" s="1804">
        <v>0</v>
      </c>
      <c r="DZ73" s="1804">
        <v>0</v>
      </c>
      <c r="EA73" s="1804">
        <v>0</v>
      </c>
      <c r="EB73" s="1804">
        <v>0</v>
      </c>
      <c r="EC73" s="1804">
        <v>0</v>
      </c>
      <c r="ED73" s="1804">
        <v>0</v>
      </c>
      <c r="EE73" s="1804">
        <v>0</v>
      </c>
      <c r="EF73" s="1804">
        <v>0</v>
      </c>
      <c r="EG73" s="1804">
        <v>0</v>
      </c>
      <c r="EH73" s="1804">
        <v>0</v>
      </c>
      <c r="EI73" s="1804">
        <v>0</v>
      </c>
      <c r="EJ73" s="1804">
        <v>0</v>
      </c>
      <c r="EK73" s="1804">
        <v>0</v>
      </c>
      <c r="EL73" s="1804">
        <v>0</v>
      </c>
      <c r="EM73" s="1804">
        <v>0</v>
      </c>
      <c r="EN73" s="1804">
        <v>0</v>
      </c>
      <c r="EO73" s="1804">
        <v>0</v>
      </c>
      <c r="EP73" s="1804">
        <v>0</v>
      </c>
      <c r="EQ73" s="1804">
        <v>0</v>
      </c>
      <c r="ER73" s="1804">
        <v>0</v>
      </c>
      <c r="ES73" s="1804">
        <v>0</v>
      </c>
      <c r="ET73" s="1804">
        <v>0</v>
      </c>
      <c r="EU73" s="1804">
        <v>0</v>
      </c>
      <c r="EV73" s="1804">
        <v>0</v>
      </c>
      <c r="EW73" s="1804">
        <v>0</v>
      </c>
      <c r="EX73" s="1804">
        <v>0</v>
      </c>
      <c r="EY73" s="1804">
        <v>0</v>
      </c>
      <c r="EZ73" s="1804">
        <v>0</v>
      </c>
      <c r="FA73" s="1804">
        <v>0</v>
      </c>
      <c r="FB73" s="1804">
        <v>0</v>
      </c>
      <c r="FC73" s="1804">
        <v>0</v>
      </c>
      <c r="FD73" s="1804">
        <v>0</v>
      </c>
      <c r="FE73" s="1804">
        <v>0</v>
      </c>
      <c r="FF73" s="1804">
        <v>0</v>
      </c>
      <c r="FG73" s="1804">
        <v>0</v>
      </c>
      <c r="FH73" s="1804">
        <v>0</v>
      </c>
      <c r="FI73" s="1804">
        <v>0</v>
      </c>
      <c r="FJ73" s="1804">
        <v>0</v>
      </c>
      <c r="FK73" s="1804">
        <v>0</v>
      </c>
      <c r="FL73" s="1804">
        <v>0</v>
      </c>
      <c r="FM73" s="1804">
        <v>0</v>
      </c>
      <c r="FN73" s="1804">
        <v>0</v>
      </c>
      <c r="FO73" s="1804">
        <v>0</v>
      </c>
      <c r="FP73" s="1804">
        <v>0</v>
      </c>
      <c r="FQ73" s="1804">
        <v>0</v>
      </c>
      <c r="FR73" s="1804">
        <v>0</v>
      </c>
      <c r="FS73" s="1804">
        <v>0</v>
      </c>
      <c r="FT73" s="1804">
        <v>0</v>
      </c>
      <c r="FU73" s="1804">
        <v>0</v>
      </c>
      <c r="FV73" s="1804">
        <v>0</v>
      </c>
      <c r="FW73" s="1804">
        <v>0</v>
      </c>
      <c r="FX73" s="1804">
        <v>0</v>
      </c>
      <c r="FY73" s="1804">
        <v>0</v>
      </c>
      <c r="FZ73" s="1804">
        <v>0</v>
      </c>
      <c r="GA73" s="1804">
        <v>0</v>
      </c>
      <c r="GB73" s="1804">
        <v>0</v>
      </c>
      <c r="GC73" s="1804">
        <v>0</v>
      </c>
      <c r="GD73" s="1804">
        <v>0</v>
      </c>
      <c r="GE73" s="1804">
        <v>0</v>
      </c>
      <c r="GF73" s="1804">
        <v>0</v>
      </c>
      <c r="GG73" s="1804">
        <v>0</v>
      </c>
      <c r="GH73" s="1804">
        <v>0</v>
      </c>
      <c r="GI73" s="1804">
        <v>0</v>
      </c>
      <c r="GJ73" s="1804">
        <v>0</v>
      </c>
      <c r="GK73" s="1804">
        <v>0</v>
      </c>
      <c r="GL73" s="1804">
        <v>0</v>
      </c>
      <c r="GM73" s="1804">
        <v>0</v>
      </c>
      <c r="GN73" s="1804">
        <v>0</v>
      </c>
      <c r="GO73" s="1804">
        <v>0</v>
      </c>
      <c r="GP73" s="1804">
        <v>0</v>
      </c>
      <c r="GQ73" s="1804">
        <v>0</v>
      </c>
      <c r="GR73" s="1804">
        <v>0</v>
      </c>
      <c r="GS73" s="1804">
        <v>0</v>
      </c>
      <c r="GT73" s="1804">
        <v>0</v>
      </c>
      <c r="GU73" s="1804">
        <v>0</v>
      </c>
      <c r="GV73" s="1804">
        <v>0</v>
      </c>
      <c r="GW73" s="1804">
        <v>0</v>
      </c>
      <c r="GX73" s="1804">
        <v>0</v>
      </c>
      <c r="GY73" s="1804">
        <v>0</v>
      </c>
      <c r="GZ73" s="1804">
        <v>0</v>
      </c>
      <c r="HA73" s="1804">
        <v>0</v>
      </c>
      <c r="HB73" s="1804">
        <v>0</v>
      </c>
      <c r="HC73" s="1804">
        <v>0</v>
      </c>
      <c r="HD73" s="1804">
        <v>0</v>
      </c>
      <c r="HE73" s="1804">
        <v>0</v>
      </c>
    </row>
    <row r="74" spans="1:213" ht="15" customHeight="1" x14ac:dyDescent="0.2">
      <c r="A74" s="1966"/>
      <c r="B74" s="1989"/>
      <c r="C74" s="1818" t="s">
        <v>739</v>
      </c>
      <c r="D74" s="1886"/>
      <c r="E74" s="1984"/>
      <c r="F74" s="1838">
        <v>0</v>
      </c>
      <c r="G74" s="1804">
        <v>0</v>
      </c>
      <c r="H74" s="1804">
        <v>0</v>
      </c>
      <c r="I74" s="1804">
        <v>0</v>
      </c>
      <c r="J74" s="1804">
        <v>0</v>
      </c>
      <c r="K74" s="1804">
        <v>0</v>
      </c>
      <c r="L74" s="1804">
        <v>0</v>
      </c>
      <c r="M74" s="1804">
        <v>0</v>
      </c>
      <c r="N74" s="1804">
        <v>0</v>
      </c>
      <c r="O74" s="1804">
        <v>0</v>
      </c>
      <c r="P74" s="1804">
        <v>0</v>
      </c>
      <c r="Q74" s="1804">
        <v>0</v>
      </c>
      <c r="R74" s="1804">
        <v>0</v>
      </c>
      <c r="S74" s="1804">
        <v>0</v>
      </c>
      <c r="T74" s="1804">
        <v>0</v>
      </c>
      <c r="U74" s="1804">
        <v>0</v>
      </c>
      <c r="V74" s="1804">
        <v>0</v>
      </c>
      <c r="W74" s="1804">
        <v>0</v>
      </c>
      <c r="X74" s="1804">
        <v>0</v>
      </c>
      <c r="Y74" s="1804">
        <v>0</v>
      </c>
      <c r="Z74" s="1804">
        <v>0</v>
      </c>
      <c r="AA74" s="1804">
        <v>0</v>
      </c>
      <c r="AB74" s="1804">
        <v>0</v>
      </c>
      <c r="AC74" s="1804">
        <v>0</v>
      </c>
      <c r="AD74" s="1804">
        <v>0</v>
      </c>
      <c r="AE74" s="1804">
        <v>0</v>
      </c>
      <c r="AF74" s="1804">
        <v>0</v>
      </c>
      <c r="AG74" s="1804">
        <v>0</v>
      </c>
      <c r="AH74" s="1804">
        <v>0</v>
      </c>
      <c r="AI74" s="1804">
        <v>0</v>
      </c>
      <c r="AJ74" s="1804">
        <v>0</v>
      </c>
      <c r="AK74" s="1804">
        <v>0</v>
      </c>
      <c r="AL74" s="1804">
        <v>0</v>
      </c>
      <c r="AM74" s="1804">
        <v>0</v>
      </c>
      <c r="AN74" s="1804">
        <v>0</v>
      </c>
      <c r="AO74" s="1804">
        <v>0</v>
      </c>
      <c r="AP74" s="1804">
        <v>0</v>
      </c>
      <c r="AQ74" s="1804">
        <v>0</v>
      </c>
      <c r="AR74" s="1804">
        <v>0</v>
      </c>
      <c r="AS74" s="1804">
        <v>0</v>
      </c>
      <c r="AT74" s="1804">
        <v>0</v>
      </c>
      <c r="AU74" s="1804">
        <v>0</v>
      </c>
      <c r="AV74" s="1804">
        <v>0</v>
      </c>
      <c r="AW74" s="1804">
        <v>0</v>
      </c>
      <c r="AX74" s="1804">
        <v>0</v>
      </c>
      <c r="AY74" s="1804">
        <v>0</v>
      </c>
      <c r="AZ74" s="1804">
        <v>0</v>
      </c>
      <c r="BA74" s="1804">
        <v>0</v>
      </c>
      <c r="BB74" s="1804">
        <v>0</v>
      </c>
      <c r="BC74" s="1804">
        <v>0</v>
      </c>
      <c r="BD74" s="1804">
        <v>0</v>
      </c>
      <c r="BE74" s="1804">
        <v>0</v>
      </c>
      <c r="BF74" s="1804">
        <v>0</v>
      </c>
      <c r="BG74" s="1804">
        <v>0</v>
      </c>
      <c r="BH74" s="1804">
        <v>0</v>
      </c>
      <c r="BI74" s="1804">
        <v>0</v>
      </c>
      <c r="BJ74" s="1804">
        <v>0</v>
      </c>
      <c r="BK74" s="1804">
        <v>0</v>
      </c>
      <c r="BL74" s="1804">
        <v>0</v>
      </c>
      <c r="BM74" s="1804">
        <v>0</v>
      </c>
      <c r="BN74" s="1804">
        <v>0</v>
      </c>
      <c r="BO74" s="1804">
        <v>0</v>
      </c>
      <c r="BP74" s="1804">
        <v>0</v>
      </c>
      <c r="BQ74" s="1804">
        <v>0</v>
      </c>
      <c r="BR74" s="1804">
        <v>0</v>
      </c>
      <c r="BS74" s="1804">
        <v>0</v>
      </c>
      <c r="BT74" s="1804">
        <v>0</v>
      </c>
      <c r="BU74" s="1804">
        <v>0</v>
      </c>
      <c r="BV74" s="1804">
        <v>0</v>
      </c>
      <c r="BW74" s="1804">
        <v>0</v>
      </c>
      <c r="BX74" s="1804">
        <v>0</v>
      </c>
      <c r="BY74" s="1804">
        <v>0</v>
      </c>
      <c r="BZ74" s="1804">
        <v>0</v>
      </c>
      <c r="CA74" s="1804">
        <v>0</v>
      </c>
      <c r="CB74" s="1804">
        <v>0</v>
      </c>
      <c r="CC74" s="1804">
        <v>0</v>
      </c>
      <c r="CD74" s="1804">
        <v>0</v>
      </c>
      <c r="CE74" s="1804">
        <v>0</v>
      </c>
      <c r="CF74" s="1804">
        <v>0</v>
      </c>
      <c r="CG74" s="1804">
        <v>0</v>
      </c>
      <c r="CH74" s="1804">
        <v>0</v>
      </c>
      <c r="CI74" s="1804">
        <v>0</v>
      </c>
      <c r="CJ74" s="1804">
        <v>0</v>
      </c>
      <c r="CK74" s="1804">
        <v>0</v>
      </c>
      <c r="CL74" s="1804">
        <v>0</v>
      </c>
      <c r="CM74" s="1804">
        <v>0</v>
      </c>
      <c r="CN74" s="1804">
        <v>0</v>
      </c>
      <c r="CO74" s="1804">
        <v>0</v>
      </c>
      <c r="CP74" s="1804">
        <v>0</v>
      </c>
      <c r="CQ74" s="1804">
        <v>0</v>
      </c>
      <c r="CR74" s="1804">
        <v>0</v>
      </c>
      <c r="CS74" s="1804">
        <v>0</v>
      </c>
      <c r="CT74" s="1804">
        <v>0</v>
      </c>
      <c r="CU74" s="1804">
        <v>0</v>
      </c>
      <c r="CV74" s="1804">
        <v>0</v>
      </c>
      <c r="CW74" s="1804">
        <v>0</v>
      </c>
      <c r="CX74" s="1804">
        <v>0</v>
      </c>
      <c r="CY74" s="1804">
        <v>0</v>
      </c>
      <c r="CZ74" s="1804">
        <v>0</v>
      </c>
      <c r="DA74" s="1804">
        <v>0</v>
      </c>
      <c r="DB74" s="1804">
        <v>0</v>
      </c>
      <c r="DC74" s="1804">
        <v>0</v>
      </c>
      <c r="DD74" s="1804">
        <v>0</v>
      </c>
      <c r="DE74" s="1804">
        <v>0</v>
      </c>
      <c r="DF74" s="1804">
        <v>0</v>
      </c>
      <c r="DG74" s="1804">
        <v>0</v>
      </c>
      <c r="DH74" s="1804">
        <v>0</v>
      </c>
      <c r="DI74" s="1804">
        <v>0</v>
      </c>
      <c r="DJ74" s="1804">
        <v>0</v>
      </c>
      <c r="DK74" s="1804">
        <v>0</v>
      </c>
      <c r="DL74" s="1804">
        <v>0</v>
      </c>
      <c r="DM74" s="1804">
        <v>0</v>
      </c>
      <c r="DN74" s="1804">
        <v>0</v>
      </c>
      <c r="DO74" s="1804">
        <v>0</v>
      </c>
      <c r="DP74" s="1804">
        <v>0</v>
      </c>
      <c r="DQ74" s="1804">
        <v>0</v>
      </c>
      <c r="DR74" s="1804">
        <v>0</v>
      </c>
      <c r="DS74" s="1804">
        <v>0</v>
      </c>
      <c r="DT74" s="1804">
        <v>0</v>
      </c>
      <c r="DU74" s="1804">
        <v>0</v>
      </c>
      <c r="DV74" s="1804">
        <v>0</v>
      </c>
      <c r="DW74" s="1804">
        <v>0</v>
      </c>
      <c r="DX74" s="1804">
        <v>0</v>
      </c>
      <c r="DY74" s="1804">
        <v>0</v>
      </c>
      <c r="DZ74" s="1804">
        <v>0</v>
      </c>
      <c r="EA74" s="1804">
        <v>0</v>
      </c>
      <c r="EB74" s="1804">
        <v>0</v>
      </c>
      <c r="EC74" s="1804">
        <v>0</v>
      </c>
      <c r="ED74" s="1804">
        <v>0</v>
      </c>
      <c r="EE74" s="1804">
        <v>0</v>
      </c>
      <c r="EF74" s="1804">
        <v>0</v>
      </c>
      <c r="EG74" s="1804">
        <v>0</v>
      </c>
      <c r="EH74" s="1804">
        <v>0</v>
      </c>
      <c r="EI74" s="1804">
        <v>0</v>
      </c>
      <c r="EJ74" s="1804">
        <v>0</v>
      </c>
      <c r="EK74" s="1804">
        <v>0</v>
      </c>
      <c r="EL74" s="1804">
        <v>0</v>
      </c>
      <c r="EM74" s="1804">
        <v>0</v>
      </c>
      <c r="EN74" s="1804">
        <v>0</v>
      </c>
      <c r="EO74" s="1804">
        <v>0</v>
      </c>
      <c r="EP74" s="1804">
        <v>0</v>
      </c>
      <c r="EQ74" s="1804">
        <v>0</v>
      </c>
      <c r="ER74" s="1804">
        <v>0</v>
      </c>
      <c r="ES74" s="1804">
        <v>0</v>
      </c>
      <c r="ET74" s="1804">
        <v>0</v>
      </c>
      <c r="EU74" s="1804">
        <v>0</v>
      </c>
      <c r="EV74" s="1804">
        <v>0</v>
      </c>
      <c r="EW74" s="1804">
        <v>0</v>
      </c>
      <c r="EX74" s="1804">
        <v>0</v>
      </c>
      <c r="EY74" s="1804">
        <v>0</v>
      </c>
      <c r="EZ74" s="1804">
        <v>0</v>
      </c>
      <c r="FA74" s="1804">
        <v>0</v>
      </c>
      <c r="FB74" s="1804">
        <v>0</v>
      </c>
      <c r="FC74" s="1804">
        <v>0</v>
      </c>
      <c r="FD74" s="1804">
        <v>0</v>
      </c>
      <c r="FE74" s="1804">
        <v>0</v>
      </c>
      <c r="FF74" s="1804">
        <v>0</v>
      </c>
      <c r="FG74" s="1804">
        <v>0</v>
      </c>
      <c r="FH74" s="1804">
        <v>0</v>
      </c>
      <c r="FI74" s="1804">
        <v>0</v>
      </c>
      <c r="FJ74" s="1804">
        <v>0</v>
      </c>
      <c r="FK74" s="1804">
        <v>0</v>
      </c>
      <c r="FL74" s="1804">
        <v>0</v>
      </c>
      <c r="FM74" s="1804">
        <v>0</v>
      </c>
      <c r="FN74" s="1804">
        <v>0</v>
      </c>
      <c r="FO74" s="1804">
        <v>0</v>
      </c>
      <c r="FP74" s="1804">
        <v>0</v>
      </c>
      <c r="FQ74" s="1804">
        <v>0</v>
      </c>
      <c r="FR74" s="1804">
        <v>0</v>
      </c>
      <c r="FS74" s="1804">
        <v>0</v>
      </c>
      <c r="FT74" s="1804">
        <v>0</v>
      </c>
      <c r="FU74" s="1804">
        <v>0</v>
      </c>
      <c r="FV74" s="1804">
        <v>0</v>
      </c>
      <c r="FW74" s="1804">
        <v>0</v>
      </c>
      <c r="FX74" s="1804">
        <v>0</v>
      </c>
      <c r="FY74" s="1804">
        <v>0</v>
      </c>
      <c r="FZ74" s="1804">
        <v>0</v>
      </c>
      <c r="GA74" s="1804">
        <v>0</v>
      </c>
      <c r="GB74" s="1804">
        <v>0</v>
      </c>
      <c r="GC74" s="1804">
        <v>0</v>
      </c>
      <c r="GD74" s="1804">
        <v>0</v>
      </c>
      <c r="GE74" s="1804">
        <v>0</v>
      </c>
      <c r="GF74" s="1804">
        <v>0</v>
      </c>
      <c r="GG74" s="1804">
        <v>0</v>
      </c>
      <c r="GH74" s="1804">
        <v>0</v>
      </c>
      <c r="GI74" s="1804">
        <v>0</v>
      </c>
      <c r="GJ74" s="1804">
        <v>0</v>
      </c>
      <c r="GK74" s="1804">
        <v>0</v>
      </c>
      <c r="GL74" s="1804">
        <v>0</v>
      </c>
      <c r="GM74" s="1804">
        <v>0</v>
      </c>
      <c r="GN74" s="1804">
        <v>0</v>
      </c>
      <c r="GO74" s="1804">
        <v>0</v>
      </c>
      <c r="GP74" s="1804">
        <v>0</v>
      </c>
      <c r="GQ74" s="1804">
        <v>0</v>
      </c>
      <c r="GR74" s="1804">
        <v>0</v>
      </c>
      <c r="GS74" s="1804">
        <v>0</v>
      </c>
      <c r="GT74" s="1804">
        <v>0</v>
      </c>
      <c r="GU74" s="1804">
        <v>0</v>
      </c>
      <c r="GV74" s="1804">
        <v>0</v>
      </c>
      <c r="GW74" s="1804">
        <v>0</v>
      </c>
      <c r="GX74" s="1804">
        <v>0</v>
      </c>
      <c r="GY74" s="1804">
        <v>0</v>
      </c>
      <c r="GZ74" s="1804">
        <v>0</v>
      </c>
      <c r="HA74" s="1804">
        <v>0</v>
      </c>
      <c r="HB74" s="1804">
        <v>0</v>
      </c>
      <c r="HC74" s="1804">
        <v>0</v>
      </c>
      <c r="HD74" s="1804">
        <v>0</v>
      </c>
      <c r="HE74" s="1804">
        <v>0</v>
      </c>
    </row>
    <row r="75" spans="1:213" ht="15" customHeight="1" x14ac:dyDescent="0.2">
      <c r="A75" s="1966"/>
      <c r="B75" s="1989"/>
      <c r="C75" s="1818" t="s">
        <v>740</v>
      </c>
      <c r="D75" s="1886"/>
      <c r="E75" s="1984"/>
      <c r="F75" s="1838">
        <v>0</v>
      </c>
      <c r="G75" s="1804">
        <v>0</v>
      </c>
      <c r="H75" s="1804">
        <v>0</v>
      </c>
      <c r="I75" s="1804">
        <v>0</v>
      </c>
      <c r="J75" s="1804">
        <v>0</v>
      </c>
      <c r="K75" s="1804">
        <v>0</v>
      </c>
      <c r="L75" s="1804">
        <v>0</v>
      </c>
      <c r="M75" s="1804">
        <v>0</v>
      </c>
      <c r="N75" s="1804">
        <v>0</v>
      </c>
      <c r="O75" s="1804">
        <v>0</v>
      </c>
      <c r="P75" s="1804">
        <v>0</v>
      </c>
      <c r="Q75" s="1804">
        <v>0</v>
      </c>
      <c r="R75" s="1804">
        <v>0</v>
      </c>
      <c r="S75" s="1804">
        <v>0</v>
      </c>
      <c r="T75" s="1804">
        <v>0</v>
      </c>
      <c r="U75" s="1804">
        <v>0</v>
      </c>
      <c r="V75" s="1804">
        <v>0</v>
      </c>
      <c r="W75" s="1804">
        <v>0</v>
      </c>
      <c r="X75" s="1804">
        <v>0</v>
      </c>
      <c r="Y75" s="1804">
        <v>0</v>
      </c>
      <c r="Z75" s="1804">
        <v>0</v>
      </c>
      <c r="AA75" s="1804">
        <v>0</v>
      </c>
      <c r="AB75" s="1804">
        <v>0</v>
      </c>
      <c r="AC75" s="1804">
        <v>0</v>
      </c>
      <c r="AD75" s="1804">
        <v>0</v>
      </c>
      <c r="AE75" s="1804">
        <v>0</v>
      </c>
      <c r="AF75" s="1804">
        <v>0</v>
      </c>
      <c r="AG75" s="1804">
        <v>0</v>
      </c>
      <c r="AH75" s="1804">
        <v>0</v>
      </c>
      <c r="AI75" s="1804">
        <v>0</v>
      </c>
      <c r="AJ75" s="1804">
        <v>0</v>
      </c>
      <c r="AK75" s="1804">
        <v>0</v>
      </c>
      <c r="AL75" s="1804">
        <v>0</v>
      </c>
      <c r="AM75" s="1804">
        <v>0</v>
      </c>
      <c r="AN75" s="1804">
        <v>0</v>
      </c>
      <c r="AO75" s="1804">
        <v>0</v>
      </c>
      <c r="AP75" s="1804">
        <v>0</v>
      </c>
      <c r="AQ75" s="1804">
        <v>0</v>
      </c>
      <c r="AR75" s="1804">
        <v>0</v>
      </c>
      <c r="AS75" s="1804">
        <v>0</v>
      </c>
      <c r="AT75" s="1804">
        <v>0</v>
      </c>
      <c r="AU75" s="1804">
        <v>0</v>
      </c>
      <c r="AV75" s="1804">
        <v>0</v>
      </c>
      <c r="AW75" s="1804">
        <v>0</v>
      </c>
      <c r="AX75" s="1804">
        <v>0</v>
      </c>
      <c r="AY75" s="1804">
        <v>0</v>
      </c>
      <c r="AZ75" s="1804">
        <v>0</v>
      </c>
      <c r="BA75" s="1804">
        <v>0</v>
      </c>
      <c r="BB75" s="1804">
        <v>0</v>
      </c>
      <c r="BC75" s="1804">
        <v>0</v>
      </c>
      <c r="BD75" s="1804">
        <v>0</v>
      </c>
      <c r="BE75" s="1804">
        <v>0</v>
      </c>
      <c r="BF75" s="1804">
        <v>0</v>
      </c>
      <c r="BG75" s="1804">
        <v>0</v>
      </c>
      <c r="BH75" s="1804">
        <v>0</v>
      </c>
      <c r="BI75" s="1804">
        <v>0</v>
      </c>
      <c r="BJ75" s="1804">
        <v>0</v>
      </c>
      <c r="BK75" s="1804">
        <v>0</v>
      </c>
      <c r="BL75" s="1804">
        <v>0</v>
      </c>
      <c r="BM75" s="1804">
        <v>0</v>
      </c>
      <c r="BN75" s="1804">
        <v>0</v>
      </c>
      <c r="BO75" s="1804">
        <v>0</v>
      </c>
      <c r="BP75" s="1804">
        <v>0</v>
      </c>
      <c r="BQ75" s="1804">
        <v>0</v>
      </c>
      <c r="BR75" s="1804">
        <v>0</v>
      </c>
      <c r="BS75" s="1804">
        <v>0</v>
      </c>
      <c r="BT75" s="1804">
        <v>0</v>
      </c>
      <c r="BU75" s="1804">
        <v>0</v>
      </c>
      <c r="BV75" s="1804">
        <v>0</v>
      </c>
      <c r="BW75" s="1804">
        <v>0</v>
      </c>
      <c r="BX75" s="1804">
        <v>0</v>
      </c>
      <c r="BY75" s="1804">
        <v>0</v>
      </c>
      <c r="BZ75" s="1804">
        <v>0</v>
      </c>
      <c r="CA75" s="1804">
        <v>0</v>
      </c>
      <c r="CB75" s="1804">
        <v>0</v>
      </c>
      <c r="CC75" s="1804">
        <v>0</v>
      </c>
      <c r="CD75" s="1804">
        <v>0</v>
      </c>
      <c r="CE75" s="1804">
        <v>0</v>
      </c>
      <c r="CF75" s="1804">
        <v>0</v>
      </c>
      <c r="CG75" s="1804">
        <v>0</v>
      </c>
      <c r="CH75" s="1804">
        <v>0</v>
      </c>
      <c r="CI75" s="1804">
        <v>0</v>
      </c>
      <c r="CJ75" s="1804">
        <v>0</v>
      </c>
      <c r="CK75" s="1804">
        <v>0</v>
      </c>
      <c r="CL75" s="1804">
        <v>0</v>
      </c>
      <c r="CM75" s="1804">
        <v>0</v>
      </c>
      <c r="CN75" s="1804">
        <v>0</v>
      </c>
      <c r="CO75" s="1804">
        <v>0</v>
      </c>
      <c r="CP75" s="1804">
        <v>0</v>
      </c>
      <c r="CQ75" s="1804">
        <v>0</v>
      </c>
      <c r="CR75" s="1804">
        <v>0</v>
      </c>
      <c r="CS75" s="1804">
        <v>0</v>
      </c>
      <c r="CT75" s="1804">
        <v>0</v>
      </c>
      <c r="CU75" s="1804">
        <v>0</v>
      </c>
      <c r="CV75" s="1804">
        <v>0</v>
      </c>
      <c r="CW75" s="1804">
        <v>0</v>
      </c>
      <c r="CX75" s="1804">
        <v>0</v>
      </c>
      <c r="CY75" s="1804">
        <v>0</v>
      </c>
      <c r="CZ75" s="1804">
        <v>0</v>
      </c>
      <c r="DA75" s="1804">
        <v>0</v>
      </c>
      <c r="DB75" s="1804">
        <v>0</v>
      </c>
      <c r="DC75" s="1804">
        <v>0</v>
      </c>
      <c r="DD75" s="1804">
        <v>0</v>
      </c>
      <c r="DE75" s="1804">
        <v>0</v>
      </c>
      <c r="DF75" s="1804">
        <v>0</v>
      </c>
      <c r="DG75" s="1804">
        <v>0</v>
      </c>
      <c r="DH75" s="1804">
        <v>0</v>
      </c>
      <c r="DI75" s="1804">
        <v>0</v>
      </c>
      <c r="DJ75" s="1804">
        <v>0</v>
      </c>
      <c r="DK75" s="1804">
        <v>0</v>
      </c>
      <c r="DL75" s="1804">
        <v>0</v>
      </c>
      <c r="DM75" s="1804">
        <v>0</v>
      </c>
      <c r="DN75" s="1804">
        <v>0</v>
      </c>
      <c r="DO75" s="1804">
        <v>0</v>
      </c>
      <c r="DP75" s="1804">
        <v>0</v>
      </c>
      <c r="DQ75" s="1804">
        <v>0</v>
      </c>
      <c r="DR75" s="1804">
        <v>0</v>
      </c>
      <c r="DS75" s="1804">
        <v>0</v>
      </c>
      <c r="DT75" s="1804">
        <v>0</v>
      </c>
      <c r="DU75" s="1804">
        <v>0</v>
      </c>
      <c r="DV75" s="1804">
        <v>0</v>
      </c>
      <c r="DW75" s="1804">
        <v>0</v>
      </c>
      <c r="DX75" s="1804">
        <v>0</v>
      </c>
      <c r="DY75" s="1804">
        <v>0</v>
      </c>
      <c r="DZ75" s="1804">
        <v>0</v>
      </c>
      <c r="EA75" s="1804">
        <v>0</v>
      </c>
      <c r="EB75" s="1804">
        <v>0</v>
      </c>
      <c r="EC75" s="1804">
        <v>0</v>
      </c>
      <c r="ED75" s="1804">
        <v>0</v>
      </c>
      <c r="EE75" s="1804">
        <v>0</v>
      </c>
      <c r="EF75" s="1804">
        <v>0</v>
      </c>
      <c r="EG75" s="1804">
        <v>0</v>
      </c>
      <c r="EH75" s="1804">
        <v>0</v>
      </c>
      <c r="EI75" s="1804">
        <v>0</v>
      </c>
      <c r="EJ75" s="1804">
        <v>0</v>
      </c>
      <c r="EK75" s="1804">
        <v>0</v>
      </c>
      <c r="EL75" s="1804">
        <v>0</v>
      </c>
      <c r="EM75" s="1804">
        <v>0</v>
      </c>
      <c r="EN75" s="1804">
        <v>0</v>
      </c>
      <c r="EO75" s="1804">
        <v>0</v>
      </c>
      <c r="EP75" s="1804">
        <v>0</v>
      </c>
      <c r="EQ75" s="1804">
        <v>0</v>
      </c>
      <c r="ER75" s="1804">
        <v>0</v>
      </c>
      <c r="ES75" s="1804">
        <v>0</v>
      </c>
      <c r="ET75" s="1804">
        <v>0</v>
      </c>
      <c r="EU75" s="1804">
        <v>0</v>
      </c>
      <c r="EV75" s="1804">
        <v>0</v>
      </c>
      <c r="EW75" s="1804">
        <v>0</v>
      </c>
      <c r="EX75" s="1804">
        <v>0</v>
      </c>
      <c r="EY75" s="1804">
        <v>0</v>
      </c>
      <c r="EZ75" s="1804">
        <v>0</v>
      </c>
      <c r="FA75" s="1804">
        <v>0</v>
      </c>
      <c r="FB75" s="1804">
        <v>0</v>
      </c>
      <c r="FC75" s="1804">
        <v>0</v>
      </c>
      <c r="FD75" s="1804">
        <v>0</v>
      </c>
      <c r="FE75" s="1804">
        <v>0</v>
      </c>
      <c r="FF75" s="1804">
        <v>0</v>
      </c>
      <c r="FG75" s="1804">
        <v>0</v>
      </c>
      <c r="FH75" s="1804">
        <v>0</v>
      </c>
      <c r="FI75" s="1804">
        <v>0</v>
      </c>
      <c r="FJ75" s="1804">
        <v>0</v>
      </c>
      <c r="FK75" s="1804">
        <v>0</v>
      </c>
      <c r="FL75" s="1804">
        <v>0</v>
      </c>
      <c r="FM75" s="1804">
        <v>0</v>
      </c>
      <c r="FN75" s="1804">
        <v>0</v>
      </c>
      <c r="FO75" s="1804">
        <v>0</v>
      </c>
      <c r="FP75" s="1804">
        <v>0</v>
      </c>
      <c r="FQ75" s="1804">
        <v>0</v>
      </c>
      <c r="FR75" s="1804">
        <v>0</v>
      </c>
      <c r="FS75" s="1804">
        <v>0</v>
      </c>
      <c r="FT75" s="1804">
        <v>0</v>
      </c>
      <c r="FU75" s="1804">
        <v>0</v>
      </c>
      <c r="FV75" s="1804">
        <v>0</v>
      </c>
      <c r="FW75" s="1804">
        <v>0</v>
      </c>
      <c r="FX75" s="1804">
        <v>0</v>
      </c>
      <c r="FY75" s="1804">
        <v>0</v>
      </c>
      <c r="FZ75" s="1804">
        <v>0</v>
      </c>
      <c r="GA75" s="1804">
        <v>0</v>
      </c>
      <c r="GB75" s="1804">
        <v>0</v>
      </c>
      <c r="GC75" s="1804">
        <v>0</v>
      </c>
      <c r="GD75" s="1804">
        <v>0</v>
      </c>
      <c r="GE75" s="1804">
        <v>0</v>
      </c>
      <c r="GF75" s="1804">
        <v>0</v>
      </c>
      <c r="GG75" s="1804">
        <v>0</v>
      </c>
      <c r="GH75" s="1804">
        <v>0</v>
      </c>
      <c r="GI75" s="1804">
        <v>0</v>
      </c>
      <c r="GJ75" s="1804">
        <v>0</v>
      </c>
      <c r="GK75" s="1804">
        <v>0</v>
      </c>
      <c r="GL75" s="1804">
        <v>0</v>
      </c>
      <c r="GM75" s="1804">
        <v>0</v>
      </c>
      <c r="GN75" s="1804">
        <v>0</v>
      </c>
      <c r="GO75" s="1804">
        <v>0</v>
      </c>
      <c r="GP75" s="1804">
        <v>0</v>
      </c>
      <c r="GQ75" s="1804">
        <v>0</v>
      </c>
      <c r="GR75" s="1804">
        <v>0</v>
      </c>
      <c r="GS75" s="1804">
        <v>0</v>
      </c>
      <c r="GT75" s="1804">
        <v>0</v>
      </c>
      <c r="GU75" s="1804">
        <v>0</v>
      </c>
      <c r="GV75" s="1804">
        <v>0</v>
      </c>
      <c r="GW75" s="1804">
        <v>0</v>
      </c>
      <c r="GX75" s="1804">
        <v>0</v>
      </c>
      <c r="GY75" s="1804">
        <v>0</v>
      </c>
      <c r="GZ75" s="1804">
        <v>0</v>
      </c>
      <c r="HA75" s="1804">
        <v>0</v>
      </c>
      <c r="HB75" s="1804">
        <v>0</v>
      </c>
      <c r="HC75" s="1804">
        <v>0</v>
      </c>
      <c r="HD75" s="1804">
        <v>0</v>
      </c>
      <c r="HE75" s="1804">
        <v>0</v>
      </c>
    </row>
    <row r="76" spans="1:213" ht="15" customHeight="1" x14ac:dyDescent="0.2">
      <c r="A76" s="1966"/>
      <c r="B76" s="1989"/>
      <c r="C76" s="1818" t="s">
        <v>741</v>
      </c>
      <c r="D76" s="1886"/>
      <c r="E76" s="1984"/>
      <c r="F76" s="1838">
        <v>0</v>
      </c>
      <c r="G76" s="1804">
        <v>0</v>
      </c>
      <c r="H76" s="1804">
        <v>0</v>
      </c>
      <c r="I76" s="1804">
        <v>0</v>
      </c>
      <c r="J76" s="1804">
        <v>0</v>
      </c>
      <c r="K76" s="1804">
        <v>0</v>
      </c>
      <c r="L76" s="1804">
        <v>0</v>
      </c>
      <c r="M76" s="1804">
        <v>0</v>
      </c>
      <c r="N76" s="1804">
        <v>0</v>
      </c>
      <c r="O76" s="1804">
        <v>0</v>
      </c>
      <c r="P76" s="1804">
        <v>0</v>
      </c>
      <c r="Q76" s="1804">
        <v>0</v>
      </c>
      <c r="R76" s="1804">
        <v>0</v>
      </c>
      <c r="S76" s="1804">
        <v>0</v>
      </c>
      <c r="T76" s="1804">
        <v>0</v>
      </c>
      <c r="U76" s="1804">
        <v>0</v>
      </c>
      <c r="V76" s="1804">
        <v>0</v>
      </c>
      <c r="W76" s="1804">
        <v>0</v>
      </c>
      <c r="X76" s="1804">
        <v>0</v>
      </c>
      <c r="Y76" s="1804">
        <v>0</v>
      </c>
      <c r="Z76" s="1804">
        <v>0</v>
      </c>
      <c r="AA76" s="1804">
        <v>0</v>
      </c>
      <c r="AB76" s="1804">
        <v>0</v>
      </c>
      <c r="AC76" s="1804">
        <v>0</v>
      </c>
      <c r="AD76" s="1804">
        <v>0</v>
      </c>
      <c r="AE76" s="1804">
        <v>0</v>
      </c>
      <c r="AF76" s="1804">
        <v>0</v>
      </c>
      <c r="AG76" s="1804">
        <v>0</v>
      </c>
      <c r="AH76" s="1804">
        <v>0</v>
      </c>
      <c r="AI76" s="1804">
        <v>0</v>
      </c>
      <c r="AJ76" s="1804">
        <v>0</v>
      </c>
      <c r="AK76" s="1804">
        <v>0</v>
      </c>
      <c r="AL76" s="1804">
        <v>0</v>
      </c>
      <c r="AM76" s="1804">
        <v>0</v>
      </c>
      <c r="AN76" s="1804">
        <v>0</v>
      </c>
      <c r="AO76" s="1804">
        <v>0</v>
      </c>
      <c r="AP76" s="1804">
        <v>0</v>
      </c>
      <c r="AQ76" s="1804">
        <v>0</v>
      </c>
      <c r="AR76" s="1804">
        <v>0</v>
      </c>
      <c r="AS76" s="1804">
        <v>0</v>
      </c>
      <c r="AT76" s="1804">
        <v>0</v>
      </c>
      <c r="AU76" s="1804">
        <v>0</v>
      </c>
      <c r="AV76" s="1804">
        <v>0</v>
      </c>
      <c r="AW76" s="1804">
        <v>0</v>
      </c>
      <c r="AX76" s="1804">
        <v>0</v>
      </c>
      <c r="AY76" s="1804">
        <v>0</v>
      </c>
      <c r="AZ76" s="1804">
        <v>0</v>
      </c>
      <c r="BA76" s="1804">
        <v>0</v>
      </c>
      <c r="BB76" s="1804">
        <v>0</v>
      </c>
      <c r="BC76" s="1804">
        <v>0</v>
      </c>
      <c r="BD76" s="1804">
        <v>0</v>
      </c>
      <c r="BE76" s="1804">
        <v>0</v>
      </c>
      <c r="BF76" s="1804">
        <v>0</v>
      </c>
      <c r="BG76" s="1804">
        <v>0</v>
      </c>
      <c r="BH76" s="1804">
        <v>0</v>
      </c>
      <c r="BI76" s="1804">
        <v>0</v>
      </c>
      <c r="BJ76" s="1804">
        <v>0</v>
      </c>
      <c r="BK76" s="1804">
        <v>0</v>
      </c>
      <c r="BL76" s="1804">
        <v>0</v>
      </c>
      <c r="BM76" s="1804">
        <v>0</v>
      </c>
      <c r="BN76" s="1804">
        <v>0</v>
      </c>
      <c r="BO76" s="1804">
        <v>0</v>
      </c>
      <c r="BP76" s="1804">
        <v>0</v>
      </c>
      <c r="BQ76" s="1804">
        <v>0</v>
      </c>
      <c r="BR76" s="1804">
        <v>0</v>
      </c>
      <c r="BS76" s="1804">
        <v>0</v>
      </c>
      <c r="BT76" s="1804">
        <v>0</v>
      </c>
      <c r="BU76" s="1804">
        <v>0</v>
      </c>
      <c r="BV76" s="1804">
        <v>0</v>
      </c>
      <c r="BW76" s="1804">
        <v>0</v>
      </c>
      <c r="BX76" s="1804">
        <v>0</v>
      </c>
      <c r="BY76" s="1804">
        <v>0</v>
      </c>
      <c r="BZ76" s="1804">
        <v>0</v>
      </c>
      <c r="CA76" s="1804">
        <v>0</v>
      </c>
      <c r="CB76" s="1804">
        <v>0</v>
      </c>
      <c r="CC76" s="1804">
        <v>0</v>
      </c>
      <c r="CD76" s="1804">
        <v>0</v>
      </c>
      <c r="CE76" s="1804">
        <v>0</v>
      </c>
      <c r="CF76" s="1804">
        <v>0</v>
      </c>
      <c r="CG76" s="1804">
        <v>0</v>
      </c>
      <c r="CH76" s="1804">
        <v>0</v>
      </c>
      <c r="CI76" s="1804">
        <v>0</v>
      </c>
      <c r="CJ76" s="1804">
        <v>0</v>
      </c>
      <c r="CK76" s="1804">
        <v>0</v>
      </c>
      <c r="CL76" s="1804">
        <v>0</v>
      </c>
      <c r="CM76" s="1804">
        <v>0</v>
      </c>
      <c r="CN76" s="1804">
        <v>0</v>
      </c>
      <c r="CO76" s="1804">
        <v>0</v>
      </c>
      <c r="CP76" s="1804">
        <v>0</v>
      </c>
      <c r="CQ76" s="1804">
        <v>0</v>
      </c>
      <c r="CR76" s="1804">
        <v>0</v>
      </c>
      <c r="CS76" s="1804">
        <v>0</v>
      </c>
      <c r="CT76" s="1804">
        <v>0</v>
      </c>
      <c r="CU76" s="1804">
        <v>0</v>
      </c>
      <c r="CV76" s="1804">
        <v>0</v>
      </c>
      <c r="CW76" s="1804">
        <v>0</v>
      </c>
      <c r="CX76" s="1804">
        <v>0</v>
      </c>
      <c r="CY76" s="1804">
        <v>0</v>
      </c>
      <c r="CZ76" s="1804">
        <v>0</v>
      </c>
      <c r="DA76" s="1804">
        <v>0</v>
      </c>
      <c r="DB76" s="1804">
        <v>0</v>
      </c>
      <c r="DC76" s="1804">
        <v>0</v>
      </c>
      <c r="DD76" s="1804">
        <v>0</v>
      </c>
      <c r="DE76" s="1804">
        <v>0</v>
      </c>
      <c r="DF76" s="1804">
        <v>0</v>
      </c>
      <c r="DG76" s="1804">
        <v>0</v>
      </c>
      <c r="DH76" s="1804">
        <v>0</v>
      </c>
      <c r="DI76" s="1804">
        <v>0</v>
      </c>
      <c r="DJ76" s="1804">
        <v>0</v>
      </c>
      <c r="DK76" s="1804">
        <v>0</v>
      </c>
      <c r="DL76" s="1804">
        <v>0</v>
      </c>
      <c r="DM76" s="1804">
        <v>0</v>
      </c>
      <c r="DN76" s="1804">
        <v>0</v>
      </c>
      <c r="DO76" s="1804">
        <v>0</v>
      </c>
      <c r="DP76" s="1804">
        <v>0</v>
      </c>
      <c r="DQ76" s="1804">
        <v>0</v>
      </c>
      <c r="DR76" s="1804">
        <v>0</v>
      </c>
      <c r="DS76" s="1804">
        <v>0</v>
      </c>
      <c r="DT76" s="1804">
        <v>0</v>
      </c>
      <c r="DU76" s="1804">
        <v>0</v>
      </c>
      <c r="DV76" s="1804">
        <v>0</v>
      </c>
      <c r="DW76" s="1804">
        <v>0</v>
      </c>
      <c r="DX76" s="1804">
        <v>0</v>
      </c>
      <c r="DY76" s="1804">
        <v>0</v>
      </c>
      <c r="DZ76" s="1804">
        <v>0</v>
      </c>
      <c r="EA76" s="1804">
        <v>0</v>
      </c>
      <c r="EB76" s="1804">
        <v>0</v>
      </c>
      <c r="EC76" s="1804">
        <v>0</v>
      </c>
      <c r="ED76" s="1804">
        <v>0</v>
      </c>
      <c r="EE76" s="1804">
        <v>0</v>
      </c>
      <c r="EF76" s="1804">
        <v>0</v>
      </c>
      <c r="EG76" s="1804">
        <v>0</v>
      </c>
      <c r="EH76" s="1804">
        <v>0</v>
      </c>
      <c r="EI76" s="1804">
        <v>0</v>
      </c>
      <c r="EJ76" s="1804">
        <v>0</v>
      </c>
      <c r="EK76" s="1804">
        <v>0</v>
      </c>
      <c r="EL76" s="1804">
        <v>0</v>
      </c>
      <c r="EM76" s="1804">
        <v>0</v>
      </c>
      <c r="EN76" s="1804">
        <v>0</v>
      </c>
      <c r="EO76" s="1804">
        <v>0</v>
      </c>
      <c r="EP76" s="1804">
        <v>0</v>
      </c>
      <c r="EQ76" s="1804">
        <v>0</v>
      </c>
      <c r="ER76" s="1804">
        <v>0</v>
      </c>
      <c r="ES76" s="1804">
        <v>0</v>
      </c>
      <c r="ET76" s="1804">
        <v>0</v>
      </c>
      <c r="EU76" s="1804">
        <v>0</v>
      </c>
      <c r="EV76" s="1804">
        <v>0</v>
      </c>
      <c r="EW76" s="1804">
        <v>0</v>
      </c>
      <c r="EX76" s="1804">
        <v>0</v>
      </c>
      <c r="EY76" s="1804">
        <v>0</v>
      </c>
      <c r="EZ76" s="1804">
        <v>0</v>
      </c>
      <c r="FA76" s="1804">
        <v>0</v>
      </c>
      <c r="FB76" s="1804">
        <v>0</v>
      </c>
      <c r="FC76" s="1804">
        <v>0</v>
      </c>
      <c r="FD76" s="1804">
        <v>0</v>
      </c>
      <c r="FE76" s="1804">
        <v>0</v>
      </c>
      <c r="FF76" s="1804">
        <v>0</v>
      </c>
      <c r="FG76" s="1804">
        <v>0</v>
      </c>
      <c r="FH76" s="1804">
        <v>0</v>
      </c>
      <c r="FI76" s="1804">
        <v>0</v>
      </c>
      <c r="FJ76" s="1804">
        <v>0</v>
      </c>
      <c r="FK76" s="1804">
        <v>0</v>
      </c>
      <c r="FL76" s="1804">
        <v>0</v>
      </c>
      <c r="FM76" s="1804">
        <v>0</v>
      </c>
      <c r="FN76" s="1804">
        <v>0</v>
      </c>
      <c r="FO76" s="1804">
        <v>0</v>
      </c>
      <c r="FP76" s="1804">
        <v>0</v>
      </c>
      <c r="FQ76" s="1804">
        <v>0</v>
      </c>
      <c r="FR76" s="1804">
        <v>0</v>
      </c>
      <c r="FS76" s="1804">
        <v>0</v>
      </c>
      <c r="FT76" s="1804">
        <v>0</v>
      </c>
      <c r="FU76" s="1804">
        <v>0</v>
      </c>
      <c r="FV76" s="1804">
        <v>0</v>
      </c>
      <c r="FW76" s="1804">
        <v>0</v>
      </c>
      <c r="FX76" s="1804">
        <v>0</v>
      </c>
      <c r="FY76" s="1804">
        <v>0</v>
      </c>
      <c r="FZ76" s="1804">
        <v>0</v>
      </c>
      <c r="GA76" s="1804">
        <v>0</v>
      </c>
      <c r="GB76" s="1804">
        <v>0</v>
      </c>
      <c r="GC76" s="1804">
        <v>0</v>
      </c>
      <c r="GD76" s="1804">
        <v>0</v>
      </c>
      <c r="GE76" s="1804">
        <v>0</v>
      </c>
      <c r="GF76" s="1804">
        <v>0</v>
      </c>
      <c r="GG76" s="1804">
        <v>0</v>
      </c>
      <c r="GH76" s="1804">
        <v>0</v>
      </c>
      <c r="GI76" s="1804">
        <v>0</v>
      </c>
      <c r="GJ76" s="1804">
        <v>0</v>
      </c>
      <c r="GK76" s="1804">
        <v>0</v>
      </c>
      <c r="GL76" s="1804">
        <v>0</v>
      </c>
      <c r="GM76" s="1804">
        <v>0</v>
      </c>
      <c r="GN76" s="1804">
        <v>0</v>
      </c>
      <c r="GO76" s="1804">
        <v>0</v>
      </c>
      <c r="GP76" s="1804">
        <v>0</v>
      </c>
      <c r="GQ76" s="1804">
        <v>0</v>
      </c>
      <c r="GR76" s="1804">
        <v>0</v>
      </c>
      <c r="GS76" s="1804">
        <v>0</v>
      </c>
      <c r="GT76" s="1804">
        <v>0</v>
      </c>
      <c r="GU76" s="1804">
        <v>0</v>
      </c>
      <c r="GV76" s="1804">
        <v>0</v>
      </c>
      <c r="GW76" s="1804">
        <v>0</v>
      </c>
      <c r="GX76" s="1804">
        <v>0</v>
      </c>
      <c r="GY76" s="1804">
        <v>0</v>
      </c>
      <c r="GZ76" s="1804">
        <v>0</v>
      </c>
      <c r="HA76" s="1804">
        <v>0</v>
      </c>
      <c r="HB76" s="1804">
        <v>0</v>
      </c>
      <c r="HC76" s="1804">
        <v>0</v>
      </c>
      <c r="HD76" s="1804">
        <v>0</v>
      </c>
      <c r="HE76" s="1804">
        <v>0</v>
      </c>
    </row>
    <row r="77" spans="1:213" ht="15" customHeight="1" thickBot="1" x14ac:dyDescent="0.25">
      <c r="A77" s="1967"/>
      <c r="B77" s="1991"/>
      <c r="C77" s="1697" t="s">
        <v>790</v>
      </c>
      <c r="D77" s="1886"/>
      <c r="E77" s="1984"/>
      <c r="F77" s="1838">
        <v>0</v>
      </c>
      <c r="G77" s="1804">
        <v>0</v>
      </c>
      <c r="H77" s="1804">
        <v>0</v>
      </c>
      <c r="I77" s="1804">
        <v>0</v>
      </c>
      <c r="J77" s="1804">
        <v>0</v>
      </c>
      <c r="K77" s="1804">
        <v>0</v>
      </c>
      <c r="L77" s="1804">
        <v>0</v>
      </c>
      <c r="M77" s="1804">
        <v>0</v>
      </c>
      <c r="N77" s="1804">
        <v>0</v>
      </c>
      <c r="O77" s="1804">
        <v>0</v>
      </c>
      <c r="P77" s="1804">
        <v>0</v>
      </c>
      <c r="Q77" s="1804">
        <v>0</v>
      </c>
      <c r="R77" s="1804">
        <v>0</v>
      </c>
      <c r="S77" s="1804">
        <v>0</v>
      </c>
      <c r="T77" s="1804">
        <v>0</v>
      </c>
      <c r="U77" s="1804">
        <v>0</v>
      </c>
      <c r="V77" s="1804">
        <v>0</v>
      </c>
      <c r="W77" s="1804">
        <v>0</v>
      </c>
      <c r="X77" s="1804">
        <v>0</v>
      </c>
      <c r="Y77" s="1804">
        <v>0</v>
      </c>
      <c r="Z77" s="1804">
        <v>0</v>
      </c>
      <c r="AA77" s="1804">
        <v>0</v>
      </c>
      <c r="AB77" s="1804">
        <v>0</v>
      </c>
      <c r="AC77" s="1804">
        <v>0</v>
      </c>
      <c r="AD77" s="1804">
        <v>0</v>
      </c>
      <c r="AE77" s="1804">
        <v>0</v>
      </c>
      <c r="AF77" s="1804">
        <v>0</v>
      </c>
      <c r="AG77" s="1804">
        <v>0</v>
      </c>
      <c r="AH77" s="1804">
        <v>0</v>
      </c>
      <c r="AI77" s="1804">
        <v>0</v>
      </c>
      <c r="AJ77" s="1804">
        <v>0</v>
      </c>
      <c r="AK77" s="1804">
        <v>0</v>
      </c>
      <c r="AL77" s="1804">
        <v>0</v>
      </c>
      <c r="AM77" s="1804">
        <v>0</v>
      </c>
      <c r="AN77" s="1804">
        <v>0</v>
      </c>
      <c r="AO77" s="1804">
        <v>0</v>
      </c>
      <c r="AP77" s="1804">
        <v>0</v>
      </c>
      <c r="AQ77" s="1804">
        <v>0</v>
      </c>
      <c r="AR77" s="1804">
        <v>0</v>
      </c>
      <c r="AS77" s="1804">
        <v>0</v>
      </c>
      <c r="AT77" s="1804">
        <v>0</v>
      </c>
      <c r="AU77" s="1804">
        <v>0</v>
      </c>
      <c r="AV77" s="1804">
        <v>0</v>
      </c>
      <c r="AW77" s="1804">
        <v>0</v>
      </c>
      <c r="AX77" s="1804">
        <v>0</v>
      </c>
      <c r="AY77" s="1804">
        <v>0</v>
      </c>
      <c r="AZ77" s="1804">
        <v>0</v>
      </c>
      <c r="BA77" s="1804">
        <v>0</v>
      </c>
      <c r="BB77" s="1804">
        <v>0</v>
      </c>
      <c r="BC77" s="1804">
        <v>0</v>
      </c>
      <c r="BD77" s="1804">
        <v>0</v>
      </c>
      <c r="BE77" s="1804">
        <v>0</v>
      </c>
      <c r="BF77" s="1804">
        <v>0</v>
      </c>
      <c r="BG77" s="1804">
        <v>0</v>
      </c>
      <c r="BH77" s="1804">
        <v>0</v>
      </c>
      <c r="BI77" s="1804">
        <v>0</v>
      </c>
      <c r="BJ77" s="1804">
        <v>0</v>
      </c>
      <c r="BK77" s="1804">
        <v>0</v>
      </c>
      <c r="BL77" s="1804">
        <v>0</v>
      </c>
      <c r="BM77" s="1804">
        <v>0</v>
      </c>
      <c r="BN77" s="1804">
        <v>0</v>
      </c>
      <c r="BO77" s="1804">
        <v>0</v>
      </c>
      <c r="BP77" s="1804">
        <v>0</v>
      </c>
      <c r="BQ77" s="1804">
        <v>0</v>
      </c>
      <c r="BR77" s="1804">
        <v>0</v>
      </c>
      <c r="BS77" s="1804">
        <v>0</v>
      </c>
      <c r="BT77" s="1804">
        <v>0</v>
      </c>
      <c r="BU77" s="1804">
        <v>0</v>
      </c>
      <c r="BV77" s="1804">
        <v>0</v>
      </c>
      <c r="BW77" s="1804">
        <v>0</v>
      </c>
      <c r="BX77" s="1804">
        <v>0</v>
      </c>
      <c r="BY77" s="1804">
        <v>0</v>
      </c>
      <c r="BZ77" s="1804">
        <v>0</v>
      </c>
      <c r="CA77" s="1804">
        <v>0</v>
      </c>
      <c r="CB77" s="1804">
        <v>0</v>
      </c>
      <c r="CC77" s="1804">
        <v>0</v>
      </c>
      <c r="CD77" s="1804">
        <v>0</v>
      </c>
      <c r="CE77" s="1804">
        <v>0</v>
      </c>
      <c r="CF77" s="1804">
        <v>0</v>
      </c>
      <c r="CG77" s="1804">
        <v>0</v>
      </c>
      <c r="CH77" s="1804">
        <v>0</v>
      </c>
      <c r="CI77" s="1804">
        <v>0</v>
      </c>
      <c r="CJ77" s="1804">
        <v>0</v>
      </c>
      <c r="CK77" s="1804">
        <v>0</v>
      </c>
      <c r="CL77" s="1804">
        <v>0</v>
      </c>
      <c r="CM77" s="1804">
        <v>0</v>
      </c>
      <c r="CN77" s="1804">
        <v>0</v>
      </c>
      <c r="CO77" s="1804">
        <v>0</v>
      </c>
      <c r="CP77" s="1804">
        <v>0</v>
      </c>
      <c r="CQ77" s="1804">
        <v>0</v>
      </c>
      <c r="CR77" s="1804">
        <v>0</v>
      </c>
      <c r="CS77" s="1804">
        <v>0</v>
      </c>
      <c r="CT77" s="1804">
        <v>0</v>
      </c>
      <c r="CU77" s="1804">
        <v>0</v>
      </c>
      <c r="CV77" s="1804">
        <v>0</v>
      </c>
      <c r="CW77" s="1804">
        <v>0</v>
      </c>
      <c r="CX77" s="1804">
        <v>0</v>
      </c>
      <c r="CY77" s="1804">
        <v>0</v>
      </c>
      <c r="CZ77" s="1804">
        <v>0</v>
      </c>
      <c r="DA77" s="1804">
        <v>0</v>
      </c>
      <c r="DB77" s="1804">
        <v>0</v>
      </c>
      <c r="DC77" s="1804">
        <v>0</v>
      </c>
      <c r="DD77" s="1804">
        <v>0</v>
      </c>
      <c r="DE77" s="1804">
        <v>0</v>
      </c>
      <c r="DF77" s="1804">
        <v>0</v>
      </c>
      <c r="DG77" s="1804">
        <v>0</v>
      </c>
      <c r="DH77" s="1804">
        <v>0</v>
      </c>
      <c r="DI77" s="1804">
        <v>0</v>
      </c>
      <c r="DJ77" s="1804">
        <v>0</v>
      </c>
      <c r="DK77" s="1804">
        <v>0</v>
      </c>
      <c r="DL77" s="1804">
        <v>0</v>
      </c>
      <c r="DM77" s="1804">
        <v>0</v>
      </c>
      <c r="DN77" s="1804">
        <v>0</v>
      </c>
      <c r="DO77" s="1804">
        <v>0</v>
      </c>
      <c r="DP77" s="1804">
        <v>0</v>
      </c>
      <c r="DQ77" s="1804">
        <v>0</v>
      </c>
      <c r="DR77" s="1804">
        <v>0</v>
      </c>
      <c r="DS77" s="1804">
        <v>0</v>
      </c>
      <c r="DT77" s="1804">
        <v>0</v>
      </c>
      <c r="DU77" s="1804">
        <v>0</v>
      </c>
      <c r="DV77" s="1804">
        <v>0</v>
      </c>
      <c r="DW77" s="1804">
        <v>0</v>
      </c>
      <c r="DX77" s="1804">
        <v>0</v>
      </c>
      <c r="DY77" s="1804">
        <v>0</v>
      </c>
      <c r="DZ77" s="1804">
        <v>0</v>
      </c>
      <c r="EA77" s="1804">
        <v>0</v>
      </c>
      <c r="EB77" s="1804">
        <v>0</v>
      </c>
      <c r="EC77" s="1804">
        <v>0</v>
      </c>
      <c r="ED77" s="1804">
        <v>0</v>
      </c>
      <c r="EE77" s="1804">
        <v>0</v>
      </c>
      <c r="EF77" s="1804">
        <v>0</v>
      </c>
      <c r="EG77" s="1804">
        <v>0</v>
      </c>
      <c r="EH77" s="1804">
        <v>0</v>
      </c>
      <c r="EI77" s="1804">
        <v>0</v>
      </c>
      <c r="EJ77" s="1804">
        <v>0</v>
      </c>
      <c r="EK77" s="1804">
        <v>0</v>
      </c>
      <c r="EL77" s="1804">
        <v>0</v>
      </c>
      <c r="EM77" s="1804">
        <v>0</v>
      </c>
      <c r="EN77" s="1804">
        <v>0</v>
      </c>
      <c r="EO77" s="1804">
        <v>0</v>
      </c>
      <c r="EP77" s="1804">
        <v>0</v>
      </c>
      <c r="EQ77" s="1804">
        <v>0</v>
      </c>
      <c r="ER77" s="1804">
        <v>0</v>
      </c>
      <c r="ES77" s="1804">
        <v>0</v>
      </c>
      <c r="ET77" s="1804">
        <v>0</v>
      </c>
      <c r="EU77" s="1804">
        <v>0</v>
      </c>
      <c r="EV77" s="1804">
        <v>0</v>
      </c>
      <c r="EW77" s="1804">
        <v>0</v>
      </c>
      <c r="EX77" s="1804">
        <v>0</v>
      </c>
      <c r="EY77" s="1804">
        <v>0</v>
      </c>
      <c r="EZ77" s="1804">
        <v>0</v>
      </c>
      <c r="FA77" s="1804">
        <v>0</v>
      </c>
      <c r="FB77" s="1804">
        <v>0</v>
      </c>
      <c r="FC77" s="1804">
        <v>0</v>
      </c>
      <c r="FD77" s="1804">
        <v>0</v>
      </c>
      <c r="FE77" s="1804">
        <v>0</v>
      </c>
      <c r="FF77" s="1804">
        <v>0</v>
      </c>
      <c r="FG77" s="1804">
        <v>0</v>
      </c>
      <c r="FH77" s="1804">
        <v>0</v>
      </c>
      <c r="FI77" s="1804">
        <v>0</v>
      </c>
      <c r="FJ77" s="1804">
        <v>0</v>
      </c>
      <c r="FK77" s="1804">
        <v>0</v>
      </c>
      <c r="FL77" s="1804">
        <v>0</v>
      </c>
      <c r="FM77" s="1804">
        <v>0</v>
      </c>
      <c r="FN77" s="1804">
        <v>0</v>
      </c>
      <c r="FO77" s="1804">
        <v>0</v>
      </c>
      <c r="FP77" s="1804">
        <v>0</v>
      </c>
      <c r="FQ77" s="1804">
        <v>0</v>
      </c>
      <c r="FR77" s="1804">
        <v>0</v>
      </c>
      <c r="FS77" s="1804">
        <v>0</v>
      </c>
      <c r="FT77" s="1804">
        <v>0</v>
      </c>
      <c r="FU77" s="1804">
        <v>0</v>
      </c>
      <c r="FV77" s="1804">
        <v>0</v>
      </c>
      <c r="FW77" s="1804">
        <v>0</v>
      </c>
      <c r="FX77" s="1804">
        <v>0</v>
      </c>
      <c r="FY77" s="1804">
        <v>0</v>
      </c>
      <c r="FZ77" s="1804">
        <v>0</v>
      </c>
      <c r="GA77" s="1804">
        <v>0</v>
      </c>
      <c r="GB77" s="1804">
        <v>0</v>
      </c>
      <c r="GC77" s="1804">
        <v>0</v>
      </c>
      <c r="GD77" s="1804">
        <v>0</v>
      </c>
      <c r="GE77" s="1804">
        <v>0</v>
      </c>
      <c r="GF77" s="1804">
        <v>0</v>
      </c>
      <c r="GG77" s="1804">
        <v>0</v>
      </c>
      <c r="GH77" s="1804">
        <v>0</v>
      </c>
      <c r="GI77" s="1804">
        <v>0</v>
      </c>
      <c r="GJ77" s="1804">
        <v>0</v>
      </c>
      <c r="GK77" s="1804">
        <v>0</v>
      </c>
      <c r="GL77" s="1804">
        <v>0</v>
      </c>
      <c r="GM77" s="1804">
        <v>0</v>
      </c>
      <c r="GN77" s="1804">
        <v>0</v>
      </c>
      <c r="GO77" s="1804">
        <v>0</v>
      </c>
      <c r="GP77" s="1804">
        <v>0</v>
      </c>
      <c r="GQ77" s="1804">
        <v>0</v>
      </c>
      <c r="GR77" s="1804">
        <v>0</v>
      </c>
      <c r="GS77" s="1804">
        <v>0</v>
      </c>
      <c r="GT77" s="1804">
        <v>0</v>
      </c>
      <c r="GU77" s="1804">
        <v>0</v>
      </c>
      <c r="GV77" s="1804">
        <v>0</v>
      </c>
      <c r="GW77" s="1804">
        <v>0</v>
      </c>
      <c r="GX77" s="1804">
        <v>0</v>
      </c>
      <c r="GY77" s="1804">
        <v>0</v>
      </c>
      <c r="GZ77" s="1804">
        <v>0</v>
      </c>
      <c r="HA77" s="1804">
        <v>0</v>
      </c>
      <c r="HB77" s="1804">
        <v>0</v>
      </c>
      <c r="HC77" s="1804">
        <v>0</v>
      </c>
      <c r="HD77" s="1804">
        <v>0</v>
      </c>
      <c r="HE77" s="1804">
        <v>0</v>
      </c>
    </row>
    <row r="78" spans="1:213" ht="21" customHeight="1" thickBot="1" x14ac:dyDescent="0.25">
      <c r="A78" s="1992" t="s">
        <v>2338</v>
      </c>
      <c r="B78" s="1969" t="s">
        <v>561</v>
      </c>
      <c r="C78" s="1693" t="s">
        <v>569</v>
      </c>
      <c r="D78" s="1880"/>
      <c r="E78" s="1983"/>
      <c r="F78" s="1865"/>
      <c r="G78" s="1866"/>
      <c r="H78" s="1866"/>
      <c r="I78" s="1866"/>
      <c r="J78" s="1866"/>
      <c r="K78" s="1866"/>
      <c r="L78" s="1866"/>
      <c r="M78" s="1866"/>
      <c r="N78" s="1866"/>
      <c r="O78" s="1866"/>
      <c r="P78" s="1866"/>
      <c r="Q78" s="1866"/>
      <c r="R78" s="1866"/>
      <c r="S78" s="1866"/>
      <c r="T78" s="1866"/>
      <c r="U78" s="1866"/>
      <c r="V78" s="1866"/>
      <c r="W78" s="1866"/>
      <c r="X78" s="1866"/>
      <c r="Y78" s="1866"/>
      <c r="Z78" s="1866"/>
      <c r="AA78" s="1866"/>
      <c r="AB78" s="1866"/>
      <c r="AC78" s="1866"/>
      <c r="AD78" s="1866"/>
      <c r="AE78" s="1866"/>
      <c r="AF78" s="1866"/>
      <c r="AG78" s="1866"/>
      <c r="AH78" s="1866"/>
      <c r="AI78" s="1866"/>
      <c r="AJ78" s="1866"/>
      <c r="AK78" s="1866"/>
      <c r="AL78" s="1866"/>
      <c r="AM78" s="1866"/>
      <c r="AN78" s="1866"/>
      <c r="AO78" s="1866"/>
      <c r="AP78" s="1866"/>
      <c r="AQ78" s="1866"/>
      <c r="AR78" s="1866"/>
      <c r="AS78" s="1866"/>
      <c r="AT78" s="1866"/>
      <c r="AU78" s="1866"/>
      <c r="AV78" s="1866"/>
      <c r="AW78" s="1866"/>
      <c r="AX78" s="1866"/>
      <c r="AY78" s="1866"/>
      <c r="AZ78" s="1866"/>
      <c r="BA78" s="1866"/>
      <c r="BB78" s="1866"/>
      <c r="BC78" s="1866"/>
      <c r="BD78" s="1866"/>
      <c r="BE78" s="1866"/>
      <c r="BF78" s="1866"/>
      <c r="BG78" s="1866"/>
      <c r="BH78" s="1866"/>
      <c r="BI78" s="1866"/>
      <c r="BJ78" s="1866"/>
      <c r="BK78" s="1866"/>
      <c r="BL78" s="1866"/>
      <c r="BM78" s="1866"/>
      <c r="BN78" s="1866"/>
      <c r="BO78" s="1866"/>
      <c r="BP78" s="1866"/>
      <c r="BQ78" s="1866"/>
      <c r="BR78" s="1866"/>
      <c r="BS78" s="1866"/>
      <c r="BT78" s="1866"/>
      <c r="BU78" s="1866"/>
      <c r="BV78" s="1866"/>
      <c r="BW78" s="1866"/>
      <c r="BX78" s="1866"/>
      <c r="BY78" s="1866"/>
      <c r="BZ78" s="1866"/>
      <c r="CA78" s="1866"/>
      <c r="CB78" s="1866"/>
      <c r="CC78" s="1866"/>
      <c r="CD78" s="1866"/>
      <c r="CE78" s="1866"/>
      <c r="CF78" s="1866"/>
      <c r="CG78" s="1866"/>
      <c r="CH78" s="1866"/>
      <c r="CI78" s="1866"/>
      <c r="CJ78" s="1866"/>
      <c r="CK78" s="1866"/>
      <c r="CL78" s="1866"/>
      <c r="CM78" s="1866"/>
      <c r="CN78" s="1866"/>
      <c r="CO78" s="1866"/>
      <c r="CP78" s="1866"/>
      <c r="CQ78" s="1866"/>
      <c r="CR78" s="1866"/>
      <c r="CS78" s="1866"/>
      <c r="CT78" s="1866"/>
      <c r="CU78" s="1866"/>
      <c r="CV78" s="1866"/>
      <c r="CW78" s="1866"/>
      <c r="CX78" s="1866"/>
      <c r="CY78" s="1866"/>
      <c r="CZ78" s="1866"/>
      <c r="DA78" s="1866"/>
      <c r="DB78" s="1866"/>
      <c r="DC78" s="1866"/>
      <c r="DD78" s="1866"/>
      <c r="DE78" s="1866"/>
      <c r="DF78" s="1866"/>
      <c r="DG78" s="1866"/>
      <c r="DH78" s="1866"/>
      <c r="DI78" s="1866"/>
      <c r="DJ78" s="1866"/>
      <c r="DK78" s="1866"/>
      <c r="DL78" s="1866"/>
      <c r="DM78" s="1866"/>
      <c r="DN78" s="1866"/>
      <c r="DO78" s="1866"/>
      <c r="DP78" s="1866"/>
      <c r="DQ78" s="1866"/>
      <c r="DR78" s="1866"/>
      <c r="DS78" s="1866"/>
      <c r="DT78" s="1866"/>
      <c r="DU78" s="1866"/>
      <c r="DV78" s="1866"/>
      <c r="DW78" s="1866"/>
      <c r="DX78" s="1866"/>
      <c r="DY78" s="1866"/>
      <c r="DZ78" s="1866"/>
      <c r="EA78" s="1866"/>
      <c r="EB78" s="1866"/>
      <c r="EC78" s="1866"/>
      <c r="ED78" s="1866"/>
      <c r="EE78" s="1866"/>
      <c r="EF78" s="1866"/>
      <c r="EG78" s="1866"/>
      <c r="EH78" s="1866"/>
      <c r="EI78" s="1866"/>
      <c r="EJ78" s="1866"/>
      <c r="EK78" s="1866"/>
      <c r="EL78" s="1866"/>
      <c r="EM78" s="1866"/>
      <c r="EN78" s="1866"/>
      <c r="EO78" s="1866"/>
      <c r="EP78" s="1866"/>
      <c r="EQ78" s="1866"/>
      <c r="ER78" s="1866"/>
      <c r="ES78" s="1866"/>
      <c r="ET78" s="1866"/>
      <c r="EU78" s="1866"/>
      <c r="EV78" s="1866"/>
      <c r="EW78" s="1866"/>
      <c r="EX78" s="1866"/>
      <c r="EY78" s="1866"/>
      <c r="EZ78" s="1866"/>
      <c r="FA78" s="1866"/>
      <c r="FB78" s="1866"/>
      <c r="FC78" s="1866"/>
      <c r="FD78" s="1866"/>
      <c r="FE78" s="1866"/>
      <c r="FF78" s="1866"/>
      <c r="FG78" s="1866"/>
      <c r="FH78" s="1866"/>
      <c r="FI78" s="1866"/>
      <c r="FJ78" s="1866"/>
      <c r="FK78" s="1866"/>
      <c r="FL78" s="1866"/>
      <c r="FM78" s="1866"/>
      <c r="FN78" s="1866"/>
      <c r="FO78" s="1866"/>
      <c r="FP78" s="1866"/>
      <c r="FQ78" s="1866"/>
      <c r="FR78" s="1866"/>
      <c r="FS78" s="1866"/>
      <c r="FT78" s="1866"/>
      <c r="FU78" s="1866"/>
      <c r="FV78" s="1866"/>
      <c r="FW78" s="1866"/>
      <c r="FX78" s="1866"/>
      <c r="FY78" s="1866"/>
      <c r="FZ78" s="1866"/>
      <c r="GA78" s="1866"/>
      <c r="GB78" s="1866"/>
      <c r="GC78" s="1866"/>
      <c r="GD78" s="1866"/>
      <c r="GE78" s="1866"/>
      <c r="GF78" s="1866"/>
      <c r="GG78" s="1866"/>
      <c r="GH78" s="1866"/>
      <c r="GI78" s="1866"/>
      <c r="GJ78" s="1866"/>
      <c r="GK78" s="1866"/>
      <c r="GL78" s="1866"/>
      <c r="GM78" s="1866"/>
      <c r="GN78" s="1866"/>
      <c r="GO78" s="1866"/>
      <c r="GP78" s="1866"/>
      <c r="GQ78" s="1866"/>
      <c r="GR78" s="1866"/>
      <c r="GS78" s="1866"/>
      <c r="GT78" s="1866"/>
      <c r="GU78" s="1866"/>
      <c r="GV78" s="1866"/>
      <c r="GW78" s="1866"/>
      <c r="GX78" s="1866"/>
      <c r="GY78" s="1866"/>
      <c r="GZ78" s="1866"/>
      <c r="HA78" s="1866"/>
      <c r="HB78" s="1866"/>
      <c r="HC78" s="1866"/>
      <c r="HD78" s="1866"/>
      <c r="HE78" s="1866"/>
    </row>
    <row r="79" spans="1:213" ht="15" customHeight="1" x14ac:dyDescent="0.2">
      <c r="A79" s="1973"/>
      <c r="B79" s="1970"/>
      <c r="C79" s="1690" t="s">
        <v>281</v>
      </c>
      <c r="D79" s="1886"/>
      <c r="E79" s="1983"/>
      <c r="F79" s="1838">
        <v>0</v>
      </c>
      <c r="G79" s="1804">
        <v>0</v>
      </c>
      <c r="H79" s="1804">
        <v>0</v>
      </c>
      <c r="I79" s="1804">
        <v>0</v>
      </c>
      <c r="J79" s="1804">
        <v>0</v>
      </c>
      <c r="K79" s="1804">
        <v>0</v>
      </c>
      <c r="L79" s="1804">
        <v>0</v>
      </c>
      <c r="M79" s="1804">
        <v>0</v>
      </c>
      <c r="N79" s="1804">
        <v>0</v>
      </c>
      <c r="O79" s="1804">
        <v>0</v>
      </c>
      <c r="P79" s="1804">
        <v>0</v>
      </c>
      <c r="Q79" s="1804">
        <v>0</v>
      </c>
      <c r="R79" s="1804">
        <v>0</v>
      </c>
      <c r="S79" s="1804">
        <v>0</v>
      </c>
      <c r="T79" s="1804">
        <v>0</v>
      </c>
      <c r="U79" s="1804">
        <v>0</v>
      </c>
      <c r="V79" s="1804">
        <v>0</v>
      </c>
      <c r="W79" s="1804">
        <v>0</v>
      </c>
      <c r="X79" s="1804">
        <v>0</v>
      </c>
      <c r="Y79" s="1804">
        <v>0</v>
      </c>
      <c r="Z79" s="1804">
        <v>0</v>
      </c>
      <c r="AA79" s="1804">
        <v>0</v>
      </c>
      <c r="AB79" s="1804">
        <v>0</v>
      </c>
      <c r="AC79" s="1804">
        <v>0</v>
      </c>
      <c r="AD79" s="1804">
        <v>0</v>
      </c>
      <c r="AE79" s="1804">
        <v>0</v>
      </c>
      <c r="AF79" s="1804">
        <v>0</v>
      </c>
      <c r="AG79" s="1804">
        <v>0</v>
      </c>
      <c r="AH79" s="1804">
        <v>0</v>
      </c>
      <c r="AI79" s="1804">
        <v>0</v>
      </c>
      <c r="AJ79" s="1804">
        <v>0</v>
      </c>
      <c r="AK79" s="1804">
        <v>0</v>
      </c>
      <c r="AL79" s="1804">
        <v>0</v>
      </c>
      <c r="AM79" s="1804">
        <v>0</v>
      </c>
      <c r="AN79" s="1804">
        <v>0</v>
      </c>
      <c r="AO79" s="1804">
        <v>0</v>
      </c>
      <c r="AP79" s="1804">
        <v>0</v>
      </c>
      <c r="AQ79" s="1804">
        <v>0</v>
      </c>
      <c r="AR79" s="1804">
        <v>0</v>
      </c>
      <c r="AS79" s="1804">
        <v>0</v>
      </c>
      <c r="AT79" s="1804">
        <v>0</v>
      </c>
      <c r="AU79" s="1804">
        <v>0</v>
      </c>
      <c r="AV79" s="1804">
        <v>0</v>
      </c>
      <c r="AW79" s="1804">
        <v>0</v>
      </c>
      <c r="AX79" s="1804">
        <v>0</v>
      </c>
      <c r="AY79" s="1804">
        <v>0</v>
      </c>
      <c r="AZ79" s="1804">
        <v>0</v>
      </c>
      <c r="BA79" s="1804">
        <v>0</v>
      </c>
      <c r="BB79" s="1804">
        <v>0</v>
      </c>
      <c r="BC79" s="1804">
        <v>0</v>
      </c>
      <c r="BD79" s="1804">
        <v>0</v>
      </c>
      <c r="BE79" s="1804">
        <v>0</v>
      </c>
      <c r="BF79" s="1804">
        <v>0</v>
      </c>
      <c r="BG79" s="1804">
        <v>0</v>
      </c>
      <c r="BH79" s="1804">
        <v>0</v>
      </c>
      <c r="BI79" s="1804">
        <v>0</v>
      </c>
      <c r="BJ79" s="1804">
        <v>0</v>
      </c>
      <c r="BK79" s="1804">
        <v>0</v>
      </c>
      <c r="BL79" s="1804">
        <v>0</v>
      </c>
      <c r="BM79" s="1804">
        <v>0</v>
      </c>
      <c r="BN79" s="1804">
        <v>0</v>
      </c>
      <c r="BO79" s="1804">
        <v>0</v>
      </c>
      <c r="BP79" s="1804">
        <v>0</v>
      </c>
      <c r="BQ79" s="1804">
        <v>0</v>
      </c>
      <c r="BR79" s="1804">
        <v>0</v>
      </c>
      <c r="BS79" s="1804">
        <v>0</v>
      </c>
      <c r="BT79" s="1804">
        <v>0</v>
      </c>
      <c r="BU79" s="1804">
        <v>0</v>
      </c>
      <c r="BV79" s="1804">
        <v>0</v>
      </c>
      <c r="BW79" s="1804">
        <v>0</v>
      </c>
      <c r="BX79" s="1804">
        <v>0</v>
      </c>
      <c r="BY79" s="1804">
        <v>0</v>
      </c>
      <c r="BZ79" s="1804">
        <v>0</v>
      </c>
      <c r="CA79" s="1804">
        <v>0</v>
      </c>
      <c r="CB79" s="1804">
        <v>0</v>
      </c>
      <c r="CC79" s="1804">
        <v>0</v>
      </c>
      <c r="CD79" s="1804">
        <v>0</v>
      </c>
      <c r="CE79" s="1804">
        <v>0</v>
      </c>
      <c r="CF79" s="1804">
        <v>0</v>
      </c>
      <c r="CG79" s="1804">
        <v>0</v>
      </c>
      <c r="CH79" s="1804">
        <v>0</v>
      </c>
      <c r="CI79" s="1804">
        <v>0</v>
      </c>
      <c r="CJ79" s="1804">
        <v>0</v>
      </c>
      <c r="CK79" s="1804">
        <v>0</v>
      </c>
      <c r="CL79" s="1804">
        <v>0</v>
      </c>
      <c r="CM79" s="1804">
        <v>0</v>
      </c>
      <c r="CN79" s="1804">
        <v>0</v>
      </c>
      <c r="CO79" s="1804">
        <v>0</v>
      </c>
      <c r="CP79" s="1804">
        <v>0</v>
      </c>
      <c r="CQ79" s="1804">
        <v>0</v>
      </c>
      <c r="CR79" s="1804">
        <v>0</v>
      </c>
      <c r="CS79" s="1804">
        <v>0</v>
      </c>
      <c r="CT79" s="1804">
        <v>0</v>
      </c>
      <c r="CU79" s="1804">
        <v>0</v>
      </c>
      <c r="CV79" s="1804">
        <v>0</v>
      </c>
      <c r="CW79" s="1804">
        <v>0</v>
      </c>
      <c r="CX79" s="1804">
        <v>0</v>
      </c>
      <c r="CY79" s="1804">
        <v>0</v>
      </c>
      <c r="CZ79" s="1804">
        <v>0</v>
      </c>
      <c r="DA79" s="1804">
        <v>0</v>
      </c>
      <c r="DB79" s="1804">
        <v>0</v>
      </c>
      <c r="DC79" s="1804">
        <v>0</v>
      </c>
      <c r="DD79" s="1804">
        <v>0</v>
      </c>
      <c r="DE79" s="1804">
        <v>0</v>
      </c>
      <c r="DF79" s="1804">
        <v>0</v>
      </c>
      <c r="DG79" s="1804">
        <v>0</v>
      </c>
      <c r="DH79" s="1804">
        <v>0</v>
      </c>
      <c r="DI79" s="1804">
        <v>0</v>
      </c>
      <c r="DJ79" s="1804">
        <v>0</v>
      </c>
      <c r="DK79" s="1804">
        <v>0</v>
      </c>
      <c r="DL79" s="1804">
        <v>0</v>
      </c>
      <c r="DM79" s="1804">
        <v>0</v>
      </c>
      <c r="DN79" s="1804">
        <v>0</v>
      </c>
      <c r="DO79" s="1804">
        <v>0</v>
      </c>
      <c r="DP79" s="1804">
        <v>0</v>
      </c>
      <c r="DQ79" s="1804">
        <v>0</v>
      </c>
      <c r="DR79" s="1804">
        <v>0</v>
      </c>
      <c r="DS79" s="1804">
        <v>0</v>
      </c>
      <c r="DT79" s="1804">
        <v>0</v>
      </c>
      <c r="DU79" s="1804">
        <v>0</v>
      </c>
      <c r="DV79" s="1804">
        <v>0</v>
      </c>
      <c r="DW79" s="1804">
        <v>0</v>
      </c>
      <c r="DX79" s="1804">
        <v>0</v>
      </c>
      <c r="DY79" s="1804">
        <v>0</v>
      </c>
      <c r="DZ79" s="1804">
        <v>0</v>
      </c>
      <c r="EA79" s="1804">
        <v>0</v>
      </c>
      <c r="EB79" s="1804">
        <v>0</v>
      </c>
      <c r="EC79" s="1804">
        <v>0</v>
      </c>
      <c r="ED79" s="1804">
        <v>0</v>
      </c>
      <c r="EE79" s="1804">
        <v>0</v>
      </c>
      <c r="EF79" s="1804">
        <v>0</v>
      </c>
      <c r="EG79" s="1804">
        <v>0</v>
      </c>
      <c r="EH79" s="1804">
        <v>0</v>
      </c>
      <c r="EI79" s="1804">
        <v>0</v>
      </c>
      <c r="EJ79" s="1804">
        <v>0</v>
      </c>
      <c r="EK79" s="1804">
        <v>0</v>
      </c>
      <c r="EL79" s="1804">
        <v>0</v>
      </c>
      <c r="EM79" s="1804">
        <v>0</v>
      </c>
      <c r="EN79" s="1804">
        <v>0</v>
      </c>
      <c r="EO79" s="1804">
        <v>0</v>
      </c>
      <c r="EP79" s="1804">
        <v>0</v>
      </c>
      <c r="EQ79" s="1804">
        <v>0</v>
      </c>
      <c r="ER79" s="1804">
        <v>0</v>
      </c>
      <c r="ES79" s="1804">
        <v>0</v>
      </c>
      <c r="ET79" s="1804">
        <v>0</v>
      </c>
      <c r="EU79" s="1804">
        <v>0</v>
      </c>
      <c r="EV79" s="1804">
        <v>0</v>
      </c>
      <c r="EW79" s="1804">
        <v>0</v>
      </c>
      <c r="EX79" s="1804">
        <v>0</v>
      </c>
      <c r="EY79" s="1804">
        <v>0</v>
      </c>
      <c r="EZ79" s="1804">
        <v>0</v>
      </c>
      <c r="FA79" s="1804">
        <v>0</v>
      </c>
      <c r="FB79" s="1804">
        <v>0</v>
      </c>
      <c r="FC79" s="1804">
        <v>0</v>
      </c>
      <c r="FD79" s="1804">
        <v>0</v>
      </c>
      <c r="FE79" s="1804">
        <v>0</v>
      </c>
      <c r="FF79" s="1804">
        <v>0</v>
      </c>
      <c r="FG79" s="1804">
        <v>0</v>
      </c>
      <c r="FH79" s="1804">
        <v>0</v>
      </c>
      <c r="FI79" s="1804">
        <v>0</v>
      </c>
      <c r="FJ79" s="1804">
        <v>0</v>
      </c>
      <c r="FK79" s="1804">
        <v>0</v>
      </c>
      <c r="FL79" s="1804">
        <v>0</v>
      </c>
      <c r="FM79" s="1804">
        <v>0</v>
      </c>
      <c r="FN79" s="1804">
        <v>0</v>
      </c>
      <c r="FO79" s="1804">
        <v>0</v>
      </c>
      <c r="FP79" s="1804">
        <v>0</v>
      </c>
      <c r="FQ79" s="1804">
        <v>0</v>
      </c>
      <c r="FR79" s="1804">
        <v>0</v>
      </c>
      <c r="FS79" s="1804">
        <v>0</v>
      </c>
      <c r="FT79" s="1804">
        <v>0</v>
      </c>
      <c r="FU79" s="1804">
        <v>0</v>
      </c>
      <c r="FV79" s="1804">
        <v>0</v>
      </c>
      <c r="FW79" s="1804">
        <v>0</v>
      </c>
      <c r="FX79" s="1804">
        <v>0</v>
      </c>
      <c r="FY79" s="1804">
        <v>0</v>
      </c>
      <c r="FZ79" s="1804">
        <v>0</v>
      </c>
      <c r="GA79" s="1804">
        <v>0</v>
      </c>
      <c r="GB79" s="1804">
        <v>0</v>
      </c>
      <c r="GC79" s="1804">
        <v>0</v>
      </c>
      <c r="GD79" s="1804">
        <v>0</v>
      </c>
      <c r="GE79" s="1804">
        <v>0</v>
      </c>
      <c r="GF79" s="1804">
        <v>0</v>
      </c>
      <c r="GG79" s="1804">
        <v>0</v>
      </c>
      <c r="GH79" s="1804">
        <v>0</v>
      </c>
      <c r="GI79" s="1804">
        <v>0</v>
      </c>
      <c r="GJ79" s="1804">
        <v>0</v>
      </c>
      <c r="GK79" s="1804">
        <v>0</v>
      </c>
      <c r="GL79" s="1804">
        <v>0</v>
      </c>
      <c r="GM79" s="1804">
        <v>0</v>
      </c>
      <c r="GN79" s="1804">
        <v>0</v>
      </c>
      <c r="GO79" s="1804">
        <v>0</v>
      </c>
      <c r="GP79" s="1804">
        <v>0</v>
      </c>
      <c r="GQ79" s="1804">
        <v>0</v>
      </c>
      <c r="GR79" s="1804">
        <v>0</v>
      </c>
      <c r="GS79" s="1804">
        <v>0</v>
      </c>
      <c r="GT79" s="1804">
        <v>0</v>
      </c>
      <c r="GU79" s="1804">
        <v>0</v>
      </c>
      <c r="GV79" s="1804">
        <v>0</v>
      </c>
      <c r="GW79" s="1804">
        <v>0</v>
      </c>
      <c r="GX79" s="1804">
        <v>0</v>
      </c>
      <c r="GY79" s="1804">
        <v>0</v>
      </c>
      <c r="GZ79" s="1804">
        <v>0</v>
      </c>
      <c r="HA79" s="1804">
        <v>0</v>
      </c>
      <c r="HB79" s="1804">
        <v>0</v>
      </c>
      <c r="HC79" s="1804">
        <v>0</v>
      </c>
      <c r="HD79" s="1804">
        <v>0</v>
      </c>
      <c r="HE79" s="1804">
        <v>0</v>
      </c>
    </row>
    <row r="80" spans="1:213" ht="15" customHeight="1" x14ac:dyDescent="0.2">
      <c r="A80" s="1973"/>
      <c r="B80" s="1970"/>
      <c r="C80" s="1816" t="s">
        <v>48</v>
      </c>
      <c r="D80" s="1886"/>
      <c r="E80" s="1983"/>
      <c r="F80" s="1838">
        <v>0</v>
      </c>
      <c r="G80" s="1804">
        <v>0</v>
      </c>
      <c r="H80" s="1804">
        <v>0</v>
      </c>
      <c r="I80" s="1804">
        <v>0</v>
      </c>
      <c r="J80" s="1804">
        <v>0</v>
      </c>
      <c r="K80" s="1804">
        <v>0</v>
      </c>
      <c r="L80" s="1804">
        <v>0</v>
      </c>
      <c r="M80" s="1804">
        <v>0</v>
      </c>
      <c r="N80" s="1804">
        <v>0</v>
      </c>
      <c r="O80" s="1804">
        <v>0</v>
      </c>
      <c r="P80" s="1804">
        <v>0</v>
      </c>
      <c r="Q80" s="1804">
        <v>0</v>
      </c>
      <c r="R80" s="1804">
        <v>0</v>
      </c>
      <c r="S80" s="1804">
        <v>0</v>
      </c>
      <c r="T80" s="1804">
        <v>0</v>
      </c>
      <c r="U80" s="1804">
        <v>0</v>
      </c>
      <c r="V80" s="1804">
        <v>0</v>
      </c>
      <c r="W80" s="1804">
        <v>0</v>
      </c>
      <c r="X80" s="1804">
        <v>0</v>
      </c>
      <c r="Y80" s="1804">
        <v>0</v>
      </c>
      <c r="Z80" s="1804">
        <v>0</v>
      </c>
      <c r="AA80" s="1804">
        <v>0</v>
      </c>
      <c r="AB80" s="1804">
        <v>0</v>
      </c>
      <c r="AC80" s="1804">
        <v>0</v>
      </c>
      <c r="AD80" s="1804">
        <v>0</v>
      </c>
      <c r="AE80" s="1804">
        <v>0</v>
      </c>
      <c r="AF80" s="1804">
        <v>0</v>
      </c>
      <c r="AG80" s="1804">
        <v>0</v>
      </c>
      <c r="AH80" s="1804">
        <v>0</v>
      </c>
      <c r="AI80" s="1804">
        <v>0</v>
      </c>
      <c r="AJ80" s="1804">
        <v>0</v>
      </c>
      <c r="AK80" s="1804">
        <v>0</v>
      </c>
      <c r="AL80" s="1804">
        <v>0</v>
      </c>
      <c r="AM80" s="1804">
        <v>0</v>
      </c>
      <c r="AN80" s="1804">
        <v>0</v>
      </c>
      <c r="AO80" s="1804">
        <v>0</v>
      </c>
      <c r="AP80" s="1804">
        <v>0</v>
      </c>
      <c r="AQ80" s="1804">
        <v>0</v>
      </c>
      <c r="AR80" s="1804">
        <v>0</v>
      </c>
      <c r="AS80" s="1804">
        <v>0</v>
      </c>
      <c r="AT80" s="1804">
        <v>0</v>
      </c>
      <c r="AU80" s="1804">
        <v>0</v>
      </c>
      <c r="AV80" s="1804">
        <v>0</v>
      </c>
      <c r="AW80" s="1804">
        <v>0</v>
      </c>
      <c r="AX80" s="1804">
        <v>0</v>
      </c>
      <c r="AY80" s="1804">
        <v>0</v>
      </c>
      <c r="AZ80" s="1804">
        <v>0</v>
      </c>
      <c r="BA80" s="1804">
        <v>0</v>
      </c>
      <c r="BB80" s="1804">
        <v>0</v>
      </c>
      <c r="BC80" s="1804">
        <v>0</v>
      </c>
      <c r="BD80" s="1804">
        <v>0</v>
      </c>
      <c r="BE80" s="1804">
        <v>0</v>
      </c>
      <c r="BF80" s="1804">
        <v>0</v>
      </c>
      <c r="BG80" s="1804">
        <v>0</v>
      </c>
      <c r="BH80" s="1804">
        <v>0</v>
      </c>
      <c r="BI80" s="1804">
        <v>0</v>
      </c>
      <c r="BJ80" s="1804">
        <v>0</v>
      </c>
      <c r="BK80" s="1804">
        <v>0</v>
      </c>
      <c r="BL80" s="1804">
        <v>0</v>
      </c>
      <c r="BM80" s="1804">
        <v>0</v>
      </c>
      <c r="BN80" s="1804">
        <v>0</v>
      </c>
      <c r="BO80" s="1804">
        <v>0</v>
      </c>
      <c r="BP80" s="1804">
        <v>0</v>
      </c>
      <c r="BQ80" s="1804">
        <v>0</v>
      </c>
      <c r="BR80" s="1804">
        <v>0</v>
      </c>
      <c r="BS80" s="1804">
        <v>0</v>
      </c>
      <c r="BT80" s="1804">
        <v>0</v>
      </c>
      <c r="BU80" s="1804">
        <v>0</v>
      </c>
      <c r="BV80" s="1804">
        <v>0</v>
      </c>
      <c r="BW80" s="1804">
        <v>0</v>
      </c>
      <c r="BX80" s="1804">
        <v>0</v>
      </c>
      <c r="BY80" s="1804">
        <v>0</v>
      </c>
      <c r="BZ80" s="1804">
        <v>0</v>
      </c>
      <c r="CA80" s="1804">
        <v>0</v>
      </c>
      <c r="CB80" s="1804">
        <v>0</v>
      </c>
      <c r="CC80" s="1804">
        <v>0</v>
      </c>
      <c r="CD80" s="1804">
        <v>0</v>
      </c>
      <c r="CE80" s="1804">
        <v>0</v>
      </c>
      <c r="CF80" s="1804">
        <v>0</v>
      </c>
      <c r="CG80" s="1804">
        <v>0</v>
      </c>
      <c r="CH80" s="1804">
        <v>0</v>
      </c>
      <c r="CI80" s="1804">
        <v>0</v>
      </c>
      <c r="CJ80" s="1804">
        <v>0</v>
      </c>
      <c r="CK80" s="1804">
        <v>0</v>
      </c>
      <c r="CL80" s="1804">
        <v>0</v>
      </c>
      <c r="CM80" s="1804">
        <v>0</v>
      </c>
      <c r="CN80" s="1804">
        <v>0</v>
      </c>
      <c r="CO80" s="1804">
        <v>0</v>
      </c>
      <c r="CP80" s="1804">
        <v>0</v>
      </c>
      <c r="CQ80" s="1804">
        <v>0</v>
      </c>
      <c r="CR80" s="1804">
        <v>0</v>
      </c>
      <c r="CS80" s="1804">
        <v>0</v>
      </c>
      <c r="CT80" s="1804">
        <v>0</v>
      </c>
      <c r="CU80" s="1804">
        <v>0</v>
      </c>
      <c r="CV80" s="1804">
        <v>0</v>
      </c>
      <c r="CW80" s="1804">
        <v>0</v>
      </c>
      <c r="CX80" s="1804">
        <v>0</v>
      </c>
      <c r="CY80" s="1804">
        <v>0</v>
      </c>
      <c r="CZ80" s="1804">
        <v>0</v>
      </c>
      <c r="DA80" s="1804">
        <v>0</v>
      </c>
      <c r="DB80" s="1804">
        <v>0</v>
      </c>
      <c r="DC80" s="1804">
        <v>0</v>
      </c>
      <c r="DD80" s="1804">
        <v>0</v>
      </c>
      <c r="DE80" s="1804">
        <v>0</v>
      </c>
      <c r="DF80" s="1804">
        <v>0</v>
      </c>
      <c r="DG80" s="1804">
        <v>0</v>
      </c>
      <c r="DH80" s="1804">
        <v>0</v>
      </c>
      <c r="DI80" s="1804">
        <v>0</v>
      </c>
      <c r="DJ80" s="1804">
        <v>0</v>
      </c>
      <c r="DK80" s="1804">
        <v>0</v>
      </c>
      <c r="DL80" s="1804">
        <v>0</v>
      </c>
      <c r="DM80" s="1804">
        <v>0</v>
      </c>
      <c r="DN80" s="1804">
        <v>0</v>
      </c>
      <c r="DO80" s="1804">
        <v>0</v>
      </c>
      <c r="DP80" s="1804">
        <v>0</v>
      </c>
      <c r="DQ80" s="1804">
        <v>0</v>
      </c>
      <c r="DR80" s="1804">
        <v>0</v>
      </c>
      <c r="DS80" s="1804">
        <v>0</v>
      </c>
      <c r="DT80" s="1804">
        <v>0</v>
      </c>
      <c r="DU80" s="1804">
        <v>0</v>
      </c>
      <c r="DV80" s="1804">
        <v>0</v>
      </c>
      <c r="DW80" s="1804">
        <v>0</v>
      </c>
      <c r="DX80" s="1804">
        <v>0</v>
      </c>
      <c r="DY80" s="1804">
        <v>0</v>
      </c>
      <c r="DZ80" s="1804">
        <v>0</v>
      </c>
      <c r="EA80" s="1804">
        <v>0</v>
      </c>
      <c r="EB80" s="1804">
        <v>0</v>
      </c>
      <c r="EC80" s="1804">
        <v>0</v>
      </c>
      <c r="ED80" s="1804">
        <v>0</v>
      </c>
      <c r="EE80" s="1804">
        <v>0</v>
      </c>
      <c r="EF80" s="1804">
        <v>0</v>
      </c>
      <c r="EG80" s="1804">
        <v>0</v>
      </c>
      <c r="EH80" s="1804">
        <v>0</v>
      </c>
      <c r="EI80" s="1804">
        <v>0</v>
      </c>
      <c r="EJ80" s="1804">
        <v>0</v>
      </c>
      <c r="EK80" s="1804">
        <v>0</v>
      </c>
      <c r="EL80" s="1804">
        <v>0</v>
      </c>
      <c r="EM80" s="1804">
        <v>0</v>
      </c>
      <c r="EN80" s="1804">
        <v>0</v>
      </c>
      <c r="EO80" s="1804">
        <v>0</v>
      </c>
      <c r="EP80" s="1804">
        <v>0</v>
      </c>
      <c r="EQ80" s="1804">
        <v>0</v>
      </c>
      <c r="ER80" s="1804">
        <v>0</v>
      </c>
      <c r="ES80" s="1804">
        <v>0</v>
      </c>
      <c r="ET80" s="1804">
        <v>0</v>
      </c>
      <c r="EU80" s="1804">
        <v>0</v>
      </c>
      <c r="EV80" s="1804">
        <v>0</v>
      </c>
      <c r="EW80" s="1804">
        <v>0</v>
      </c>
      <c r="EX80" s="1804">
        <v>0</v>
      </c>
      <c r="EY80" s="1804">
        <v>0</v>
      </c>
      <c r="EZ80" s="1804">
        <v>0</v>
      </c>
      <c r="FA80" s="1804">
        <v>0</v>
      </c>
      <c r="FB80" s="1804">
        <v>0</v>
      </c>
      <c r="FC80" s="1804">
        <v>0</v>
      </c>
      <c r="FD80" s="1804">
        <v>0</v>
      </c>
      <c r="FE80" s="1804">
        <v>0</v>
      </c>
      <c r="FF80" s="1804">
        <v>0</v>
      </c>
      <c r="FG80" s="1804">
        <v>0</v>
      </c>
      <c r="FH80" s="1804">
        <v>0</v>
      </c>
      <c r="FI80" s="1804">
        <v>0</v>
      </c>
      <c r="FJ80" s="1804">
        <v>0</v>
      </c>
      <c r="FK80" s="1804">
        <v>0</v>
      </c>
      <c r="FL80" s="1804">
        <v>0</v>
      </c>
      <c r="FM80" s="1804">
        <v>0</v>
      </c>
      <c r="FN80" s="1804">
        <v>0</v>
      </c>
      <c r="FO80" s="1804">
        <v>0</v>
      </c>
      <c r="FP80" s="1804">
        <v>0</v>
      </c>
      <c r="FQ80" s="1804">
        <v>0</v>
      </c>
      <c r="FR80" s="1804">
        <v>0</v>
      </c>
      <c r="FS80" s="1804">
        <v>0</v>
      </c>
      <c r="FT80" s="1804">
        <v>0</v>
      </c>
      <c r="FU80" s="1804">
        <v>0</v>
      </c>
      <c r="FV80" s="1804">
        <v>0</v>
      </c>
      <c r="FW80" s="1804">
        <v>0</v>
      </c>
      <c r="FX80" s="1804">
        <v>0</v>
      </c>
      <c r="FY80" s="1804">
        <v>0</v>
      </c>
      <c r="FZ80" s="1804">
        <v>0</v>
      </c>
      <c r="GA80" s="1804">
        <v>0</v>
      </c>
      <c r="GB80" s="1804">
        <v>0</v>
      </c>
      <c r="GC80" s="1804">
        <v>0</v>
      </c>
      <c r="GD80" s="1804">
        <v>0</v>
      </c>
      <c r="GE80" s="1804">
        <v>0</v>
      </c>
      <c r="GF80" s="1804">
        <v>0</v>
      </c>
      <c r="GG80" s="1804">
        <v>0</v>
      </c>
      <c r="GH80" s="1804">
        <v>0</v>
      </c>
      <c r="GI80" s="1804">
        <v>0</v>
      </c>
      <c r="GJ80" s="1804">
        <v>0</v>
      </c>
      <c r="GK80" s="1804">
        <v>0</v>
      </c>
      <c r="GL80" s="1804">
        <v>0</v>
      </c>
      <c r="GM80" s="1804">
        <v>0</v>
      </c>
      <c r="GN80" s="1804">
        <v>0</v>
      </c>
      <c r="GO80" s="1804">
        <v>0</v>
      </c>
      <c r="GP80" s="1804">
        <v>0</v>
      </c>
      <c r="GQ80" s="1804">
        <v>0</v>
      </c>
      <c r="GR80" s="1804">
        <v>0</v>
      </c>
      <c r="GS80" s="1804">
        <v>0</v>
      </c>
      <c r="GT80" s="1804">
        <v>0</v>
      </c>
      <c r="GU80" s="1804">
        <v>0</v>
      </c>
      <c r="GV80" s="1804">
        <v>0</v>
      </c>
      <c r="GW80" s="1804">
        <v>0</v>
      </c>
      <c r="GX80" s="1804">
        <v>0</v>
      </c>
      <c r="GY80" s="1804">
        <v>0</v>
      </c>
      <c r="GZ80" s="1804">
        <v>0</v>
      </c>
      <c r="HA80" s="1804">
        <v>0</v>
      </c>
      <c r="HB80" s="1804">
        <v>0</v>
      </c>
      <c r="HC80" s="1804">
        <v>0</v>
      </c>
      <c r="HD80" s="1804">
        <v>0</v>
      </c>
      <c r="HE80" s="1804">
        <v>0</v>
      </c>
    </row>
    <row r="81" spans="1:213" ht="15" customHeight="1" x14ac:dyDescent="0.2">
      <c r="A81" s="1973"/>
      <c r="B81" s="1970"/>
      <c r="C81" s="1816" t="s">
        <v>4</v>
      </c>
      <c r="D81" s="1886"/>
      <c r="E81" s="1983"/>
      <c r="F81" s="1838">
        <v>0</v>
      </c>
      <c r="G81" s="1804">
        <v>0</v>
      </c>
      <c r="H81" s="1804">
        <v>0</v>
      </c>
      <c r="I81" s="1804">
        <v>0</v>
      </c>
      <c r="J81" s="1804">
        <v>0</v>
      </c>
      <c r="K81" s="1804">
        <v>0</v>
      </c>
      <c r="L81" s="1804">
        <v>0</v>
      </c>
      <c r="M81" s="1804">
        <v>0</v>
      </c>
      <c r="N81" s="1804">
        <v>0</v>
      </c>
      <c r="O81" s="1804">
        <v>0</v>
      </c>
      <c r="P81" s="1804">
        <v>0</v>
      </c>
      <c r="Q81" s="1804">
        <v>0</v>
      </c>
      <c r="R81" s="1804">
        <v>0</v>
      </c>
      <c r="S81" s="1804">
        <v>0</v>
      </c>
      <c r="T81" s="1804">
        <v>0</v>
      </c>
      <c r="U81" s="1804">
        <v>0</v>
      </c>
      <c r="V81" s="1804">
        <v>0</v>
      </c>
      <c r="W81" s="1804">
        <v>0</v>
      </c>
      <c r="X81" s="1804">
        <v>0</v>
      </c>
      <c r="Y81" s="1804">
        <v>0</v>
      </c>
      <c r="Z81" s="1804">
        <v>0</v>
      </c>
      <c r="AA81" s="1804">
        <v>0</v>
      </c>
      <c r="AB81" s="1804">
        <v>0</v>
      </c>
      <c r="AC81" s="1804">
        <v>0</v>
      </c>
      <c r="AD81" s="1804">
        <v>0</v>
      </c>
      <c r="AE81" s="1804">
        <v>0</v>
      </c>
      <c r="AF81" s="1804">
        <v>0</v>
      </c>
      <c r="AG81" s="1804">
        <v>0</v>
      </c>
      <c r="AH81" s="1804">
        <v>0</v>
      </c>
      <c r="AI81" s="1804">
        <v>0</v>
      </c>
      <c r="AJ81" s="1804">
        <v>0</v>
      </c>
      <c r="AK81" s="1804">
        <v>0</v>
      </c>
      <c r="AL81" s="1804">
        <v>0</v>
      </c>
      <c r="AM81" s="1804">
        <v>0</v>
      </c>
      <c r="AN81" s="1804">
        <v>0</v>
      </c>
      <c r="AO81" s="1804">
        <v>0</v>
      </c>
      <c r="AP81" s="1804">
        <v>0</v>
      </c>
      <c r="AQ81" s="1804">
        <v>0</v>
      </c>
      <c r="AR81" s="1804">
        <v>0</v>
      </c>
      <c r="AS81" s="1804">
        <v>0</v>
      </c>
      <c r="AT81" s="1804">
        <v>0</v>
      </c>
      <c r="AU81" s="1804">
        <v>0</v>
      </c>
      <c r="AV81" s="1804">
        <v>0</v>
      </c>
      <c r="AW81" s="1804">
        <v>0</v>
      </c>
      <c r="AX81" s="1804">
        <v>0</v>
      </c>
      <c r="AY81" s="1804">
        <v>0</v>
      </c>
      <c r="AZ81" s="1804">
        <v>0</v>
      </c>
      <c r="BA81" s="1804">
        <v>0</v>
      </c>
      <c r="BB81" s="1804">
        <v>0</v>
      </c>
      <c r="BC81" s="1804">
        <v>0</v>
      </c>
      <c r="BD81" s="1804">
        <v>0</v>
      </c>
      <c r="BE81" s="1804">
        <v>0</v>
      </c>
      <c r="BF81" s="1804">
        <v>0</v>
      </c>
      <c r="BG81" s="1804">
        <v>0</v>
      </c>
      <c r="BH81" s="1804">
        <v>0</v>
      </c>
      <c r="BI81" s="1804">
        <v>0</v>
      </c>
      <c r="BJ81" s="1804">
        <v>0</v>
      </c>
      <c r="BK81" s="1804">
        <v>0</v>
      </c>
      <c r="BL81" s="1804">
        <v>0</v>
      </c>
      <c r="BM81" s="1804">
        <v>0</v>
      </c>
      <c r="BN81" s="1804">
        <v>0</v>
      </c>
      <c r="BO81" s="1804">
        <v>0</v>
      </c>
      <c r="BP81" s="1804">
        <v>0</v>
      </c>
      <c r="BQ81" s="1804">
        <v>0</v>
      </c>
      <c r="BR81" s="1804">
        <v>0</v>
      </c>
      <c r="BS81" s="1804">
        <v>0</v>
      </c>
      <c r="BT81" s="1804">
        <v>0</v>
      </c>
      <c r="BU81" s="1804">
        <v>0</v>
      </c>
      <c r="BV81" s="1804">
        <v>0</v>
      </c>
      <c r="BW81" s="1804">
        <v>0</v>
      </c>
      <c r="BX81" s="1804">
        <v>0</v>
      </c>
      <c r="BY81" s="1804">
        <v>0</v>
      </c>
      <c r="BZ81" s="1804">
        <v>0</v>
      </c>
      <c r="CA81" s="1804">
        <v>0</v>
      </c>
      <c r="CB81" s="1804">
        <v>0</v>
      </c>
      <c r="CC81" s="1804">
        <v>0</v>
      </c>
      <c r="CD81" s="1804">
        <v>0</v>
      </c>
      <c r="CE81" s="1804">
        <v>0</v>
      </c>
      <c r="CF81" s="1804">
        <v>0</v>
      </c>
      <c r="CG81" s="1804">
        <v>0</v>
      </c>
      <c r="CH81" s="1804">
        <v>0</v>
      </c>
      <c r="CI81" s="1804">
        <v>0</v>
      </c>
      <c r="CJ81" s="1804">
        <v>0</v>
      </c>
      <c r="CK81" s="1804">
        <v>0</v>
      </c>
      <c r="CL81" s="1804">
        <v>0</v>
      </c>
      <c r="CM81" s="1804">
        <v>0</v>
      </c>
      <c r="CN81" s="1804">
        <v>0</v>
      </c>
      <c r="CO81" s="1804">
        <v>0</v>
      </c>
      <c r="CP81" s="1804">
        <v>0</v>
      </c>
      <c r="CQ81" s="1804">
        <v>0</v>
      </c>
      <c r="CR81" s="1804">
        <v>0</v>
      </c>
      <c r="CS81" s="1804">
        <v>0</v>
      </c>
      <c r="CT81" s="1804">
        <v>0</v>
      </c>
      <c r="CU81" s="1804">
        <v>0</v>
      </c>
      <c r="CV81" s="1804">
        <v>0</v>
      </c>
      <c r="CW81" s="1804">
        <v>0</v>
      </c>
      <c r="CX81" s="1804">
        <v>0</v>
      </c>
      <c r="CY81" s="1804">
        <v>0</v>
      </c>
      <c r="CZ81" s="1804">
        <v>0</v>
      </c>
      <c r="DA81" s="1804">
        <v>0</v>
      </c>
      <c r="DB81" s="1804">
        <v>0</v>
      </c>
      <c r="DC81" s="1804">
        <v>0</v>
      </c>
      <c r="DD81" s="1804">
        <v>0</v>
      </c>
      <c r="DE81" s="1804">
        <v>0</v>
      </c>
      <c r="DF81" s="1804">
        <v>0</v>
      </c>
      <c r="DG81" s="1804">
        <v>0</v>
      </c>
      <c r="DH81" s="1804">
        <v>0</v>
      </c>
      <c r="DI81" s="1804">
        <v>0</v>
      </c>
      <c r="DJ81" s="1804">
        <v>0</v>
      </c>
      <c r="DK81" s="1804">
        <v>0</v>
      </c>
      <c r="DL81" s="1804">
        <v>0</v>
      </c>
      <c r="DM81" s="1804">
        <v>0</v>
      </c>
      <c r="DN81" s="1804">
        <v>0</v>
      </c>
      <c r="DO81" s="1804">
        <v>0</v>
      </c>
      <c r="DP81" s="1804">
        <v>0</v>
      </c>
      <c r="DQ81" s="1804">
        <v>0</v>
      </c>
      <c r="DR81" s="1804">
        <v>0</v>
      </c>
      <c r="DS81" s="1804">
        <v>0</v>
      </c>
      <c r="DT81" s="1804">
        <v>0</v>
      </c>
      <c r="DU81" s="1804">
        <v>0</v>
      </c>
      <c r="DV81" s="1804">
        <v>0</v>
      </c>
      <c r="DW81" s="1804">
        <v>0</v>
      </c>
      <c r="DX81" s="1804">
        <v>0</v>
      </c>
      <c r="DY81" s="1804">
        <v>0</v>
      </c>
      <c r="DZ81" s="1804">
        <v>0</v>
      </c>
      <c r="EA81" s="1804">
        <v>0</v>
      </c>
      <c r="EB81" s="1804">
        <v>0</v>
      </c>
      <c r="EC81" s="1804">
        <v>0</v>
      </c>
      <c r="ED81" s="1804">
        <v>0</v>
      </c>
      <c r="EE81" s="1804">
        <v>0</v>
      </c>
      <c r="EF81" s="1804">
        <v>0</v>
      </c>
      <c r="EG81" s="1804">
        <v>0</v>
      </c>
      <c r="EH81" s="1804">
        <v>0</v>
      </c>
      <c r="EI81" s="1804">
        <v>0</v>
      </c>
      <c r="EJ81" s="1804">
        <v>0</v>
      </c>
      <c r="EK81" s="1804">
        <v>0</v>
      </c>
      <c r="EL81" s="1804">
        <v>0</v>
      </c>
      <c r="EM81" s="1804">
        <v>0</v>
      </c>
      <c r="EN81" s="1804">
        <v>0</v>
      </c>
      <c r="EO81" s="1804">
        <v>0</v>
      </c>
      <c r="EP81" s="1804">
        <v>0</v>
      </c>
      <c r="EQ81" s="1804">
        <v>0</v>
      </c>
      <c r="ER81" s="1804">
        <v>0</v>
      </c>
      <c r="ES81" s="1804">
        <v>0</v>
      </c>
      <c r="ET81" s="1804">
        <v>0</v>
      </c>
      <c r="EU81" s="1804">
        <v>0</v>
      </c>
      <c r="EV81" s="1804">
        <v>0</v>
      </c>
      <c r="EW81" s="1804">
        <v>0</v>
      </c>
      <c r="EX81" s="1804">
        <v>0</v>
      </c>
      <c r="EY81" s="1804">
        <v>0</v>
      </c>
      <c r="EZ81" s="1804">
        <v>0</v>
      </c>
      <c r="FA81" s="1804">
        <v>0</v>
      </c>
      <c r="FB81" s="1804">
        <v>0</v>
      </c>
      <c r="FC81" s="1804">
        <v>0</v>
      </c>
      <c r="FD81" s="1804">
        <v>0</v>
      </c>
      <c r="FE81" s="1804">
        <v>0</v>
      </c>
      <c r="FF81" s="1804">
        <v>0</v>
      </c>
      <c r="FG81" s="1804">
        <v>0</v>
      </c>
      <c r="FH81" s="1804">
        <v>0</v>
      </c>
      <c r="FI81" s="1804">
        <v>0</v>
      </c>
      <c r="FJ81" s="1804">
        <v>0</v>
      </c>
      <c r="FK81" s="1804">
        <v>0</v>
      </c>
      <c r="FL81" s="1804">
        <v>0</v>
      </c>
      <c r="FM81" s="1804">
        <v>0</v>
      </c>
      <c r="FN81" s="1804">
        <v>0</v>
      </c>
      <c r="FO81" s="1804">
        <v>0</v>
      </c>
      <c r="FP81" s="1804">
        <v>0</v>
      </c>
      <c r="FQ81" s="1804">
        <v>0</v>
      </c>
      <c r="FR81" s="1804">
        <v>0</v>
      </c>
      <c r="FS81" s="1804">
        <v>0</v>
      </c>
      <c r="FT81" s="1804">
        <v>0</v>
      </c>
      <c r="FU81" s="1804">
        <v>0</v>
      </c>
      <c r="FV81" s="1804">
        <v>0</v>
      </c>
      <c r="FW81" s="1804">
        <v>0</v>
      </c>
      <c r="FX81" s="1804">
        <v>0</v>
      </c>
      <c r="FY81" s="1804">
        <v>0</v>
      </c>
      <c r="FZ81" s="1804">
        <v>0</v>
      </c>
      <c r="GA81" s="1804">
        <v>0</v>
      </c>
      <c r="GB81" s="1804">
        <v>0</v>
      </c>
      <c r="GC81" s="1804">
        <v>0</v>
      </c>
      <c r="GD81" s="1804">
        <v>0</v>
      </c>
      <c r="GE81" s="1804">
        <v>0</v>
      </c>
      <c r="GF81" s="1804">
        <v>0</v>
      </c>
      <c r="GG81" s="1804">
        <v>0</v>
      </c>
      <c r="GH81" s="1804">
        <v>0</v>
      </c>
      <c r="GI81" s="1804">
        <v>0</v>
      </c>
      <c r="GJ81" s="1804">
        <v>0</v>
      </c>
      <c r="GK81" s="1804">
        <v>0</v>
      </c>
      <c r="GL81" s="1804">
        <v>0</v>
      </c>
      <c r="GM81" s="1804">
        <v>0</v>
      </c>
      <c r="GN81" s="1804">
        <v>0</v>
      </c>
      <c r="GO81" s="1804">
        <v>0</v>
      </c>
      <c r="GP81" s="1804">
        <v>0</v>
      </c>
      <c r="GQ81" s="1804">
        <v>0</v>
      </c>
      <c r="GR81" s="1804">
        <v>0</v>
      </c>
      <c r="GS81" s="1804">
        <v>0</v>
      </c>
      <c r="GT81" s="1804">
        <v>0</v>
      </c>
      <c r="GU81" s="1804">
        <v>0</v>
      </c>
      <c r="GV81" s="1804">
        <v>0</v>
      </c>
      <c r="GW81" s="1804">
        <v>0</v>
      </c>
      <c r="GX81" s="1804">
        <v>0</v>
      </c>
      <c r="GY81" s="1804">
        <v>0</v>
      </c>
      <c r="GZ81" s="1804">
        <v>0</v>
      </c>
      <c r="HA81" s="1804">
        <v>0</v>
      </c>
      <c r="HB81" s="1804">
        <v>0</v>
      </c>
      <c r="HC81" s="1804">
        <v>0</v>
      </c>
      <c r="HD81" s="1804">
        <v>0</v>
      </c>
      <c r="HE81" s="1804">
        <v>0</v>
      </c>
    </row>
    <row r="82" spans="1:213" ht="15" customHeight="1" x14ac:dyDescent="0.2">
      <c r="A82" s="1973"/>
      <c r="B82" s="1970"/>
      <c r="C82" s="1816" t="s">
        <v>5</v>
      </c>
      <c r="D82" s="1886"/>
      <c r="E82" s="1983"/>
      <c r="F82" s="1838">
        <v>0</v>
      </c>
      <c r="G82" s="1804">
        <v>0</v>
      </c>
      <c r="H82" s="1804">
        <v>0</v>
      </c>
      <c r="I82" s="1804">
        <v>0</v>
      </c>
      <c r="J82" s="1804">
        <v>0</v>
      </c>
      <c r="K82" s="1804">
        <v>0</v>
      </c>
      <c r="L82" s="1804">
        <v>0</v>
      </c>
      <c r="M82" s="1804">
        <v>0</v>
      </c>
      <c r="N82" s="1804">
        <v>0</v>
      </c>
      <c r="O82" s="1804">
        <v>0</v>
      </c>
      <c r="P82" s="1804">
        <v>0</v>
      </c>
      <c r="Q82" s="1804">
        <v>0</v>
      </c>
      <c r="R82" s="1804">
        <v>0</v>
      </c>
      <c r="S82" s="1804">
        <v>0</v>
      </c>
      <c r="T82" s="1804">
        <v>0</v>
      </c>
      <c r="U82" s="1804">
        <v>0</v>
      </c>
      <c r="V82" s="1804">
        <v>0</v>
      </c>
      <c r="W82" s="1804">
        <v>0</v>
      </c>
      <c r="X82" s="1804">
        <v>0</v>
      </c>
      <c r="Y82" s="1804">
        <v>0</v>
      </c>
      <c r="Z82" s="1804">
        <v>0</v>
      </c>
      <c r="AA82" s="1804">
        <v>0</v>
      </c>
      <c r="AB82" s="1804">
        <v>0</v>
      </c>
      <c r="AC82" s="1804">
        <v>0</v>
      </c>
      <c r="AD82" s="1804">
        <v>0</v>
      </c>
      <c r="AE82" s="1804">
        <v>0</v>
      </c>
      <c r="AF82" s="1804">
        <v>0</v>
      </c>
      <c r="AG82" s="1804">
        <v>0</v>
      </c>
      <c r="AH82" s="1804">
        <v>0</v>
      </c>
      <c r="AI82" s="1804">
        <v>0</v>
      </c>
      <c r="AJ82" s="1804">
        <v>0</v>
      </c>
      <c r="AK82" s="1804">
        <v>0</v>
      </c>
      <c r="AL82" s="1804">
        <v>0</v>
      </c>
      <c r="AM82" s="1804">
        <v>0</v>
      </c>
      <c r="AN82" s="1804">
        <v>0</v>
      </c>
      <c r="AO82" s="1804">
        <v>0</v>
      </c>
      <c r="AP82" s="1804">
        <v>0</v>
      </c>
      <c r="AQ82" s="1804">
        <v>0</v>
      </c>
      <c r="AR82" s="1804">
        <v>0</v>
      </c>
      <c r="AS82" s="1804">
        <v>0</v>
      </c>
      <c r="AT82" s="1804">
        <v>0</v>
      </c>
      <c r="AU82" s="1804">
        <v>0</v>
      </c>
      <c r="AV82" s="1804">
        <v>0</v>
      </c>
      <c r="AW82" s="1804">
        <v>0</v>
      </c>
      <c r="AX82" s="1804">
        <v>0</v>
      </c>
      <c r="AY82" s="1804">
        <v>0</v>
      </c>
      <c r="AZ82" s="1804">
        <v>0</v>
      </c>
      <c r="BA82" s="1804">
        <v>0</v>
      </c>
      <c r="BB82" s="1804">
        <v>0</v>
      </c>
      <c r="BC82" s="1804">
        <v>0</v>
      </c>
      <c r="BD82" s="1804">
        <v>0</v>
      </c>
      <c r="BE82" s="1804">
        <v>0</v>
      </c>
      <c r="BF82" s="1804">
        <v>0</v>
      </c>
      <c r="BG82" s="1804">
        <v>0</v>
      </c>
      <c r="BH82" s="1804">
        <v>0</v>
      </c>
      <c r="BI82" s="1804">
        <v>0</v>
      </c>
      <c r="BJ82" s="1804">
        <v>0</v>
      </c>
      <c r="BK82" s="1804">
        <v>0</v>
      </c>
      <c r="BL82" s="1804">
        <v>0</v>
      </c>
      <c r="BM82" s="1804">
        <v>0</v>
      </c>
      <c r="BN82" s="1804">
        <v>0</v>
      </c>
      <c r="BO82" s="1804">
        <v>0</v>
      </c>
      <c r="BP82" s="1804">
        <v>0</v>
      </c>
      <c r="BQ82" s="1804">
        <v>0</v>
      </c>
      <c r="BR82" s="1804">
        <v>0</v>
      </c>
      <c r="BS82" s="1804">
        <v>0</v>
      </c>
      <c r="BT82" s="1804">
        <v>0</v>
      </c>
      <c r="BU82" s="1804">
        <v>0</v>
      </c>
      <c r="BV82" s="1804">
        <v>0</v>
      </c>
      <c r="BW82" s="1804">
        <v>0</v>
      </c>
      <c r="BX82" s="1804">
        <v>0</v>
      </c>
      <c r="BY82" s="1804">
        <v>0</v>
      </c>
      <c r="BZ82" s="1804">
        <v>0</v>
      </c>
      <c r="CA82" s="1804">
        <v>0</v>
      </c>
      <c r="CB82" s="1804">
        <v>0</v>
      </c>
      <c r="CC82" s="1804">
        <v>0</v>
      </c>
      <c r="CD82" s="1804">
        <v>0</v>
      </c>
      <c r="CE82" s="1804">
        <v>0</v>
      </c>
      <c r="CF82" s="1804">
        <v>0</v>
      </c>
      <c r="CG82" s="1804">
        <v>0</v>
      </c>
      <c r="CH82" s="1804">
        <v>0</v>
      </c>
      <c r="CI82" s="1804">
        <v>0</v>
      </c>
      <c r="CJ82" s="1804">
        <v>0</v>
      </c>
      <c r="CK82" s="1804">
        <v>0</v>
      </c>
      <c r="CL82" s="1804">
        <v>0</v>
      </c>
      <c r="CM82" s="1804">
        <v>0</v>
      </c>
      <c r="CN82" s="1804">
        <v>0</v>
      </c>
      <c r="CO82" s="1804">
        <v>0</v>
      </c>
      <c r="CP82" s="1804">
        <v>0</v>
      </c>
      <c r="CQ82" s="1804">
        <v>0</v>
      </c>
      <c r="CR82" s="1804">
        <v>0</v>
      </c>
      <c r="CS82" s="1804">
        <v>0</v>
      </c>
      <c r="CT82" s="1804">
        <v>0</v>
      </c>
      <c r="CU82" s="1804">
        <v>0</v>
      </c>
      <c r="CV82" s="1804">
        <v>0</v>
      </c>
      <c r="CW82" s="1804">
        <v>0</v>
      </c>
      <c r="CX82" s="1804">
        <v>0</v>
      </c>
      <c r="CY82" s="1804">
        <v>0</v>
      </c>
      <c r="CZ82" s="1804">
        <v>0</v>
      </c>
      <c r="DA82" s="1804">
        <v>0</v>
      </c>
      <c r="DB82" s="1804">
        <v>0</v>
      </c>
      <c r="DC82" s="1804">
        <v>0</v>
      </c>
      <c r="DD82" s="1804">
        <v>0</v>
      </c>
      <c r="DE82" s="1804">
        <v>0</v>
      </c>
      <c r="DF82" s="1804">
        <v>0</v>
      </c>
      <c r="DG82" s="1804">
        <v>0</v>
      </c>
      <c r="DH82" s="1804">
        <v>0</v>
      </c>
      <c r="DI82" s="1804">
        <v>0</v>
      </c>
      <c r="DJ82" s="1804">
        <v>0</v>
      </c>
      <c r="DK82" s="1804">
        <v>0</v>
      </c>
      <c r="DL82" s="1804">
        <v>0</v>
      </c>
      <c r="DM82" s="1804">
        <v>0</v>
      </c>
      <c r="DN82" s="1804">
        <v>0</v>
      </c>
      <c r="DO82" s="1804">
        <v>0</v>
      </c>
      <c r="DP82" s="1804">
        <v>0</v>
      </c>
      <c r="DQ82" s="1804">
        <v>0</v>
      </c>
      <c r="DR82" s="1804">
        <v>0</v>
      </c>
      <c r="DS82" s="1804">
        <v>0</v>
      </c>
      <c r="DT82" s="1804">
        <v>0</v>
      </c>
      <c r="DU82" s="1804">
        <v>0</v>
      </c>
      <c r="DV82" s="1804">
        <v>0</v>
      </c>
      <c r="DW82" s="1804">
        <v>0</v>
      </c>
      <c r="DX82" s="1804">
        <v>0</v>
      </c>
      <c r="DY82" s="1804">
        <v>0</v>
      </c>
      <c r="DZ82" s="1804">
        <v>0</v>
      </c>
      <c r="EA82" s="1804">
        <v>0</v>
      </c>
      <c r="EB82" s="1804">
        <v>0</v>
      </c>
      <c r="EC82" s="1804">
        <v>0</v>
      </c>
      <c r="ED82" s="1804">
        <v>0</v>
      </c>
      <c r="EE82" s="1804">
        <v>0</v>
      </c>
      <c r="EF82" s="1804">
        <v>0</v>
      </c>
      <c r="EG82" s="1804">
        <v>0</v>
      </c>
      <c r="EH82" s="1804">
        <v>0</v>
      </c>
      <c r="EI82" s="1804">
        <v>0</v>
      </c>
      <c r="EJ82" s="1804">
        <v>0</v>
      </c>
      <c r="EK82" s="1804">
        <v>0</v>
      </c>
      <c r="EL82" s="1804">
        <v>0</v>
      </c>
      <c r="EM82" s="1804">
        <v>0</v>
      </c>
      <c r="EN82" s="1804">
        <v>0</v>
      </c>
      <c r="EO82" s="1804">
        <v>0</v>
      </c>
      <c r="EP82" s="1804">
        <v>0</v>
      </c>
      <c r="EQ82" s="1804">
        <v>0</v>
      </c>
      <c r="ER82" s="1804">
        <v>0</v>
      </c>
      <c r="ES82" s="1804">
        <v>0</v>
      </c>
      <c r="ET82" s="1804">
        <v>0</v>
      </c>
      <c r="EU82" s="1804">
        <v>0</v>
      </c>
      <c r="EV82" s="1804">
        <v>0</v>
      </c>
      <c r="EW82" s="1804">
        <v>0</v>
      </c>
      <c r="EX82" s="1804">
        <v>0</v>
      </c>
      <c r="EY82" s="1804">
        <v>0</v>
      </c>
      <c r="EZ82" s="1804">
        <v>0</v>
      </c>
      <c r="FA82" s="1804">
        <v>0</v>
      </c>
      <c r="FB82" s="1804">
        <v>0</v>
      </c>
      <c r="FC82" s="1804">
        <v>0</v>
      </c>
      <c r="FD82" s="1804">
        <v>0</v>
      </c>
      <c r="FE82" s="1804">
        <v>0</v>
      </c>
      <c r="FF82" s="1804">
        <v>0</v>
      </c>
      <c r="FG82" s="1804">
        <v>0</v>
      </c>
      <c r="FH82" s="1804">
        <v>0</v>
      </c>
      <c r="FI82" s="1804">
        <v>0</v>
      </c>
      <c r="FJ82" s="1804">
        <v>0</v>
      </c>
      <c r="FK82" s="1804">
        <v>0</v>
      </c>
      <c r="FL82" s="1804">
        <v>0</v>
      </c>
      <c r="FM82" s="1804">
        <v>0</v>
      </c>
      <c r="FN82" s="1804">
        <v>0</v>
      </c>
      <c r="FO82" s="1804">
        <v>0</v>
      </c>
      <c r="FP82" s="1804">
        <v>0</v>
      </c>
      <c r="FQ82" s="1804">
        <v>0</v>
      </c>
      <c r="FR82" s="1804">
        <v>0</v>
      </c>
      <c r="FS82" s="1804">
        <v>0</v>
      </c>
      <c r="FT82" s="1804">
        <v>0</v>
      </c>
      <c r="FU82" s="1804">
        <v>0</v>
      </c>
      <c r="FV82" s="1804">
        <v>0</v>
      </c>
      <c r="FW82" s="1804">
        <v>0</v>
      </c>
      <c r="FX82" s="1804">
        <v>0</v>
      </c>
      <c r="FY82" s="1804">
        <v>0</v>
      </c>
      <c r="FZ82" s="1804">
        <v>0</v>
      </c>
      <c r="GA82" s="1804">
        <v>0</v>
      </c>
      <c r="GB82" s="1804">
        <v>0</v>
      </c>
      <c r="GC82" s="1804">
        <v>0</v>
      </c>
      <c r="GD82" s="1804">
        <v>0</v>
      </c>
      <c r="GE82" s="1804">
        <v>0</v>
      </c>
      <c r="GF82" s="1804">
        <v>0</v>
      </c>
      <c r="GG82" s="1804">
        <v>0</v>
      </c>
      <c r="GH82" s="1804">
        <v>0</v>
      </c>
      <c r="GI82" s="1804">
        <v>0</v>
      </c>
      <c r="GJ82" s="1804">
        <v>0</v>
      </c>
      <c r="GK82" s="1804">
        <v>0</v>
      </c>
      <c r="GL82" s="1804">
        <v>0</v>
      </c>
      <c r="GM82" s="1804">
        <v>0</v>
      </c>
      <c r="GN82" s="1804">
        <v>0</v>
      </c>
      <c r="GO82" s="1804">
        <v>0</v>
      </c>
      <c r="GP82" s="1804">
        <v>0</v>
      </c>
      <c r="GQ82" s="1804">
        <v>0</v>
      </c>
      <c r="GR82" s="1804">
        <v>0</v>
      </c>
      <c r="GS82" s="1804">
        <v>0</v>
      </c>
      <c r="GT82" s="1804">
        <v>0</v>
      </c>
      <c r="GU82" s="1804">
        <v>0</v>
      </c>
      <c r="GV82" s="1804">
        <v>0</v>
      </c>
      <c r="GW82" s="1804">
        <v>0</v>
      </c>
      <c r="GX82" s="1804">
        <v>0</v>
      </c>
      <c r="GY82" s="1804">
        <v>0</v>
      </c>
      <c r="GZ82" s="1804">
        <v>0</v>
      </c>
      <c r="HA82" s="1804">
        <v>0</v>
      </c>
      <c r="HB82" s="1804">
        <v>0</v>
      </c>
      <c r="HC82" s="1804">
        <v>0</v>
      </c>
      <c r="HD82" s="1804">
        <v>0</v>
      </c>
      <c r="HE82" s="1804">
        <v>0</v>
      </c>
    </row>
    <row r="83" spans="1:213" ht="15" customHeight="1" thickBot="1" x14ac:dyDescent="0.25">
      <c r="A83" s="1993"/>
      <c r="B83" s="1971"/>
      <c r="C83" s="1691" t="s">
        <v>6</v>
      </c>
      <c r="D83" s="1886"/>
      <c r="E83" s="1983"/>
      <c r="F83" s="1838">
        <v>0</v>
      </c>
      <c r="G83" s="1804">
        <v>0</v>
      </c>
      <c r="H83" s="1804">
        <v>0</v>
      </c>
      <c r="I83" s="1804">
        <v>0</v>
      </c>
      <c r="J83" s="1804">
        <v>0</v>
      </c>
      <c r="K83" s="1804">
        <v>0</v>
      </c>
      <c r="L83" s="1804">
        <v>0</v>
      </c>
      <c r="M83" s="1804">
        <v>0</v>
      </c>
      <c r="N83" s="1804">
        <v>0</v>
      </c>
      <c r="O83" s="1804">
        <v>0</v>
      </c>
      <c r="P83" s="1804">
        <v>0</v>
      </c>
      <c r="Q83" s="1804">
        <v>0</v>
      </c>
      <c r="R83" s="1804">
        <v>0</v>
      </c>
      <c r="S83" s="1804">
        <v>0</v>
      </c>
      <c r="T83" s="1804">
        <v>0</v>
      </c>
      <c r="U83" s="1804">
        <v>0</v>
      </c>
      <c r="V83" s="1804">
        <v>0</v>
      </c>
      <c r="W83" s="1804">
        <v>0</v>
      </c>
      <c r="X83" s="1804">
        <v>0</v>
      </c>
      <c r="Y83" s="1804">
        <v>0</v>
      </c>
      <c r="Z83" s="1804">
        <v>0</v>
      </c>
      <c r="AA83" s="1804">
        <v>0</v>
      </c>
      <c r="AB83" s="1804">
        <v>0</v>
      </c>
      <c r="AC83" s="1804">
        <v>0</v>
      </c>
      <c r="AD83" s="1804">
        <v>0</v>
      </c>
      <c r="AE83" s="1804">
        <v>0</v>
      </c>
      <c r="AF83" s="1804">
        <v>0</v>
      </c>
      <c r="AG83" s="1804">
        <v>0</v>
      </c>
      <c r="AH83" s="1804">
        <v>0</v>
      </c>
      <c r="AI83" s="1804">
        <v>0</v>
      </c>
      <c r="AJ83" s="1804">
        <v>0</v>
      </c>
      <c r="AK83" s="1804">
        <v>0</v>
      </c>
      <c r="AL83" s="1804">
        <v>0</v>
      </c>
      <c r="AM83" s="1804">
        <v>0</v>
      </c>
      <c r="AN83" s="1804">
        <v>0</v>
      </c>
      <c r="AO83" s="1804">
        <v>0</v>
      </c>
      <c r="AP83" s="1804">
        <v>0</v>
      </c>
      <c r="AQ83" s="1804">
        <v>0</v>
      </c>
      <c r="AR83" s="1804">
        <v>0</v>
      </c>
      <c r="AS83" s="1804">
        <v>0</v>
      </c>
      <c r="AT83" s="1804">
        <v>0</v>
      </c>
      <c r="AU83" s="1804">
        <v>0</v>
      </c>
      <c r="AV83" s="1804">
        <v>0</v>
      </c>
      <c r="AW83" s="1804">
        <v>0</v>
      </c>
      <c r="AX83" s="1804">
        <v>0</v>
      </c>
      <c r="AY83" s="1804">
        <v>0</v>
      </c>
      <c r="AZ83" s="1804">
        <v>0</v>
      </c>
      <c r="BA83" s="1804">
        <v>0</v>
      </c>
      <c r="BB83" s="1804">
        <v>0</v>
      </c>
      <c r="BC83" s="1804">
        <v>0</v>
      </c>
      <c r="BD83" s="1804">
        <v>0</v>
      </c>
      <c r="BE83" s="1804">
        <v>0</v>
      </c>
      <c r="BF83" s="1804">
        <v>0</v>
      </c>
      <c r="BG83" s="1804">
        <v>0</v>
      </c>
      <c r="BH83" s="1804">
        <v>0</v>
      </c>
      <c r="BI83" s="1804">
        <v>0</v>
      </c>
      <c r="BJ83" s="1804">
        <v>0</v>
      </c>
      <c r="BK83" s="1804">
        <v>0</v>
      </c>
      <c r="BL83" s="1804">
        <v>0</v>
      </c>
      <c r="BM83" s="1804">
        <v>0</v>
      </c>
      <c r="BN83" s="1804">
        <v>0</v>
      </c>
      <c r="BO83" s="1804">
        <v>0</v>
      </c>
      <c r="BP83" s="1804">
        <v>0</v>
      </c>
      <c r="BQ83" s="1804">
        <v>0</v>
      </c>
      <c r="BR83" s="1804">
        <v>0</v>
      </c>
      <c r="BS83" s="1804">
        <v>0</v>
      </c>
      <c r="BT83" s="1804">
        <v>0</v>
      </c>
      <c r="BU83" s="1804">
        <v>0</v>
      </c>
      <c r="BV83" s="1804">
        <v>0</v>
      </c>
      <c r="BW83" s="1804">
        <v>0</v>
      </c>
      <c r="BX83" s="1804">
        <v>0</v>
      </c>
      <c r="BY83" s="1804">
        <v>0</v>
      </c>
      <c r="BZ83" s="1804">
        <v>0</v>
      </c>
      <c r="CA83" s="1804">
        <v>0</v>
      </c>
      <c r="CB83" s="1804">
        <v>0</v>
      </c>
      <c r="CC83" s="1804">
        <v>0</v>
      </c>
      <c r="CD83" s="1804">
        <v>0</v>
      </c>
      <c r="CE83" s="1804">
        <v>0</v>
      </c>
      <c r="CF83" s="1804">
        <v>0</v>
      </c>
      <c r="CG83" s="1804">
        <v>0</v>
      </c>
      <c r="CH83" s="1804">
        <v>0</v>
      </c>
      <c r="CI83" s="1804">
        <v>0</v>
      </c>
      <c r="CJ83" s="1804">
        <v>0</v>
      </c>
      <c r="CK83" s="1804">
        <v>0</v>
      </c>
      <c r="CL83" s="1804">
        <v>0</v>
      </c>
      <c r="CM83" s="1804">
        <v>0</v>
      </c>
      <c r="CN83" s="1804">
        <v>0</v>
      </c>
      <c r="CO83" s="1804">
        <v>0</v>
      </c>
      <c r="CP83" s="1804">
        <v>0</v>
      </c>
      <c r="CQ83" s="1804">
        <v>0</v>
      </c>
      <c r="CR83" s="1804">
        <v>0</v>
      </c>
      <c r="CS83" s="1804">
        <v>0</v>
      </c>
      <c r="CT83" s="1804">
        <v>0</v>
      </c>
      <c r="CU83" s="1804">
        <v>0</v>
      </c>
      <c r="CV83" s="1804">
        <v>0</v>
      </c>
      <c r="CW83" s="1804">
        <v>0</v>
      </c>
      <c r="CX83" s="1804">
        <v>0</v>
      </c>
      <c r="CY83" s="1804">
        <v>0</v>
      </c>
      <c r="CZ83" s="1804">
        <v>0</v>
      </c>
      <c r="DA83" s="1804">
        <v>0</v>
      </c>
      <c r="DB83" s="1804">
        <v>0</v>
      </c>
      <c r="DC83" s="1804">
        <v>0</v>
      </c>
      <c r="DD83" s="1804">
        <v>0</v>
      </c>
      <c r="DE83" s="1804">
        <v>0</v>
      </c>
      <c r="DF83" s="1804">
        <v>0</v>
      </c>
      <c r="DG83" s="1804">
        <v>0</v>
      </c>
      <c r="DH83" s="1804">
        <v>0</v>
      </c>
      <c r="DI83" s="1804">
        <v>0</v>
      </c>
      <c r="DJ83" s="1804">
        <v>0</v>
      </c>
      <c r="DK83" s="1804">
        <v>0</v>
      </c>
      <c r="DL83" s="1804">
        <v>0</v>
      </c>
      <c r="DM83" s="1804">
        <v>0</v>
      </c>
      <c r="DN83" s="1804">
        <v>0</v>
      </c>
      <c r="DO83" s="1804">
        <v>0</v>
      </c>
      <c r="DP83" s="1804">
        <v>0</v>
      </c>
      <c r="DQ83" s="1804">
        <v>0</v>
      </c>
      <c r="DR83" s="1804">
        <v>0</v>
      </c>
      <c r="DS83" s="1804">
        <v>0</v>
      </c>
      <c r="DT83" s="1804">
        <v>0</v>
      </c>
      <c r="DU83" s="1804">
        <v>0</v>
      </c>
      <c r="DV83" s="1804">
        <v>0</v>
      </c>
      <c r="DW83" s="1804">
        <v>0</v>
      </c>
      <c r="DX83" s="1804">
        <v>0</v>
      </c>
      <c r="DY83" s="1804">
        <v>0</v>
      </c>
      <c r="DZ83" s="1804">
        <v>0</v>
      </c>
      <c r="EA83" s="1804">
        <v>0</v>
      </c>
      <c r="EB83" s="1804">
        <v>0</v>
      </c>
      <c r="EC83" s="1804">
        <v>0</v>
      </c>
      <c r="ED83" s="1804">
        <v>0</v>
      </c>
      <c r="EE83" s="1804">
        <v>0</v>
      </c>
      <c r="EF83" s="1804">
        <v>0</v>
      </c>
      <c r="EG83" s="1804">
        <v>0</v>
      </c>
      <c r="EH83" s="1804">
        <v>0</v>
      </c>
      <c r="EI83" s="1804">
        <v>0</v>
      </c>
      <c r="EJ83" s="1804">
        <v>0</v>
      </c>
      <c r="EK83" s="1804">
        <v>0</v>
      </c>
      <c r="EL83" s="1804">
        <v>0</v>
      </c>
      <c r="EM83" s="1804">
        <v>0</v>
      </c>
      <c r="EN83" s="1804">
        <v>0</v>
      </c>
      <c r="EO83" s="1804">
        <v>0</v>
      </c>
      <c r="EP83" s="1804">
        <v>0</v>
      </c>
      <c r="EQ83" s="1804">
        <v>0</v>
      </c>
      <c r="ER83" s="1804">
        <v>0</v>
      </c>
      <c r="ES83" s="1804">
        <v>0</v>
      </c>
      <c r="ET83" s="1804">
        <v>0</v>
      </c>
      <c r="EU83" s="1804">
        <v>0</v>
      </c>
      <c r="EV83" s="1804">
        <v>0</v>
      </c>
      <c r="EW83" s="1804">
        <v>0</v>
      </c>
      <c r="EX83" s="1804">
        <v>0</v>
      </c>
      <c r="EY83" s="1804">
        <v>0</v>
      </c>
      <c r="EZ83" s="1804">
        <v>0</v>
      </c>
      <c r="FA83" s="1804">
        <v>0</v>
      </c>
      <c r="FB83" s="1804">
        <v>0</v>
      </c>
      <c r="FC83" s="1804">
        <v>0</v>
      </c>
      <c r="FD83" s="1804">
        <v>0</v>
      </c>
      <c r="FE83" s="1804">
        <v>0</v>
      </c>
      <c r="FF83" s="1804">
        <v>0</v>
      </c>
      <c r="FG83" s="1804">
        <v>0</v>
      </c>
      <c r="FH83" s="1804">
        <v>0</v>
      </c>
      <c r="FI83" s="1804">
        <v>0</v>
      </c>
      <c r="FJ83" s="1804">
        <v>0</v>
      </c>
      <c r="FK83" s="1804">
        <v>0</v>
      </c>
      <c r="FL83" s="1804">
        <v>0</v>
      </c>
      <c r="FM83" s="1804">
        <v>0</v>
      </c>
      <c r="FN83" s="1804">
        <v>0</v>
      </c>
      <c r="FO83" s="1804">
        <v>0</v>
      </c>
      <c r="FP83" s="1804">
        <v>0</v>
      </c>
      <c r="FQ83" s="1804">
        <v>0</v>
      </c>
      <c r="FR83" s="1804">
        <v>0</v>
      </c>
      <c r="FS83" s="1804">
        <v>0</v>
      </c>
      <c r="FT83" s="1804">
        <v>0</v>
      </c>
      <c r="FU83" s="1804">
        <v>0</v>
      </c>
      <c r="FV83" s="1804">
        <v>0</v>
      </c>
      <c r="FW83" s="1804">
        <v>0</v>
      </c>
      <c r="FX83" s="1804">
        <v>0</v>
      </c>
      <c r="FY83" s="1804">
        <v>0</v>
      </c>
      <c r="FZ83" s="1804">
        <v>0</v>
      </c>
      <c r="GA83" s="1804">
        <v>0</v>
      </c>
      <c r="GB83" s="1804">
        <v>0</v>
      </c>
      <c r="GC83" s="1804">
        <v>0</v>
      </c>
      <c r="GD83" s="1804">
        <v>0</v>
      </c>
      <c r="GE83" s="1804">
        <v>0</v>
      </c>
      <c r="GF83" s="1804">
        <v>0</v>
      </c>
      <c r="GG83" s="1804">
        <v>0</v>
      </c>
      <c r="GH83" s="1804">
        <v>0</v>
      </c>
      <c r="GI83" s="1804">
        <v>0</v>
      </c>
      <c r="GJ83" s="1804">
        <v>0</v>
      </c>
      <c r="GK83" s="1804">
        <v>0</v>
      </c>
      <c r="GL83" s="1804">
        <v>0</v>
      </c>
      <c r="GM83" s="1804">
        <v>0</v>
      </c>
      <c r="GN83" s="1804">
        <v>0</v>
      </c>
      <c r="GO83" s="1804">
        <v>0</v>
      </c>
      <c r="GP83" s="1804">
        <v>0</v>
      </c>
      <c r="GQ83" s="1804">
        <v>0</v>
      </c>
      <c r="GR83" s="1804">
        <v>0</v>
      </c>
      <c r="GS83" s="1804">
        <v>0</v>
      </c>
      <c r="GT83" s="1804">
        <v>0</v>
      </c>
      <c r="GU83" s="1804">
        <v>0</v>
      </c>
      <c r="GV83" s="1804">
        <v>0</v>
      </c>
      <c r="GW83" s="1804">
        <v>0</v>
      </c>
      <c r="GX83" s="1804">
        <v>0</v>
      </c>
      <c r="GY83" s="1804">
        <v>0</v>
      </c>
      <c r="GZ83" s="1804">
        <v>0</v>
      </c>
      <c r="HA83" s="1804">
        <v>0</v>
      </c>
      <c r="HB83" s="1804">
        <v>0</v>
      </c>
      <c r="HC83" s="1804">
        <v>0</v>
      </c>
      <c r="HD83" s="1804">
        <v>0</v>
      </c>
      <c r="HE83" s="1804">
        <v>0</v>
      </c>
    </row>
    <row r="84" spans="1:213" ht="21" customHeight="1" thickBot="1" x14ac:dyDescent="0.25">
      <c r="A84" s="1972" t="s">
        <v>2339</v>
      </c>
      <c r="B84" s="1969" t="s">
        <v>1792</v>
      </c>
      <c r="C84" s="1691" t="s">
        <v>948</v>
      </c>
      <c r="D84" s="1880"/>
      <c r="E84" s="1983"/>
      <c r="F84" s="1865"/>
      <c r="G84" s="1866"/>
      <c r="H84" s="1866"/>
      <c r="I84" s="1866"/>
      <c r="J84" s="1866"/>
      <c r="K84" s="1866"/>
      <c r="L84" s="1866"/>
      <c r="M84" s="1866"/>
      <c r="N84" s="1866"/>
      <c r="O84" s="1866"/>
      <c r="P84" s="1866"/>
      <c r="Q84" s="1866"/>
      <c r="R84" s="1866"/>
      <c r="S84" s="1866"/>
      <c r="T84" s="1866"/>
      <c r="U84" s="1866"/>
      <c r="V84" s="1866"/>
      <c r="W84" s="1866"/>
      <c r="X84" s="1866"/>
      <c r="Y84" s="1866"/>
      <c r="Z84" s="1866"/>
      <c r="AA84" s="1866"/>
      <c r="AB84" s="1866"/>
      <c r="AC84" s="1866"/>
      <c r="AD84" s="1866"/>
      <c r="AE84" s="1866"/>
      <c r="AF84" s="1866"/>
      <c r="AG84" s="1866"/>
      <c r="AH84" s="1866"/>
      <c r="AI84" s="1866"/>
      <c r="AJ84" s="1866"/>
      <c r="AK84" s="1866"/>
      <c r="AL84" s="1866"/>
      <c r="AM84" s="1866"/>
      <c r="AN84" s="1866"/>
      <c r="AO84" s="1866"/>
      <c r="AP84" s="1866"/>
      <c r="AQ84" s="1866"/>
      <c r="AR84" s="1866"/>
      <c r="AS84" s="1866"/>
      <c r="AT84" s="1866"/>
      <c r="AU84" s="1866"/>
      <c r="AV84" s="1866"/>
      <c r="AW84" s="1866"/>
      <c r="AX84" s="1866"/>
      <c r="AY84" s="1866"/>
      <c r="AZ84" s="1866"/>
      <c r="BA84" s="1866"/>
      <c r="BB84" s="1866"/>
      <c r="BC84" s="1866"/>
      <c r="BD84" s="1866"/>
      <c r="BE84" s="1866"/>
      <c r="BF84" s="1866"/>
      <c r="BG84" s="1866"/>
      <c r="BH84" s="1866"/>
      <c r="BI84" s="1866"/>
      <c r="BJ84" s="1866"/>
      <c r="BK84" s="1866"/>
      <c r="BL84" s="1866"/>
      <c r="BM84" s="1866"/>
      <c r="BN84" s="1866"/>
      <c r="BO84" s="1866"/>
      <c r="BP84" s="1866"/>
      <c r="BQ84" s="1866"/>
      <c r="BR84" s="1866"/>
      <c r="BS84" s="1866"/>
      <c r="BT84" s="1866"/>
      <c r="BU84" s="1866"/>
      <c r="BV84" s="1866"/>
      <c r="BW84" s="1866"/>
      <c r="BX84" s="1866"/>
      <c r="BY84" s="1866"/>
      <c r="BZ84" s="1866"/>
      <c r="CA84" s="1866"/>
      <c r="CB84" s="1866"/>
      <c r="CC84" s="1866"/>
      <c r="CD84" s="1866"/>
      <c r="CE84" s="1866"/>
      <c r="CF84" s="1866"/>
      <c r="CG84" s="1866"/>
      <c r="CH84" s="1866"/>
      <c r="CI84" s="1866"/>
      <c r="CJ84" s="1866"/>
      <c r="CK84" s="1866"/>
      <c r="CL84" s="1866"/>
      <c r="CM84" s="1866"/>
      <c r="CN84" s="1866"/>
      <c r="CO84" s="1866"/>
      <c r="CP84" s="1866"/>
      <c r="CQ84" s="1866"/>
      <c r="CR84" s="1866"/>
      <c r="CS84" s="1866"/>
      <c r="CT84" s="1866"/>
      <c r="CU84" s="1866"/>
      <c r="CV84" s="1866"/>
      <c r="CW84" s="1866"/>
      <c r="CX84" s="1866"/>
      <c r="CY84" s="1866"/>
      <c r="CZ84" s="1866"/>
      <c r="DA84" s="1866"/>
      <c r="DB84" s="1866"/>
      <c r="DC84" s="1866"/>
      <c r="DD84" s="1866"/>
      <c r="DE84" s="1866"/>
      <c r="DF84" s="1866"/>
      <c r="DG84" s="1866"/>
      <c r="DH84" s="1866"/>
      <c r="DI84" s="1866"/>
      <c r="DJ84" s="1866"/>
      <c r="DK84" s="1866"/>
      <c r="DL84" s="1866"/>
      <c r="DM84" s="1866"/>
      <c r="DN84" s="1866"/>
      <c r="DO84" s="1866"/>
      <c r="DP84" s="1866"/>
      <c r="DQ84" s="1866"/>
      <c r="DR84" s="1866"/>
      <c r="DS84" s="1866"/>
      <c r="DT84" s="1866"/>
      <c r="DU84" s="1866"/>
      <c r="DV84" s="1866"/>
      <c r="DW84" s="1866"/>
      <c r="DX84" s="1866"/>
      <c r="DY84" s="1866"/>
      <c r="DZ84" s="1866"/>
      <c r="EA84" s="1866"/>
      <c r="EB84" s="1866"/>
      <c r="EC84" s="1866"/>
      <c r="ED84" s="1866"/>
      <c r="EE84" s="1866"/>
      <c r="EF84" s="1866"/>
      <c r="EG84" s="1866"/>
      <c r="EH84" s="1866"/>
      <c r="EI84" s="1866"/>
      <c r="EJ84" s="1866"/>
      <c r="EK84" s="1866"/>
      <c r="EL84" s="1866"/>
      <c r="EM84" s="1866"/>
      <c r="EN84" s="1866"/>
      <c r="EO84" s="1866"/>
      <c r="EP84" s="1866"/>
      <c r="EQ84" s="1866"/>
      <c r="ER84" s="1866"/>
      <c r="ES84" s="1866"/>
      <c r="ET84" s="1866"/>
      <c r="EU84" s="1866"/>
      <c r="EV84" s="1866"/>
      <c r="EW84" s="1866"/>
      <c r="EX84" s="1866"/>
      <c r="EY84" s="1866"/>
      <c r="EZ84" s="1866"/>
      <c r="FA84" s="1866"/>
      <c r="FB84" s="1866"/>
      <c r="FC84" s="1866"/>
      <c r="FD84" s="1866"/>
      <c r="FE84" s="1866"/>
      <c r="FF84" s="1866"/>
      <c r="FG84" s="1866"/>
      <c r="FH84" s="1866"/>
      <c r="FI84" s="1866"/>
      <c r="FJ84" s="1866"/>
      <c r="FK84" s="1866"/>
      <c r="FL84" s="1866"/>
      <c r="FM84" s="1866"/>
      <c r="FN84" s="1866"/>
      <c r="FO84" s="1866"/>
      <c r="FP84" s="1866"/>
      <c r="FQ84" s="1866"/>
      <c r="FR84" s="1866"/>
      <c r="FS84" s="1866"/>
      <c r="FT84" s="1866"/>
      <c r="FU84" s="1866"/>
      <c r="FV84" s="1866"/>
      <c r="FW84" s="1866"/>
      <c r="FX84" s="1866"/>
      <c r="FY84" s="1866"/>
      <c r="FZ84" s="1866"/>
      <c r="GA84" s="1866"/>
      <c r="GB84" s="1866"/>
      <c r="GC84" s="1866"/>
      <c r="GD84" s="1866"/>
      <c r="GE84" s="1866"/>
      <c r="GF84" s="1866"/>
      <c r="GG84" s="1866"/>
      <c r="GH84" s="1866"/>
      <c r="GI84" s="1866"/>
      <c r="GJ84" s="1866"/>
      <c r="GK84" s="1866"/>
      <c r="GL84" s="1866"/>
      <c r="GM84" s="1866"/>
      <c r="GN84" s="1866"/>
      <c r="GO84" s="1866"/>
      <c r="GP84" s="1866"/>
      <c r="GQ84" s="1866"/>
      <c r="GR84" s="1866"/>
      <c r="GS84" s="1866"/>
      <c r="GT84" s="1866"/>
      <c r="GU84" s="1866"/>
      <c r="GV84" s="1866"/>
      <c r="GW84" s="1866"/>
      <c r="GX84" s="1866"/>
      <c r="GY84" s="1866"/>
      <c r="GZ84" s="1866"/>
      <c r="HA84" s="1866"/>
      <c r="HB84" s="1866"/>
      <c r="HC84" s="1866"/>
      <c r="HD84" s="1866"/>
      <c r="HE84" s="1866"/>
    </row>
    <row r="85" spans="1:213" ht="15" customHeight="1" x14ac:dyDescent="0.2">
      <c r="A85" s="1973"/>
      <c r="B85" s="1970"/>
      <c r="C85" s="1713" t="s">
        <v>802</v>
      </c>
      <c r="D85" s="1886"/>
      <c r="E85" s="1983"/>
      <c r="F85" s="1838">
        <v>0</v>
      </c>
      <c r="G85" s="1804">
        <v>0</v>
      </c>
      <c r="H85" s="1804">
        <v>0</v>
      </c>
      <c r="I85" s="1804">
        <v>0</v>
      </c>
      <c r="J85" s="1804">
        <v>0</v>
      </c>
      <c r="K85" s="1804">
        <v>0</v>
      </c>
      <c r="L85" s="1804">
        <v>0</v>
      </c>
      <c r="M85" s="1804">
        <v>0</v>
      </c>
      <c r="N85" s="1804">
        <v>0</v>
      </c>
      <c r="O85" s="1804">
        <v>0</v>
      </c>
      <c r="P85" s="1804">
        <v>0</v>
      </c>
      <c r="Q85" s="1804">
        <v>0</v>
      </c>
      <c r="R85" s="1804">
        <v>0</v>
      </c>
      <c r="S85" s="1804">
        <v>0</v>
      </c>
      <c r="T85" s="1804">
        <v>0</v>
      </c>
      <c r="U85" s="1804">
        <v>0</v>
      </c>
      <c r="V85" s="1804">
        <v>0</v>
      </c>
      <c r="W85" s="1804">
        <v>0</v>
      </c>
      <c r="X85" s="1804">
        <v>0</v>
      </c>
      <c r="Y85" s="1804">
        <v>0</v>
      </c>
      <c r="Z85" s="1804">
        <v>0</v>
      </c>
      <c r="AA85" s="1804">
        <v>0</v>
      </c>
      <c r="AB85" s="1804">
        <v>0</v>
      </c>
      <c r="AC85" s="1804">
        <v>0</v>
      </c>
      <c r="AD85" s="1804">
        <v>0</v>
      </c>
      <c r="AE85" s="1804">
        <v>0</v>
      </c>
      <c r="AF85" s="1804">
        <v>0</v>
      </c>
      <c r="AG85" s="1804">
        <v>0</v>
      </c>
      <c r="AH85" s="1804">
        <v>0</v>
      </c>
      <c r="AI85" s="1804">
        <v>0</v>
      </c>
      <c r="AJ85" s="1804">
        <v>0</v>
      </c>
      <c r="AK85" s="1804">
        <v>0</v>
      </c>
      <c r="AL85" s="1804">
        <v>0</v>
      </c>
      <c r="AM85" s="1804">
        <v>0</v>
      </c>
      <c r="AN85" s="1804">
        <v>0</v>
      </c>
      <c r="AO85" s="1804">
        <v>0</v>
      </c>
      <c r="AP85" s="1804">
        <v>0</v>
      </c>
      <c r="AQ85" s="1804">
        <v>0</v>
      </c>
      <c r="AR85" s="1804">
        <v>0</v>
      </c>
      <c r="AS85" s="1804">
        <v>0</v>
      </c>
      <c r="AT85" s="1804">
        <v>0</v>
      </c>
      <c r="AU85" s="1804">
        <v>0</v>
      </c>
      <c r="AV85" s="1804">
        <v>0</v>
      </c>
      <c r="AW85" s="1804">
        <v>0</v>
      </c>
      <c r="AX85" s="1804">
        <v>0</v>
      </c>
      <c r="AY85" s="1804">
        <v>0</v>
      </c>
      <c r="AZ85" s="1804">
        <v>0</v>
      </c>
      <c r="BA85" s="1804">
        <v>0</v>
      </c>
      <c r="BB85" s="1804">
        <v>0</v>
      </c>
      <c r="BC85" s="1804">
        <v>0</v>
      </c>
      <c r="BD85" s="1804">
        <v>0</v>
      </c>
      <c r="BE85" s="1804">
        <v>0</v>
      </c>
      <c r="BF85" s="1804">
        <v>0</v>
      </c>
      <c r="BG85" s="1804">
        <v>0</v>
      </c>
      <c r="BH85" s="1804">
        <v>0</v>
      </c>
      <c r="BI85" s="1804">
        <v>0</v>
      </c>
      <c r="BJ85" s="1804">
        <v>0</v>
      </c>
      <c r="BK85" s="1804">
        <v>0</v>
      </c>
      <c r="BL85" s="1804">
        <v>0</v>
      </c>
      <c r="BM85" s="1804">
        <v>0</v>
      </c>
      <c r="BN85" s="1804">
        <v>0</v>
      </c>
      <c r="BO85" s="1804">
        <v>0</v>
      </c>
      <c r="BP85" s="1804">
        <v>0</v>
      </c>
      <c r="BQ85" s="1804">
        <v>0</v>
      </c>
      <c r="BR85" s="1804">
        <v>0</v>
      </c>
      <c r="BS85" s="1804">
        <v>0</v>
      </c>
      <c r="BT85" s="1804">
        <v>0</v>
      </c>
      <c r="BU85" s="1804">
        <v>0</v>
      </c>
      <c r="BV85" s="1804">
        <v>0</v>
      </c>
      <c r="BW85" s="1804">
        <v>0</v>
      </c>
      <c r="BX85" s="1804">
        <v>0</v>
      </c>
      <c r="BY85" s="1804">
        <v>0</v>
      </c>
      <c r="BZ85" s="1804">
        <v>0</v>
      </c>
      <c r="CA85" s="1804">
        <v>0</v>
      </c>
      <c r="CB85" s="1804">
        <v>0</v>
      </c>
      <c r="CC85" s="1804">
        <v>0</v>
      </c>
      <c r="CD85" s="1804">
        <v>0</v>
      </c>
      <c r="CE85" s="1804">
        <v>0</v>
      </c>
      <c r="CF85" s="1804">
        <v>0</v>
      </c>
      <c r="CG85" s="1804">
        <v>0</v>
      </c>
      <c r="CH85" s="1804">
        <v>0</v>
      </c>
      <c r="CI85" s="1804">
        <v>0</v>
      </c>
      <c r="CJ85" s="1804">
        <v>0</v>
      </c>
      <c r="CK85" s="1804">
        <v>0</v>
      </c>
      <c r="CL85" s="1804">
        <v>0</v>
      </c>
      <c r="CM85" s="1804">
        <v>0</v>
      </c>
      <c r="CN85" s="1804">
        <v>0</v>
      </c>
      <c r="CO85" s="1804">
        <v>0</v>
      </c>
      <c r="CP85" s="1804">
        <v>0</v>
      </c>
      <c r="CQ85" s="1804">
        <v>0</v>
      </c>
      <c r="CR85" s="1804">
        <v>0</v>
      </c>
      <c r="CS85" s="1804">
        <v>0</v>
      </c>
      <c r="CT85" s="1804">
        <v>0</v>
      </c>
      <c r="CU85" s="1804">
        <v>0</v>
      </c>
      <c r="CV85" s="1804">
        <v>0</v>
      </c>
      <c r="CW85" s="1804">
        <v>0</v>
      </c>
      <c r="CX85" s="1804">
        <v>0</v>
      </c>
      <c r="CY85" s="1804">
        <v>0</v>
      </c>
      <c r="CZ85" s="1804">
        <v>0</v>
      </c>
      <c r="DA85" s="1804">
        <v>0</v>
      </c>
      <c r="DB85" s="1804">
        <v>0</v>
      </c>
      <c r="DC85" s="1804">
        <v>0</v>
      </c>
      <c r="DD85" s="1804">
        <v>0</v>
      </c>
      <c r="DE85" s="1804">
        <v>0</v>
      </c>
      <c r="DF85" s="1804">
        <v>0</v>
      </c>
      <c r="DG85" s="1804">
        <v>0</v>
      </c>
      <c r="DH85" s="1804">
        <v>0</v>
      </c>
      <c r="DI85" s="1804">
        <v>0</v>
      </c>
      <c r="DJ85" s="1804">
        <v>0</v>
      </c>
      <c r="DK85" s="1804">
        <v>0</v>
      </c>
      <c r="DL85" s="1804">
        <v>0</v>
      </c>
      <c r="DM85" s="1804">
        <v>0</v>
      </c>
      <c r="DN85" s="1804">
        <v>0</v>
      </c>
      <c r="DO85" s="1804">
        <v>0</v>
      </c>
      <c r="DP85" s="1804">
        <v>0</v>
      </c>
      <c r="DQ85" s="1804">
        <v>0</v>
      </c>
      <c r="DR85" s="1804">
        <v>0</v>
      </c>
      <c r="DS85" s="1804">
        <v>0</v>
      </c>
      <c r="DT85" s="1804">
        <v>0</v>
      </c>
      <c r="DU85" s="1804">
        <v>0</v>
      </c>
      <c r="DV85" s="1804">
        <v>0</v>
      </c>
      <c r="DW85" s="1804">
        <v>0</v>
      </c>
      <c r="DX85" s="1804">
        <v>0</v>
      </c>
      <c r="DY85" s="1804">
        <v>0</v>
      </c>
      <c r="DZ85" s="1804">
        <v>0</v>
      </c>
      <c r="EA85" s="1804">
        <v>0</v>
      </c>
      <c r="EB85" s="1804">
        <v>0</v>
      </c>
      <c r="EC85" s="1804">
        <v>0</v>
      </c>
      <c r="ED85" s="1804">
        <v>0</v>
      </c>
      <c r="EE85" s="1804">
        <v>0</v>
      </c>
      <c r="EF85" s="1804">
        <v>0</v>
      </c>
      <c r="EG85" s="1804">
        <v>0</v>
      </c>
      <c r="EH85" s="1804">
        <v>0</v>
      </c>
      <c r="EI85" s="1804">
        <v>0</v>
      </c>
      <c r="EJ85" s="1804">
        <v>0</v>
      </c>
      <c r="EK85" s="1804">
        <v>0</v>
      </c>
      <c r="EL85" s="1804">
        <v>0</v>
      </c>
      <c r="EM85" s="1804">
        <v>0</v>
      </c>
      <c r="EN85" s="1804">
        <v>0</v>
      </c>
      <c r="EO85" s="1804">
        <v>0</v>
      </c>
      <c r="EP85" s="1804">
        <v>0</v>
      </c>
      <c r="EQ85" s="1804">
        <v>0</v>
      </c>
      <c r="ER85" s="1804">
        <v>0</v>
      </c>
      <c r="ES85" s="1804">
        <v>0</v>
      </c>
      <c r="ET85" s="1804">
        <v>0</v>
      </c>
      <c r="EU85" s="1804">
        <v>0</v>
      </c>
      <c r="EV85" s="1804">
        <v>0</v>
      </c>
      <c r="EW85" s="1804">
        <v>0</v>
      </c>
      <c r="EX85" s="1804">
        <v>0</v>
      </c>
      <c r="EY85" s="1804">
        <v>0</v>
      </c>
      <c r="EZ85" s="1804">
        <v>0</v>
      </c>
      <c r="FA85" s="1804">
        <v>0</v>
      </c>
      <c r="FB85" s="1804">
        <v>0</v>
      </c>
      <c r="FC85" s="1804">
        <v>0</v>
      </c>
      <c r="FD85" s="1804">
        <v>0</v>
      </c>
      <c r="FE85" s="1804">
        <v>0</v>
      </c>
      <c r="FF85" s="1804">
        <v>0</v>
      </c>
      <c r="FG85" s="1804">
        <v>0</v>
      </c>
      <c r="FH85" s="1804">
        <v>0</v>
      </c>
      <c r="FI85" s="1804">
        <v>0</v>
      </c>
      <c r="FJ85" s="1804">
        <v>0</v>
      </c>
      <c r="FK85" s="1804">
        <v>0</v>
      </c>
      <c r="FL85" s="1804">
        <v>0</v>
      </c>
      <c r="FM85" s="1804">
        <v>0</v>
      </c>
      <c r="FN85" s="1804">
        <v>0</v>
      </c>
      <c r="FO85" s="1804">
        <v>0</v>
      </c>
      <c r="FP85" s="1804">
        <v>0</v>
      </c>
      <c r="FQ85" s="1804">
        <v>0</v>
      </c>
      <c r="FR85" s="1804">
        <v>0</v>
      </c>
      <c r="FS85" s="1804">
        <v>0</v>
      </c>
      <c r="FT85" s="1804">
        <v>0</v>
      </c>
      <c r="FU85" s="1804">
        <v>0</v>
      </c>
      <c r="FV85" s="1804">
        <v>0</v>
      </c>
      <c r="FW85" s="1804">
        <v>0</v>
      </c>
      <c r="FX85" s="1804">
        <v>0</v>
      </c>
      <c r="FY85" s="1804">
        <v>0</v>
      </c>
      <c r="FZ85" s="1804">
        <v>0</v>
      </c>
      <c r="GA85" s="1804">
        <v>0</v>
      </c>
      <c r="GB85" s="1804">
        <v>0</v>
      </c>
      <c r="GC85" s="1804">
        <v>0</v>
      </c>
      <c r="GD85" s="1804">
        <v>0</v>
      </c>
      <c r="GE85" s="1804">
        <v>0</v>
      </c>
      <c r="GF85" s="1804">
        <v>0</v>
      </c>
      <c r="GG85" s="1804">
        <v>0</v>
      </c>
      <c r="GH85" s="1804">
        <v>0</v>
      </c>
      <c r="GI85" s="1804">
        <v>0</v>
      </c>
      <c r="GJ85" s="1804">
        <v>0</v>
      </c>
      <c r="GK85" s="1804">
        <v>0</v>
      </c>
      <c r="GL85" s="1804">
        <v>0</v>
      </c>
      <c r="GM85" s="1804">
        <v>0</v>
      </c>
      <c r="GN85" s="1804">
        <v>0</v>
      </c>
      <c r="GO85" s="1804">
        <v>0</v>
      </c>
      <c r="GP85" s="1804">
        <v>0</v>
      </c>
      <c r="GQ85" s="1804">
        <v>0</v>
      </c>
      <c r="GR85" s="1804">
        <v>0</v>
      </c>
      <c r="GS85" s="1804">
        <v>0</v>
      </c>
      <c r="GT85" s="1804">
        <v>0</v>
      </c>
      <c r="GU85" s="1804">
        <v>0</v>
      </c>
      <c r="GV85" s="1804">
        <v>0</v>
      </c>
      <c r="GW85" s="1804">
        <v>0</v>
      </c>
      <c r="GX85" s="1804">
        <v>0</v>
      </c>
      <c r="GY85" s="1804">
        <v>0</v>
      </c>
      <c r="GZ85" s="1804">
        <v>0</v>
      </c>
      <c r="HA85" s="1804">
        <v>0</v>
      </c>
      <c r="HB85" s="1804">
        <v>0</v>
      </c>
      <c r="HC85" s="1804">
        <v>0</v>
      </c>
      <c r="HD85" s="1804">
        <v>0</v>
      </c>
      <c r="HE85" s="1804">
        <v>0</v>
      </c>
    </row>
    <row r="86" spans="1:213" ht="15" customHeight="1" x14ac:dyDescent="0.2">
      <c r="A86" s="1973"/>
      <c r="B86" s="1970"/>
      <c r="C86" s="1816" t="s">
        <v>803</v>
      </c>
      <c r="D86" s="1886"/>
      <c r="E86" s="1983"/>
      <c r="F86" s="1838">
        <v>0</v>
      </c>
      <c r="G86" s="1804">
        <v>0</v>
      </c>
      <c r="H86" s="1804">
        <v>0</v>
      </c>
      <c r="I86" s="1804">
        <v>0</v>
      </c>
      <c r="J86" s="1804">
        <v>0</v>
      </c>
      <c r="K86" s="1804">
        <v>0</v>
      </c>
      <c r="L86" s="1804">
        <v>0</v>
      </c>
      <c r="M86" s="1804">
        <v>0</v>
      </c>
      <c r="N86" s="1804">
        <v>0</v>
      </c>
      <c r="O86" s="1804">
        <v>0</v>
      </c>
      <c r="P86" s="1804">
        <v>0</v>
      </c>
      <c r="Q86" s="1804">
        <v>0</v>
      </c>
      <c r="R86" s="1804">
        <v>0</v>
      </c>
      <c r="S86" s="1804">
        <v>0</v>
      </c>
      <c r="T86" s="1804">
        <v>0</v>
      </c>
      <c r="U86" s="1804">
        <v>0</v>
      </c>
      <c r="V86" s="1804">
        <v>0</v>
      </c>
      <c r="W86" s="1804">
        <v>0</v>
      </c>
      <c r="X86" s="1804">
        <v>0</v>
      </c>
      <c r="Y86" s="1804">
        <v>0</v>
      </c>
      <c r="Z86" s="1804">
        <v>0</v>
      </c>
      <c r="AA86" s="1804">
        <v>0</v>
      </c>
      <c r="AB86" s="1804">
        <v>0</v>
      </c>
      <c r="AC86" s="1804">
        <v>0</v>
      </c>
      <c r="AD86" s="1804">
        <v>0</v>
      </c>
      <c r="AE86" s="1804">
        <v>0</v>
      </c>
      <c r="AF86" s="1804">
        <v>0</v>
      </c>
      <c r="AG86" s="1804">
        <v>0</v>
      </c>
      <c r="AH86" s="1804">
        <v>0</v>
      </c>
      <c r="AI86" s="1804">
        <v>0</v>
      </c>
      <c r="AJ86" s="1804">
        <v>0</v>
      </c>
      <c r="AK86" s="1804">
        <v>0</v>
      </c>
      <c r="AL86" s="1804">
        <v>0</v>
      </c>
      <c r="AM86" s="1804">
        <v>0</v>
      </c>
      <c r="AN86" s="1804">
        <v>0</v>
      </c>
      <c r="AO86" s="1804">
        <v>0</v>
      </c>
      <c r="AP86" s="1804">
        <v>0</v>
      </c>
      <c r="AQ86" s="1804">
        <v>0</v>
      </c>
      <c r="AR86" s="1804">
        <v>0</v>
      </c>
      <c r="AS86" s="1804">
        <v>0</v>
      </c>
      <c r="AT86" s="1804">
        <v>0</v>
      </c>
      <c r="AU86" s="1804">
        <v>0</v>
      </c>
      <c r="AV86" s="1804">
        <v>0</v>
      </c>
      <c r="AW86" s="1804">
        <v>0</v>
      </c>
      <c r="AX86" s="1804">
        <v>0</v>
      </c>
      <c r="AY86" s="1804">
        <v>0</v>
      </c>
      <c r="AZ86" s="1804">
        <v>0</v>
      </c>
      <c r="BA86" s="1804">
        <v>0</v>
      </c>
      <c r="BB86" s="1804">
        <v>0</v>
      </c>
      <c r="BC86" s="1804">
        <v>0</v>
      </c>
      <c r="BD86" s="1804">
        <v>0</v>
      </c>
      <c r="BE86" s="1804">
        <v>0</v>
      </c>
      <c r="BF86" s="1804">
        <v>0</v>
      </c>
      <c r="BG86" s="1804">
        <v>0</v>
      </c>
      <c r="BH86" s="1804">
        <v>0</v>
      </c>
      <c r="BI86" s="1804">
        <v>0</v>
      </c>
      <c r="BJ86" s="1804">
        <v>0</v>
      </c>
      <c r="BK86" s="1804">
        <v>0</v>
      </c>
      <c r="BL86" s="1804">
        <v>0</v>
      </c>
      <c r="BM86" s="1804">
        <v>0</v>
      </c>
      <c r="BN86" s="1804">
        <v>0</v>
      </c>
      <c r="BO86" s="1804">
        <v>0</v>
      </c>
      <c r="BP86" s="1804">
        <v>0</v>
      </c>
      <c r="BQ86" s="1804">
        <v>0</v>
      </c>
      <c r="BR86" s="1804">
        <v>0</v>
      </c>
      <c r="BS86" s="1804">
        <v>0</v>
      </c>
      <c r="BT86" s="1804">
        <v>0</v>
      </c>
      <c r="BU86" s="1804">
        <v>0</v>
      </c>
      <c r="BV86" s="1804">
        <v>0</v>
      </c>
      <c r="BW86" s="1804">
        <v>0</v>
      </c>
      <c r="BX86" s="1804">
        <v>0</v>
      </c>
      <c r="BY86" s="1804">
        <v>0</v>
      </c>
      <c r="BZ86" s="1804">
        <v>0</v>
      </c>
      <c r="CA86" s="1804">
        <v>0</v>
      </c>
      <c r="CB86" s="1804">
        <v>0</v>
      </c>
      <c r="CC86" s="1804">
        <v>0</v>
      </c>
      <c r="CD86" s="1804">
        <v>0</v>
      </c>
      <c r="CE86" s="1804">
        <v>0</v>
      </c>
      <c r="CF86" s="1804">
        <v>0</v>
      </c>
      <c r="CG86" s="1804">
        <v>0</v>
      </c>
      <c r="CH86" s="1804">
        <v>0</v>
      </c>
      <c r="CI86" s="1804">
        <v>0</v>
      </c>
      <c r="CJ86" s="1804">
        <v>0</v>
      </c>
      <c r="CK86" s="1804">
        <v>0</v>
      </c>
      <c r="CL86" s="1804">
        <v>0</v>
      </c>
      <c r="CM86" s="1804">
        <v>0</v>
      </c>
      <c r="CN86" s="1804">
        <v>0</v>
      </c>
      <c r="CO86" s="1804">
        <v>0</v>
      </c>
      <c r="CP86" s="1804">
        <v>0</v>
      </c>
      <c r="CQ86" s="1804">
        <v>0</v>
      </c>
      <c r="CR86" s="1804">
        <v>0</v>
      </c>
      <c r="CS86" s="1804">
        <v>0</v>
      </c>
      <c r="CT86" s="1804">
        <v>0</v>
      </c>
      <c r="CU86" s="1804">
        <v>0</v>
      </c>
      <c r="CV86" s="1804">
        <v>0</v>
      </c>
      <c r="CW86" s="1804">
        <v>0</v>
      </c>
      <c r="CX86" s="1804">
        <v>0</v>
      </c>
      <c r="CY86" s="1804">
        <v>0</v>
      </c>
      <c r="CZ86" s="1804">
        <v>0</v>
      </c>
      <c r="DA86" s="1804">
        <v>0</v>
      </c>
      <c r="DB86" s="1804">
        <v>0</v>
      </c>
      <c r="DC86" s="1804">
        <v>0</v>
      </c>
      <c r="DD86" s="1804">
        <v>0</v>
      </c>
      <c r="DE86" s="1804">
        <v>0</v>
      </c>
      <c r="DF86" s="1804">
        <v>0</v>
      </c>
      <c r="DG86" s="1804">
        <v>0</v>
      </c>
      <c r="DH86" s="1804">
        <v>0</v>
      </c>
      <c r="DI86" s="1804">
        <v>0</v>
      </c>
      <c r="DJ86" s="1804">
        <v>0</v>
      </c>
      <c r="DK86" s="1804">
        <v>0</v>
      </c>
      <c r="DL86" s="1804">
        <v>0</v>
      </c>
      <c r="DM86" s="1804">
        <v>0</v>
      </c>
      <c r="DN86" s="1804">
        <v>0</v>
      </c>
      <c r="DO86" s="1804">
        <v>0</v>
      </c>
      <c r="DP86" s="1804">
        <v>0</v>
      </c>
      <c r="DQ86" s="1804">
        <v>0</v>
      </c>
      <c r="DR86" s="1804">
        <v>0</v>
      </c>
      <c r="DS86" s="1804">
        <v>0</v>
      </c>
      <c r="DT86" s="1804">
        <v>0</v>
      </c>
      <c r="DU86" s="1804">
        <v>0</v>
      </c>
      <c r="DV86" s="1804">
        <v>0</v>
      </c>
      <c r="DW86" s="1804">
        <v>0</v>
      </c>
      <c r="DX86" s="1804">
        <v>0</v>
      </c>
      <c r="DY86" s="1804">
        <v>0</v>
      </c>
      <c r="DZ86" s="1804">
        <v>0</v>
      </c>
      <c r="EA86" s="1804">
        <v>0</v>
      </c>
      <c r="EB86" s="1804">
        <v>0</v>
      </c>
      <c r="EC86" s="1804">
        <v>0</v>
      </c>
      <c r="ED86" s="1804">
        <v>0</v>
      </c>
      <c r="EE86" s="1804">
        <v>0</v>
      </c>
      <c r="EF86" s="1804">
        <v>0</v>
      </c>
      <c r="EG86" s="1804">
        <v>0</v>
      </c>
      <c r="EH86" s="1804">
        <v>0</v>
      </c>
      <c r="EI86" s="1804">
        <v>0</v>
      </c>
      <c r="EJ86" s="1804">
        <v>0</v>
      </c>
      <c r="EK86" s="1804">
        <v>0</v>
      </c>
      <c r="EL86" s="1804">
        <v>0</v>
      </c>
      <c r="EM86" s="1804">
        <v>0</v>
      </c>
      <c r="EN86" s="1804">
        <v>0</v>
      </c>
      <c r="EO86" s="1804">
        <v>0</v>
      </c>
      <c r="EP86" s="1804">
        <v>0</v>
      </c>
      <c r="EQ86" s="1804">
        <v>0</v>
      </c>
      <c r="ER86" s="1804">
        <v>0</v>
      </c>
      <c r="ES86" s="1804">
        <v>0</v>
      </c>
      <c r="ET86" s="1804">
        <v>0</v>
      </c>
      <c r="EU86" s="1804">
        <v>0</v>
      </c>
      <c r="EV86" s="1804">
        <v>0</v>
      </c>
      <c r="EW86" s="1804">
        <v>0</v>
      </c>
      <c r="EX86" s="1804">
        <v>0</v>
      </c>
      <c r="EY86" s="1804">
        <v>0</v>
      </c>
      <c r="EZ86" s="1804">
        <v>0</v>
      </c>
      <c r="FA86" s="1804">
        <v>0</v>
      </c>
      <c r="FB86" s="1804">
        <v>0</v>
      </c>
      <c r="FC86" s="1804">
        <v>0</v>
      </c>
      <c r="FD86" s="1804">
        <v>0</v>
      </c>
      <c r="FE86" s="1804">
        <v>0</v>
      </c>
      <c r="FF86" s="1804">
        <v>0</v>
      </c>
      <c r="FG86" s="1804">
        <v>0</v>
      </c>
      <c r="FH86" s="1804">
        <v>0</v>
      </c>
      <c r="FI86" s="1804">
        <v>0</v>
      </c>
      <c r="FJ86" s="1804">
        <v>0</v>
      </c>
      <c r="FK86" s="1804">
        <v>0</v>
      </c>
      <c r="FL86" s="1804">
        <v>0</v>
      </c>
      <c r="FM86" s="1804">
        <v>0</v>
      </c>
      <c r="FN86" s="1804">
        <v>0</v>
      </c>
      <c r="FO86" s="1804">
        <v>0</v>
      </c>
      <c r="FP86" s="1804">
        <v>0</v>
      </c>
      <c r="FQ86" s="1804">
        <v>0</v>
      </c>
      <c r="FR86" s="1804">
        <v>0</v>
      </c>
      <c r="FS86" s="1804">
        <v>0</v>
      </c>
      <c r="FT86" s="1804">
        <v>0</v>
      </c>
      <c r="FU86" s="1804">
        <v>0</v>
      </c>
      <c r="FV86" s="1804">
        <v>0</v>
      </c>
      <c r="FW86" s="1804">
        <v>0</v>
      </c>
      <c r="FX86" s="1804">
        <v>0</v>
      </c>
      <c r="FY86" s="1804">
        <v>0</v>
      </c>
      <c r="FZ86" s="1804">
        <v>0</v>
      </c>
      <c r="GA86" s="1804">
        <v>0</v>
      </c>
      <c r="GB86" s="1804">
        <v>0</v>
      </c>
      <c r="GC86" s="1804">
        <v>0</v>
      </c>
      <c r="GD86" s="1804">
        <v>0</v>
      </c>
      <c r="GE86" s="1804">
        <v>0</v>
      </c>
      <c r="GF86" s="1804">
        <v>0</v>
      </c>
      <c r="GG86" s="1804">
        <v>0</v>
      </c>
      <c r="GH86" s="1804">
        <v>0</v>
      </c>
      <c r="GI86" s="1804">
        <v>0</v>
      </c>
      <c r="GJ86" s="1804">
        <v>0</v>
      </c>
      <c r="GK86" s="1804">
        <v>0</v>
      </c>
      <c r="GL86" s="1804">
        <v>0</v>
      </c>
      <c r="GM86" s="1804">
        <v>0</v>
      </c>
      <c r="GN86" s="1804">
        <v>0</v>
      </c>
      <c r="GO86" s="1804">
        <v>0</v>
      </c>
      <c r="GP86" s="1804">
        <v>0</v>
      </c>
      <c r="GQ86" s="1804">
        <v>0</v>
      </c>
      <c r="GR86" s="1804">
        <v>0</v>
      </c>
      <c r="GS86" s="1804">
        <v>0</v>
      </c>
      <c r="GT86" s="1804">
        <v>0</v>
      </c>
      <c r="GU86" s="1804">
        <v>0</v>
      </c>
      <c r="GV86" s="1804">
        <v>0</v>
      </c>
      <c r="GW86" s="1804">
        <v>0</v>
      </c>
      <c r="GX86" s="1804">
        <v>0</v>
      </c>
      <c r="GY86" s="1804">
        <v>0</v>
      </c>
      <c r="GZ86" s="1804">
        <v>0</v>
      </c>
      <c r="HA86" s="1804">
        <v>0</v>
      </c>
      <c r="HB86" s="1804">
        <v>0</v>
      </c>
      <c r="HC86" s="1804">
        <v>0</v>
      </c>
      <c r="HD86" s="1804">
        <v>0</v>
      </c>
      <c r="HE86" s="1804">
        <v>0</v>
      </c>
    </row>
    <row r="87" spans="1:213" ht="15" customHeight="1" x14ac:dyDescent="0.2">
      <c r="A87" s="1973"/>
      <c r="B87" s="1970"/>
      <c r="C87" s="1816" t="s">
        <v>804</v>
      </c>
      <c r="D87" s="1886"/>
      <c r="E87" s="1983"/>
      <c r="F87" s="1838">
        <v>0</v>
      </c>
      <c r="G87" s="1804">
        <v>0</v>
      </c>
      <c r="H87" s="1804">
        <v>0</v>
      </c>
      <c r="I87" s="1804">
        <v>0</v>
      </c>
      <c r="J87" s="1804">
        <v>0</v>
      </c>
      <c r="K87" s="1804">
        <v>0</v>
      </c>
      <c r="L87" s="1804">
        <v>0</v>
      </c>
      <c r="M87" s="1804">
        <v>0</v>
      </c>
      <c r="N87" s="1804">
        <v>0</v>
      </c>
      <c r="O87" s="1804">
        <v>0</v>
      </c>
      <c r="P87" s="1804">
        <v>0</v>
      </c>
      <c r="Q87" s="1804">
        <v>0</v>
      </c>
      <c r="R87" s="1804">
        <v>0</v>
      </c>
      <c r="S87" s="1804">
        <v>0</v>
      </c>
      <c r="T87" s="1804">
        <v>0</v>
      </c>
      <c r="U87" s="1804">
        <v>0</v>
      </c>
      <c r="V87" s="1804">
        <v>0</v>
      </c>
      <c r="W87" s="1804">
        <v>0</v>
      </c>
      <c r="X87" s="1804">
        <v>0</v>
      </c>
      <c r="Y87" s="1804">
        <v>0</v>
      </c>
      <c r="Z87" s="1804">
        <v>0</v>
      </c>
      <c r="AA87" s="1804">
        <v>0</v>
      </c>
      <c r="AB87" s="1804">
        <v>0</v>
      </c>
      <c r="AC87" s="1804">
        <v>0</v>
      </c>
      <c r="AD87" s="1804">
        <v>0</v>
      </c>
      <c r="AE87" s="1804">
        <v>0</v>
      </c>
      <c r="AF87" s="1804">
        <v>0</v>
      </c>
      <c r="AG87" s="1804">
        <v>0</v>
      </c>
      <c r="AH87" s="1804">
        <v>0</v>
      </c>
      <c r="AI87" s="1804">
        <v>0</v>
      </c>
      <c r="AJ87" s="1804">
        <v>0</v>
      </c>
      <c r="AK87" s="1804">
        <v>0</v>
      </c>
      <c r="AL87" s="1804">
        <v>0</v>
      </c>
      <c r="AM87" s="1804">
        <v>0</v>
      </c>
      <c r="AN87" s="1804">
        <v>0</v>
      </c>
      <c r="AO87" s="1804">
        <v>0</v>
      </c>
      <c r="AP87" s="1804">
        <v>0</v>
      </c>
      <c r="AQ87" s="1804">
        <v>0</v>
      </c>
      <c r="AR87" s="1804">
        <v>0</v>
      </c>
      <c r="AS87" s="1804">
        <v>0</v>
      </c>
      <c r="AT87" s="1804">
        <v>0</v>
      </c>
      <c r="AU87" s="1804">
        <v>0</v>
      </c>
      <c r="AV87" s="1804">
        <v>0</v>
      </c>
      <c r="AW87" s="1804">
        <v>0</v>
      </c>
      <c r="AX87" s="1804">
        <v>0</v>
      </c>
      <c r="AY87" s="1804">
        <v>0</v>
      </c>
      <c r="AZ87" s="1804">
        <v>0</v>
      </c>
      <c r="BA87" s="1804">
        <v>0</v>
      </c>
      <c r="BB87" s="1804">
        <v>0</v>
      </c>
      <c r="BC87" s="1804">
        <v>0</v>
      </c>
      <c r="BD87" s="1804">
        <v>0</v>
      </c>
      <c r="BE87" s="1804">
        <v>0</v>
      </c>
      <c r="BF87" s="1804">
        <v>0</v>
      </c>
      <c r="BG87" s="1804">
        <v>0</v>
      </c>
      <c r="BH87" s="1804">
        <v>0</v>
      </c>
      <c r="BI87" s="1804">
        <v>0</v>
      </c>
      <c r="BJ87" s="1804">
        <v>0</v>
      </c>
      <c r="BK87" s="1804">
        <v>0</v>
      </c>
      <c r="BL87" s="1804">
        <v>0</v>
      </c>
      <c r="BM87" s="1804">
        <v>0</v>
      </c>
      <c r="BN87" s="1804">
        <v>0</v>
      </c>
      <c r="BO87" s="1804">
        <v>0</v>
      </c>
      <c r="BP87" s="1804">
        <v>0</v>
      </c>
      <c r="BQ87" s="1804">
        <v>0</v>
      </c>
      <c r="BR87" s="1804">
        <v>0</v>
      </c>
      <c r="BS87" s="1804">
        <v>0</v>
      </c>
      <c r="BT87" s="1804">
        <v>0</v>
      </c>
      <c r="BU87" s="1804">
        <v>0</v>
      </c>
      <c r="BV87" s="1804">
        <v>0</v>
      </c>
      <c r="BW87" s="1804">
        <v>0</v>
      </c>
      <c r="BX87" s="1804">
        <v>0</v>
      </c>
      <c r="BY87" s="1804">
        <v>0</v>
      </c>
      <c r="BZ87" s="1804">
        <v>0</v>
      </c>
      <c r="CA87" s="1804">
        <v>0</v>
      </c>
      <c r="CB87" s="1804">
        <v>0</v>
      </c>
      <c r="CC87" s="1804">
        <v>0</v>
      </c>
      <c r="CD87" s="1804">
        <v>0</v>
      </c>
      <c r="CE87" s="1804">
        <v>0</v>
      </c>
      <c r="CF87" s="1804">
        <v>0</v>
      </c>
      <c r="CG87" s="1804">
        <v>0</v>
      </c>
      <c r="CH87" s="1804">
        <v>0</v>
      </c>
      <c r="CI87" s="1804">
        <v>0</v>
      </c>
      <c r="CJ87" s="1804">
        <v>0</v>
      </c>
      <c r="CK87" s="1804">
        <v>0</v>
      </c>
      <c r="CL87" s="1804">
        <v>0</v>
      </c>
      <c r="CM87" s="1804">
        <v>0</v>
      </c>
      <c r="CN87" s="1804">
        <v>0</v>
      </c>
      <c r="CO87" s="1804">
        <v>0</v>
      </c>
      <c r="CP87" s="1804">
        <v>0</v>
      </c>
      <c r="CQ87" s="1804">
        <v>0</v>
      </c>
      <c r="CR87" s="1804">
        <v>0</v>
      </c>
      <c r="CS87" s="1804">
        <v>0</v>
      </c>
      <c r="CT87" s="1804">
        <v>0</v>
      </c>
      <c r="CU87" s="1804">
        <v>0</v>
      </c>
      <c r="CV87" s="1804">
        <v>0</v>
      </c>
      <c r="CW87" s="1804">
        <v>0</v>
      </c>
      <c r="CX87" s="1804">
        <v>0</v>
      </c>
      <c r="CY87" s="1804">
        <v>0</v>
      </c>
      <c r="CZ87" s="1804">
        <v>0</v>
      </c>
      <c r="DA87" s="1804">
        <v>0</v>
      </c>
      <c r="DB87" s="1804">
        <v>0</v>
      </c>
      <c r="DC87" s="1804">
        <v>0</v>
      </c>
      <c r="DD87" s="1804">
        <v>0</v>
      </c>
      <c r="DE87" s="1804">
        <v>0</v>
      </c>
      <c r="DF87" s="1804">
        <v>0</v>
      </c>
      <c r="DG87" s="1804">
        <v>0</v>
      </c>
      <c r="DH87" s="1804">
        <v>0</v>
      </c>
      <c r="DI87" s="1804">
        <v>0</v>
      </c>
      <c r="DJ87" s="1804">
        <v>0</v>
      </c>
      <c r="DK87" s="1804">
        <v>0</v>
      </c>
      <c r="DL87" s="1804">
        <v>0</v>
      </c>
      <c r="DM87" s="1804">
        <v>0</v>
      </c>
      <c r="DN87" s="1804">
        <v>0</v>
      </c>
      <c r="DO87" s="1804">
        <v>0</v>
      </c>
      <c r="DP87" s="1804">
        <v>0</v>
      </c>
      <c r="DQ87" s="1804">
        <v>0</v>
      </c>
      <c r="DR87" s="1804">
        <v>0</v>
      </c>
      <c r="DS87" s="1804">
        <v>0</v>
      </c>
      <c r="DT87" s="1804">
        <v>0</v>
      </c>
      <c r="DU87" s="1804">
        <v>0</v>
      </c>
      <c r="DV87" s="1804">
        <v>0</v>
      </c>
      <c r="DW87" s="1804">
        <v>0</v>
      </c>
      <c r="DX87" s="1804">
        <v>0</v>
      </c>
      <c r="DY87" s="1804">
        <v>0</v>
      </c>
      <c r="DZ87" s="1804">
        <v>0</v>
      </c>
      <c r="EA87" s="1804">
        <v>0</v>
      </c>
      <c r="EB87" s="1804">
        <v>0</v>
      </c>
      <c r="EC87" s="1804">
        <v>0</v>
      </c>
      <c r="ED87" s="1804">
        <v>0</v>
      </c>
      <c r="EE87" s="1804">
        <v>0</v>
      </c>
      <c r="EF87" s="1804">
        <v>0</v>
      </c>
      <c r="EG87" s="1804">
        <v>0</v>
      </c>
      <c r="EH87" s="1804">
        <v>0</v>
      </c>
      <c r="EI87" s="1804">
        <v>0</v>
      </c>
      <c r="EJ87" s="1804">
        <v>0</v>
      </c>
      <c r="EK87" s="1804">
        <v>0</v>
      </c>
      <c r="EL87" s="1804">
        <v>0</v>
      </c>
      <c r="EM87" s="1804">
        <v>0</v>
      </c>
      <c r="EN87" s="1804">
        <v>0</v>
      </c>
      <c r="EO87" s="1804">
        <v>0</v>
      </c>
      <c r="EP87" s="1804">
        <v>0</v>
      </c>
      <c r="EQ87" s="1804">
        <v>0</v>
      </c>
      <c r="ER87" s="1804">
        <v>0</v>
      </c>
      <c r="ES87" s="1804">
        <v>0</v>
      </c>
      <c r="ET87" s="1804">
        <v>0</v>
      </c>
      <c r="EU87" s="1804">
        <v>0</v>
      </c>
      <c r="EV87" s="1804">
        <v>0</v>
      </c>
      <c r="EW87" s="1804">
        <v>0</v>
      </c>
      <c r="EX87" s="1804">
        <v>0</v>
      </c>
      <c r="EY87" s="1804">
        <v>0</v>
      </c>
      <c r="EZ87" s="1804">
        <v>0</v>
      </c>
      <c r="FA87" s="1804">
        <v>0</v>
      </c>
      <c r="FB87" s="1804">
        <v>0</v>
      </c>
      <c r="FC87" s="1804">
        <v>0</v>
      </c>
      <c r="FD87" s="1804">
        <v>0</v>
      </c>
      <c r="FE87" s="1804">
        <v>0</v>
      </c>
      <c r="FF87" s="1804">
        <v>0</v>
      </c>
      <c r="FG87" s="1804">
        <v>0</v>
      </c>
      <c r="FH87" s="1804">
        <v>0</v>
      </c>
      <c r="FI87" s="1804">
        <v>0</v>
      </c>
      <c r="FJ87" s="1804">
        <v>0</v>
      </c>
      <c r="FK87" s="1804">
        <v>0</v>
      </c>
      <c r="FL87" s="1804">
        <v>0</v>
      </c>
      <c r="FM87" s="1804">
        <v>0</v>
      </c>
      <c r="FN87" s="1804">
        <v>0</v>
      </c>
      <c r="FO87" s="1804">
        <v>0</v>
      </c>
      <c r="FP87" s="1804">
        <v>0</v>
      </c>
      <c r="FQ87" s="1804">
        <v>0</v>
      </c>
      <c r="FR87" s="1804">
        <v>0</v>
      </c>
      <c r="FS87" s="1804">
        <v>0</v>
      </c>
      <c r="FT87" s="1804">
        <v>0</v>
      </c>
      <c r="FU87" s="1804">
        <v>0</v>
      </c>
      <c r="FV87" s="1804">
        <v>0</v>
      </c>
      <c r="FW87" s="1804">
        <v>0</v>
      </c>
      <c r="FX87" s="1804">
        <v>0</v>
      </c>
      <c r="FY87" s="1804">
        <v>0</v>
      </c>
      <c r="FZ87" s="1804">
        <v>0</v>
      </c>
      <c r="GA87" s="1804">
        <v>0</v>
      </c>
      <c r="GB87" s="1804">
        <v>0</v>
      </c>
      <c r="GC87" s="1804">
        <v>0</v>
      </c>
      <c r="GD87" s="1804">
        <v>0</v>
      </c>
      <c r="GE87" s="1804">
        <v>0</v>
      </c>
      <c r="GF87" s="1804">
        <v>0</v>
      </c>
      <c r="GG87" s="1804">
        <v>0</v>
      </c>
      <c r="GH87" s="1804">
        <v>0</v>
      </c>
      <c r="GI87" s="1804">
        <v>0</v>
      </c>
      <c r="GJ87" s="1804">
        <v>0</v>
      </c>
      <c r="GK87" s="1804">
        <v>0</v>
      </c>
      <c r="GL87" s="1804">
        <v>0</v>
      </c>
      <c r="GM87" s="1804">
        <v>0</v>
      </c>
      <c r="GN87" s="1804">
        <v>0</v>
      </c>
      <c r="GO87" s="1804">
        <v>0</v>
      </c>
      <c r="GP87" s="1804">
        <v>0</v>
      </c>
      <c r="GQ87" s="1804">
        <v>0</v>
      </c>
      <c r="GR87" s="1804">
        <v>0</v>
      </c>
      <c r="GS87" s="1804">
        <v>0</v>
      </c>
      <c r="GT87" s="1804">
        <v>0</v>
      </c>
      <c r="GU87" s="1804">
        <v>0</v>
      </c>
      <c r="GV87" s="1804">
        <v>0</v>
      </c>
      <c r="GW87" s="1804">
        <v>0</v>
      </c>
      <c r="GX87" s="1804">
        <v>0</v>
      </c>
      <c r="GY87" s="1804">
        <v>0</v>
      </c>
      <c r="GZ87" s="1804">
        <v>0</v>
      </c>
      <c r="HA87" s="1804">
        <v>0</v>
      </c>
      <c r="HB87" s="1804">
        <v>0</v>
      </c>
      <c r="HC87" s="1804">
        <v>0</v>
      </c>
      <c r="HD87" s="1804">
        <v>0</v>
      </c>
      <c r="HE87" s="1804">
        <v>0</v>
      </c>
    </row>
    <row r="88" spans="1:213" ht="15" customHeight="1" x14ac:dyDescent="0.2">
      <c r="A88" s="1973"/>
      <c r="B88" s="1970"/>
      <c r="C88" s="1816" t="s">
        <v>805</v>
      </c>
      <c r="D88" s="1886"/>
      <c r="E88" s="1983"/>
      <c r="F88" s="1838">
        <v>0</v>
      </c>
      <c r="G88" s="1804">
        <v>0</v>
      </c>
      <c r="H88" s="1804">
        <v>0</v>
      </c>
      <c r="I88" s="1804">
        <v>0</v>
      </c>
      <c r="J88" s="1804">
        <v>0</v>
      </c>
      <c r="K88" s="1804">
        <v>0</v>
      </c>
      <c r="L88" s="1804">
        <v>0</v>
      </c>
      <c r="M88" s="1804">
        <v>0</v>
      </c>
      <c r="N88" s="1804">
        <v>0</v>
      </c>
      <c r="O88" s="1804">
        <v>0</v>
      </c>
      <c r="P88" s="1804">
        <v>0</v>
      </c>
      <c r="Q88" s="1804">
        <v>0</v>
      </c>
      <c r="R88" s="1804">
        <v>0</v>
      </c>
      <c r="S88" s="1804">
        <v>0</v>
      </c>
      <c r="T88" s="1804">
        <v>0</v>
      </c>
      <c r="U88" s="1804">
        <v>0</v>
      </c>
      <c r="V88" s="1804">
        <v>0</v>
      </c>
      <c r="W88" s="1804">
        <v>0</v>
      </c>
      <c r="X88" s="1804">
        <v>0</v>
      </c>
      <c r="Y88" s="1804">
        <v>0</v>
      </c>
      <c r="Z88" s="1804">
        <v>0</v>
      </c>
      <c r="AA88" s="1804">
        <v>0</v>
      </c>
      <c r="AB88" s="1804">
        <v>0</v>
      </c>
      <c r="AC88" s="1804">
        <v>0</v>
      </c>
      <c r="AD88" s="1804">
        <v>0</v>
      </c>
      <c r="AE88" s="1804">
        <v>0</v>
      </c>
      <c r="AF88" s="1804">
        <v>0</v>
      </c>
      <c r="AG88" s="1804">
        <v>0</v>
      </c>
      <c r="AH88" s="1804">
        <v>0</v>
      </c>
      <c r="AI88" s="1804">
        <v>0</v>
      </c>
      <c r="AJ88" s="1804">
        <v>0</v>
      </c>
      <c r="AK88" s="1804">
        <v>0</v>
      </c>
      <c r="AL88" s="1804">
        <v>0</v>
      </c>
      <c r="AM88" s="1804">
        <v>0</v>
      </c>
      <c r="AN88" s="1804">
        <v>0</v>
      </c>
      <c r="AO88" s="1804">
        <v>0</v>
      </c>
      <c r="AP88" s="1804">
        <v>0</v>
      </c>
      <c r="AQ88" s="1804">
        <v>0</v>
      </c>
      <c r="AR88" s="1804">
        <v>0</v>
      </c>
      <c r="AS88" s="1804">
        <v>0</v>
      </c>
      <c r="AT88" s="1804">
        <v>0</v>
      </c>
      <c r="AU88" s="1804">
        <v>0</v>
      </c>
      <c r="AV88" s="1804">
        <v>0</v>
      </c>
      <c r="AW88" s="1804">
        <v>0</v>
      </c>
      <c r="AX88" s="1804">
        <v>0</v>
      </c>
      <c r="AY88" s="1804">
        <v>0</v>
      </c>
      <c r="AZ88" s="1804">
        <v>0</v>
      </c>
      <c r="BA88" s="1804">
        <v>0</v>
      </c>
      <c r="BB88" s="1804">
        <v>0</v>
      </c>
      <c r="BC88" s="1804">
        <v>0</v>
      </c>
      <c r="BD88" s="1804">
        <v>0</v>
      </c>
      <c r="BE88" s="1804">
        <v>0</v>
      </c>
      <c r="BF88" s="1804">
        <v>0</v>
      </c>
      <c r="BG88" s="1804">
        <v>0</v>
      </c>
      <c r="BH88" s="1804">
        <v>0</v>
      </c>
      <c r="BI88" s="1804">
        <v>0</v>
      </c>
      <c r="BJ88" s="1804">
        <v>0</v>
      </c>
      <c r="BK88" s="1804">
        <v>0</v>
      </c>
      <c r="BL88" s="1804">
        <v>0</v>
      </c>
      <c r="BM88" s="1804">
        <v>0</v>
      </c>
      <c r="BN88" s="1804">
        <v>0</v>
      </c>
      <c r="BO88" s="1804">
        <v>0</v>
      </c>
      <c r="BP88" s="1804">
        <v>0</v>
      </c>
      <c r="BQ88" s="1804">
        <v>0</v>
      </c>
      <c r="BR88" s="1804">
        <v>0</v>
      </c>
      <c r="BS88" s="1804">
        <v>0</v>
      </c>
      <c r="BT88" s="1804">
        <v>0</v>
      </c>
      <c r="BU88" s="1804">
        <v>0</v>
      </c>
      <c r="BV88" s="1804">
        <v>0</v>
      </c>
      <c r="BW88" s="1804">
        <v>0</v>
      </c>
      <c r="BX88" s="1804">
        <v>0</v>
      </c>
      <c r="BY88" s="1804">
        <v>0</v>
      </c>
      <c r="BZ88" s="1804">
        <v>0</v>
      </c>
      <c r="CA88" s="1804">
        <v>0</v>
      </c>
      <c r="CB88" s="1804">
        <v>0</v>
      </c>
      <c r="CC88" s="1804">
        <v>0</v>
      </c>
      <c r="CD88" s="1804">
        <v>0</v>
      </c>
      <c r="CE88" s="1804">
        <v>0</v>
      </c>
      <c r="CF88" s="1804">
        <v>0</v>
      </c>
      <c r="CG88" s="1804">
        <v>0</v>
      </c>
      <c r="CH88" s="1804">
        <v>0</v>
      </c>
      <c r="CI88" s="1804">
        <v>0</v>
      </c>
      <c r="CJ88" s="1804">
        <v>0</v>
      </c>
      <c r="CK88" s="1804">
        <v>0</v>
      </c>
      <c r="CL88" s="1804">
        <v>0</v>
      </c>
      <c r="CM88" s="1804">
        <v>0</v>
      </c>
      <c r="CN88" s="1804">
        <v>0</v>
      </c>
      <c r="CO88" s="1804">
        <v>0</v>
      </c>
      <c r="CP88" s="1804">
        <v>0</v>
      </c>
      <c r="CQ88" s="1804">
        <v>0</v>
      </c>
      <c r="CR88" s="1804">
        <v>0</v>
      </c>
      <c r="CS88" s="1804">
        <v>0</v>
      </c>
      <c r="CT88" s="1804">
        <v>0</v>
      </c>
      <c r="CU88" s="1804">
        <v>0</v>
      </c>
      <c r="CV88" s="1804">
        <v>0</v>
      </c>
      <c r="CW88" s="1804">
        <v>0</v>
      </c>
      <c r="CX88" s="1804">
        <v>0</v>
      </c>
      <c r="CY88" s="1804">
        <v>0</v>
      </c>
      <c r="CZ88" s="1804">
        <v>0</v>
      </c>
      <c r="DA88" s="1804">
        <v>0</v>
      </c>
      <c r="DB88" s="1804">
        <v>0</v>
      </c>
      <c r="DC88" s="1804">
        <v>0</v>
      </c>
      <c r="DD88" s="1804">
        <v>0</v>
      </c>
      <c r="DE88" s="1804">
        <v>0</v>
      </c>
      <c r="DF88" s="1804">
        <v>0</v>
      </c>
      <c r="DG88" s="1804">
        <v>0</v>
      </c>
      <c r="DH88" s="1804">
        <v>0</v>
      </c>
      <c r="DI88" s="1804">
        <v>0</v>
      </c>
      <c r="DJ88" s="1804">
        <v>0</v>
      </c>
      <c r="DK88" s="1804">
        <v>0</v>
      </c>
      <c r="DL88" s="1804">
        <v>0</v>
      </c>
      <c r="DM88" s="1804">
        <v>0</v>
      </c>
      <c r="DN88" s="1804">
        <v>0</v>
      </c>
      <c r="DO88" s="1804">
        <v>0</v>
      </c>
      <c r="DP88" s="1804">
        <v>0</v>
      </c>
      <c r="DQ88" s="1804">
        <v>0</v>
      </c>
      <c r="DR88" s="1804">
        <v>0</v>
      </c>
      <c r="DS88" s="1804">
        <v>0</v>
      </c>
      <c r="DT88" s="1804">
        <v>0</v>
      </c>
      <c r="DU88" s="1804">
        <v>0</v>
      </c>
      <c r="DV88" s="1804">
        <v>0</v>
      </c>
      <c r="DW88" s="1804">
        <v>0</v>
      </c>
      <c r="DX88" s="1804">
        <v>0</v>
      </c>
      <c r="DY88" s="1804">
        <v>0</v>
      </c>
      <c r="DZ88" s="1804">
        <v>0</v>
      </c>
      <c r="EA88" s="1804">
        <v>0</v>
      </c>
      <c r="EB88" s="1804">
        <v>0</v>
      </c>
      <c r="EC88" s="1804">
        <v>0</v>
      </c>
      <c r="ED88" s="1804">
        <v>0</v>
      </c>
      <c r="EE88" s="1804">
        <v>0</v>
      </c>
      <c r="EF88" s="1804">
        <v>0</v>
      </c>
      <c r="EG88" s="1804">
        <v>0</v>
      </c>
      <c r="EH88" s="1804">
        <v>0</v>
      </c>
      <c r="EI88" s="1804">
        <v>0</v>
      </c>
      <c r="EJ88" s="1804">
        <v>0</v>
      </c>
      <c r="EK88" s="1804">
        <v>0</v>
      </c>
      <c r="EL88" s="1804">
        <v>0</v>
      </c>
      <c r="EM88" s="1804">
        <v>0</v>
      </c>
      <c r="EN88" s="1804">
        <v>0</v>
      </c>
      <c r="EO88" s="1804">
        <v>0</v>
      </c>
      <c r="EP88" s="1804">
        <v>0</v>
      </c>
      <c r="EQ88" s="1804">
        <v>0</v>
      </c>
      <c r="ER88" s="1804">
        <v>0</v>
      </c>
      <c r="ES88" s="1804">
        <v>0</v>
      </c>
      <c r="ET88" s="1804">
        <v>0</v>
      </c>
      <c r="EU88" s="1804">
        <v>0</v>
      </c>
      <c r="EV88" s="1804">
        <v>0</v>
      </c>
      <c r="EW88" s="1804">
        <v>0</v>
      </c>
      <c r="EX88" s="1804">
        <v>0</v>
      </c>
      <c r="EY88" s="1804">
        <v>0</v>
      </c>
      <c r="EZ88" s="1804">
        <v>0</v>
      </c>
      <c r="FA88" s="1804">
        <v>0</v>
      </c>
      <c r="FB88" s="1804">
        <v>0</v>
      </c>
      <c r="FC88" s="1804">
        <v>0</v>
      </c>
      <c r="FD88" s="1804">
        <v>0</v>
      </c>
      <c r="FE88" s="1804">
        <v>0</v>
      </c>
      <c r="FF88" s="1804">
        <v>0</v>
      </c>
      <c r="FG88" s="1804">
        <v>0</v>
      </c>
      <c r="FH88" s="1804">
        <v>0</v>
      </c>
      <c r="FI88" s="1804">
        <v>0</v>
      </c>
      <c r="FJ88" s="1804">
        <v>0</v>
      </c>
      <c r="FK88" s="1804">
        <v>0</v>
      </c>
      <c r="FL88" s="1804">
        <v>0</v>
      </c>
      <c r="FM88" s="1804">
        <v>0</v>
      </c>
      <c r="FN88" s="1804">
        <v>0</v>
      </c>
      <c r="FO88" s="1804">
        <v>0</v>
      </c>
      <c r="FP88" s="1804">
        <v>0</v>
      </c>
      <c r="FQ88" s="1804">
        <v>0</v>
      </c>
      <c r="FR88" s="1804">
        <v>0</v>
      </c>
      <c r="FS88" s="1804">
        <v>0</v>
      </c>
      <c r="FT88" s="1804">
        <v>0</v>
      </c>
      <c r="FU88" s="1804">
        <v>0</v>
      </c>
      <c r="FV88" s="1804">
        <v>0</v>
      </c>
      <c r="FW88" s="1804">
        <v>0</v>
      </c>
      <c r="FX88" s="1804">
        <v>0</v>
      </c>
      <c r="FY88" s="1804">
        <v>0</v>
      </c>
      <c r="FZ88" s="1804">
        <v>0</v>
      </c>
      <c r="GA88" s="1804">
        <v>0</v>
      </c>
      <c r="GB88" s="1804">
        <v>0</v>
      </c>
      <c r="GC88" s="1804">
        <v>0</v>
      </c>
      <c r="GD88" s="1804">
        <v>0</v>
      </c>
      <c r="GE88" s="1804">
        <v>0</v>
      </c>
      <c r="GF88" s="1804">
        <v>0</v>
      </c>
      <c r="GG88" s="1804">
        <v>0</v>
      </c>
      <c r="GH88" s="1804">
        <v>0</v>
      </c>
      <c r="GI88" s="1804">
        <v>0</v>
      </c>
      <c r="GJ88" s="1804">
        <v>0</v>
      </c>
      <c r="GK88" s="1804">
        <v>0</v>
      </c>
      <c r="GL88" s="1804">
        <v>0</v>
      </c>
      <c r="GM88" s="1804">
        <v>0</v>
      </c>
      <c r="GN88" s="1804">
        <v>0</v>
      </c>
      <c r="GO88" s="1804">
        <v>0</v>
      </c>
      <c r="GP88" s="1804">
        <v>0</v>
      </c>
      <c r="GQ88" s="1804">
        <v>0</v>
      </c>
      <c r="GR88" s="1804">
        <v>0</v>
      </c>
      <c r="GS88" s="1804">
        <v>0</v>
      </c>
      <c r="GT88" s="1804">
        <v>0</v>
      </c>
      <c r="GU88" s="1804">
        <v>0</v>
      </c>
      <c r="GV88" s="1804">
        <v>0</v>
      </c>
      <c r="GW88" s="1804">
        <v>0</v>
      </c>
      <c r="GX88" s="1804">
        <v>0</v>
      </c>
      <c r="GY88" s="1804">
        <v>0</v>
      </c>
      <c r="GZ88" s="1804">
        <v>0</v>
      </c>
      <c r="HA88" s="1804">
        <v>0</v>
      </c>
      <c r="HB88" s="1804">
        <v>0</v>
      </c>
      <c r="HC88" s="1804">
        <v>0</v>
      </c>
      <c r="HD88" s="1804">
        <v>0</v>
      </c>
      <c r="HE88" s="1804">
        <v>0</v>
      </c>
    </row>
    <row r="89" spans="1:213" ht="15" customHeight="1" x14ac:dyDescent="0.2">
      <c r="A89" s="1973"/>
      <c r="B89" s="1970"/>
      <c r="C89" s="1816" t="s">
        <v>757</v>
      </c>
      <c r="D89" s="1886"/>
      <c r="E89" s="1983"/>
      <c r="F89" s="1838">
        <v>0</v>
      </c>
      <c r="G89" s="1804">
        <v>0</v>
      </c>
      <c r="H89" s="1804">
        <v>0</v>
      </c>
      <c r="I89" s="1804">
        <v>0</v>
      </c>
      <c r="J89" s="1804">
        <v>0</v>
      </c>
      <c r="K89" s="1804">
        <v>0</v>
      </c>
      <c r="L89" s="1804">
        <v>0</v>
      </c>
      <c r="M89" s="1804">
        <v>0</v>
      </c>
      <c r="N89" s="1804">
        <v>0</v>
      </c>
      <c r="O89" s="1804">
        <v>0</v>
      </c>
      <c r="P89" s="1804">
        <v>0</v>
      </c>
      <c r="Q89" s="1804">
        <v>0</v>
      </c>
      <c r="R89" s="1804">
        <v>0</v>
      </c>
      <c r="S89" s="1804">
        <v>0</v>
      </c>
      <c r="T89" s="1804">
        <v>0</v>
      </c>
      <c r="U89" s="1804">
        <v>0</v>
      </c>
      <c r="V89" s="1804">
        <v>0</v>
      </c>
      <c r="W89" s="1804">
        <v>0</v>
      </c>
      <c r="X89" s="1804">
        <v>0</v>
      </c>
      <c r="Y89" s="1804">
        <v>0</v>
      </c>
      <c r="Z89" s="1804">
        <v>0</v>
      </c>
      <c r="AA89" s="1804">
        <v>0</v>
      </c>
      <c r="AB89" s="1804">
        <v>0</v>
      </c>
      <c r="AC89" s="1804">
        <v>0</v>
      </c>
      <c r="AD89" s="1804">
        <v>0</v>
      </c>
      <c r="AE89" s="1804">
        <v>0</v>
      </c>
      <c r="AF89" s="1804">
        <v>0</v>
      </c>
      <c r="AG89" s="1804">
        <v>0</v>
      </c>
      <c r="AH89" s="1804">
        <v>0</v>
      </c>
      <c r="AI89" s="1804">
        <v>0</v>
      </c>
      <c r="AJ89" s="1804">
        <v>0</v>
      </c>
      <c r="AK89" s="1804">
        <v>0</v>
      </c>
      <c r="AL89" s="1804">
        <v>0</v>
      </c>
      <c r="AM89" s="1804">
        <v>0</v>
      </c>
      <c r="AN89" s="1804">
        <v>0</v>
      </c>
      <c r="AO89" s="1804">
        <v>0</v>
      </c>
      <c r="AP89" s="1804">
        <v>0</v>
      </c>
      <c r="AQ89" s="1804">
        <v>0</v>
      </c>
      <c r="AR89" s="1804">
        <v>0</v>
      </c>
      <c r="AS89" s="1804">
        <v>0</v>
      </c>
      <c r="AT89" s="1804">
        <v>0</v>
      </c>
      <c r="AU89" s="1804">
        <v>0</v>
      </c>
      <c r="AV89" s="1804">
        <v>0</v>
      </c>
      <c r="AW89" s="1804">
        <v>0</v>
      </c>
      <c r="AX89" s="1804">
        <v>0</v>
      </c>
      <c r="AY89" s="1804">
        <v>0</v>
      </c>
      <c r="AZ89" s="1804">
        <v>0</v>
      </c>
      <c r="BA89" s="1804">
        <v>0</v>
      </c>
      <c r="BB89" s="1804">
        <v>0</v>
      </c>
      <c r="BC89" s="1804">
        <v>0</v>
      </c>
      <c r="BD89" s="1804">
        <v>0</v>
      </c>
      <c r="BE89" s="1804">
        <v>0</v>
      </c>
      <c r="BF89" s="1804">
        <v>0</v>
      </c>
      <c r="BG89" s="1804">
        <v>0</v>
      </c>
      <c r="BH89" s="1804">
        <v>0</v>
      </c>
      <c r="BI89" s="1804">
        <v>0</v>
      </c>
      <c r="BJ89" s="1804">
        <v>0</v>
      </c>
      <c r="BK89" s="1804">
        <v>0</v>
      </c>
      <c r="BL89" s="1804">
        <v>0</v>
      </c>
      <c r="BM89" s="1804">
        <v>0</v>
      </c>
      <c r="BN89" s="1804">
        <v>0</v>
      </c>
      <c r="BO89" s="1804">
        <v>0</v>
      </c>
      <c r="BP89" s="1804">
        <v>0</v>
      </c>
      <c r="BQ89" s="1804">
        <v>0</v>
      </c>
      <c r="BR89" s="1804">
        <v>0</v>
      </c>
      <c r="BS89" s="1804">
        <v>0</v>
      </c>
      <c r="BT89" s="1804">
        <v>0</v>
      </c>
      <c r="BU89" s="1804">
        <v>0</v>
      </c>
      <c r="BV89" s="1804">
        <v>0</v>
      </c>
      <c r="BW89" s="1804">
        <v>0</v>
      </c>
      <c r="BX89" s="1804">
        <v>0</v>
      </c>
      <c r="BY89" s="1804">
        <v>0</v>
      </c>
      <c r="BZ89" s="1804">
        <v>0</v>
      </c>
      <c r="CA89" s="1804">
        <v>0</v>
      </c>
      <c r="CB89" s="1804">
        <v>0</v>
      </c>
      <c r="CC89" s="1804">
        <v>0</v>
      </c>
      <c r="CD89" s="1804">
        <v>0</v>
      </c>
      <c r="CE89" s="1804">
        <v>0</v>
      </c>
      <c r="CF89" s="1804">
        <v>0</v>
      </c>
      <c r="CG89" s="1804">
        <v>0</v>
      </c>
      <c r="CH89" s="1804">
        <v>0</v>
      </c>
      <c r="CI89" s="1804">
        <v>0</v>
      </c>
      <c r="CJ89" s="1804">
        <v>0</v>
      </c>
      <c r="CK89" s="1804">
        <v>0</v>
      </c>
      <c r="CL89" s="1804">
        <v>0</v>
      </c>
      <c r="CM89" s="1804">
        <v>0</v>
      </c>
      <c r="CN89" s="1804">
        <v>0</v>
      </c>
      <c r="CO89" s="1804">
        <v>0</v>
      </c>
      <c r="CP89" s="1804">
        <v>0</v>
      </c>
      <c r="CQ89" s="1804">
        <v>0</v>
      </c>
      <c r="CR89" s="1804">
        <v>0</v>
      </c>
      <c r="CS89" s="1804">
        <v>0</v>
      </c>
      <c r="CT89" s="1804">
        <v>0</v>
      </c>
      <c r="CU89" s="1804">
        <v>0</v>
      </c>
      <c r="CV89" s="1804">
        <v>0</v>
      </c>
      <c r="CW89" s="1804">
        <v>0</v>
      </c>
      <c r="CX89" s="1804">
        <v>0</v>
      </c>
      <c r="CY89" s="1804">
        <v>0</v>
      </c>
      <c r="CZ89" s="1804">
        <v>0</v>
      </c>
      <c r="DA89" s="1804">
        <v>0</v>
      </c>
      <c r="DB89" s="1804">
        <v>0</v>
      </c>
      <c r="DC89" s="1804">
        <v>0</v>
      </c>
      <c r="DD89" s="1804">
        <v>0</v>
      </c>
      <c r="DE89" s="1804">
        <v>0</v>
      </c>
      <c r="DF89" s="1804">
        <v>0</v>
      </c>
      <c r="DG89" s="1804">
        <v>0</v>
      </c>
      <c r="DH89" s="1804">
        <v>0</v>
      </c>
      <c r="DI89" s="1804">
        <v>0</v>
      </c>
      <c r="DJ89" s="1804">
        <v>0</v>
      </c>
      <c r="DK89" s="1804">
        <v>0</v>
      </c>
      <c r="DL89" s="1804">
        <v>0</v>
      </c>
      <c r="DM89" s="1804">
        <v>0</v>
      </c>
      <c r="DN89" s="1804">
        <v>0</v>
      </c>
      <c r="DO89" s="1804">
        <v>0</v>
      </c>
      <c r="DP89" s="1804">
        <v>0</v>
      </c>
      <c r="DQ89" s="1804">
        <v>0</v>
      </c>
      <c r="DR89" s="1804">
        <v>0</v>
      </c>
      <c r="DS89" s="1804">
        <v>0</v>
      </c>
      <c r="DT89" s="1804">
        <v>0</v>
      </c>
      <c r="DU89" s="1804">
        <v>0</v>
      </c>
      <c r="DV89" s="1804">
        <v>0</v>
      </c>
      <c r="DW89" s="1804">
        <v>0</v>
      </c>
      <c r="DX89" s="1804">
        <v>0</v>
      </c>
      <c r="DY89" s="1804">
        <v>0</v>
      </c>
      <c r="DZ89" s="1804">
        <v>0</v>
      </c>
      <c r="EA89" s="1804">
        <v>0</v>
      </c>
      <c r="EB89" s="1804">
        <v>0</v>
      </c>
      <c r="EC89" s="1804">
        <v>0</v>
      </c>
      <c r="ED89" s="1804">
        <v>0</v>
      </c>
      <c r="EE89" s="1804">
        <v>0</v>
      </c>
      <c r="EF89" s="1804">
        <v>0</v>
      </c>
      <c r="EG89" s="1804">
        <v>0</v>
      </c>
      <c r="EH89" s="1804">
        <v>0</v>
      </c>
      <c r="EI89" s="1804">
        <v>0</v>
      </c>
      <c r="EJ89" s="1804">
        <v>0</v>
      </c>
      <c r="EK89" s="1804">
        <v>0</v>
      </c>
      <c r="EL89" s="1804">
        <v>0</v>
      </c>
      <c r="EM89" s="1804">
        <v>0</v>
      </c>
      <c r="EN89" s="1804">
        <v>0</v>
      </c>
      <c r="EO89" s="1804">
        <v>0</v>
      </c>
      <c r="EP89" s="1804">
        <v>0</v>
      </c>
      <c r="EQ89" s="1804">
        <v>0</v>
      </c>
      <c r="ER89" s="1804">
        <v>0</v>
      </c>
      <c r="ES89" s="1804">
        <v>0</v>
      </c>
      <c r="ET89" s="1804">
        <v>0</v>
      </c>
      <c r="EU89" s="1804">
        <v>0</v>
      </c>
      <c r="EV89" s="1804">
        <v>0</v>
      </c>
      <c r="EW89" s="1804">
        <v>0</v>
      </c>
      <c r="EX89" s="1804">
        <v>0</v>
      </c>
      <c r="EY89" s="1804">
        <v>0</v>
      </c>
      <c r="EZ89" s="1804">
        <v>0</v>
      </c>
      <c r="FA89" s="1804">
        <v>0</v>
      </c>
      <c r="FB89" s="1804">
        <v>0</v>
      </c>
      <c r="FC89" s="1804">
        <v>0</v>
      </c>
      <c r="FD89" s="1804">
        <v>0</v>
      </c>
      <c r="FE89" s="1804">
        <v>0</v>
      </c>
      <c r="FF89" s="1804">
        <v>0</v>
      </c>
      <c r="FG89" s="1804">
        <v>0</v>
      </c>
      <c r="FH89" s="1804">
        <v>0</v>
      </c>
      <c r="FI89" s="1804">
        <v>0</v>
      </c>
      <c r="FJ89" s="1804">
        <v>0</v>
      </c>
      <c r="FK89" s="1804">
        <v>0</v>
      </c>
      <c r="FL89" s="1804">
        <v>0</v>
      </c>
      <c r="FM89" s="1804">
        <v>0</v>
      </c>
      <c r="FN89" s="1804">
        <v>0</v>
      </c>
      <c r="FO89" s="1804">
        <v>0</v>
      </c>
      <c r="FP89" s="1804">
        <v>0</v>
      </c>
      <c r="FQ89" s="1804">
        <v>0</v>
      </c>
      <c r="FR89" s="1804">
        <v>0</v>
      </c>
      <c r="FS89" s="1804">
        <v>0</v>
      </c>
      <c r="FT89" s="1804">
        <v>0</v>
      </c>
      <c r="FU89" s="1804">
        <v>0</v>
      </c>
      <c r="FV89" s="1804">
        <v>0</v>
      </c>
      <c r="FW89" s="1804">
        <v>0</v>
      </c>
      <c r="FX89" s="1804">
        <v>0</v>
      </c>
      <c r="FY89" s="1804">
        <v>0</v>
      </c>
      <c r="FZ89" s="1804">
        <v>0</v>
      </c>
      <c r="GA89" s="1804">
        <v>0</v>
      </c>
      <c r="GB89" s="1804">
        <v>0</v>
      </c>
      <c r="GC89" s="1804">
        <v>0</v>
      </c>
      <c r="GD89" s="1804">
        <v>0</v>
      </c>
      <c r="GE89" s="1804">
        <v>0</v>
      </c>
      <c r="GF89" s="1804">
        <v>0</v>
      </c>
      <c r="GG89" s="1804">
        <v>0</v>
      </c>
      <c r="GH89" s="1804">
        <v>0</v>
      </c>
      <c r="GI89" s="1804">
        <v>0</v>
      </c>
      <c r="GJ89" s="1804">
        <v>0</v>
      </c>
      <c r="GK89" s="1804">
        <v>0</v>
      </c>
      <c r="GL89" s="1804">
        <v>0</v>
      </c>
      <c r="GM89" s="1804">
        <v>0</v>
      </c>
      <c r="GN89" s="1804">
        <v>0</v>
      </c>
      <c r="GO89" s="1804">
        <v>0</v>
      </c>
      <c r="GP89" s="1804">
        <v>0</v>
      </c>
      <c r="GQ89" s="1804">
        <v>0</v>
      </c>
      <c r="GR89" s="1804">
        <v>0</v>
      </c>
      <c r="GS89" s="1804">
        <v>0</v>
      </c>
      <c r="GT89" s="1804">
        <v>0</v>
      </c>
      <c r="GU89" s="1804">
        <v>0</v>
      </c>
      <c r="GV89" s="1804">
        <v>0</v>
      </c>
      <c r="GW89" s="1804">
        <v>0</v>
      </c>
      <c r="GX89" s="1804">
        <v>0</v>
      </c>
      <c r="GY89" s="1804">
        <v>0</v>
      </c>
      <c r="GZ89" s="1804">
        <v>0</v>
      </c>
      <c r="HA89" s="1804">
        <v>0</v>
      </c>
      <c r="HB89" s="1804">
        <v>0</v>
      </c>
      <c r="HC89" s="1804">
        <v>0</v>
      </c>
      <c r="HD89" s="1804">
        <v>0</v>
      </c>
      <c r="HE89" s="1804">
        <v>0</v>
      </c>
    </row>
    <row r="90" spans="1:213" ht="15" customHeight="1" thickBot="1" x14ac:dyDescent="0.25">
      <c r="A90" s="1993"/>
      <c r="B90" s="1971"/>
      <c r="C90" s="1691" t="s">
        <v>806</v>
      </c>
      <c r="D90" s="1886"/>
      <c r="E90" s="1983"/>
      <c r="F90" s="1838">
        <v>0</v>
      </c>
      <c r="G90" s="1804">
        <v>0</v>
      </c>
      <c r="H90" s="1804">
        <v>0</v>
      </c>
      <c r="I90" s="1804">
        <v>0</v>
      </c>
      <c r="J90" s="1804">
        <v>0</v>
      </c>
      <c r="K90" s="1804">
        <v>0</v>
      </c>
      <c r="L90" s="1804">
        <v>0</v>
      </c>
      <c r="M90" s="1804">
        <v>0</v>
      </c>
      <c r="N90" s="1804">
        <v>0</v>
      </c>
      <c r="O90" s="1804">
        <v>0</v>
      </c>
      <c r="P90" s="1804">
        <v>0</v>
      </c>
      <c r="Q90" s="1804">
        <v>0</v>
      </c>
      <c r="R90" s="1804">
        <v>0</v>
      </c>
      <c r="S90" s="1804">
        <v>0</v>
      </c>
      <c r="T90" s="1804">
        <v>0</v>
      </c>
      <c r="U90" s="1804">
        <v>0</v>
      </c>
      <c r="V90" s="1804">
        <v>0</v>
      </c>
      <c r="W90" s="1804">
        <v>0</v>
      </c>
      <c r="X90" s="1804">
        <v>0</v>
      </c>
      <c r="Y90" s="1804">
        <v>0</v>
      </c>
      <c r="Z90" s="1804">
        <v>0</v>
      </c>
      <c r="AA90" s="1804">
        <v>0</v>
      </c>
      <c r="AB90" s="1804">
        <v>0</v>
      </c>
      <c r="AC90" s="1804">
        <v>0</v>
      </c>
      <c r="AD90" s="1804">
        <v>0</v>
      </c>
      <c r="AE90" s="1804">
        <v>0</v>
      </c>
      <c r="AF90" s="1804">
        <v>0</v>
      </c>
      <c r="AG90" s="1804">
        <v>0</v>
      </c>
      <c r="AH90" s="1804">
        <v>0</v>
      </c>
      <c r="AI90" s="1804">
        <v>0</v>
      </c>
      <c r="AJ90" s="1804">
        <v>0</v>
      </c>
      <c r="AK90" s="1804">
        <v>0</v>
      </c>
      <c r="AL90" s="1804">
        <v>0</v>
      </c>
      <c r="AM90" s="1804">
        <v>0</v>
      </c>
      <c r="AN90" s="1804">
        <v>0</v>
      </c>
      <c r="AO90" s="1804">
        <v>0</v>
      </c>
      <c r="AP90" s="1804">
        <v>0</v>
      </c>
      <c r="AQ90" s="1804">
        <v>0</v>
      </c>
      <c r="AR90" s="1804">
        <v>0</v>
      </c>
      <c r="AS90" s="1804">
        <v>0</v>
      </c>
      <c r="AT90" s="1804">
        <v>0</v>
      </c>
      <c r="AU90" s="1804">
        <v>0</v>
      </c>
      <c r="AV90" s="1804">
        <v>0</v>
      </c>
      <c r="AW90" s="1804">
        <v>0</v>
      </c>
      <c r="AX90" s="1804">
        <v>0</v>
      </c>
      <c r="AY90" s="1804">
        <v>0</v>
      </c>
      <c r="AZ90" s="1804">
        <v>0</v>
      </c>
      <c r="BA90" s="1804">
        <v>0</v>
      </c>
      <c r="BB90" s="1804">
        <v>0</v>
      </c>
      <c r="BC90" s="1804">
        <v>0</v>
      </c>
      <c r="BD90" s="1804">
        <v>0</v>
      </c>
      <c r="BE90" s="1804">
        <v>0</v>
      </c>
      <c r="BF90" s="1804">
        <v>0</v>
      </c>
      <c r="BG90" s="1804">
        <v>0</v>
      </c>
      <c r="BH90" s="1804">
        <v>0</v>
      </c>
      <c r="BI90" s="1804">
        <v>0</v>
      </c>
      <c r="BJ90" s="1804">
        <v>0</v>
      </c>
      <c r="BK90" s="1804">
        <v>0</v>
      </c>
      <c r="BL90" s="1804">
        <v>0</v>
      </c>
      <c r="BM90" s="1804">
        <v>0</v>
      </c>
      <c r="BN90" s="1804">
        <v>0</v>
      </c>
      <c r="BO90" s="1804">
        <v>0</v>
      </c>
      <c r="BP90" s="1804">
        <v>0</v>
      </c>
      <c r="BQ90" s="1804">
        <v>0</v>
      </c>
      <c r="BR90" s="1804">
        <v>0</v>
      </c>
      <c r="BS90" s="1804">
        <v>0</v>
      </c>
      <c r="BT90" s="1804">
        <v>0</v>
      </c>
      <c r="BU90" s="1804">
        <v>0</v>
      </c>
      <c r="BV90" s="1804">
        <v>0</v>
      </c>
      <c r="BW90" s="1804">
        <v>0</v>
      </c>
      <c r="BX90" s="1804">
        <v>0</v>
      </c>
      <c r="BY90" s="1804">
        <v>0</v>
      </c>
      <c r="BZ90" s="1804">
        <v>0</v>
      </c>
      <c r="CA90" s="1804">
        <v>0</v>
      </c>
      <c r="CB90" s="1804">
        <v>0</v>
      </c>
      <c r="CC90" s="1804">
        <v>0</v>
      </c>
      <c r="CD90" s="1804">
        <v>0</v>
      </c>
      <c r="CE90" s="1804">
        <v>0</v>
      </c>
      <c r="CF90" s="1804">
        <v>0</v>
      </c>
      <c r="CG90" s="1804">
        <v>0</v>
      </c>
      <c r="CH90" s="1804">
        <v>0</v>
      </c>
      <c r="CI90" s="1804">
        <v>0</v>
      </c>
      <c r="CJ90" s="1804">
        <v>0</v>
      </c>
      <c r="CK90" s="1804">
        <v>0</v>
      </c>
      <c r="CL90" s="1804">
        <v>0</v>
      </c>
      <c r="CM90" s="1804">
        <v>0</v>
      </c>
      <c r="CN90" s="1804">
        <v>0</v>
      </c>
      <c r="CO90" s="1804">
        <v>0</v>
      </c>
      <c r="CP90" s="1804">
        <v>0</v>
      </c>
      <c r="CQ90" s="1804">
        <v>0</v>
      </c>
      <c r="CR90" s="1804">
        <v>0</v>
      </c>
      <c r="CS90" s="1804">
        <v>0</v>
      </c>
      <c r="CT90" s="1804">
        <v>0</v>
      </c>
      <c r="CU90" s="1804">
        <v>0</v>
      </c>
      <c r="CV90" s="1804">
        <v>0</v>
      </c>
      <c r="CW90" s="1804">
        <v>0</v>
      </c>
      <c r="CX90" s="1804">
        <v>0</v>
      </c>
      <c r="CY90" s="1804">
        <v>0</v>
      </c>
      <c r="CZ90" s="1804">
        <v>0</v>
      </c>
      <c r="DA90" s="1804">
        <v>0</v>
      </c>
      <c r="DB90" s="1804">
        <v>0</v>
      </c>
      <c r="DC90" s="1804">
        <v>0</v>
      </c>
      <c r="DD90" s="1804">
        <v>0</v>
      </c>
      <c r="DE90" s="1804">
        <v>0</v>
      </c>
      <c r="DF90" s="1804">
        <v>0</v>
      </c>
      <c r="DG90" s="1804">
        <v>0</v>
      </c>
      <c r="DH90" s="1804">
        <v>0</v>
      </c>
      <c r="DI90" s="1804">
        <v>0</v>
      </c>
      <c r="DJ90" s="1804">
        <v>0</v>
      </c>
      <c r="DK90" s="1804">
        <v>0</v>
      </c>
      <c r="DL90" s="1804">
        <v>0</v>
      </c>
      <c r="DM90" s="1804">
        <v>0</v>
      </c>
      <c r="DN90" s="1804">
        <v>0</v>
      </c>
      <c r="DO90" s="1804">
        <v>0</v>
      </c>
      <c r="DP90" s="1804">
        <v>0</v>
      </c>
      <c r="DQ90" s="1804">
        <v>0</v>
      </c>
      <c r="DR90" s="1804">
        <v>0</v>
      </c>
      <c r="DS90" s="1804">
        <v>0</v>
      </c>
      <c r="DT90" s="1804">
        <v>0</v>
      </c>
      <c r="DU90" s="1804">
        <v>0</v>
      </c>
      <c r="DV90" s="1804">
        <v>0</v>
      </c>
      <c r="DW90" s="1804">
        <v>0</v>
      </c>
      <c r="DX90" s="1804">
        <v>0</v>
      </c>
      <c r="DY90" s="1804">
        <v>0</v>
      </c>
      <c r="DZ90" s="1804">
        <v>0</v>
      </c>
      <c r="EA90" s="1804">
        <v>0</v>
      </c>
      <c r="EB90" s="1804">
        <v>0</v>
      </c>
      <c r="EC90" s="1804">
        <v>0</v>
      </c>
      <c r="ED90" s="1804">
        <v>0</v>
      </c>
      <c r="EE90" s="1804">
        <v>0</v>
      </c>
      <c r="EF90" s="1804">
        <v>0</v>
      </c>
      <c r="EG90" s="1804">
        <v>0</v>
      </c>
      <c r="EH90" s="1804">
        <v>0</v>
      </c>
      <c r="EI90" s="1804">
        <v>0</v>
      </c>
      <c r="EJ90" s="1804">
        <v>0</v>
      </c>
      <c r="EK90" s="1804">
        <v>0</v>
      </c>
      <c r="EL90" s="1804">
        <v>0</v>
      </c>
      <c r="EM90" s="1804">
        <v>0</v>
      </c>
      <c r="EN90" s="1804">
        <v>0</v>
      </c>
      <c r="EO90" s="1804">
        <v>0</v>
      </c>
      <c r="EP90" s="1804">
        <v>0</v>
      </c>
      <c r="EQ90" s="1804">
        <v>0</v>
      </c>
      <c r="ER90" s="1804">
        <v>0</v>
      </c>
      <c r="ES90" s="1804">
        <v>0</v>
      </c>
      <c r="ET90" s="1804">
        <v>0</v>
      </c>
      <c r="EU90" s="1804">
        <v>0</v>
      </c>
      <c r="EV90" s="1804">
        <v>0</v>
      </c>
      <c r="EW90" s="1804">
        <v>0</v>
      </c>
      <c r="EX90" s="1804">
        <v>0</v>
      </c>
      <c r="EY90" s="1804">
        <v>0</v>
      </c>
      <c r="EZ90" s="1804">
        <v>0</v>
      </c>
      <c r="FA90" s="1804">
        <v>0</v>
      </c>
      <c r="FB90" s="1804">
        <v>0</v>
      </c>
      <c r="FC90" s="1804">
        <v>0</v>
      </c>
      <c r="FD90" s="1804">
        <v>0</v>
      </c>
      <c r="FE90" s="1804">
        <v>0</v>
      </c>
      <c r="FF90" s="1804">
        <v>0</v>
      </c>
      <c r="FG90" s="1804">
        <v>0</v>
      </c>
      <c r="FH90" s="1804">
        <v>0</v>
      </c>
      <c r="FI90" s="1804">
        <v>0</v>
      </c>
      <c r="FJ90" s="1804">
        <v>0</v>
      </c>
      <c r="FK90" s="1804">
        <v>0</v>
      </c>
      <c r="FL90" s="1804">
        <v>0</v>
      </c>
      <c r="FM90" s="1804">
        <v>0</v>
      </c>
      <c r="FN90" s="1804">
        <v>0</v>
      </c>
      <c r="FO90" s="1804">
        <v>0</v>
      </c>
      <c r="FP90" s="1804">
        <v>0</v>
      </c>
      <c r="FQ90" s="1804">
        <v>0</v>
      </c>
      <c r="FR90" s="1804">
        <v>0</v>
      </c>
      <c r="FS90" s="1804">
        <v>0</v>
      </c>
      <c r="FT90" s="1804">
        <v>0</v>
      </c>
      <c r="FU90" s="1804">
        <v>0</v>
      </c>
      <c r="FV90" s="1804">
        <v>0</v>
      </c>
      <c r="FW90" s="1804">
        <v>0</v>
      </c>
      <c r="FX90" s="1804">
        <v>0</v>
      </c>
      <c r="FY90" s="1804">
        <v>0</v>
      </c>
      <c r="FZ90" s="1804">
        <v>0</v>
      </c>
      <c r="GA90" s="1804">
        <v>0</v>
      </c>
      <c r="GB90" s="1804">
        <v>0</v>
      </c>
      <c r="GC90" s="1804">
        <v>0</v>
      </c>
      <c r="GD90" s="1804">
        <v>0</v>
      </c>
      <c r="GE90" s="1804">
        <v>0</v>
      </c>
      <c r="GF90" s="1804">
        <v>0</v>
      </c>
      <c r="GG90" s="1804">
        <v>0</v>
      </c>
      <c r="GH90" s="1804">
        <v>0</v>
      </c>
      <c r="GI90" s="1804">
        <v>0</v>
      </c>
      <c r="GJ90" s="1804">
        <v>0</v>
      </c>
      <c r="GK90" s="1804">
        <v>0</v>
      </c>
      <c r="GL90" s="1804">
        <v>0</v>
      </c>
      <c r="GM90" s="1804">
        <v>0</v>
      </c>
      <c r="GN90" s="1804">
        <v>0</v>
      </c>
      <c r="GO90" s="1804">
        <v>0</v>
      </c>
      <c r="GP90" s="1804">
        <v>0</v>
      </c>
      <c r="GQ90" s="1804">
        <v>0</v>
      </c>
      <c r="GR90" s="1804">
        <v>0</v>
      </c>
      <c r="GS90" s="1804">
        <v>0</v>
      </c>
      <c r="GT90" s="1804">
        <v>0</v>
      </c>
      <c r="GU90" s="1804">
        <v>0</v>
      </c>
      <c r="GV90" s="1804">
        <v>0</v>
      </c>
      <c r="GW90" s="1804">
        <v>0</v>
      </c>
      <c r="GX90" s="1804">
        <v>0</v>
      </c>
      <c r="GY90" s="1804">
        <v>0</v>
      </c>
      <c r="GZ90" s="1804">
        <v>0</v>
      </c>
      <c r="HA90" s="1804">
        <v>0</v>
      </c>
      <c r="HB90" s="1804">
        <v>0</v>
      </c>
      <c r="HC90" s="1804">
        <v>0</v>
      </c>
      <c r="HD90" s="1804">
        <v>0</v>
      </c>
      <c r="HE90" s="1804">
        <v>0</v>
      </c>
    </row>
    <row r="91" spans="1:213" ht="30" customHeight="1" thickBot="1" x14ac:dyDescent="0.25">
      <c r="A91" s="1972" t="s">
        <v>2340</v>
      </c>
      <c r="B91" s="1970" t="s">
        <v>541</v>
      </c>
      <c r="C91" s="1691" t="s">
        <v>807</v>
      </c>
      <c r="D91" s="1880"/>
      <c r="E91" s="1983"/>
      <c r="F91" s="1865"/>
      <c r="G91" s="1866"/>
      <c r="H91" s="1866"/>
      <c r="I91" s="1866"/>
      <c r="J91" s="1866"/>
      <c r="K91" s="1866"/>
      <c r="L91" s="1866"/>
      <c r="M91" s="1866"/>
      <c r="N91" s="1866"/>
      <c r="O91" s="1866"/>
      <c r="P91" s="1866"/>
      <c r="Q91" s="1866"/>
      <c r="R91" s="1866"/>
      <c r="S91" s="1866"/>
      <c r="T91" s="1866"/>
      <c r="U91" s="1866"/>
      <c r="V91" s="1866"/>
      <c r="W91" s="1866"/>
      <c r="X91" s="1866"/>
      <c r="Y91" s="1866"/>
      <c r="Z91" s="1866"/>
      <c r="AA91" s="1866"/>
      <c r="AB91" s="1866"/>
      <c r="AC91" s="1866"/>
      <c r="AD91" s="1866"/>
      <c r="AE91" s="1866"/>
      <c r="AF91" s="1866"/>
      <c r="AG91" s="1866"/>
      <c r="AH91" s="1866"/>
      <c r="AI91" s="1866"/>
      <c r="AJ91" s="1866"/>
      <c r="AK91" s="1866"/>
      <c r="AL91" s="1866"/>
      <c r="AM91" s="1866"/>
      <c r="AN91" s="1866"/>
      <c r="AO91" s="1866"/>
      <c r="AP91" s="1866"/>
      <c r="AQ91" s="1866"/>
      <c r="AR91" s="1866"/>
      <c r="AS91" s="1866"/>
      <c r="AT91" s="1866"/>
      <c r="AU91" s="1866"/>
      <c r="AV91" s="1866"/>
      <c r="AW91" s="1866"/>
      <c r="AX91" s="1866"/>
      <c r="AY91" s="1866"/>
      <c r="AZ91" s="1866"/>
      <c r="BA91" s="1866"/>
      <c r="BB91" s="1866"/>
      <c r="BC91" s="1866"/>
      <c r="BD91" s="1866"/>
      <c r="BE91" s="1866"/>
      <c r="BF91" s="1866"/>
      <c r="BG91" s="1866"/>
      <c r="BH91" s="1866"/>
      <c r="BI91" s="1866"/>
      <c r="BJ91" s="1866"/>
      <c r="BK91" s="1866"/>
      <c r="BL91" s="1866"/>
      <c r="BM91" s="1866"/>
      <c r="BN91" s="1866"/>
      <c r="BO91" s="1866"/>
      <c r="BP91" s="1866"/>
      <c r="BQ91" s="1866"/>
      <c r="BR91" s="1866"/>
      <c r="BS91" s="1866"/>
      <c r="BT91" s="1866"/>
      <c r="BU91" s="1866"/>
      <c r="BV91" s="1866"/>
      <c r="BW91" s="1866"/>
      <c r="BX91" s="1866"/>
      <c r="BY91" s="1866"/>
      <c r="BZ91" s="1866"/>
      <c r="CA91" s="1866"/>
      <c r="CB91" s="1866"/>
      <c r="CC91" s="1866"/>
      <c r="CD91" s="1866"/>
      <c r="CE91" s="1866"/>
      <c r="CF91" s="1866"/>
      <c r="CG91" s="1866"/>
      <c r="CH91" s="1866"/>
      <c r="CI91" s="1866"/>
      <c r="CJ91" s="1866"/>
      <c r="CK91" s="1866"/>
      <c r="CL91" s="1866"/>
      <c r="CM91" s="1866"/>
      <c r="CN91" s="1866"/>
      <c r="CO91" s="1866"/>
      <c r="CP91" s="1866"/>
      <c r="CQ91" s="1866"/>
      <c r="CR91" s="1866"/>
      <c r="CS91" s="1866"/>
      <c r="CT91" s="1866"/>
      <c r="CU91" s="1866"/>
      <c r="CV91" s="1866"/>
      <c r="CW91" s="1866"/>
      <c r="CX91" s="1866"/>
      <c r="CY91" s="1866"/>
      <c r="CZ91" s="1866"/>
      <c r="DA91" s="1866"/>
      <c r="DB91" s="1866"/>
      <c r="DC91" s="1866"/>
      <c r="DD91" s="1866"/>
      <c r="DE91" s="1866"/>
      <c r="DF91" s="1866"/>
      <c r="DG91" s="1866"/>
      <c r="DH91" s="1866"/>
      <c r="DI91" s="1866"/>
      <c r="DJ91" s="1866"/>
      <c r="DK91" s="1866"/>
      <c r="DL91" s="1866"/>
      <c r="DM91" s="1866"/>
      <c r="DN91" s="1866"/>
      <c r="DO91" s="1866"/>
      <c r="DP91" s="1866"/>
      <c r="DQ91" s="1866"/>
      <c r="DR91" s="1866"/>
      <c r="DS91" s="1866"/>
      <c r="DT91" s="1866"/>
      <c r="DU91" s="1866"/>
      <c r="DV91" s="1866"/>
      <c r="DW91" s="1866"/>
      <c r="DX91" s="1866"/>
      <c r="DY91" s="1866"/>
      <c r="DZ91" s="1866"/>
      <c r="EA91" s="1866"/>
      <c r="EB91" s="1866"/>
      <c r="EC91" s="1866"/>
      <c r="ED91" s="1866"/>
      <c r="EE91" s="1866"/>
      <c r="EF91" s="1866"/>
      <c r="EG91" s="1866"/>
      <c r="EH91" s="1866"/>
      <c r="EI91" s="1866"/>
      <c r="EJ91" s="1866"/>
      <c r="EK91" s="1866"/>
      <c r="EL91" s="1866"/>
      <c r="EM91" s="1866"/>
      <c r="EN91" s="1866"/>
      <c r="EO91" s="1866"/>
      <c r="EP91" s="1866"/>
      <c r="EQ91" s="1866"/>
      <c r="ER91" s="1866"/>
      <c r="ES91" s="1866"/>
      <c r="ET91" s="1866"/>
      <c r="EU91" s="1866"/>
      <c r="EV91" s="1866"/>
      <c r="EW91" s="1866"/>
      <c r="EX91" s="1866"/>
      <c r="EY91" s="1866"/>
      <c r="EZ91" s="1866"/>
      <c r="FA91" s="1866"/>
      <c r="FB91" s="1866"/>
      <c r="FC91" s="1866"/>
      <c r="FD91" s="1866"/>
      <c r="FE91" s="1866"/>
      <c r="FF91" s="1866"/>
      <c r="FG91" s="1866"/>
      <c r="FH91" s="1866"/>
      <c r="FI91" s="1866"/>
      <c r="FJ91" s="1866"/>
      <c r="FK91" s="1866"/>
      <c r="FL91" s="1866"/>
      <c r="FM91" s="1866"/>
      <c r="FN91" s="1866"/>
      <c r="FO91" s="1866"/>
      <c r="FP91" s="1866"/>
      <c r="FQ91" s="1866"/>
      <c r="FR91" s="1866"/>
      <c r="FS91" s="1866"/>
      <c r="FT91" s="1866"/>
      <c r="FU91" s="1866"/>
      <c r="FV91" s="1866"/>
      <c r="FW91" s="1866"/>
      <c r="FX91" s="1866"/>
      <c r="FY91" s="1866"/>
      <c r="FZ91" s="1866"/>
      <c r="GA91" s="1866"/>
      <c r="GB91" s="1866"/>
      <c r="GC91" s="1866"/>
      <c r="GD91" s="1866"/>
      <c r="GE91" s="1866"/>
      <c r="GF91" s="1866"/>
      <c r="GG91" s="1866"/>
      <c r="GH91" s="1866"/>
      <c r="GI91" s="1866"/>
      <c r="GJ91" s="1866"/>
      <c r="GK91" s="1866"/>
      <c r="GL91" s="1866"/>
      <c r="GM91" s="1866"/>
      <c r="GN91" s="1866"/>
      <c r="GO91" s="1866"/>
      <c r="GP91" s="1866"/>
      <c r="GQ91" s="1866"/>
      <c r="GR91" s="1866"/>
      <c r="GS91" s="1866"/>
      <c r="GT91" s="1866"/>
      <c r="GU91" s="1866"/>
      <c r="GV91" s="1866"/>
      <c r="GW91" s="1866"/>
      <c r="GX91" s="1866"/>
      <c r="GY91" s="1866"/>
      <c r="GZ91" s="1866"/>
      <c r="HA91" s="1866"/>
      <c r="HB91" s="1866"/>
      <c r="HC91" s="1866"/>
      <c r="HD91" s="1866"/>
      <c r="HE91" s="1866"/>
    </row>
    <row r="92" spans="1:213" ht="15" customHeight="1" x14ac:dyDescent="0.2">
      <c r="A92" s="1973"/>
      <c r="B92" s="1970"/>
      <c r="C92" s="1713" t="s">
        <v>808</v>
      </c>
      <c r="D92" s="1886"/>
      <c r="E92" s="1983"/>
      <c r="F92" s="1838">
        <v>0</v>
      </c>
      <c r="G92" s="1804">
        <v>0</v>
      </c>
      <c r="H92" s="1804">
        <v>0</v>
      </c>
      <c r="I92" s="1804">
        <v>0</v>
      </c>
      <c r="J92" s="1804">
        <v>0</v>
      </c>
      <c r="K92" s="1804">
        <v>0</v>
      </c>
      <c r="L92" s="1804">
        <v>0</v>
      </c>
      <c r="M92" s="1804">
        <v>0</v>
      </c>
      <c r="N92" s="1804">
        <v>0</v>
      </c>
      <c r="O92" s="1804">
        <v>0</v>
      </c>
      <c r="P92" s="1804">
        <v>0</v>
      </c>
      <c r="Q92" s="1804">
        <v>0</v>
      </c>
      <c r="R92" s="1804">
        <v>0</v>
      </c>
      <c r="S92" s="1804">
        <v>0</v>
      </c>
      <c r="T92" s="1804">
        <v>0</v>
      </c>
      <c r="U92" s="1804">
        <v>0</v>
      </c>
      <c r="V92" s="1804">
        <v>0</v>
      </c>
      <c r="W92" s="1804">
        <v>0</v>
      </c>
      <c r="X92" s="1804">
        <v>0</v>
      </c>
      <c r="Y92" s="1804">
        <v>0</v>
      </c>
      <c r="Z92" s="1804">
        <v>0</v>
      </c>
      <c r="AA92" s="1804">
        <v>0</v>
      </c>
      <c r="AB92" s="1804">
        <v>0</v>
      </c>
      <c r="AC92" s="1804">
        <v>0</v>
      </c>
      <c r="AD92" s="1804">
        <v>0</v>
      </c>
      <c r="AE92" s="1804">
        <v>0</v>
      </c>
      <c r="AF92" s="1804">
        <v>0</v>
      </c>
      <c r="AG92" s="1804">
        <v>0</v>
      </c>
      <c r="AH92" s="1804">
        <v>0</v>
      </c>
      <c r="AI92" s="1804">
        <v>0</v>
      </c>
      <c r="AJ92" s="1804">
        <v>0</v>
      </c>
      <c r="AK92" s="1804">
        <v>0</v>
      </c>
      <c r="AL92" s="1804">
        <v>0</v>
      </c>
      <c r="AM92" s="1804">
        <v>0</v>
      </c>
      <c r="AN92" s="1804">
        <v>0</v>
      </c>
      <c r="AO92" s="1804">
        <v>0</v>
      </c>
      <c r="AP92" s="1804">
        <v>0</v>
      </c>
      <c r="AQ92" s="1804">
        <v>0</v>
      </c>
      <c r="AR92" s="1804">
        <v>0</v>
      </c>
      <c r="AS92" s="1804">
        <v>0</v>
      </c>
      <c r="AT92" s="1804">
        <v>0</v>
      </c>
      <c r="AU92" s="1804">
        <v>0</v>
      </c>
      <c r="AV92" s="1804">
        <v>0</v>
      </c>
      <c r="AW92" s="1804">
        <v>0</v>
      </c>
      <c r="AX92" s="1804">
        <v>0</v>
      </c>
      <c r="AY92" s="1804">
        <v>0</v>
      </c>
      <c r="AZ92" s="1804">
        <v>0</v>
      </c>
      <c r="BA92" s="1804">
        <v>0</v>
      </c>
      <c r="BB92" s="1804">
        <v>0</v>
      </c>
      <c r="BC92" s="1804">
        <v>0</v>
      </c>
      <c r="BD92" s="1804">
        <v>0</v>
      </c>
      <c r="BE92" s="1804">
        <v>0</v>
      </c>
      <c r="BF92" s="1804">
        <v>0</v>
      </c>
      <c r="BG92" s="1804">
        <v>0</v>
      </c>
      <c r="BH92" s="1804">
        <v>0</v>
      </c>
      <c r="BI92" s="1804">
        <v>0</v>
      </c>
      <c r="BJ92" s="1804">
        <v>0</v>
      </c>
      <c r="BK92" s="1804">
        <v>0</v>
      </c>
      <c r="BL92" s="1804">
        <v>0</v>
      </c>
      <c r="BM92" s="1804">
        <v>0</v>
      </c>
      <c r="BN92" s="1804">
        <v>0</v>
      </c>
      <c r="BO92" s="1804">
        <v>0</v>
      </c>
      <c r="BP92" s="1804">
        <v>0</v>
      </c>
      <c r="BQ92" s="1804">
        <v>0</v>
      </c>
      <c r="BR92" s="1804">
        <v>0</v>
      </c>
      <c r="BS92" s="1804">
        <v>0</v>
      </c>
      <c r="BT92" s="1804">
        <v>0</v>
      </c>
      <c r="BU92" s="1804">
        <v>0</v>
      </c>
      <c r="BV92" s="1804">
        <v>0</v>
      </c>
      <c r="BW92" s="1804">
        <v>0</v>
      </c>
      <c r="BX92" s="1804">
        <v>0</v>
      </c>
      <c r="BY92" s="1804">
        <v>0</v>
      </c>
      <c r="BZ92" s="1804">
        <v>0</v>
      </c>
      <c r="CA92" s="1804">
        <v>0</v>
      </c>
      <c r="CB92" s="1804">
        <v>0</v>
      </c>
      <c r="CC92" s="1804">
        <v>0</v>
      </c>
      <c r="CD92" s="1804">
        <v>0</v>
      </c>
      <c r="CE92" s="1804">
        <v>0</v>
      </c>
      <c r="CF92" s="1804">
        <v>0</v>
      </c>
      <c r="CG92" s="1804">
        <v>0</v>
      </c>
      <c r="CH92" s="1804">
        <v>0</v>
      </c>
      <c r="CI92" s="1804">
        <v>0</v>
      </c>
      <c r="CJ92" s="1804">
        <v>0</v>
      </c>
      <c r="CK92" s="1804">
        <v>0</v>
      </c>
      <c r="CL92" s="1804">
        <v>0</v>
      </c>
      <c r="CM92" s="1804">
        <v>0</v>
      </c>
      <c r="CN92" s="1804">
        <v>0</v>
      </c>
      <c r="CO92" s="1804">
        <v>0</v>
      </c>
      <c r="CP92" s="1804">
        <v>0</v>
      </c>
      <c r="CQ92" s="1804">
        <v>0</v>
      </c>
      <c r="CR92" s="1804">
        <v>0</v>
      </c>
      <c r="CS92" s="1804">
        <v>0</v>
      </c>
      <c r="CT92" s="1804">
        <v>0</v>
      </c>
      <c r="CU92" s="1804">
        <v>0</v>
      </c>
      <c r="CV92" s="1804">
        <v>0</v>
      </c>
      <c r="CW92" s="1804">
        <v>0</v>
      </c>
      <c r="CX92" s="1804">
        <v>0</v>
      </c>
      <c r="CY92" s="1804">
        <v>0</v>
      </c>
      <c r="CZ92" s="1804">
        <v>0</v>
      </c>
      <c r="DA92" s="1804">
        <v>0</v>
      </c>
      <c r="DB92" s="1804">
        <v>0</v>
      </c>
      <c r="DC92" s="1804">
        <v>0</v>
      </c>
      <c r="DD92" s="1804">
        <v>0</v>
      </c>
      <c r="DE92" s="1804">
        <v>0</v>
      </c>
      <c r="DF92" s="1804">
        <v>0</v>
      </c>
      <c r="DG92" s="1804">
        <v>0</v>
      </c>
      <c r="DH92" s="1804">
        <v>0</v>
      </c>
      <c r="DI92" s="1804">
        <v>0</v>
      </c>
      <c r="DJ92" s="1804">
        <v>0</v>
      </c>
      <c r="DK92" s="1804">
        <v>0</v>
      </c>
      <c r="DL92" s="1804">
        <v>0</v>
      </c>
      <c r="DM92" s="1804">
        <v>0</v>
      </c>
      <c r="DN92" s="1804">
        <v>0</v>
      </c>
      <c r="DO92" s="1804">
        <v>0</v>
      </c>
      <c r="DP92" s="1804">
        <v>0</v>
      </c>
      <c r="DQ92" s="1804">
        <v>0</v>
      </c>
      <c r="DR92" s="1804">
        <v>0</v>
      </c>
      <c r="DS92" s="1804">
        <v>0</v>
      </c>
      <c r="DT92" s="1804">
        <v>0</v>
      </c>
      <c r="DU92" s="1804">
        <v>0</v>
      </c>
      <c r="DV92" s="1804">
        <v>0</v>
      </c>
      <c r="DW92" s="1804">
        <v>0</v>
      </c>
      <c r="DX92" s="1804">
        <v>0</v>
      </c>
      <c r="DY92" s="1804">
        <v>0</v>
      </c>
      <c r="DZ92" s="1804">
        <v>0</v>
      </c>
      <c r="EA92" s="1804">
        <v>0</v>
      </c>
      <c r="EB92" s="1804">
        <v>0</v>
      </c>
      <c r="EC92" s="1804">
        <v>0</v>
      </c>
      <c r="ED92" s="1804">
        <v>0</v>
      </c>
      <c r="EE92" s="1804">
        <v>0</v>
      </c>
      <c r="EF92" s="1804">
        <v>0</v>
      </c>
      <c r="EG92" s="1804">
        <v>0</v>
      </c>
      <c r="EH92" s="1804">
        <v>0</v>
      </c>
      <c r="EI92" s="1804">
        <v>0</v>
      </c>
      <c r="EJ92" s="1804">
        <v>0</v>
      </c>
      <c r="EK92" s="1804">
        <v>0</v>
      </c>
      <c r="EL92" s="1804">
        <v>0</v>
      </c>
      <c r="EM92" s="1804">
        <v>0</v>
      </c>
      <c r="EN92" s="1804">
        <v>0</v>
      </c>
      <c r="EO92" s="1804">
        <v>0</v>
      </c>
      <c r="EP92" s="1804">
        <v>0</v>
      </c>
      <c r="EQ92" s="1804">
        <v>0</v>
      </c>
      <c r="ER92" s="1804">
        <v>0</v>
      </c>
      <c r="ES92" s="1804">
        <v>0</v>
      </c>
      <c r="ET92" s="1804">
        <v>0</v>
      </c>
      <c r="EU92" s="1804">
        <v>0</v>
      </c>
      <c r="EV92" s="1804">
        <v>0</v>
      </c>
      <c r="EW92" s="1804">
        <v>0</v>
      </c>
      <c r="EX92" s="1804">
        <v>0</v>
      </c>
      <c r="EY92" s="1804">
        <v>0</v>
      </c>
      <c r="EZ92" s="1804">
        <v>0</v>
      </c>
      <c r="FA92" s="1804">
        <v>0</v>
      </c>
      <c r="FB92" s="1804">
        <v>0</v>
      </c>
      <c r="FC92" s="1804">
        <v>0</v>
      </c>
      <c r="FD92" s="1804">
        <v>0</v>
      </c>
      <c r="FE92" s="1804">
        <v>0</v>
      </c>
      <c r="FF92" s="1804">
        <v>0</v>
      </c>
      <c r="FG92" s="1804">
        <v>0</v>
      </c>
      <c r="FH92" s="1804">
        <v>0</v>
      </c>
      <c r="FI92" s="1804">
        <v>0</v>
      </c>
      <c r="FJ92" s="1804">
        <v>0</v>
      </c>
      <c r="FK92" s="1804">
        <v>0</v>
      </c>
      <c r="FL92" s="1804">
        <v>0</v>
      </c>
      <c r="FM92" s="1804">
        <v>0</v>
      </c>
      <c r="FN92" s="1804">
        <v>0</v>
      </c>
      <c r="FO92" s="1804">
        <v>0</v>
      </c>
      <c r="FP92" s="1804">
        <v>0</v>
      </c>
      <c r="FQ92" s="1804">
        <v>0</v>
      </c>
      <c r="FR92" s="1804">
        <v>0</v>
      </c>
      <c r="FS92" s="1804">
        <v>0</v>
      </c>
      <c r="FT92" s="1804">
        <v>0</v>
      </c>
      <c r="FU92" s="1804">
        <v>0</v>
      </c>
      <c r="FV92" s="1804">
        <v>0</v>
      </c>
      <c r="FW92" s="1804">
        <v>0</v>
      </c>
      <c r="FX92" s="1804">
        <v>0</v>
      </c>
      <c r="FY92" s="1804">
        <v>0</v>
      </c>
      <c r="FZ92" s="1804">
        <v>0</v>
      </c>
      <c r="GA92" s="1804">
        <v>0</v>
      </c>
      <c r="GB92" s="1804">
        <v>0</v>
      </c>
      <c r="GC92" s="1804">
        <v>0</v>
      </c>
      <c r="GD92" s="1804">
        <v>0</v>
      </c>
      <c r="GE92" s="1804">
        <v>0</v>
      </c>
      <c r="GF92" s="1804">
        <v>0</v>
      </c>
      <c r="GG92" s="1804">
        <v>0</v>
      </c>
      <c r="GH92" s="1804">
        <v>0</v>
      </c>
      <c r="GI92" s="1804">
        <v>0</v>
      </c>
      <c r="GJ92" s="1804">
        <v>0</v>
      </c>
      <c r="GK92" s="1804">
        <v>0</v>
      </c>
      <c r="GL92" s="1804">
        <v>0</v>
      </c>
      <c r="GM92" s="1804">
        <v>0</v>
      </c>
      <c r="GN92" s="1804">
        <v>0</v>
      </c>
      <c r="GO92" s="1804">
        <v>0</v>
      </c>
      <c r="GP92" s="1804">
        <v>0</v>
      </c>
      <c r="GQ92" s="1804">
        <v>0</v>
      </c>
      <c r="GR92" s="1804">
        <v>0</v>
      </c>
      <c r="GS92" s="1804">
        <v>0</v>
      </c>
      <c r="GT92" s="1804">
        <v>0</v>
      </c>
      <c r="GU92" s="1804">
        <v>0</v>
      </c>
      <c r="GV92" s="1804">
        <v>0</v>
      </c>
      <c r="GW92" s="1804">
        <v>0</v>
      </c>
      <c r="GX92" s="1804">
        <v>0</v>
      </c>
      <c r="GY92" s="1804">
        <v>0</v>
      </c>
      <c r="GZ92" s="1804">
        <v>0</v>
      </c>
      <c r="HA92" s="1804">
        <v>0</v>
      </c>
      <c r="HB92" s="1804">
        <v>0</v>
      </c>
      <c r="HC92" s="1804">
        <v>0</v>
      </c>
      <c r="HD92" s="1804">
        <v>0</v>
      </c>
      <c r="HE92" s="1804">
        <v>0</v>
      </c>
    </row>
    <row r="93" spans="1:213" ht="15" customHeight="1" x14ac:dyDescent="0.2">
      <c r="A93" s="1973"/>
      <c r="B93" s="1970"/>
      <c r="C93" s="1816" t="s">
        <v>198</v>
      </c>
      <c r="D93" s="1886"/>
      <c r="E93" s="1983"/>
      <c r="F93" s="1838">
        <v>0</v>
      </c>
      <c r="G93" s="1804">
        <v>0</v>
      </c>
      <c r="H93" s="1804">
        <v>0</v>
      </c>
      <c r="I93" s="1804">
        <v>0</v>
      </c>
      <c r="J93" s="1804">
        <v>0</v>
      </c>
      <c r="K93" s="1804">
        <v>0</v>
      </c>
      <c r="L93" s="1804">
        <v>0</v>
      </c>
      <c r="M93" s="1804">
        <v>0</v>
      </c>
      <c r="N93" s="1804">
        <v>0</v>
      </c>
      <c r="O93" s="1804">
        <v>0</v>
      </c>
      <c r="P93" s="1804">
        <v>0</v>
      </c>
      <c r="Q93" s="1804">
        <v>0</v>
      </c>
      <c r="R93" s="1804">
        <v>0</v>
      </c>
      <c r="S93" s="1804">
        <v>0</v>
      </c>
      <c r="T93" s="1804">
        <v>0</v>
      </c>
      <c r="U93" s="1804">
        <v>0</v>
      </c>
      <c r="V93" s="1804">
        <v>0</v>
      </c>
      <c r="W93" s="1804">
        <v>0</v>
      </c>
      <c r="X93" s="1804">
        <v>0</v>
      </c>
      <c r="Y93" s="1804">
        <v>0</v>
      </c>
      <c r="Z93" s="1804">
        <v>0</v>
      </c>
      <c r="AA93" s="1804">
        <v>0</v>
      </c>
      <c r="AB93" s="1804">
        <v>0</v>
      </c>
      <c r="AC93" s="1804">
        <v>0</v>
      </c>
      <c r="AD93" s="1804">
        <v>0</v>
      </c>
      <c r="AE93" s="1804">
        <v>0</v>
      </c>
      <c r="AF93" s="1804">
        <v>0</v>
      </c>
      <c r="AG93" s="1804">
        <v>0</v>
      </c>
      <c r="AH93" s="1804">
        <v>0</v>
      </c>
      <c r="AI93" s="1804">
        <v>0</v>
      </c>
      <c r="AJ93" s="1804">
        <v>0</v>
      </c>
      <c r="AK93" s="1804">
        <v>0</v>
      </c>
      <c r="AL93" s="1804">
        <v>0</v>
      </c>
      <c r="AM93" s="1804">
        <v>0</v>
      </c>
      <c r="AN93" s="1804">
        <v>0</v>
      </c>
      <c r="AO93" s="1804">
        <v>0</v>
      </c>
      <c r="AP93" s="1804">
        <v>0</v>
      </c>
      <c r="AQ93" s="1804">
        <v>0</v>
      </c>
      <c r="AR93" s="1804">
        <v>0</v>
      </c>
      <c r="AS93" s="1804">
        <v>0</v>
      </c>
      <c r="AT93" s="1804">
        <v>0</v>
      </c>
      <c r="AU93" s="1804">
        <v>0</v>
      </c>
      <c r="AV93" s="1804">
        <v>0</v>
      </c>
      <c r="AW93" s="1804">
        <v>0</v>
      </c>
      <c r="AX93" s="1804">
        <v>0</v>
      </c>
      <c r="AY93" s="1804">
        <v>0</v>
      </c>
      <c r="AZ93" s="1804">
        <v>0</v>
      </c>
      <c r="BA93" s="1804">
        <v>0</v>
      </c>
      <c r="BB93" s="1804">
        <v>0</v>
      </c>
      <c r="BC93" s="1804">
        <v>0</v>
      </c>
      <c r="BD93" s="1804">
        <v>0</v>
      </c>
      <c r="BE93" s="1804">
        <v>0</v>
      </c>
      <c r="BF93" s="1804">
        <v>0</v>
      </c>
      <c r="BG93" s="1804">
        <v>0</v>
      </c>
      <c r="BH93" s="1804">
        <v>0</v>
      </c>
      <c r="BI93" s="1804">
        <v>0</v>
      </c>
      <c r="BJ93" s="1804">
        <v>0</v>
      </c>
      <c r="BK93" s="1804">
        <v>0</v>
      </c>
      <c r="BL93" s="1804">
        <v>0</v>
      </c>
      <c r="BM93" s="1804">
        <v>0</v>
      </c>
      <c r="BN93" s="1804">
        <v>0</v>
      </c>
      <c r="BO93" s="1804">
        <v>0</v>
      </c>
      <c r="BP93" s="1804">
        <v>0</v>
      </c>
      <c r="BQ93" s="1804">
        <v>0</v>
      </c>
      <c r="BR93" s="1804">
        <v>0</v>
      </c>
      <c r="BS93" s="1804">
        <v>0</v>
      </c>
      <c r="BT93" s="1804">
        <v>0</v>
      </c>
      <c r="BU93" s="1804">
        <v>0</v>
      </c>
      <c r="BV93" s="1804">
        <v>0</v>
      </c>
      <c r="BW93" s="1804">
        <v>0</v>
      </c>
      <c r="BX93" s="1804">
        <v>0</v>
      </c>
      <c r="BY93" s="1804">
        <v>0</v>
      </c>
      <c r="BZ93" s="1804">
        <v>0</v>
      </c>
      <c r="CA93" s="1804">
        <v>0</v>
      </c>
      <c r="CB93" s="1804">
        <v>0</v>
      </c>
      <c r="CC93" s="1804">
        <v>0</v>
      </c>
      <c r="CD93" s="1804">
        <v>0</v>
      </c>
      <c r="CE93" s="1804">
        <v>0</v>
      </c>
      <c r="CF93" s="1804">
        <v>0</v>
      </c>
      <c r="CG93" s="1804">
        <v>0</v>
      </c>
      <c r="CH93" s="1804">
        <v>0</v>
      </c>
      <c r="CI93" s="1804">
        <v>0</v>
      </c>
      <c r="CJ93" s="1804">
        <v>0</v>
      </c>
      <c r="CK93" s="1804">
        <v>0</v>
      </c>
      <c r="CL93" s="1804">
        <v>0</v>
      </c>
      <c r="CM93" s="1804">
        <v>0</v>
      </c>
      <c r="CN93" s="1804">
        <v>0</v>
      </c>
      <c r="CO93" s="1804">
        <v>0</v>
      </c>
      <c r="CP93" s="1804">
        <v>0</v>
      </c>
      <c r="CQ93" s="1804">
        <v>0</v>
      </c>
      <c r="CR93" s="1804">
        <v>0</v>
      </c>
      <c r="CS93" s="1804">
        <v>0</v>
      </c>
      <c r="CT93" s="1804">
        <v>0</v>
      </c>
      <c r="CU93" s="1804">
        <v>0</v>
      </c>
      <c r="CV93" s="1804">
        <v>0</v>
      </c>
      <c r="CW93" s="1804">
        <v>0</v>
      </c>
      <c r="CX93" s="1804">
        <v>0</v>
      </c>
      <c r="CY93" s="1804">
        <v>0</v>
      </c>
      <c r="CZ93" s="1804">
        <v>0</v>
      </c>
      <c r="DA93" s="1804">
        <v>0</v>
      </c>
      <c r="DB93" s="1804">
        <v>0</v>
      </c>
      <c r="DC93" s="1804">
        <v>0</v>
      </c>
      <c r="DD93" s="1804">
        <v>0</v>
      </c>
      <c r="DE93" s="1804">
        <v>0</v>
      </c>
      <c r="DF93" s="1804">
        <v>0</v>
      </c>
      <c r="DG93" s="1804">
        <v>0</v>
      </c>
      <c r="DH93" s="1804">
        <v>0</v>
      </c>
      <c r="DI93" s="1804">
        <v>0</v>
      </c>
      <c r="DJ93" s="1804">
        <v>0</v>
      </c>
      <c r="DK93" s="1804">
        <v>0</v>
      </c>
      <c r="DL93" s="1804">
        <v>0</v>
      </c>
      <c r="DM93" s="1804">
        <v>0</v>
      </c>
      <c r="DN93" s="1804">
        <v>0</v>
      </c>
      <c r="DO93" s="1804">
        <v>0</v>
      </c>
      <c r="DP93" s="1804">
        <v>0</v>
      </c>
      <c r="DQ93" s="1804">
        <v>0</v>
      </c>
      <c r="DR93" s="1804">
        <v>0</v>
      </c>
      <c r="DS93" s="1804">
        <v>0</v>
      </c>
      <c r="DT93" s="1804">
        <v>0</v>
      </c>
      <c r="DU93" s="1804">
        <v>0</v>
      </c>
      <c r="DV93" s="1804">
        <v>0</v>
      </c>
      <c r="DW93" s="1804">
        <v>0</v>
      </c>
      <c r="DX93" s="1804">
        <v>0</v>
      </c>
      <c r="DY93" s="1804">
        <v>0</v>
      </c>
      <c r="DZ93" s="1804">
        <v>0</v>
      </c>
      <c r="EA93" s="1804">
        <v>0</v>
      </c>
      <c r="EB93" s="1804">
        <v>0</v>
      </c>
      <c r="EC93" s="1804">
        <v>0</v>
      </c>
      <c r="ED93" s="1804">
        <v>0</v>
      </c>
      <c r="EE93" s="1804">
        <v>0</v>
      </c>
      <c r="EF93" s="1804">
        <v>0</v>
      </c>
      <c r="EG93" s="1804">
        <v>0</v>
      </c>
      <c r="EH93" s="1804">
        <v>0</v>
      </c>
      <c r="EI93" s="1804">
        <v>0</v>
      </c>
      <c r="EJ93" s="1804">
        <v>0</v>
      </c>
      <c r="EK93" s="1804">
        <v>0</v>
      </c>
      <c r="EL93" s="1804">
        <v>0</v>
      </c>
      <c r="EM93" s="1804">
        <v>0</v>
      </c>
      <c r="EN93" s="1804">
        <v>0</v>
      </c>
      <c r="EO93" s="1804">
        <v>0</v>
      </c>
      <c r="EP93" s="1804">
        <v>0</v>
      </c>
      <c r="EQ93" s="1804">
        <v>0</v>
      </c>
      <c r="ER93" s="1804">
        <v>0</v>
      </c>
      <c r="ES93" s="1804">
        <v>0</v>
      </c>
      <c r="ET93" s="1804">
        <v>0</v>
      </c>
      <c r="EU93" s="1804">
        <v>0</v>
      </c>
      <c r="EV93" s="1804">
        <v>0</v>
      </c>
      <c r="EW93" s="1804">
        <v>0</v>
      </c>
      <c r="EX93" s="1804">
        <v>0</v>
      </c>
      <c r="EY93" s="1804">
        <v>0</v>
      </c>
      <c r="EZ93" s="1804">
        <v>0</v>
      </c>
      <c r="FA93" s="1804">
        <v>0</v>
      </c>
      <c r="FB93" s="1804">
        <v>0</v>
      </c>
      <c r="FC93" s="1804">
        <v>0</v>
      </c>
      <c r="FD93" s="1804">
        <v>0</v>
      </c>
      <c r="FE93" s="1804">
        <v>0</v>
      </c>
      <c r="FF93" s="1804">
        <v>0</v>
      </c>
      <c r="FG93" s="1804">
        <v>0</v>
      </c>
      <c r="FH93" s="1804">
        <v>0</v>
      </c>
      <c r="FI93" s="1804">
        <v>0</v>
      </c>
      <c r="FJ93" s="1804">
        <v>0</v>
      </c>
      <c r="FK93" s="1804">
        <v>0</v>
      </c>
      <c r="FL93" s="1804">
        <v>0</v>
      </c>
      <c r="FM93" s="1804">
        <v>0</v>
      </c>
      <c r="FN93" s="1804">
        <v>0</v>
      </c>
      <c r="FO93" s="1804">
        <v>0</v>
      </c>
      <c r="FP93" s="1804">
        <v>0</v>
      </c>
      <c r="FQ93" s="1804">
        <v>0</v>
      </c>
      <c r="FR93" s="1804">
        <v>0</v>
      </c>
      <c r="FS93" s="1804">
        <v>0</v>
      </c>
      <c r="FT93" s="1804">
        <v>0</v>
      </c>
      <c r="FU93" s="1804">
        <v>0</v>
      </c>
      <c r="FV93" s="1804">
        <v>0</v>
      </c>
      <c r="FW93" s="1804">
        <v>0</v>
      </c>
      <c r="FX93" s="1804">
        <v>0</v>
      </c>
      <c r="FY93" s="1804">
        <v>0</v>
      </c>
      <c r="FZ93" s="1804">
        <v>0</v>
      </c>
      <c r="GA93" s="1804">
        <v>0</v>
      </c>
      <c r="GB93" s="1804">
        <v>0</v>
      </c>
      <c r="GC93" s="1804">
        <v>0</v>
      </c>
      <c r="GD93" s="1804">
        <v>0</v>
      </c>
      <c r="GE93" s="1804">
        <v>0</v>
      </c>
      <c r="GF93" s="1804">
        <v>0</v>
      </c>
      <c r="GG93" s="1804">
        <v>0</v>
      </c>
      <c r="GH93" s="1804">
        <v>0</v>
      </c>
      <c r="GI93" s="1804">
        <v>0</v>
      </c>
      <c r="GJ93" s="1804">
        <v>0</v>
      </c>
      <c r="GK93" s="1804">
        <v>0</v>
      </c>
      <c r="GL93" s="1804">
        <v>0</v>
      </c>
      <c r="GM93" s="1804">
        <v>0</v>
      </c>
      <c r="GN93" s="1804">
        <v>0</v>
      </c>
      <c r="GO93" s="1804">
        <v>0</v>
      </c>
      <c r="GP93" s="1804">
        <v>0</v>
      </c>
      <c r="GQ93" s="1804">
        <v>0</v>
      </c>
      <c r="GR93" s="1804">
        <v>0</v>
      </c>
      <c r="GS93" s="1804">
        <v>0</v>
      </c>
      <c r="GT93" s="1804">
        <v>0</v>
      </c>
      <c r="GU93" s="1804">
        <v>0</v>
      </c>
      <c r="GV93" s="1804">
        <v>0</v>
      </c>
      <c r="GW93" s="1804">
        <v>0</v>
      </c>
      <c r="GX93" s="1804">
        <v>0</v>
      </c>
      <c r="GY93" s="1804">
        <v>0</v>
      </c>
      <c r="GZ93" s="1804">
        <v>0</v>
      </c>
      <c r="HA93" s="1804">
        <v>0</v>
      </c>
      <c r="HB93" s="1804">
        <v>0</v>
      </c>
      <c r="HC93" s="1804">
        <v>0</v>
      </c>
      <c r="HD93" s="1804">
        <v>0</v>
      </c>
      <c r="HE93" s="1804">
        <v>0</v>
      </c>
    </row>
    <row r="94" spans="1:213" ht="15" customHeight="1" thickBot="1" x14ac:dyDescent="0.25">
      <c r="A94" s="1993"/>
      <c r="B94" s="1990"/>
      <c r="C94" s="1691" t="s">
        <v>949</v>
      </c>
      <c r="D94" s="1886"/>
      <c r="E94" s="1983"/>
      <c r="F94" s="1838">
        <v>0</v>
      </c>
      <c r="G94" s="1804">
        <v>0</v>
      </c>
      <c r="H94" s="1804">
        <v>0</v>
      </c>
      <c r="I94" s="1804">
        <v>0</v>
      </c>
      <c r="J94" s="1804">
        <v>0</v>
      </c>
      <c r="K94" s="1804">
        <v>0</v>
      </c>
      <c r="L94" s="1804">
        <v>0</v>
      </c>
      <c r="M94" s="1804">
        <v>0</v>
      </c>
      <c r="N94" s="1804">
        <v>0</v>
      </c>
      <c r="O94" s="1804">
        <v>0</v>
      </c>
      <c r="P94" s="1804">
        <v>0</v>
      </c>
      <c r="Q94" s="1804">
        <v>0</v>
      </c>
      <c r="R94" s="1804">
        <v>0</v>
      </c>
      <c r="S94" s="1804">
        <v>0</v>
      </c>
      <c r="T94" s="1804">
        <v>0</v>
      </c>
      <c r="U94" s="1804">
        <v>0</v>
      </c>
      <c r="V94" s="1804">
        <v>0</v>
      </c>
      <c r="W94" s="1804">
        <v>0</v>
      </c>
      <c r="X94" s="1804">
        <v>0</v>
      </c>
      <c r="Y94" s="1804">
        <v>0</v>
      </c>
      <c r="Z94" s="1804">
        <v>0</v>
      </c>
      <c r="AA94" s="1804">
        <v>0</v>
      </c>
      <c r="AB94" s="1804">
        <v>0</v>
      </c>
      <c r="AC94" s="1804">
        <v>0</v>
      </c>
      <c r="AD94" s="1804">
        <v>0</v>
      </c>
      <c r="AE94" s="1804">
        <v>0</v>
      </c>
      <c r="AF94" s="1804">
        <v>0</v>
      </c>
      <c r="AG94" s="1804">
        <v>0</v>
      </c>
      <c r="AH94" s="1804">
        <v>0</v>
      </c>
      <c r="AI94" s="1804">
        <v>0</v>
      </c>
      <c r="AJ94" s="1804">
        <v>0</v>
      </c>
      <c r="AK94" s="1804">
        <v>0</v>
      </c>
      <c r="AL94" s="1804">
        <v>0</v>
      </c>
      <c r="AM94" s="1804">
        <v>0</v>
      </c>
      <c r="AN94" s="1804">
        <v>0</v>
      </c>
      <c r="AO94" s="1804">
        <v>0</v>
      </c>
      <c r="AP94" s="1804">
        <v>0</v>
      </c>
      <c r="AQ94" s="1804">
        <v>0</v>
      </c>
      <c r="AR94" s="1804">
        <v>0</v>
      </c>
      <c r="AS94" s="1804">
        <v>0</v>
      </c>
      <c r="AT94" s="1804">
        <v>0</v>
      </c>
      <c r="AU94" s="1804">
        <v>0</v>
      </c>
      <c r="AV94" s="1804">
        <v>0</v>
      </c>
      <c r="AW94" s="1804">
        <v>0</v>
      </c>
      <c r="AX94" s="1804">
        <v>0</v>
      </c>
      <c r="AY94" s="1804">
        <v>0</v>
      </c>
      <c r="AZ94" s="1804">
        <v>0</v>
      </c>
      <c r="BA94" s="1804">
        <v>0</v>
      </c>
      <c r="BB94" s="1804">
        <v>0</v>
      </c>
      <c r="BC94" s="1804">
        <v>0</v>
      </c>
      <c r="BD94" s="1804">
        <v>0</v>
      </c>
      <c r="BE94" s="1804">
        <v>0</v>
      </c>
      <c r="BF94" s="1804">
        <v>0</v>
      </c>
      <c r="BG94" s="1804">
        <v>0</v>
      </c>
      <c r="BH94" s="1804">
        <v>0</v>
      </c>
      <c r="BI94" s="1804">
        <v>0</v>
      </c>
      <c r="BJ94" s="1804">
        <v>0</v>
      </c>
      <c r="BK94" s="1804">
        <v>0</v>
      </c>
      <c r="BL94" s="1804">
        <v>0</v>
      </c>
      <c r="BM94" s="1804">
        <v>0</v>
      </c>
      <c r="BN94" s="1804">
        <v>0</v>
      </c>
      <c r="BO94" s="1804">
        <v>0</v>
      </c>
      <c r="BP94" s="1804">
        <v>0</v>
      </c>
      <c r="BQ94" s="1804">
        <v>0</v>
      </c>
      <c r="BR94" s="1804">
        <v>0</v>
      </c>
      <c r="BS94" s="1804">
        <v>0</v>
      </c>
      <c r="BT94" s="1804">
        <v>0</v>
      </c>
      <c r="BU94" s="1804">
        <v>0</v>
      </c>
      <c r="BV94" s="1804">
        <v>0</v>
      </c>
      <c r="BW94" s="1804">
        <v>0</v>
      </c>
      <c r="BX94" s="1804">
        <v>0</v>
      </c>
      <c r="BY94" s="1804">
        <v>0</v>
      </c>
      <c r="BZ94" s="1804">
        <v>0</v>
      </c>
      <c r="CA94" s="1804">
        <v>0</v>
      </c>
      <c r="CB94" s="1804">
        <v>0</v>
      </c>
      <c r="CC94" s="1804">
        <v>0</v>
      </c>
      <c r="CD94" s="1804">
        <v>0</v>
      </c>
      <c r="CE94" s="1804">
        <v>0</v>
      </c>
      <c r="CF94" s="1804">
        <v>0</v>
      </c>
      <c r="CG94" s="1804">
        <v>0</v>
      </c>
      <c r="CH94" s="1804">
        <v>0</v>
      </c>
      <c r="CI94" s="1804">
        <v>0</v>
      </c>
      <c r="CJ94" s="1804">
        <v>0</v>
      </c>
      <c r="CK94" s="1804">
        <v>0</v>
      </c>
      <c r="CL94" s="1804">
        <v>0</v>
      </c>
      <c r="CM94" s="1804">
        <v>0</v>
      </c>
      <c r="CN94" s="1804">
        <v>0</v>
      </c>
      <c r="CO94" s="1804">
        <v>0</v>
      </c>
      <c r="CP94" s="1804">
        <v>0</v>
      </c>
      <c r="CQ94" s="1804">
        <v>0</v>
      </c>
      <c r="CR94" s="1804">
        <v>0</v>
      </c>
      <c r="CS94" s="1804">
        <v>0</v>
      </c>
      <c r="CT94" s="1804">
        <v>0</v>
      </c>
      <c r="CU94" s="1804">
        <v>0</v>
      </c>
      <c r="CV94" s="1804">
        <v>0</v>
      </c>
      <c r="CW94" s="1804">
        <v>0</v>
      </c>
      <c r="CX94" s="1804">
        <v>0</v>
      </c>
      <c r="CY94" s="1804">
        <v>0</v>
      </c>
      <c r="CZ94" s="1804">
        <v>0</v>
      </c>
      <c r="DA94" s="1804">
        <v>0</v>
      </c>
      <c r="DB94" s="1804">
        <v>0</v>
      </c>
      <c r="DC94" s="1804">
        <v>0</v>
      </c>
      <c r="DD94" s="1804">
        <v>0</v>
      </c>
      <c r="DE94" s="1804">
        <v>0</v>
      </c>
      <c r="DF94" s="1804">
        <v>0</v>
      </c>
      <c r="DG94" s="1804">
        <v>0</v>
      </c>
      <c r="DH94" s="1804">
        <v>0</v>
      </c>
      <c r="DI94" s="1804">
        <v>0</v>
      </c>
      <c r="DJ94" s="1804">
        <v>0</v>
      </c>
      <c r="DK94" s="1804">
        <v>0</v>
      </c>
      <c r="DL94" s="1804">
        <v>0</v>
      </c>
      <c r="DM94" s="1804">
        <v>0</v>
      </c>
      <c r="DN94" s="1804">
        <v>0</v>
      </c>
      <c r="DO94" s="1804">
        <v>0</v>
      </c>
      <c r="DP94" s="1804">
        <v>0</v>
      </c>
      <c r="DQ94" s="1804">
        <v>0</v>
      </c>
      <c r="DR94" s="1804">
        <v>0</v>
      </c>
      <c r="DS94" s="1804">
        <v>0</v>
      </c>
      <c r="DT94" s="1804">
        <v>0</v>
      </c>
      <c r="DU94" s="1804">
        <v>0</v>
      </c>
      <c r="DV94" s="1804">
        <v>0</v>
      </c>
      <c r="DW94" s="1804">
        <v>0</v>
      </c>
      <c r="DX94" s="1804">
        <v>0</v>
      </c>
      <c r="DY94" s="1804">
        <v>0</v>
      </c>
      <c r="DZ94" s="1804">
        <v>0</v>
      </c>
      <c r="EA94" s="1804">
        <v>0</v>
      </c>
      <c r="EB94" s="1804">
        <v>0</v>
      </c>
      <c r="EC94" s="1804">
        <v>0</v>
      </c>
      <c r="ED94" s="1804">
        <v>0</v>
      </c>
      <c r="EE94" s="1804">
        <v>0</v>
      </c>
      <c r="EF94" s="1804">
        <v>0</v>
      </c>
      <c r="EG94" s="1804">
        <v>0</v>
      </c>
      <c r="EH94" s="1804">
        <v>0</v>
      </c>
      <c r="EI94" s="1804">
        <v>0</v>
      </c>
      <c r="EJ94" s="1804">
        <v>0</v>
      </c>
      <c r="EK94" s="1804">
        <v>0</v>
      </c>
      <c r="EL94" s="1804">
        <v>0</v>
      </c>
      <c r="EM94" s="1804">
        <v>0</v>
      </c>
      <c r="EN94" s="1804">
        <v>0</v>
      </c>
      <c r="EO94" s="1804">
        <v>0</v>
      </c>
      <c r="EP94" s="1804">
        <v>0</v>
      </c>
      <c r="EQ94" s="1804">
        <v>0</v>
      </c>
      <c r="ER94" s="1804">
        <v>0</v>
      </c>
      <c r="ES94" s="1804">
        <v>0</v>
      </c>
      <c r="ET94" s="1804">
        <v>0</v>
      </c>
      <c r="EU94" s="1804">
        <v>0</v>
      </c>
      <c r="EV94" s="1804">
        <v>0</v>
      </c>
      <c r="EW94" s="1804">
        <v>0</v>
      </c>
      <c r="EX94" s="1804">
        <v>0</v>
      </c>
      <c r="EY94" s="1804">
        <v>0</v>
      </c>
      <c r="EZ94" s="1804">
        <v>0</v>
      </c>
      <c r="FA94" s="1804">
        <v>0</v>
      </c>
      <c r="FB94" s="1804">
        <v>0</v>
      </c>
      <c r="FC94" s="1804">
        <v>0</v>
      </c>
      <c r="FD94" s="1804">
        <v>0</v>
      </c>
      <c r="FE94" s="1804">
        <v>0</v>
      </c>
      <c r="FF94" s="1804">
        <v>0</v>
      </c>
      <c r="FG94" s="1804">
        <v>0</v>
      </c>
      <c r="FH94" s="1804">
        <v>0</v>
      </c>
      <c r="FI94" s="1804">
        <v>0</v>
      </c>
      <c r="FJ94" s="1804">
        <v>0</v>
      </c>
      <c r="FK94" s="1804">
        <v>0</v>
      </c>
      <c r="FL94" s="1804">
        <v>0</v>
      </c>
      <c r="FM94" s="1804">
        <v>0</v>
      </c>
      <c r="FN94" s="1804">
        <v>0</v>
      </c>
      <c r="FO94" s="1804">
        <v>0</v>
      </c>
      <c r="FP94" s="1804">
        <v>0</v>
      </c>
      <c r="FQ94" s="1804">
        <v>0</v>
      </c>
      <c r="FR94" s="1804">
        <v>0</v>
      </c>
      <c r="FS94" s="1804">
        <v>0</v>
      </c>
      <c r="FT94" s="1804">
        <v>0</v>
      </c>
      <c r="FU94" s="1804">
        <v>0</v>
      </c>
      <c r="FV94" s="1804">
        <v>0</v>
      </c>
      <c r="FW94" s="1804">
        <v>0</v>
      </c>
      <c r="FX94" s="1804">
        <v>0</v>
      </c>
      <c r="FY94" s="1804">
        <v>0</v>
      </c>
      <c r="FZ94" s="1804">
        <v>0</v>
      </c>
      <c r="GA94" s="1804">
        <v>0</v>
      </c>
      <c r="GB94" s="1804">
        <v>0</v>
      </c>
      <c r="GC94" s="1804">
        <v>0</v>
      </c>
      <c r="GD94" s="1804">
        <v>0</v>
      </c>
      <c r="GE94" s="1804">
        <v>0</v>
      </c>
      <c r="GF94" s="1804">
        <v>0</v>
      </c>
      <c r="GG94" s="1804">
        <v>0</v>
      </c>
      <c r="GH94" s="1804">
        <v>0</v>
      </c>
      <c r="GI94" s="1804">
        <v>0</v>
      </c>
      <c r="GJ94" s="1804">
        <v>0</v>
      </c>
      <c r="GK94" s="1804">
        <v>0</v>
      </c>
      <c r="GL94" s="1804">
        <v>0</v>
      </c>
      <c r="GM94" s="1804">
        <v>0</v>
      </c>
      <c r="GN94" s="1804">
        <v>0</v>
      </c>
      <c r="GO94" s="1804">
        <v>0</v>
      </c>
      <c r="GP94" s="1804">
        <v>0</v>
      </c>
      <c r="GQ94" s="1804">
        <v>0</v>
      </c>
      <c r="GR94" s="1804">
        <v>0</v>
      </c>
      <c r="GS94" s="1804">
        <v>0</v>
      </c>
      <c r="GT94" s="1804">
        <v>0</v>
      </c>
      <c r="GU94" s="1804">
        <v>0</v>
      </c>
      <c r="GV94" s="1804">
        <v>0</v>
      </c>
      <c r="GW94" s="1804">
        <v>0</v>
      </c>
      <c r="GX94" s="1804">
        <v>0</v>
      </c>
      <c r="GY94" s="1804">
        <v>0</v>
      </c>
      <c r="GZ94" s="1804">
        <v>0</v>
      </c>
      <c r="HA94" s="1804">
        <v>0</v>
      </c>
      <c r="HB94" s="1804">
        <v>0</v>
      </c>
      <c r="HC94" s="1804">
        <v>0</v>
      </c>
      <c r="HD94" s="1804">
        <v>0</v>
      </c>
      <c r="HE94" s="1804">
        <v>0</v>
      </c>
    </row>
    <row r="95" spans="1:213" ht="21" customHeight="1" thickBot="1" x14ac:dyDescent="0.25">
      <c r="A95" s="1968" t="s">
        <v>2341</v>
      </c>
      <c r="B95" s="1988" t="s">
        <v>1927</v>
      </c>
      <c r="C95" s="1699" t="s">
        <v>1926</v>
      </c>
      <c r="D95" s="1880"/>
      <c r="E95" s="1984"/>
      <c r="F95" s="1865"/>
      <c r="G95" s="1866"/>
      <c r="H95" s="1866"/>
      <c r="I95" s="1866"/>
      <c r="J95" s="1866"/>
      <c r="K95" s="1866"/>
      <c r="L95" s="1866"/>
      <c r="M95" s="1866"/>
      <c r="N95" s="1866"/>
      <c r="O95" s="1866"/>
      <c r="P95" s="1866"/>
      <c r="Q95" s="1866"/>
      <c r="R95" s="1866"/>
      <c r="S95" s="1866"/>
      <c r="T95" s="1866"/>
      <c r="U95" s="1866"/>
      <c r="V95" s="1866"/>
      <c r="W95" s="1866"/>
      <c r="X95" s="1866"/>
      <c r="Y95" s="1866"/>
      <c r="Z95" s="1866"/>
      <c r="AA95" s="1866"/>
      <c r="AB95" s="1866"/>
      <c r="AC95" s="1866"/>
      <c r="AD95" s="1866"/>
      <c r="AE95" s="1866"/>
      <c r="AF95" s="1866"/>
      <c r="AG95" s="1866"/>
      <c r="AH95" s="1866"/>
      <c r="AI95" s="1866"/>
      <c r="AJ95" s="1866"/>
      <c r="AK95" s="1866"/>
      <c r="AL95" s="1866"/>
      <c r="AM95" s="1866"/>
      <c r="AN95" s="1866"/>
      <c r="AO95" s="1866"/>
      <c r="AP95" s="1866"/>
      <c r="AQ95" s="1866"/>
      <c r="AR95" s="1866"/>
      <c r="AS95" s="1866"/>
      <c r="AT95" s="1866"/>
      <c r="AU95" s="1866"/>
      <c r="AV95" s="1866"/>
      <c r="AW95" s="1866"/>
      <c r="AX95" s="1866"/>
      <c r="AY95" s="1866"/>
      <c r="AZ95" s="1866"/>
      <c r="BA95" s="1866"/>
      <c r="BB95" s="1866"/>
      <c r="BC95" s="1866"/>
      <c r="BD95" s="1866"/>
      <c r="BE95" s="1866"/>
      <c r="BF95" s="1866"/>
      <c r="BG95" s="1866"/>
      <c r="BH95" s="1866"/>
      <c r="BI95" s="1866"/>
      <c r="BJ95" s="1866"/>
      <c r="BK95" s="1866"/>
      <c r="BL95" s="1866"/>
      <c r="BM95" s="1866"/>
      <c r="BN95" s="1866"/>
      <c r="BO95" s="1866"/>
      <c r="BP95" s="1866"/>
      <c r="BQ95" s="1866"/>
      <c r="BR95" s="1866"/>
      <c r="BS95" s="1866"/>
      <c r="BT95" s="1866"/>
      <c r="BU95" s="1866"/>
      <c r="BV95" s="1866"/>
      <c r="BW95" s="1866"/>
      <c r="BX95" s="1866"/>
      <c r="BY95" s="1866"/>
      <c r="BZ95" s="1866"/>
      <c r="CA95" s="1866"/>
      <c r="CB95" s="1866"/>
      <c r="CC95" s="1866"/>
      <c r="CD95" s="1866"/>
      <c r="CE95" s="1866"/>
      <c r="CF95" s="1866"/>
      <c r="CG95" s="1866"/>
      <c r="CH95" s="1866"/>
      <c r="CI95" s="1866"/>
      <c r="CJ95" s="1866"/>
      <c r="CK95" s="1866"/>
      <c r="CL95" s="1866"/>
      <c r="CM95" s="1866"/>
      <c r="CN95" s="1866"/>
      <c r="CO95" s="1866"/>
      <c r="CP95" s="1866"/>
      <c r="CQ95" s="1866"/>
      <c r="CR95" s="1866"/>
      <c r="CS95" s="1866"/>
      <c r="CT95" s="1866"/>
      <c r="CU95" s="1866"/>
      <c r="CV95" s="1866"/>
      <c r="CW95" s="1866"/>
      <c r="CX95" s="1866"/>
      <c r="CY95" s="1866"/>
      <c r="CZ95" s="1866"/>
      <c r="DA95" s="1866"/>
      <c r="DB95" s="1866"/>
      <c r="DC95" s="1866"/>
      <c r="DD95" s="1866"/>
      <c r="DE95" s="1866"/>
      <c r="DF95" s="1866"/>
      <c r="DG95" s="1866"/>
      <c r="DH95" s="1866"/>
      <c r="DI95" s="1866"/>
      <c r="DJ95" s="1866"/>
      <c r="DK95" s="1866"/>
      <c r="DL95" s="1866"/>
      <c r="DM95" s="1866"/>
      <c r="DN95" s="1866"/>
      <c r="DO95" s="1866"/>
      <c r="DP95" s="1866"/>
      <c r="DQ95" s="1866"/>
      <c r="DR95" s="1866"/>
      <c r="DS95" s="1866"/>
      <c r="DT95" s="1866"/>
      <c r="DU95" s="1866"/>
      <c r="DV95" s="1866"/>
      <c r="DW95" s="1866"/>
      <c r="DX95" s="1866"/>
      <c r="DY95" s="1866"/>
      <c r="DZ95" s="1866"/>
      <c r="EA95" s="1866"/>
      <c r="EB95" s="1866"/>
      <c r="EC95" s="1866"/>
      <c r="ED95" s="1866"/>
      <c r="EE95" s="1866"/>
      <c r="EF95" s="1866"/>
      <c r="EG95" s="1866"/>
      <c r="EH95" s="1866"/>
      <c r="EI95" s="1866"/>
      <c r="EJ95" s="1866"/>
      <c r="EK95" s="1866"/>
      <c r="EL95" s="1866"/>
      <c r="EM95" s="1866"/>
      <c r="EN95" s="1866"/>
      <c r="EO95" s="1866"/>
      <c r="EP95" s="1866"/>
      <c r="EQ95" s="1866"/>
      <c r="ER95" s="1866"/>
      <c r="ES95" s="1866"/>
      <c r="ET95" s="1866"/>
      <c r="EU95" s="1866"/>
      <c r="EV95" s="1866"/>
      <c r="EW95" s="1866"/>
      <c r="EX95" s="1866"/>
      <c r="EY95" s="1866"/>
      <c r="EZ95" s="1866"/>
      <c r="FA95" s="1866"/>
      <c r="FB95" s="1866"/>
      <c r="FC95" s="1866"/>
      <c r="FD95" s="1866"/>
      <c r="FE95" s="1866"/>
      <c r="FF95" s="1866"/>
      <c r="FG95" s="1866"/>
      <c r="FH95" s="1866"/>
      <c r="FI95" s="1866"/>
      <c r="FJ95" s="1866"/>
      <c r="FK95" s="1866"/>
      <c r="FL95" s="1866"/>
      <c r="FM95" s="1866"/>
      <c r="FN95" s="1866"/>
      <c r="FO95" s="1866"/>
      <c r="FP95" s="1866"/>
      <c r="FQ95" s="1866"/>
      <c r="FR95" s="1866"/>
      <c r="FS95" s="1866"/>
      <c r="FT95" s="1866"/>
      <c r="FU95" s="1866"/>
      <c r="FV95" s="1866"/>
      <c r="FW95" s="1866"/>
      <c r="FX95" s="1866"/>
      <c r="FY95" s="1866"/>
      <c r="FZ95" s="1866"/>
      <c r="GA95" s="1866"/>
      <c r="GB95" s="1866"/>
      <c r="GC95" s="1866"/>
      <c r="GD95" s="1866"/>
      <c r="GE95" s="1866"/>
      <c r="GF95" s="1866"/>
      <c r="GG95" s="1866"/>
      <c r="GH95" s="1866"/>
      <c r="GI95" s="1866"/>
      <c r="GJ95" s="1866"/>
      <c r="GK95" s="1866"/>
      <c r="GL95" s="1866"/>
      <c r="GM95" s="1866"/>
      <c r="GN95" s="1866"/>
      <c r="GO95" s="1866"/>
      <c r="GP95" s="1866"/>
      <c r="GQ95" s="1866"/>
      <c r="GR95" s="1866"/>
      <c r="GS95" s="1866"/>
      <c r="GT95" s="1866"/>
      <c r="GU95" s="1866"/>
      <c r="GV95" s="1866"/>
      <c r="GW95" s="1866"/>
      <c r="GX95" s="1866"/>
      <c r="GY95" s="1866"/>
      <c r="GZ95" s="1866"/>
      <c r="HA95" s="1866"/>
      <c r="HB95" s="1866"/>
      <c r="HC95" s="1866"/>
      <c r="HD95" s="1866"/>
      <c r="HE95" s="1866"/>
    </row>
    <row r="96" spans="1:213" ht="15" customHeight="1" x14ac:dyDescent="0.2">
      <c r="A96" s="1966"/>
      <c r="B96" s="1989"/>
      <c r="C96" s="1696" t="s">
        <v>1928</v>
      </c>
      <c r="D96" s="1886"/>
      <c r="E96" s="1984"/>
      <c r="F96" s="1838">
        <v>0</v>
      </c>
      <c r="G96" s="1804">
        <v>0</v>
      </c>
      <c r="H96" s="1804">
        <v>0</v>
      </c>
      <c r="I96" s="1804">
        <v>0</v>
      </c>
      <c r="J96" s="1804">
        <v>0</v>
      </c>
      <c r="K96" s="1804">
        <v>0</v>
      </c>
      <c r="L96" s="1804">
        <v>0</v>
      </c>
      <c r="M96" s="1804">
        <v>0</v>
      </c>
      <c r="N96" s="1804">
        <v>0</v>
      </c>
      <c r="O96" s="1804">
        <v>0</v>
      </c>
      <c r="P96" s="1804">
        <v>0</v>
      </c>
      <c r="Q96" s="1804">
        <v>0</v>
      </c>
      <c r="R96" s="1804">
        <v>0</v>
      </c>
      <c r="S96" s="1804">
        <v>0</v>
      </c>
      <c r="T96" s="1804">
        <v>0</v>
      </c>
      <c r="U96" s="1804">
        <v>0</v>
      </c>
      <c r="V96" s="1804">
        <v>0</v>
      </c>
      <c r="W96" s="1804">
        <v>0</v>
      </c>
      <c r="X96" s="1804">
        <v>0</v>
      </c>
      <c r="Y96" s="1804">
        <v>0</v>
      </c>
      <c r="Z96" s="1804">
        <v>0</v>
      </c>
      <c r="AA96" s="1804">
        <v>0</v>
      </c>
      <c r="AB96" s="1804">
        <v>0</v>
      </c>
      <c r="AC96" s="1804">
        <v>0</v>
      </c>
      <c r="AD96" s="1804">
        <v>0</v>
      </c>
      <c r="AE96" s="1804">
        <v>0</v>
      </c>
      <c r="AF96" s="1804">
        <v>0</v>
      </c>
      <c r="AG96" s="1804">
        <v>0</v>
      </c>
      <c r="AH96" s="1804">
        <v>0</v>
      </c>
      <c r="AI96" s="1804">
        <v>0</v>
      </c>
      <c r="AJ96" s="1804">
        <v>0</v>
      </c>
      <c r="AK96" s="1804">
        <v>0</v>
      </c>
      <c r="AL96" s="1804">
        <v>0</v>
      </c>
      <c r="AM96" s="1804">
        <v>0</v>
      </c>
      <c r="AN96" s="1804">
        <v>0</v>
      </c>
      <c r="AO96" s="1804">
        <v>0</v>
      </c>
      <c r="AP96" s="1804">
        <v>0</v>
      </c>
      <c r="AQ96" s="1804">
        <v>0</v>
      </c>
      <c r="AR96" s="1804">
        <v>0</v>
      </c>
      <c r="AS96" s="1804">
        <v>0</v>
      </c>
      <c r="AT96" s="1804">
        <v>0</v>
      </c>
      <c r="AU96" s="1804">
        <v>0</v>
      </c>
      <c r="AV96" s="1804">
        <v>0</v>
      </c>
      <c r="AW96" s="1804">
        <v>0</v>
      </c>
      <c r="AX96" s="1804">
        <v>0</v>
      </c>
      <c r="AY96" s="1804">
        <v>0</v>
      </c>
      <c r="AZ96" s="1804">
        <v>0</v>
      </c>
      <c r="BA96" s="1804">
        <v>0</v>
      </c>
      <c r="BB96" s="1804">
        <v>0</v>
      </c>
      <c r="BC96" s="1804">
        <v>0</v>
      </c>
      <c r="BD96" s="1804">
        <v>0</v>
      </c>
      <c r="BE96" s="1804">
        <v>0</v>
      </c>
      <c r="BF96" s="1804">
        <v>0</v>
      </c>
      <c r="BG96" s="1804">
        <v>0</v>
      </c>
      <c r="BH96" s="1804">
        <v>0</v>
      </c>
      <c r="BI96" s="1804">
        <v>0</v>
      </c>
      <c r="BJ96" s="1804">
        <v>0</v>
      </c>
      <c r="BK96" s="1804">
        <v>0</v>
      </c>
      <c r="BL96" s="1804">
        <v>0</v>
      </c>
      <c r="BM96" s="1804">
        <v>0</v>
      </c>
      <c r="BN96" s="1804">
        <v>0</v>
      </c>
      <c r="BO96" s="1804">
        <v>0</v>
      </c>
      <c r="BP96" s="1804">
        <v>0</v>
      </c>
      <c r="BQ96" s="1804">
        <v>0</v>
      </c>
      <c r="BR96" s="1804">
        <v>0</v>
      </c>
      <c r="BS96" s="1804">
        <v>0</v>
      </c>
      <c r="BT96" s="1804">
        <v>0</v>
      </c>
      <c r="BU96" s="1804">
        <v>0</v>
      </c>
      <c r="BV96" s="1804">
        <v>0</v>
      </c>
      <c r="BW96" s="1804">
        <v>0</v>
      </c>
      <c r="BX96" s="1804">
        <v>0</v>
      </c>
      <c r="BY96" s="1804">
        <v>0</v>
      </c>
      <c r="BZ96" s="1804">
        <v>0</v>
      </c>
      <c r="CA96" s="1804">
        <v>0</v>
      </c>
      <c r="CB96" s="1804">
        <v>0</v>
      </c>
      <c r="CC96" s="1804">
        <v>0</v>
      </c>
      <c r="CD96" s="1804">
        <v>0</v>
      </c>
      <c r="CE96" s="1804">
        <v>0</v>
      </c>
      <c r="CF96" s="1804">
        <v>0</v>
      </c>
      <c r="CG96" s="1804">
        <v>0</v>
      </c>
      <c r="CH96" s="1804">
        <v>0</v>
      </c>
      <c r="CI96" s="1804">
        <v>0</v>
      </c>
      <c r="CJ96" s="1804">
        <v>0</v>
      </c>
      <c r="CK96" s="1804">
        <v>0</v>
      </c>
      <c r="CL96" s="1804">
        <v>0</v>
      </c>
      <c r="CM96" s="1804">
        <v>0</v>
      </c>
      <c r="CN96" s="1804">
        <v>0</v>
      </c>
      <c r="CO96" s="1804">
        <v>0</v>
      </c>
      <c r="CP96" s="1804">
        <v>0</v>
      </c>
      <c r="CQ96" s="1804">
        <v>0</v>
      </c>
      <c r="CR96" s="1804">
        <v>0</v>
      </c>
      <c r="CS96" s="1804">
        <v>0</v>
      </c>
      <c r="CT96" s="1804">
        <v>0</v>
      </c>
      <c r="CU96" s="1804">
        <v>0</v>
      </c>
      <c r="CV96" s="1804">
        <v>0</v>
      </c>
      <c r="CW96" s="1804">
        <v>0</v>
      </c>
      <c r="CX96" s="1804">
        <v>0</v>
      </c>
      <c r="CY96" s="1804">
        <v>0</v>
      </c>
      <c r="CZ96" s="1804">
        <v>0</v>
      </c>
      <c r="DA96" s="1804">
        <v>0</v>
      </c>
      <c r="DB96" s="1804">
        <v>0</v>
      </c>
      <c r="DC96" s="1804">
        <v>0</v>
      </c>
      <c r="DD96" s="1804">
        <v>0</v>
      </c>
      <c r="DE96" s="1804">
        <v>0</v>
      </c>
      <c r="DF96" s="1804">
        <v>0</v>
      </c>
      <c r="DG96" s="1804">
        <v>0</v>
      </c>
      <c r="DH96" s="1804">
        <v>0</v>
      </c>
      <c r="DI96" s="1804">
        <v>0</v>
      </c>
      <c r="DJ96" s="1804">
        <v>0</v>
      </c>
      <c r="DK96" s="1804">
        <v>0</v>
      </c>
      <c r="DL96" s="1804">
        <v>0</v>
      </c>
      <c r="DM96" s="1804">
        <v>0</v>
      </c>
      <c r="DN96" s="1804">
        <v>0</v>
      </c>
      <c r="DO96" s="1804">
        <v>0</v>
      </c>
      <c r="DP96" s="1804">
        <v>0</v>
      </c>
      <c r="DQ96" s="1804">
        <v>0</v>
      </c>
      <c r="DR96" s="1804">
        <v>0</v>
      </c>
      <c r="DS96" s="1804">
        <v>0</v>
      </c>
      <c r="DT96" s="1804">
        <v>0</v>
      </c>
      <c r="DU96" s="1804">
        <v>0</v>
      </c>
      <c r="DV96" s="1804">
        <v>0</v>
      </c>
      <c r="DW96" s="1804">
        <v>0</v>
      </c>
      <c r="DX96" s="1804">
        <v>0</v>
      </c>
      <c r="DY96" s="1804">
        <v>0</v>
      </c>
      <c r="DZ96" s="1804">
        <v>0</v>
      </c>
      <c r="EA96" s="1804">
        <v>0</v>
      </c>
      <c r="EB96" s="1804">
        <v>0</v>
      </c>
      <c r="EC96" s="1804">
        <v>0</v>
      </c>
      <c r="ED96" s="1804">
        <v>0</v>
      </c>
      <c r="EE96" s="1804">
        <v>0</v>
      </c>
      <c r="EF96" s="1804">
        <v>0</v>
      </c>
      <c r="EG96" s="1804">
        <v>0</v>
      </c>
      <c r="EH96" s="1804">
        <v>0</v>
      </c>
      <c r="EI96" s="1804">
        <v>0</v>
      </c>
      <c r="EJ96" s="1804">
        <v>0</v>
      </c>
      <c r="EK96" s="1804">
        <v>0</v>
      </c>
      <c r="EL96" s="1804">
        <v>0</v>
      </c>
      <c r="EM96" s="1804">
        <v>0</v>
      </c>
      <c r="EN96" s="1804">
        <v>0</v>
      </c>
      <c r="EO96" s="1804">
        <v>0</v>
      </c>
      <c r="EP96" s="1804">
        <v>0</v>
      </c>
      <c r="EQ96" s="1804">
        <v>0</v>
      </c>
      <c r="ER96" s="1804">
        <v>0</v>
      </c>
      <c r="ES96" s="1804">
        <v>0</v>
      </c>
      <c r="ET96" s="1804">
        <v>0</v>
      </c>
      <c r="EU96" s="1804">
        <v>0</v>
      </c>
      <c r="EV96" s="1804">
        <v>0</v>
      </c>
      <c r="EW96" s="1804">
        <v>0</v>
      </c>
      <c r="EX96" s="1804">
        <v>0</v>
      </c>
      <c r="EY96" s="1804">
        <v>0</v>
      </c>
      <c r="EZ96" s="1804">
        <v>0</v>
      </c>
      <c r="FA96" s="1804">
        <v>0</v>
      </c>
      <c r="FB96" s="1804">
        <v>0</v>
      </c>
      <c r="FC96" s="1804">
        <v>0</v>
      </c>
      <c r="FD96" s="1804">
        <v>0</v>
      </c>
      <c r="FE96" s="1804">
        <v>0</v>
      </c>
      <c r="FF96" s="1804">
        <v>0</v>
      </c>
      <c r="FG96" s="1804">
        <v>0</v>
      </c>
      <c r="FH96" s="1804">
        <v>0</v>
      </c>
      <c r="FI96" s="1804">
        <v>0</v>
      </c>
      <c r="FJ96" s="1804">
        <v>0</v>
      </c>
      <c r="FK96" s="1804">
        <v>0</v>
      </c>
      <c r="FL96" s="1804">
        <v>0</v>
      </c>
      <c r="FM96" s="1804">
        <v>0</v>
      </c>
      <c r="FN96" s="1804">
        <v>0</v>
      </c>
      <c r="FO96" s="1804">
        <v>0</v>
      </c>
      <c r="FP96" s="1804">
        <v>0</v>
      </c>
      <c r="FQ96" s="1804">
        <v>0</v>
      </c>
      <c r="FR96" s="1804">
        <v>0</v>
      </c>
      <c r="FS96" s="1804">
        <v>0</v>
      </c>
      <c r="FT96" s="1804">
        <v>0</v>
      </c>
      <c r="FU96" s="1804">
        <v>0</v>
      </c>
      <c r="FV96" s="1804">
        <v>0</v>
      </c>
      <c r="FW96" s="1804">
        <v>0</v>
      </c>
      <c r="FX96" s="1804">
        <v>0</v>
      </c>
      <c r="FY96" s="1804">
        <v>0</v>
      </c>
      <c r="FZ96" s="1804">
        <v>0</v>
      </c>
      <c r="GA96" s="1804">
        <v>0</v>
      </c>
      <c r="GB96" s="1804">
        <v>0</v>
      </c>
      <c r="GC96" s="1804">
        <v>0</v>
      </c>
      <c r="GD96" s="1804">
        <v>0</v>
      </c>
      <c r="GE96" s="1804">
        <v>0</v>
      </c>
      <c r="GF96" s="1804">
        <v>0</v>
      </c>
      <c r="GG96" s="1804">
        <v>0</v>
      </c>
      <c r="GH96" s="1804">
        <v>0</v>
      </c>
      <c r="GI96" s="1804">
        <v>0</v>
      </c>
      <c r="GJ96" s="1804">
        <v>0</v>
      </c>
      <c r="GK96" s="1804">
        <v>0</v>
      </c>
      <c r="GL96" s="1804">
        <v>0</v>
      </c>
      <c r="GM96" s="1804">
        <v>0</v>
      </c>
      <c r="GN96" s="1804">
        <v>0</v>
      </c>
      <c r="GO96" s="1804">
        <v>0</v>
      </c>
      <c r="GP96" s="1804">
        <v>0</v>
      </c>
      <c r="GQ96" s="1804">
        <v>0</v>
      </c>
      <c r="GR96" s="1804">
        <v>0</v>
      </c>
      <c r="GS96" s="1804">
        <v>0</v>
      </c>
      <c r="GT96" s="1804">
        <v>0</v>
      </c>
      <c r="GU96" s="1804">
        <v>0</v>
      </c>
      <c r="GV96" s="1804">
        <v>0</v>
      </c>
      <c r="GW96" s="1804">
        <v>0</v>
      </c>
      <c r="GX96" s="1804">
        <v>0</v>
      </c>
      <c r="GY96" s="1804">
        <v>0</v>
      </c>
      <c r="GZ96" s="1804">
        <v>0</v>
      </c>
      <c r="HA96" s="1804">
        <v>0</v>
      </c>
      <c r="HB96" s="1804">
        <v>0</v>
      </c>
      <c r="HC96" s="1804">
        <v>0</v>
      </c>
      <c r="HD96" s="1804">
        <v>0</v>
      </c>
      <c r="HE96" s="1804">
        <v>0</v>
      </c>
    </row>
    <row r="97" spans="1:213" ht="15" customHeight="1" x14ac:dyDescent="0.2">
      <c r="A97" s="1966"/>
      <c r="B97" s="1989"/>
      <c r="C97" s="1818" t="s">
        <v>198</v>
      </c>
      <c r="D97" s="1886"/>
      <c r="E97" s="1984"/>
      <c r="F97" s="1838">
        <v>0</v>
      </c>
      <c r="G97" s="1804">
        <v>0</v>
      </c>
      <c r="H97" s="1804">
        <v>0</v>
      </c>
      <c r="I97" s="1804">
        <v>0</v>
      </c>
      <c r="J97" s="1804">
        <v>0</v>
      </c>
      <c r="K97" s="1804">
        <v>0</v>
      </c>
      <c r="L97" s="1804">
        <v>0</v>
      </c>
      <c r="M97" s="1804">
        <v>0</v>
      </c>
      <c r="N97" s="1804">
        <v>0</v>
      </c>
      <c r="O97" s="1804">
        <v>0</v>
      </c>
      <c r="P97" s="1804">
        <v>0</v>
      </c>
      <c r="Q97" s="1804">
        <v>0</v>
      </c>
      <c r="R97" s="1804">
        <v>0</v>
      </c>
      <c r="S97" s="1804">
        <v>0</v>
      </c>
      <c r="T97" s="1804">
        <v>0</v>
      </c>
      <c r="U97" s="1804">
        <v>0</v>
      </c>
      <c r="V97" s="1804">
        <v>0</v>
      </c>
      <c r="W97" s="1804">
        <v>0</v>
      </c>
      <c r="X97" s="1804">
        <v>0</v>
      </c>
      <c r="Y97" s="1804">
        <v>0</v>
      </c>
      <c r="Z97" s="1804">
        <v>0</v>
      </c>
      <c r="AA97" s="1804">
        <v>0</v>
      </c>
      <c r="AB97" s="1804">
        <v>0</v>
      </c>
      <c r="AC97" s="1804">
        <v>0</v>
      </c>
      <c r="AD97" s="1804">
        <v>0</v>
      </c>
      <c r="AE97" s="1804">
        <v>0</v>
      </c>
      <c r="AF97" s="1804">
        <v>0</v>
      </c>
      <c r="AG97" s="1804">
        <v>0</v>
      </c>
      <c r="AH97" s="1804">
        <v>0</v>
      </c>
      <c r="AI97" s="1804">
        <v>0</v>
      </c>
      <c r="AJ97" s="1804">
        <v>0</v>
      </c>
      <c r="AK97" s="1804">
        <v>0</v>
      </c>
      <c r="AL97" s="1804">
        <v>0</v>
      </c>
      <c r="AM97" s="1804">
        <v>0</v>
      </c>
      <c r="AN97" s="1804">
        <v>0</v>
      </c>
      <c r="AO97" s="1804">
        <v>0</v>
      </c>
      <c r="AP97" s="1804">
        <v>0</v>
      </c>
      <c r="AQ97" s="1804">
        <v>0</v>
      </c>
      <c r="AR97" s="1804">
        <v>0</v>
      </c>
      <c r="AS97" s="1804">
        <v>0</v>
      </c>
      <c r="AT97" s="1804">
        <v>0</v>
      </c>
      <c r="AU97" s="1804">
        <v>0</v>
      </c>
      <c r="AV97" s="1804">
        <v>0</v>
      </c>
      <c r="AW97" s="1804">
        <v>0</v>
      </c>
      <c r="AX97" s="1804">
        <v>0</v>
      </c>
      <c r="AY97" s="1804">
        <v>0</v>
      </c>
      <c r="AZ97" s="1804">
        <v>0</v>
      </c>
      <c r="BA97" s="1804">
        <v>0</v>
      </c>
      <c r="BB97" s="1804">
        <v>0</v>
      </c>
      <c r="BC97" s="1804">
        <v>0</v>
      </c>
      <c r="BD97" s="1804">
        <v>0</v>
      </c>
      <c r="BE97" s="1804">
        <v>0</v>
      </c>
      <c r="BF97" s="1804">
        <v>0</v>
      </c>
      <c r="BG97" s="1804">
        <v>0</v>
      </c>
      <c r="BH97" s="1804">
        <v>0</v>
      </c>
      <c r="BI97" s="1804">
        <v>0</v>
      </c>
      <c r="BJ97" s="1804">
        <v>0</v>
      </c>
      <c r="BK97" s="1804">
        <v>0</v>
      </c>
      <c r="BL97" s="1804">
        <v>0</v>
      </c>
      <c r="BM97" s="1804">
        <v>0</v>
      </c>
      <c r="BN97" s="1804">
        <v>0</v>
      </c>
      <c r="BO97" s="1804">
        <v>0</v>
      </c>
      <c r="BP97" s="1804">
        <v>0</v>
      </c>
      <c r="BQ97" s="1804">
        <v>0</v>
      </c>
      <c r="BR97" s="1804">
        <v>0</v>
      </c>
      <c r="BS97" s="1804">
        <v>0</v>
      </c>
      <c r="BT97" s="1804">
        <v>0</v>
      </c>
      <c r="BU97" s="1804">
        <v>0</v>
      </c>
      <c r="BV97" s="1804">
        <v>0</v>
      </c>
      <c r="BW97" s="1804">
        <v>0</v>
      </c>
      <c r="BX97" s="1804">
        <v>0</v>
      </c>
      <c r="BY97" s="1804">
        <v>0</v>
      </c>
      <c r="BZ97" s="1804">
        <v>0</v>
      </c>
      <c r="CA97" s="1804">
        <v>0</v>
      </c>
      <c r="CB97" s="1804">
        <v>0</v>
      </c>
      <c r="CC97" s="1804">
        <v>0</v>
      </c>
      <c r="CD97" s="1804">
        <v>0</v>
      </c>
      <c r="CE97" s="1804">
        <v>0</v>
      </c>
      <c r="CF97" s="1804">
        <v>0</v>
      </c>
      <c r="CG97" s="1804">
        <v>0</v>
      </c>
      <c r="CH97" s="1804">
        <v>0</v>
      </c>
      <c r="CI97" s="1804">
        <v>0</v>
      </c>
      <c r="CJ97" s="1804">
        <v>0</v>
      </c>
      <c r="CK97" s="1804">
        <v>0</v>
      </c>
      <c r="CL97" s="1804">
        <v>0</v>
      </c>
      <c r="CM97" s="1804">
        <v>0</v>
      </c>
      <c r="CN97" s="1804">
        <v>0</v>
      </c>
      <c r="CO97" s="1804">
        <v>0</v>
      </c>
      <c r="CP97" s="1804">
        <v>0</v>
      </c>
      <c r="CQ97" s="1804">
        <v>0</v>
      </c>
      <c r="CR97" s="1804">
        <v>0</v>
      </c>
      <c r="CS97" s="1804">
        <v>0</v>
      </c>
      <c r="CT97" s="1804">
        <v>0</v>
      </c>
      <c r="CU97" s="1804">
        <v>0</v>
      </c>
      <c r="CV97" s="1804">
        <v>0</v>
      </c>
      <c r="CW97" s="1804">
        <v>0</v>
      </c>
      <c r="CX97" s="1804">
        <v>0</v>
      </c>
      <c r="CY97" s="1804">
        <v>0</v>
      </c>
      <c r="CZ97" s="1804">
        <v>0</v>
      </c>
      <c r="DA97" s="1804">
        <v>0</v>
      </c>
      <c r="DB97" s="1804">
        <v>0</v>
      </c>
      <c r="DC97" s="1804">
        <v>0</v>
      </c>
      <c r="DD97" s="1804">
        <v>0</v>
      </c>
      <c r="DE97" s="1804">
        <v>0</v>
      </c>
      <c r="DF97" s="1804">
        <v>0</v>
      </c>
      <c r="DG97" s="1804">
        <v>0</v>
      </c>
      <c r="DH97" s="1804">
        <v>0</v>
      </c>
      <c r="DI97" s="1804">
        <v>0</v>
      </c>
      <c r="DJ97" s="1804">
        <v>0</v>
      </c>
      <c r="DK97" s="1804">
        <v>0</v>
      </c>
      <c r="DL97" s="1804">
        <v>0</v>
      </c>
      <c r="DM97" s="1804">
        <v>0</v>
      </c>
      <c r="DN97" s="1804">
        <v>0</v>
      </c>
      <c r="DO97" s="1804">
        <v>0</v>
      </c>
      <c r="DP97" s="1804">
        <v>0</v>
      </c>
      <c r="DQ97" s="1804">
        <v>0</v>
      </c>
      <c r="DR97" s="1804">
        <v>0</v>
      </c>
      <c r="DS97" s="1804">
        <v>0</v>
      </c>
      <c r="DT97" s="1804">
        <v>0</v>
      </c>
      <c r="DU97" s="1804">
        <v>0</v>
      </c>
      <c r="DV97" s="1804">
        <v>0</v>
      </c>
      <c r="DW97" s="1804">
        <v>0</v>
      </c>
      <c r="DX97" s="1804">
        <v>0</v>
      </c>
      <c r="DY97" s="1804">
        <v>0</v>
      </c>
      <c r="DZ97" s="1804">
        <v>0</v>
      </c>
      <c r="EA97" s="1804">
        <v>0</v>
      </c>
      <c r="EB97" s="1804">
        <v>0</v>
      </c>
      <c r="EC97" s="1804">
        <v>0</v>
      </c>
      <c r="ED97" s="1804">
        <v>0</v>
      </c>
      <c r="EE97" s="1804">
        <v>0</v>
      </c>
      <c r="EF97" s="1804">
        <v>0</v>
      </c>
      <c r="EG97" s="1804">
        <v>0</v>
      </c>
      <c r="EH97" s="1804">
        <v>0</v>
      </c>
      <c r="EI97" s="1804">
        <v>0</v>
      </c>
      <c r="EJ97" s="1804">
        <v>0</v>
      </c>
      <c r="EK97" s="1804">
        <v>0</v>
      </c>
      <c r="EL97" s="1804">
        <v>0</v>
      </c>
      <c r="EM97" s="1804">
        <v>0</v>
      </c>
      <c r="EN97" s="1804">
        <v>0</v>
      </c>
      <c r="EO97" s="1804">
        <v>0</v>
      </c>
      <c r="EP97" s="1804">
        <v>0</v>
      </c>
      <c r="EQ97" s="1804">
        <v>0</v>
      </c>
      <c r="ER97" s="1804">
        <v>0</v>
      </c>
      <c r="ES97" s="1804">
        <v>0</v>
      </c>
      <c r="ET97" s="1804">
        <v>0</v>
      </c>
      <c r="EU97" s="1804">
        <v>0</v>
      </c>
      <c r="EV97" s="1804">
        <v>0</v>
      </c>
      <c r="EW97" s="1804">
        <v>0</v>
      </c>
      <c r="EX97" s="1804">
        <v>0</v>
      </c>
      <c r="EY97" s="1804">
        <v>0</v>
      </c>
      <c r="EZ97" s="1804">
        <v>0</v>
      </c>
      <c r="FA97" s="1804">
        <v>0</v>
      </c>
      <c r="FB97" s="1804">
        <v>0</v>
      </c>
      <c r="FC97" s="1804">
        <v>0</v>
      </c>
      <c r="FD97" s="1804">
        <v>0</v>
      </c>
      <c r="FE97" s="1804">
        <v>0</v>
      </c>
      <c r="FF97" s="1804">
        <v>0</v>
      </c>
      <c r="FG97" s="1804">
        <v>0</v>
      </c>
      <c r="FH97" s="1804">
        <v>0</v>
      </c>
      <c r="FI97" s="1804">
        <v>0</v>
      </c>
      <c r="FJ97" s="1804">
        <v>0</v>
      </c>
      <c r="FK97" s="1804">
        <v>0</v>
      </c>
      <c r="FL97" s="1804">
        <v>0</v>
      </c>
      <c r="FM97" s="1804">
        <v>0</v>
      </c>
      <c r="FN97" s="1804">
        <v>0</v>
      </c>
      <c r="FO97" s="1804">
        <v>0</v>
      </c>
      <c r="FP97" s="1804">
        <v>0</v>
      </c>
      <c r="FQ97" s="1804">
        <v>0</v>
      </c>
      <c r="FR97" s="1804">
        <v>0</v>
      </c>
      <c r="FS97" s="1804">
        <v>0</v>
      </c>
      <c r="FT97" s="1804">
        <v>0</v>
      </c>
      <c r="FU97" s="1804">
        <v>0</v>
      </c>
      <c r="FV97" s="1804">
        <v>0</v>
      </c>
      <c r="FW97" s="1804">
        <v>0</v>
      </c>
      <c r="FX97" s="1804">
        <v>0</v>
      </c>
      <c r="FY97" s="1804">
        <v>0</v>
      </c>
      <c r="FZ97" s="1804">
        <v>0</v>
      </c>
      <c r="GA97" s="1804">
        <v>0</v>
      </c>
      <c r="GB97" s="1804">
        <v>0</v>
      </c>
      <c r="GC97" s="1804">
        <v>0</v>
      </c>
      <c r="GD97" s="1804">
        <v>0</v>
      </c>
      <c r="GE97" s="1804">
        <v>0</v>
      </c>
      <c r="GF97" s="1804">
        <v>0</v>
      </c>
      <c r="GG97" s="1804">
        <v>0</v>
      </c>
      <c r="GH97" s="1804">
        <v>0</v>
      </c>
      <c r="GI97" s="1804">
        <v>0</v>
      </c>
      <c r="GJ97" s="1804">
        <v>0</v>
      </c>
      <c r="GK97" s="1804">
        <v>0</v>
      </c>
      <c r="GL97" s="1804">
        <v>0</v>
      </c>
      <c r="GM97" s="1804">
        <v>0</v>
      </c>
      <c r="GN97" s="1804">
        <v>0</v>
      </c>
      <c r="GO97" s="1804">
        <v>0</v>
      </c>
      <c r="GP97" s="1804">
        <v>0</v>
      </c>
      <c r="GQ97" s="1804">
        <v>0</v>
      </c>
      <c r="GR97" s="1804">
        <v>0</v>
      </c>
      <c r="GS97" s="1804">
        <v>0</v>
      </c>
      <c r="GT97" s="1804">
        <v>0</v>
      </c>
      <c r="GU97" s="1804">
        <v>0</v>
      </c>
      <c r="GV97" s="1804">
        <v>0</v>
      </c>
      <c r="GW97" s="1804">
        <v>0</v>
      </c>
      <c r="GX97" s="1804">
        <v>0</v>
      </c>
      <c r="GY97" s="1804">
        <v>0</v>
      </c>
      <c r="GZ97" s="1804">
        <v>0</v>
      </c>
      <c r="HA97" s="1804">
        <v>0</v>
      </c>
      <c r="HB97" s="1804">
        <v>0</v>
      </c>
      <c r="HC97" s="1804">
        <v>0</v>
      </c>
      <c r="HD97" s="1804">
        <v>0</v>
      </c>
      <c r="HE97" s="1804">
        <v>0</v>
      </c>
    </row>
    <row r="98" spans="1:213" ht="15" customHeight="1" thickBot="1" x14ac:dyDescent="0.25">
      <c r="A98" s="1967"/>
      <c r="B98" s="1991"/>
      <c r="C98" s="1697" t="s">
        <v>1929</v>
      </c>
      <c r="D98" s="1886"/>
      <c r="E98" s="1984"/>
      <c r="F98" s="1838">
        <v>0</v>
      </c>
      <c r="G98" s="1804">
        <v>0</v>
      </c>
      <c r="H98" s="1804">
        <v>0</v>
      </c>
      <c r="I98" s="1804">
        <v>0</v>
      </c>
      <c r="J98" s="1804">
        <v>0</v>
      </c>
      <c r="K98" s="1804">
        <v>0</v>
      </c>
      <c r="L98" s="1804">
        <v>0</v>
      </c>
      <c r="M98" s="1804">
        <v>0</v>
      </c>
      <c r="N98" s="1804">
        <v>0</v>
      </c>
      <c r="O98" s="1804">
        <v>0</v>
      </c>
      <c r="P98" s="1804">
        <v>0</v>
      </c>
      <c r="Q98" s="1804">
        <v>0</v>
      </c>
      <c r="R98" s="1804">
        <v>0</v>
      </c>
      <c r="S98" s="1804">
        <v>0</v>
      </c>
      <c r="T98" s="1804">
        <v>0</v>
      </c>
      <c r="U98" s="1804">
        <v>0</v>
      </c>
      <c r="V98" s="1804">
        <v>0</v>
      </c>
      <c r="W98" s="1804">
        <v>0</v>
      </c>
      <c r="X98" s="1804">
        <v>0</v>
      </c>
      <c r="Y98" s="1804">
        <v>0</v>
      </c>
      <c r="Z98" s="1804">
        <v>0</v>
      </c>
      <c r="AA98" s="1804">
        <v>0</v>
      </c>
      <c r="AB98" s="1804">
        <v>0</v>
      </c>
      <c r="AC98" s="1804">
        <v>0</v>
      </c>
      <c r="AD98" s="1804">
        <v>0</v>
      </c>
      <c r="AE98" s="1804">
        <v>0</v>
      </c>
      <c r="AF98" s="1804">
        <v>0</v>
      </c>
      <c r="AG98" s="1804">
        <v>0</v>
      </c>
      <c r="AH98" s="1804">
        <v>0</v>
      </c>
      <c r="AI98" s="1804">
        <v>0</v>
      </c>
      <c r="AJ98" s="1804">
        <v>0</v>
      </c>
      <c r="AK98" s="1804">
        <v>0</v>
      </c>
      <c r="AL98" s="1804">
        <v>0</v>
      </c>
      <c r="AM98" s="1804">
        <v>0</v>
      </c>
      <c r="AN98" s="1804">
        <v>0</v>
      </c>
      <c r="AO98" s="1804">
        <v>0</v>
      </c>
      <c r="AP98" s="1804">
        <v>0</v>
      </c>
      <c r="AQ98" s="1804">
        <v>0</v>
      </c>
      <c r="AR98" s="1804">
        <v>0</v>
      </c>
      <c r="AS98" s="1804">
        <v>0</v>
      </c>
      <c r="AT98" s="1804">
        <v>0</v>
      </c>
      <c r="AU98" s="1804">
        <v>0</v>
      </c>
      <c r="AV98" s="1804">
        <v>0</v>
      </c>
      <c r="AW98" s="1804">
        <v>0</v>
      </c>
      <c r="AX98" s="1804">
        <v>0</v>
      </c>
      <c r="AY98" s="1804">
        <v>0</v>
      </c>
      <c r="AZ98" s="1804">
        <v>0</v>
      </c>
      <c r="BA98" s="1804">
        <v>0</v>
      </c>
      <c r="BB98" s="1804">
        <v>0</v>
      </c>
      <c r="BC98" s="1804">
        <v>0</v>
      </c>
      <c r="BD98" s="1804">
        <v>0</v>
      </c>
      <c r="BE98" s="1804">
        <v>0</v>
      </c>
      <c r="BF98" s="1804">
        <v>0</v>
      </c>
      <c r="BG98" s="1804">
        <v>0</v>
      </c>
      <c r="BH98" s="1804">
        <v>0</v>
      </c>
      <c r="BI98" s="1804">
        <v>0</v>
      </c>
      <c r="BJ98" s="1804">
        <v>0</v>
      </c>
      <c r="BK98" s="1804">
        <v>0</v>
      </c>
      <c r="BL98" s="1804">
        <v>0</v>
      </c>
      <c r="BM98" s="1804">
        <v>0</v>
      </c>
      <c r="BN98" s="1804">
        <v>0</v>
      </c>
      <c r="BO98" s="1804">
        <v>0</v>
      </c>
      <c r="BP98" s="1804">
        <v>0</v>
      </c>
      <c r="BQ98" s="1804">
        <v>0</v>
      </c>
      <c r="BR98" s="1804">
        <v>0</v>
      </c>
      <c r="BS98" s="1804">
        <v>0</v>
      </c>
      <c r="BT98" s="1804">
        <v>0</v>
      </c>
      <c r="BU98" s="1804">
        <v>0</v>
      </c>
      <c r="BV98" s="1804">
        <v>0</v>
      </c>
      <c r="BW98" s="1804">
        <v>0</v>
      </c>
      <c r="BX98" s="1804">
        <v>0</v>
      </c>
      <c r="BY98" s="1804">
        <v>0</v>
      </c>
      <c r="BZ98" s="1804">
        <v>0</v>
      </c>
      <c r="CA98" s="1804">
        <v>0</v>
      </c>
      <c r="CB98" s="1804">
        <v>0</v>
      </c>
      <c r="CC98" s="1804">
        <v>0</v>
      </c>
      <c r="CD98" s="1804">
        <v>0</v>
      </c>
      <c r="CE98" s="1804">
        <v>0</v>
      </c>
      <c r="CF98" s="1804">
        <v>0</v>
      </c>
      <c r="CG98" s="1804">
        <v>0</v>
      </c>
      <c r="CH98" s="1804">
        <v>0</v>
      </c>
      <c r="CI98" s="1804">
        <v>0</v>
      </c>
      <c r="CJ98" s="1804">
        <v>0</v>
      </c>
      <c r="CK98" s="1804">
        <v>0</v>
      </c>
      <c r="CL98" s="1804">
        <v>0</v>
      </c>
      <c r="CM98" s="1804">
        <v>0</v>
      </c>
      <c r="CN98" s="1804">
        <v>0</v>
      </c>
      <c r="CO98" s="1804">
        <v>0</v>
      </c>
      <c r="CP98" s="1804">
        <v>0</v>
      </c>
      <c r="CQ98" s="1804">
        <v>0</v>
      </c>
      <c r="CR98" s="1804">
        <v>0</v>
      </c>
      <c r="CS98" s="1804">
        <v>0</v>
      </c>
      <c r="CT98" s="1804">
        <v>0</v>
      </c>
      <c r="CU98" s="1804">
        <v>0</v>
      </c>
      <c r="CV98" s="1804">
        <v>0</v>
      </c>
      <c r="CW98" s="1804">
        <v>0</v>
      </c>
      <c r="CX98" s="1804">
        <v>0</v>
      </c>
      <c r="CY98" s="1804">
        <v>0</v>
      </c>
      <c r="CZ98" s="1804">
        <v>0</v>
      </c>
      <c r="DA98" s="1804">
        <v>0</v>
      </c>
      <c r="DB98" s="1804">
        <v>0</v>
      </c>
      <c r="DC98" s="1804">
        <v>0</v>
      </c>
      <c r="DD98" s="1804">
        <v>0</v>
      </c>
      <c r="DE98" s="1804">
        <v>0</v>
      </c>
      <c r="DF98" s="1804">
        <v>0</v>
      </c>
      <c r="DG98" s="1804">
        <v>0</v>
      </c>
      <c r="DH98" s="1804">
        <v>0</v>
      </c>
      <c r="DI98" s="1804">
        <v>0</v>
      </c>
      <c r="DJ98" s="1804">
        <v>0</v>
      </c>
      <c r="DK98" s="1804">
        <v>0</v>
      </c>
      <c r="DL98" s="1804">
        <v>0</v>
      </c>
      <c r="DM98" s="1804">
        <v>0</v>
      </c>
      <c r="DN98" s="1804">
        <v>0</v>
      </c>
      <c r="DO98" s="1804">
        <v>0</v>
      </c>
      <c r="DP98" s="1804">
        <v>0</v>
      </c>
      <c r="DQ98" s="1804">
        <v>0</v>
      </c>
      <c r="DR98" s="1804">
        <v>0</v>
      </c>
      <c r="DS98" s="1804">
        <v>0</v>
      </c>
      <c r="DT98" s="1804">
        <v>0</v>
      </c>
      <c r="DU98" s="1804">
        <v>0</v>
      </c>
      <c r="DV98" s="1804">
        <v>0</v>
      </c>
      <c r="DW98" s="1804">
        <v>0</v>
      </c>
      <c r="DX98" s="1804">
        <v>0</v>
      </c>
      <c r="DY98" s="1804">
        <v>0</v>
      </c>
      <c r="DZ98" s="1804">
        <v>0</v>
      </c>
      <c r="EA98" s="1804">
        <v>0</v>
      </c>
      <c r="EB98" s="1804">
        <v>0</v>
      </c>
      <c r="EC98" s="1804">
        <v>0</v>
      </c>
      <c r="ED98" s="1804">
        <v>0</v>
      </c>
      <c r="EE98" s="1804">
        <v>0</v>
      </c>
      <c r="EF98" s="1804">
        <v>0</v>
      </c>
      <c r="EG98" s="1804">
        <v>0</v>
      </c>
      <c r="EH98" s="1804">
        <v>0</v>
      </c>
      <c r="EI98" s="1804">
        <v>0</v>
      </c>
      <c r="EJ98" s="1804">
        <v>0</v>
      </c>
      <c r="EK98" s="1804">
        <v>0</v>
      </c>
      <c r="EL98" s="1804">
        <v>0</v>
      </c>
      <c r="EM98" s="1804">
        <v>0</v>
      </c>
      <c r="EN98" s="1804">
        <v>0</v>
      </c>
      <c r="EO98" s="1804">
        <v>0</v>
      </c>
      <c r="EP98" s="1804">
        <v>0</v>
      </c>
      <c r="EQ98" s="1804">
        <v>0</v>
      </c>
      <c r="ER98" s="1804">
        <v>0</v>
      </c>
      <c r="ES98" s="1804">
        <v>0</v>
      </c>
      <c r="ET98" s="1804">
        <v>0</v>
      </c>
      <c r="EU98" s="1804">
        <v>0</v>
      </c>
      <c r="EV98" s="1804">
        <v>0</v>
      </c>
      <c r="EW98" s="1804">
        <v>0</v>
      </c>
      <c r="EX98" s="1804">
        <v>0</v>
      </c>
      <c r="EY98" s="1804">
        <v>0</v>
      </c>
      <c r="EZ98" s="1804">
        <v>0</v>
      </c>
      <c r="FA98" s="1804">
        <v>0</v>
      </c>
      <c r="FB98" s="1804">
        <v>0</v>
      </c>
      <c r="FC98" s="1804">
        <v>0</v>
      </c>
      <c r="FD98" s="1804">
        <v>0</v>
      </c>
      <c r="FE98" s="1804">
        <v>0</v>
      </c>
      <c r="FF98" s="1804">
        <v>0</v>
      </c>
      <c r="FG98" s="1804">
        <v>0</v>
      </c>
      <c r="FH98" s="1804">
        <v>0</v>
      </c>
      <c r="FI98" s="1804">
        <v>0</v>
      </c>
      <c r="FJ98" s="1804">
        <v>0</v>
      </c>
      <c r="FK98" s="1804">
        <v>0</v>
      </c>
      <c r="FL98" s="1804">
        <v>0</v>
      </c>
      <c r="FM98" s="1804">
        <v>0</v>
      </c>
      <c r="FN98" s="1804">
        <v>0</v>
      </c>
      <c r="FO98" s="1804">
        <v>0</v>
      </c>
      <c r="FP98" s="1804">
        <v>0</v>
      </c>
      <c r="FQ98" s="1804">
        <v>0</v>
      </c>
      <c r="FR98" s="1804">
        <v>0</v>
      </c>
      <c r="FS98" s="1804">
        <v>0</v>
      </c>
      <c r="FT98" s="1804">
        <v>0</v>
      </c>
      <c r="FU98" s="1804">
        <v>0</v>
      </c>
      <c r="FV98" s="1804">
        <v>0</v>
      </c>
      <c r="FW98" s="1804">
        <v>0</v>
      </c>
      <c r="FX98" s="1804">
        <v>0</v>
      </c>
      <c r="FY98" s="1804">
        <v>0</v>
      </c>
      <c r="FZ98" s="1804">
        <v>0</v>
      </c>
      <c r="GA98" s="1804">
        <v>0</v>
      </c>
      <c r="GB98" s="1804">
        <v>0</v>
      </c>
      <c r="GC98" s="1804">
        <v>0</v>
      </c>
      <c r="GD98" s="1804">
        <v>0</v>
      </c>
      <c r="GE98" s="1804">
        <v>0</v>
      </c>
      <c r="GF98" s="1804">
        <v>0</v>
      </c>
      <c r="GG98" s="1804">
        <v>0</v>
      </c>
      <c r="GH98" s="1804">
        <v>0</v>
      </c>
      <c r="GI98" s="1804">
        <v>0</v>
      </c>
      <c r="GJ98" s="1804">
        <v>0</v>
      </c>
      <c r="GK98" s="1804">
        <v>0</v>
      </c>
      <c r="GL98" s="1804">
        <v>0</v>
      </c>
      <c r="GM98" s="1804">
        <v>0</v>
      </c>
      <c r="GN98" s="1804">
        <v>0</v>
      </c>
      <c r="GO98" s="1804">
        <v>0</v>
      </c>
      <c r="GP98" s="1804">
        <v>0</v>
      </c>
      <c r="GQ98" s="1804">
        <v>0</v>
      </c>
      <c r="GR98" s="1804">
        <v>0</v>
      </c>
      <c r="GS98" s="1804">
        <v>0</v>
      </c>
      <c r="GT98" s="1804">
        <v>0</v>
      </c>
      <c r="GU98" s="1804">
        <v>0</v>
      </c>
      <c r="GV98" s="1804">
        <v>0</v>
      </c>
      <c r="GW98" s="1804">
        <v>0</v>
      </c>
      <c r="GX98" s="1804">
        <v>0</v>
      </c>
      <c r="GY98" s="1804">
        <v>0</v>
      </c>
      <c r="GZ98" s="1804">
        <v>0</v>
      </c>
      <c r="HA98" s="1804">
        <v>0</v>
      </c>
      <c r="HB98" s="1804">
        <v>0</v>
      </c>
      <c r="HC98" s="1804">
        <v>0</v>
      </c>
      <c r="HD98" s="1804">
        <v>0</v>
      </c>
      <c r="HE98" s="1804">
        <v>0</v>
      </c>
    </row>
    <row r="99" spans="1:213" ht="30" customHeight="1" thickBot="1" x14ac:dyDescent="0.25">
      <c r="A99" s="1692" t="s">
        <v>2342</v>
      </c>
      <c r="B99" s="1698" t="s">
        <v>554</v>
      </c>
      <c r="C99" s="1699" t="s">
        <v>957</v>
      </c>
      <c r="D99" s="1883"/>
      <c r="E99" s="1843"/>
      <c r="F99" s="1838">
        <v>0</v>
      </c>
      <c r="G99" s="1804">
        <v>0</v>
      </c>
      <c r="H99" s="1804">
        <v>0</v>
      </c>
      <c r="I99" s="1804">
        <v>0</v>
      </c>
      <c r="J99" s="1804">
        <v>0</v>
      </c>
      <c r="K99" s="1804">
        <v>0</v>
      </c>
      <c r="L99" s="1804">
        <v>0</v>
      </c>
      <c r="M99" s="1804">
        <v>0</v>
      </c>
      <c r="N99" s="1804">
        <v>0</v>
      </c>
      <c r="O99" s="1804">
        <v>0</v>
      </c>
      <c r="P99" s="1804">
        <v>0</v>
      </c>
      <c r="Q99" s="1804">
        <v>0</v>
      </c>
      <c r="R99" s="1804">
        <v>0</v>
      </c>
      <c r="S99" s="1804">
        <v>0</v>
      </c>
      <c r="T99" s="1804">
        <v>0</v>
      </c>
      <c r="U99" s="1804">
        <v>0</v>
      </c>
      <c r="V99" s="1804">
        <v>0</v>
      </c>
      <c r="W99" s="1804">
        <v>0</v>
      </c>
      <c r="X99" s="1804">
        <v>0</v>
      </c>
      <c r="Y99" s="1804">
        <v>0</v>
      </c>
      <c r="Z99" s="1804">
        <v>0</v>
      </c>
      <c r="AA99" s="1804">
        <v>0</v>
      </c>
      <c r="AB99" s="1804">
        <v>0</v>
      </c>
      <c r="AC99" s="1804">
        <v>0</v>
      </c>
      <c r="AD99" s="1804">
        <v>0</v>
      </c>
      <c r="AE99" s="1804">
        <v>0</v>
      </c>
      <c r="AF99" s="1804">
        <v>0</v>
      </c>
      <c r="AG99" s="1804">
        <v>0</v>
      </c>
      <c r="AH99" s="1804">
        <v>0</v>
      </c>
      <c r="AI99" s="1804">
        <v>0</v>
      </c>
      <c r="AJ99" s="1804">
        <v>0</v>
      </c>
      <c r="AK99" s="1804">
        <v>0</v>
      </c>
      <c r="AL99" s="1804">
        <v>0</v>
      </c>
      <c r="AM99" s="1804">
        <v>0</v>
      </c>
      <c r="AN99" s="1804">
        <v>0</v>
      </c>
      <c r="AO99" s="1804">
        <v>0</v>
      </c>
      <c r="AP99" s="1804">
        <v>0</v>
      </c>
      <c r="AQ99" s="1804">
        <v>0</v>
      </c>
      <c r="AR99" s="1804">
        <v>0</v>
      </c>
      <c r="AS99" s="1804">
        <v>0</v>
      </c>
      <c r="AT99" s="1804">
        <v>0</v>
      </c>
      <c r="AU99" s="1804">
        <v>0</v>
      </c>
      <c r="AV99" s="1804">
        <v>0</v>
      </c>
      <c r="AW99" s="1804">
        <v>0</v>
      </c>
      <c r="AX99" s="1804">
        <v>0</v>
      </c>
      <c r="AY99" s="1804">
        <v>0</v>
      </c>
      <c r="AZ99" s="1804">
        <v>0</v>
      </c>
      <c r="BA99" s="1804">
        <v>0</v>
      </c>
      <c r="BB99" s="1804">
        <v>0</v>
      </c>
      <c r="BC99" s="1804">
        <v>0</v>
      </c>
      <c r="BD99" s="1804">
        <v>0</v>
      </c>
      <c r="BE99" s="1804">
        <v>0</v>
      </c>
      <c r="BF99" s="1804">
        <v>0</v>
      </c>
      <c r="BG99" s="1804">
        <v>0</v>
      </c>
      <c r="BH99" s="1804">
        <v>0</v>
      </c>
      <c r="BI99" s="1804">
        <v>0</v>
      </c>
      <c r="BJ99" s="1804">
        <v>0</v>
      </c>
      <c r="BK99" s="1804">
        <v>0</v>
      </c>
      <c r="BL99" s="1804">
        <v>0</v>
      </c>
      <c r="BM99" s="1804">
        <v>0</v>
      </c>
      <c r="BN99" s="1804">
        <v>0</v>
      </c>
      <c r="BO99" s="1804">
        <v>0</v>
      </c>
      <c r="BP99" s="1804">
        <v>0</v>
      </c>
      <c r="BQ99" s="1804">
        <v>0</v>
      </c>
      <c r="BR99" s="1804">
        <v>0</v>
      </c>
      <c r="BS99" s="1804">
        <v>0</v>
      </c>
      <c r="BT99" s="1804">
        <v>0</v>
      </c>
      <c r="BU99" s="1804">
        <v>0</v>
      </c>
      <c r="BV99" s="1804">
        <v>0</v>
      </c>
      <c r="BW99" s="1804">
        <v>0</v>
      </c>
      <c r="BX99" s="1804">
        <v>0</v>
      </c>
      <c r="BY99" s="1804">
        <v>0</v>
      </c>
      <c r="BZ99" s="1804">
        <v>0</v>
      </c>
      <c r="CA99" s="1804">
        <v>0</v>
      </c>
      <c r="CB99" s="1804">
        <v>0</v>
      </c>
      <c r="CC99" s="1804">
        <v>0</v>
      </c>
      <c r="CD99" s="1804">
        <v>0</v>
      </c>
      <c r="CE99" s="1804">
        <v>0</v>
      </c>
      <c r="CF99" s="1804">
        <v>0</v>
      </c>
      <c r="CG99" s="1804">
        <v>0</v>
      </c>
      <c r="CH99" s="1804">
        <v>0</v>
      </c>
      <c r="CI99" s="1804">
        <v>0</v>
      </c>
      <c r="CJ99" s="1804">
        <v>0</v>
      </c>
      <c r="CK99" s="1804">
        <v>0</v>
      </c>
      <c r="CL99" s="1804">
        <v>0</v>
      </c>
      <c r="CM99" s="1804">
        <v>0</v>
      </c>
      <c r="CN99" s="1804">
        <v>0</v>
      </c>
      <c r="CO99" s="1804">
        <v>0</v>
      </c>
      <c r="CP99" s="1804">
        <v>0</v>
      </c>
      <c r="CQ99" s="1804">
        <v>0</v>
      </c>
      <c r="CR99" s="1804">
        <v>0</v>
      </c>
      <c r="CS99" s="1804">
        <v>0</v>
      </c>
      <c r="CT99" s="1804">
        <v>0</v>
      </c>
      <c r="CU99" s="1804">
        <v>0</v>
      </c>
      <c r="CV99" s="1804">
        <v>0</v>
      </c>
      <c r="CW99" s="1804">
        <v>0</v>
      </c>
      <c r="CX99" s="1804">
        <v>0</v>
      </c>
      <c r="CY99" s="1804">
        <v>0</v>
      </c>
      <c r="CZ99" s="1804">
        <v>0</v>
      </c>
      <c r="DA99" s="1804">
        <v>0</v>
      </c>
      <c r="DB99" s="1804">
        <v>0</v>
      </c>
      <c r="DC99" s="1804">
        <v>0</v>
      </c>
      <c r="DD99" s="1804">
        <v>0</v>
      </c>
      <c r="DE99" s="1804">
        <v>0</v>
      </c>
      <c r="DF99" s="1804">
        <v>0</v>
      </c>
      <c r="DG99" s="1804">
        <v>0</v>
      </c>
      <c r="DH99" s="1804">
        <v>0</v>
      </c>
      <c r="DI99" s="1804">
        <v>0</v>
      </c>
      <c r="DJ99" s="1804">
        <v>0</v>
      </c>
      <c r="DK99" s="1804">
        <v>0</v>
      </c>
      <c r="DL99" s="1804">
        <v>0</v>
      </c>
      <c r="DM99" s="1804">
        <v>0</v>
      </c>
      <c r="DN99" s="1804">
        <v>0</v>
      </c>
      <c r="DO99" s="1804">
        <v>0</v>
      </c>
      <c r="DP99" s="1804">
        <v>0</v>
      </c>
      <c r="DQ99" s="1804">
        <v>0</v>
      </c>
      <c r="DR99" s="1804">
        <v>0</v>
      </c>
      <c r="DS99" s="1804">
        <v>0</v>
      </c>
      <c r="DT99" s="1804">
        <v>0</v>
      </c>
      <c r="DU99" s="1804">
        <v>0</v>
      </c>
      <c r="DV99" s="1804">
        <v>0</v>
      </c>
      <c r="DW99" s="1804">
        <v>0</v>
      </c>
      <c r="DX99" s="1804">
        <v>0</v>
      </c>
      <c r="DY99" s="1804">
        <v>0</v>
      </c>
      <c r="DZ99" s="1804">
        <v>0</v>
      </c>
      <c r="EA99" s="1804">
        <v>0</v>
      </c>
      <c r="EB99" s="1804">
        <v>0</v>
      </c>
      <c r="EC99" s="1804">
        <v>0</v>
      </c>
      <c r="ED99" s="1804">
        <v>0</v>
      </c>
      <c r="EE99" s="1804">
        <v>0</v>
      </c>
      <c r="EF99" s="1804">
        <v>0</v>
      </c>
      <c r="EG99" s="1804">
        <v>0</v>
      </c>
      <c r="EH99" s="1804">
        <v>0</v>
      </c>
      <c r="EI99" s="1804">
        <v>0</v>
      </c>
      <c r="EJ99" s="1804">
        <v>0</v>
      </c>
      <c r="EK99" s="1804">
        <v>0</v>
      </c>
      <c r="EL99" s="1804">
        <v>0</v>
      </c>
      <c r="EM99" s="1804">
        <v>0</v>
      </c>
      <c r="EN99" s="1804">
        <v>0</v>
      </c>
      <c r="EO99" s="1804">
        <v>0</v>
      </c>
      <c r="EP99" s="1804">
        <v>0</v>
      </c>
      <c r="EQ99" s="1804">
        <v>0</v>
      </c>
      <c r="ER99" s="1804">
        <v>0</v>
      </c>
      <c r="ES99" s="1804">
        <v>0</v>
      </c>
      <c r="ET99" s="1804">
        <v>0</v>
      </c>
      <c r="EU99" s="1804">
        <v>0</v>
      </c>
      <c r="EV99" s="1804">
        <v>0</v>
      </c>
      <c r="EW99" s="1804">
        <v>0</v>
      </c>
      <c r="EX99" s="1804">
        <v>0</v>
      </c>
      <c r="EY99" s="1804">
        <v>0</v>
      </c>
      <c r="EZ99" s="1804">
        <v>0</v>
      </c>
      <c r="FA99" s="1804">
        <v>0</v>
      </c>
      <c r="FB99" s="1804">
        <v>0</v>
      </c>
      <c r="FC99" s="1804">
        <v>0</v>
      </c>
      <c r="FD99" s="1804">
        <v>0</v>
      </c>
      <c r="FE99" s="1804">
        <v>0</v>
      </c>
      <c r="FF99" s="1804">
        <v>0</v>
      </c>
      <c r="FG99" s="1804">
        <v>0</v>
      </c>
      <c r="FH99" s="1804">
        <v>0</v>
      </c>
      <c r="FI99" s="1804">
        <v>0</v>
      </c>
      <c r="FJ99" s="1804">
        <v>0</v>
      </c>
      <c r="FK99" s="1804">
        <v>0</v>
      </c>
      <c r="FL99" s="1804">
        <v>0</v>
      </c>
      <c r="FM99" s="1804">
        <v>0</v>
      </c>
      <c r="FN99" s="1804">
        <v>0</v>
      </c>
      <c r="FO99" s="1804">
        <v>0</v>
      </c>
      <c r="FP99" s="1804">
        <v>0</v>
      </c>
      <c r="FQ99" s="1804">
        <v>0</v>
      </c>
      <c r="FR99" s="1804">
        <v>0</v>
      </c>
      <c r="FS99" s="1804">
        <v>0</v>
      </c>
      <c r="FT99" s="1804">
        <v>0</v>
      </c>
      <c r="FU99" s="1804">
        <v>0</v>
      </c>
      <c r="FV99" s="1804">
        <v>0</v>
      </c>
      <c r="FW99" s="1804">
        <v>0</v>
      </c>
      <c r="FX99" s="1804">
        <v>0</v>
      </c>
      <c r="FY99" s="1804">
        <v>0</v>
      </c>
      <c r="FZ99" s="1804">
        <v>0</v>
      </c>
      <c r="GA99" s="1804">
        <v>0</v>
      </c>
      <c r="GB99" s="1804">
        <v>0</v>
      </c>
      <c r="GC99" s="1804">
        <v>0</v>
      </c>
      <c r="GD99" s="1804">
        <v>0</v>
      </c>
      <c r="GE99" s="1804">
        <v>0</v>
      </c>
      <c r="GF99" s="1804">
        <v>0</v>
      </c>
      <c r="GG99" s="1804">
        <v>0</v>
      </c>
      <c r="GH99" s="1804">
        <v>0</v>
      </c>
      <c r="GI99" s="1804">
        <v>0</v>
      </c>
      <c r="GJ99" s="1804">
        <v>0</v>
      </c>
      <c r="GK99" s="1804">
        <v>0</v>
      </c>
      <c r="GL99" s="1804">
        <v>0</v>
      </c>
      <c r="GM99" s="1804">
        <v>0</v>
      </c>
      <c r="GN99" s="1804">
        <v>0</v>
      </c>
      <c r="GO99" s="1804">
        <v>0</v>
      </c>
      <c r="GP99" s="1804">
        <v>0</v>
      </c>
      <c r="GQ99" s="1804">
        <v>0</v>
      </c>
      <c r="GR99" s="1804">
        <v>0</v>
      </c>
      <c r="GS99" s="1804">
        <v>0</v>
      </c>
      <c r="GT99" s="1804">
        <v>0</v>
      </c>
      <c r="GU99" s="1804">
        <v>0</v>
      </c>
      <c r="GV99" s="1804">
        <v>0</v>
      </c>
      <c r="GW99" s="1804">
        <v>0</v>
      </c>
      <c r="GX99" s="1804">
        <v>0</v>
      </c>
      <c r="GY99" s="1804">
        <v>0</v>
      </c>
      <c r="GZ99" s="1804">
        <v>0</v>
      </c>
      <c r="HA99" s="1804">
        <v>0</v>
      </c>
      <c r="HB99" s="1804">
        <v>0</v>
      </c>
      <c r="HC99" s="1804">
        <v>0</v>
      </c>
      <c r="HD99" s="1804">
        <v>0</v>
      </c>
      <c r="HE99" s="1804">
        <v>0</v>
      </c>
    </row>
    <row r="100" spans="1:213" ht="30" customHeight="1" thickBot="1" x14ac:dyDescent="0.25">
      <c r="A100" s="1692" t="s">
        <v>2343</v>
      </c>
      <c r="B100" s="1698" t="s">
        <v>553</v>
      </c>
      <c r="C100" s="1699" t="s">
        <v>706</v>
      </c>
      <c r="D100" s="1881"/>
      <c r="E100" s="1843"/>
      <c r="F100" s="1838">
        <v>0</v>
      </c>
      <c r="G100" s="1804">
        <v>0</v>
      </c>
      <c r="H100" s="1804">
        <v>0</v>
      </c>
      <c r="I100" s="1804">
        <v>0</v>
      </c>
      <c r="J100" s="1804">
        <v>0</v>
      </c>
      <c r="K100" s="1804">
        <v>0</v>
      </c>
      <c r="L100" s="1804">
        <v>0</v>
      </c>
      <c r="M100" s="1804">
        <v>0</v>
      </c>
      <c r="N100" s="1804">
        <v>0</v>
      </c>
      <c r="O100" s="1804">
        <v>0</v>
      </c>
      <c r="P100" s="1804">
        <v>0</v>
      </c>
      <c r="Q100" s="1804">
        <v>0</v>
      </c>
      <c r="R100" s="1804">
        <v>0</v>
      </c>
      <c r="S100" s="1804">
        <v>0</v>
      </c>
      <c r="T100" s="1804">
        <v>0</v>
      </c>
      <c r="U100" s="1804">
        <v>0</v>
      </c>
      <c r="V100" s="1804">
        <v>0</v>
      </c>
      <c r="W100" s="1804">
        <v>0</v>
      </c>
      <c r="X100" s="1804">
        <v>0</v>
      </c>
      <c r="Y100" s="1804">
        <v>0</v>
      </c>
      <c r="Z100" s="1804">
        <v>0</v>
      </c>
      <c r="AA100" s="1804">
        <v>0</v>
      </c>
      <c r="AB100" s="1804">
        <v>0</v>
      </c>
      <c r="AC100" s="1804">
        <v>0</v>
      </c>
      <c r="AD100" s="1804">
        <v>0</v>
      </c>
      <c r="AE100" s="1804">
        <v>0</v>
      </c>
      <c r="AF100" s="1804">
        <v>0</v>
      </c>
      <c r="AG100" s="1804">
        <v>0</v>
      </c>
      <c r="AH100" s="1804">
        <v>0</v>
      </c>
      <c r="AI100" s="1804">
        <v>0</v>
      </c>
      <c r="AJ100" s="1804">
        <v>0</v>
      </c>
      <c r="AK100" s="1804">
        <v>0</v>
      </c>
      <c r="AL100" s="1804">
        <v>0</v>
      </c>
      <c r="AM100" s="1804">
        <v>0</v>
      </c>
      <c r="AN100" s="1804">
        <v>0</v>
      </c>
      <c r="AO100" s="1804">
        <v>0</v>
      </c>
      <c r="AP100" s="1804">
        <v>0</v>
      </c>
      <c r="AQ100" s="1804">
        <v>0</v>
      </c>
      <c r="AR100" s="1804">
        <v>0</v>
      </c>
      <c r="AS100" s="1804">
        <v>0</v>
      </c>
      <c r="AT100" s="1804">
        <v>0</v>
      </c>
      <c r="AU100" s="1804">
        <v>0</v>
      </c>
      <c r="AV100" s="1804">
        <v>0</v>
      </c>
      <c r="AW100" s="1804">
        <v>0</v>
      </c>
      <c r="AX100" s="1804">
        <v>0</v>
      </c>
      <c r="AY100" s="1804">
        <v>0</v>
      </c>
      <c r="AZ100" s="1804">
        <v>0</v>
      </c>
      <c r="BA100" s="1804">
        <v>0</v>
      </c>
      <c r="BB100" s="1804">
        <v>0</v>
      </c>
      <c r="BC100" s="1804">
        <v>0</v>
      </c>
      <c r="BD100" s="1804">
        <v>0</v>
      </c>
      <c r="BE100" s="1804">
        <v>0</v>
      </c>
      <c r="BF100" s="1804">
        <v>0</v>
      </c>
      <c r="BG100" s="1804">
        <v>0</v>
      </c>
      <c r="BH100" s="1804">
        <v>0</v>
      </c>
      <c r="BI100" s="1804">
        <v>0</v>
      </c>
      <c r="BJ100" s="1804">
        <v>0</v>
      </c>
      <c r="BK100" s="1804">
        <v>0</v>
      </c>
      <c r="BL100" s="1804">
        <v>0</v>
      </c>
      <c r="BM100" s="1804">
        <v>0</v>
      </c>
      <c r="BN100" s="1804">
        <v>0</v>
      </c>
      <c r="BO100" s="1804">
        <v>0</v>
      </c>
      <c r="BP100" s="1804">
        <v>0</v>
      </c>
      <c r="BQ100" s="1804">
        <v>0</v>
      </c>
      <c r="BR100" s="1804">
        <v>0</v>
      </c>
      <c r="BS100" s="1804">
        <v>0</v>
      </c>
      <c r="BT100" s="1804">
        <v>0</v>
      </c>
      <c r="BU100" s="1804">
        <v>0</v>
      </c>
      <c r="BV100" s="1804">
        <v>0</v>
      </c>
      <c r="BW100" s="1804">
        <v>0</v>
      </c>
      <c r="BX100" s="1804">
        <v>0</v>
      </c>
      <c r="BY100" s="1804">
        <v>0</v>
      </c>
      <c r="BZ100" s="1804">
        <v>0</v>
      </c>
      <c r="CA100" s="1804">
        <v>0</v>
      </c>
      <c r="CB100" s="1804">
        <v>0</v>
      </c>
      <c r="CC100" s="1804">
        <v>0</v>
      </c>
      <c r="CD100" s="1804">
        <v>0</v>
      </c>
      <c r="CE100" s="1804">
        <v>0</v>
      </c>
      <c r="CF100" s="1804">
        <v>0</v>
      </c>
      <c r="CG100" s="1804">
        <v>0</v>
      </c>
      <c r="CH100" s="1804">
        <v>0</v>
      </c>
      <c r="CI100" s="1804">
        <v>0</v>
      </c>
      <c r="CJ100" s="1804">
        <v>0</v>
      </c>
      <c r="CK100" s="1804">
        <v>0</v>
      </c>
      <c r="CL100" s="1804">
        <v>0</v>
      </c>
      <c r="CM100" s="1804">
        <v>0</v>
      </c>
      <c r="CN100" s="1804">
        <v>0</v>
      </c>
      <c r="CO100" s="1804">
        <v>0</v>
      </c>
      <c r="CP100" s="1804">
        <v>0</v>
      </c>
      <c r="CQ100" s="1804">
        <v>0</v>
      </c>
      <c r="CR100" s="1804">
        <v>0</v>
      </c>
      <c r="CS100" s="1804">
        <v>0</v>
      </c>
      <c r="CT100" s="1804">
        <v>0</v>
      </c>
      <c r="CU100" s="1804">
        <v>0</v>
      </c>
      <c r="CV100" s="1804">
        <v>0</v>
      </c>
      <c r="CW100" s="1804">
        <v>0</v>
      </c>
      <c r="CX100" s="1804">
        <v>0</v>
      </c>
      <c r="CY100" s="1804">
        <v>0</v>
      </c>
      <c r="CZ100" s="1804">
        <v>0</v>
      </c>
      <c r="DA100" s="1804">
        <v>0</v>
      </c>
      <c r="DB100" s="1804">
        <v>0</v>
      </c>
      <c r="DC100" s="1804">
        <v>0</v>
      </c>
      <c r="DD100" s="1804">
        <v>0</v>
      </c>
      <c r="DE100" s="1804">
        <v>0</v>
      </c>
      <c r="DF100" s="1804">
        <v>0</v>
      </c>
      <c r="DG100" s="1804">
        <v>0</v>
      </c>
      <c r="DH100" s="1804">
        <v>0</v>
      </c>
      <c r="DI100" s="1804">
        <v>0</v>
      </c>
      <c r="DJ100" s="1804">
        <v>0</v>
      </c>
      <c r="DK100" s="1804">
        <v>0</v>
      </c>
      <c r="DL100" s="1804">
        <v>0</v>
      </c>
      <c r="DM100" s="1804">
        <v>0</v>
      </c>
      <c r="DN100" s="1804">
        <v>0</v>
      </c>
      <c r="DO100" s="1804">
        <v>0</v>
      </c>
      <c r="DP100" s="1804">
        <v>0</v>
      </c>
      <c r="DQ100" s="1804">
        <v>0</v>
      </c>
      <c r="DR100" s="1804">
        <v>0</v>
      </c>
      <c r="DS100" s="1804">
        <v>0</v>
      </c>
      <c r="DT100" s="1804">
        <v>0</v>
      </c>
      <c r="DU100" s="1804">
        <v>0</v>
      </c>
      <c r="DV100" s="1804">
        <v>0</v>
      </c>
      <c r="DW100" s="1804">
        <v>0</v>
      </c>
      <c r="DX100" s="1804">
        <v>0</v>
      </c>
      <c r="DY100" s="1804">
        <v>0</v>
      </c>
      <c r="DZ100" s="1804">
        <v>0</v>
      </c>
      <c r="EA100" s="1804">
        <v>0</v>
      </c>
      <c r="EB100" s="1804">
        <v>0</v>
      </c>
      <c r="EC100" s="1804">
        <v>0</v>
      </c>
      <c r="ED100" s="1804">
        <v>0</v>
      </c>
      <c r="EE100" s="1804">
        <v>0</v>
      </c>
      <c r="EF100" s="1804">
        <v>0</v>
      </c>
      <c r="EG100" s="1804">
        <v>0</v>
      </c>
      <c r="EH100" s="1804">
        <v>0</v>
      </c>
      <c r="EI100" s="1804">
        <v>0</v>
      </c>
      <c r="EJ100" s="1804">
        <v>0</v>
      </c>
      <c r="EK100" s="1804">
        <v>0</v>
      </c>
      <c r="EL100" s="1804">
        <v>0</v>
      </c>
      <c r="EM100" s="1804">
        <v>0</v>
      </c>
      <c r="EN100" s="1804">
        <v>0</v>
      </c>
      <c r="EO100" s="1804">
        <v>0</v>
      </c>
      <c r="EP100" s="1804">
        <v>0</v>
      </c>
      <c r="EQ100" s="1804">
        <v>0</v>
      </c>
      <c r="ER100" s="1804">
        <v>0</v>
      </c>
      <c r="ES100" s="1804">
        <v>0</v>
      </c>
      <c r="ET100" s="1804">
        <v>0</v>
      </c>
      <c r="EU100" s="1804">
        <v>0</v>
      </c>
      <c r="EV100" s="1804">
        <v>0</v>
      </c>
      <c r="EW100" s="1804">
        <v>0</v>
      </c>
      <c r="EX100" s="1804">
        <v>0</v>
      </c>
      <c r="EY100" s="1804">
        <v>0</v>
      </c>
      <c r="EZ100" s="1804">
        <v>0</v>
      </c>
      <c r="FA100" s="1804">
        <v>0</v>
      </c>
      <c r="FB100" s="1804">
        <v>0</v>
      </c>
      <c r="FC100" s="1804">
        <v>0</v>
      </c>
      <c r="FD100" s="1804">
        <v>0</v>
      </c>
      <c r="FE100" s="1804">
        <v>0</v>
      </c>
      <c r="FF100" s="1804">
        <v>0</v>
      </c>
      <c r="FG100" s="1804">
        <v>0</v>
      </c>
      <c r="FH100" s="1804">
        <v>0</v>
      </c>
      <c r="FI100" s="1804">
        <v>0</v>
      </c>
      <c r="FJ100" s="1804">
        <v>0</v>
      </c>
      <c r="FK100" s="1804">
        <v>0</v>
      </c>
      <c r="FL100" s="1804">
        <v>0</v>
      </c>
      <c r="FM100" s="1804">
        <v>0</v>
      </c>
      <c r="FN100" s="1804">
        <v>0</v>
      </c>
      <c r="FO100" s="1804">
        <v>0</v>
      </c>
      <c r="FP100" s="1804">
        <v>0</v>
      </c>
      <c r="FQ100" s="1804">
        <v>0</v>
      </c>
      <c r="FR100" s="1804">
        <v>0</v>
      </c>
      <c r="FS100" s="1804">
        <v>0</v>
      </c>
      <c r="FT100" s="1804">
        <v>0</v>
      </c>
      <c r="FU100" s="1804">
        <v>0</v>
      </c>
      <c r="FV100" s="1804">
        <v>0</v>
      </c>
      <c r="FW100" s="1804">
        <v>0</v>
      </c>
      <c r="FX100" s="1804">
        <v>0</v>
      </c>
      <c r="FY100" s="1804">
        <v>0</v>
      </c>
      <c r="FZ100" s="1804">
        <v>0</v>
      </c>
      <c r="GA100" s="1804">
        <v>0</v>
      </c>
      <c r="GB100" s="1804">
        <v>0</v>
      </c>
      <c r="GC100" s="1804">
        <v>0</v>
      </c>
      <c r="GD100" s="1804">
        <v>0</v>
      </c>
      <c r="GE100" s="1804">
        <v>0</v>
      </c>
      <c r="GF100" s="1804">
        <v>0</v>
      </c>
      <c r="GG100" s="1804">
        <v>0</v>
      </c>
      <c r="GH100" s="1804">
        <v>0</v>
      </c>
      <c r="GI100" s="1804">
        <v>0</v>
      </c>
      <c r="GJ100" s="1804">
        <v>0</v>
      </c>
      <c r="GK100" s="1804">
        <v>0</v>
      </c>
      <c r="GL100" s="1804">
        <v>0</v>
      </c>
      <c r="GM100" s="1804">
        <v>0</v>
      </c>
      <c r="GN100" s="1804">
        <v>0</v>
      </c>
      <c r="GO100" s="1804">
        <v>0</v>
      </c>
      <c r="GP100" s="1804">
        <v>0</v>
      </c>
      <c r="GQ100" s="1804">
        <v>0</v>
      </c>
      <c r="GR100" s="1804">
        <v>0</v>
      </c>
      <c r="GS100" s="1804">
        <v>0</v>
      </c>
      <c r="GT100" s="1804">
        <v>0</v>
      </c>
      <c r="GU100" s="1804">
        <v>0</v>
      </c>
      <c r="GV100" s="1804">
        <v>0</v>
      </c>
      <c r="GW100" s="1804">
        <v>0</v>
      </c>
      <c r="GX100" s="1804">
        <v>0</v>
      </c>
      <c r="GY100" s="1804">
        <v>0</v>
      </c>
      <c r="GZ100" s="1804">
        <v>0</v>
      </c>
      <c r="HA100" s="1804">
        <v>0</v>
      </c>
      <c r="HB100" s="1804">
        <v>0</v>
      </c>
      <c r="HC100" s="1804">
        <v>0</v>
      </c>
      <c r="HD100" s="1804">
        <v>0</v>
      </c>
      <c r="HE100" s="1804">
        <v>0</v>
      </c>
    </row>
    <row r="101" spans="1:213" ht="30" customHeight="1" thickBot="1" x14ac:dyDescent="0.25">
      <c r="A101" s="1692" t="s">
        <v>2344</v>
      </c>
      <c r="B101" s="1698" t="s">
        <v>540</v>
      </c>
      <c r="C101" s="1699" t="s">
        <v>872</v>
      </c>
      <c r="D101" s="1882"/>
      <c r="E101" s="1843"/>
      <c r="F101" s="1836">
        <v>0</v>
      </c>
      <c r="G101" s="1802">
        <v>0</v>
      </c>
      <c r="H101" s="1802">
        <v>0</v>
      </c>
      <c r="I101" s="1802">
        <v>0</v>
      </c>
      <c r="J101" s="1802">
        <v>0</v>
      </c>
      <c r="K101" s="1802">
        <v>0</v>
      </c>
      <c r="L101" s="1802">
        <v>0</v>
      </c>
      <c r="M101" s="1802">
        <v>0</v>
      </c>
      <c r="N101" s="1802">
        <v>0</v>
      </c>
      <c r="O101" s="1802">
        <v>0</v>
      </c>
      <c r="P101" s="1802">
        <v>0</v>
      </c>
      <c r="Q101" s="1802">
        <v>0</v>
      </c>
      <c r="R101" s="1802">
        <v>0</v>
      </c>
      <c r="S101" s="1802">
        <v>0</v>
      </c>
      <c r="T101" s="1802">
        <v>0</v>
      </c>
      <c r="U101" s="1802">
        <v>0</v>
      </c>
      <c r="V101" s="1802">
        <v>0</v>
      </c>
      <c r="W101" s="1802">
        <v>0</v>
      </c>
      <c r="X101" s="1802">
        <v>0</v>
      </c>
      <c r="Y101" s="1802">
        <v>0</v>
      </c>
      <c r="Z101" s="1802">
        <v>0</v>
      </c>
      <c r="AA101" s="1802">
        <v>0</v>
      </c>
      <c r="AB101" s="1802">
        <v>0</v>
      </c>
      <c r="AC101" s="1802">
        <v>0</v>
      </c>
      <c r="AD101" s="1802">
        <v>0</v>
      </c>
      <c r="AE101" s="1802">
        <v>0</v>
      </c>
      <c r="AF101" s="1802">
        <v>0</v>
      </c>
      <c r="AG101" s="1802">
        <v>0</v>
      </c>
      <c r="AH101" s="1802">
        <v>0</v>
      </c>
      <c r="AI101" s="1802">
        <v>0</v>
      </c>
      <c r="AJ101" s="1802">
        <v>0</v>
      </c>
      <c r="AK101" s="1802">
        <v>0</v>
      </c>
      <c r="AL101" s="1802">
        <v>0</v>
      </c>
      <c r="AM101" s="1802">
        <v>0</v>
      </c>
      <c r="AN101" s="1802">
        <v>0</v>
      </c>
      <c r="AO101" s="1802">
        <v>0</v>
      </c>
      <c r="AP101" s="1802">
        <v>0</v>
      </c>
      <c r="AQ101" s="1802">
        <v>0</v>
      </c>
      <c r="AR101" s="1802">
        <v>0</v>
      </c>
      <c r="AS101" s="1802">
        <v>0</v>
      </c>
      <c r="AT101" s="1802">
        <v>0</v>
      </c>
      <c r="AU101" s="1802">
        <v>0</v>
      </c>
      <c r="AV101" s="1802">
        <v>0</v>
      </c>
      <c r="AW101" s="1802">
        <v>0</v>
      </c>
      <c r="AX101" s="1802">
        <v>0</v>
      </c>
      <c r="AY101" s="1802">
        <v>0</v>
      </c>
      <c r="AZ101" s="1802">
        <v>0</v>
      </c>
      <c r="BA101" s="1802">
        <v>0</v>
      </c>
      <c r="BB101" s="1802">
        <v>0</v>
      </c>
      <c r="BC101" s="1802">
        <v>0</v>
      </c>
      <c r="BD101" s="1802">
        <v>0</v>
      </c>
      <c r="BE101" s="1802">
        <v>0</v>
      </c>
      <c r="BF101" s="1802">
        <v>0</v>
      </c>
      <c r="BG101" s="1802">
        <v>0</v>
      </c>
      <c r="BH101" s="1802">
        <v>0</v>
      </c>
      <c r="BI101" s="1802">
        <v>0</v>
      </c>
      <c r="BJ101" s="1802">
        <v>0</v>
      </c>
      <c r="BK101" s="1802">
        <v>0</v>
      </c>
      <c r="BL101" s="1802">
        <v>0</v>
      </c>
      <c r="BM101" s="1802">
        <v>0</v>
      </c>
      <c r="BN101" s="1802">
        <v>0</v>
      </c>
      <c r="BO101" s="1802">
        <v>0</v>
      </c>
      <c r="BP101" s="1802">
        <v>0</v>
      </c>
      <c r="BQ101" s="1802">
        <v>0</v>
      </c>
      <c r="BR101" s="1802">
        <v>0</v>
      </c>
      <c r="BS101" s="1802">
        <v>0</v>
      </c>
      <c r="BT101" s="1802">
        <v>0</v>
      </c>
      <c r="BU101" s="1802">
        <v>0</v>
      </c>
      <c r="BV101" s="1802">
        <v>0</v>
      </c>
      <c r="BW101" s="1802">
        <v>0</v>
      </c>
      <c r="BX101" s="1802">
        <v>0</v>
      </c>
      <c r="BY101" s="1802">
        <v>0</v>
      </c>
      <c r="BZ101" s="1802">
        <v>0</v>
      </c>
      <c r="CA101" s="1802">
        <v>0</v>
      </c>
      <c r="CB101" s="1802">
        <v>0</v>
      </c>
      <c r="CC101" s="1802">
        <v>0</v>
      </c>
      <c r="CD101" s="1802">
        <v>0</v>
      </c>
      <c r="CE101" s="1802">
        <v>0</v>
      </c>
      <c r="CF101" s="1802">
        <v>0</v>
      </c>
      <c r="CG101" s="1802">
        <v>0</v>
      </c>
      <c r="CH101" s="1802">
        <v>0</v>
      </c>
      <c r="CI101" s="1802">
        <v>0</v>
      </c>
      <c r="CJ101" s="1802">
        <v>0</v>
      </c>
      <c r="CK101" s="1802">
        <v>0</v>
      </c>
      <c r="CL101" s="1802">
        <v>0</v>
      </c>
      <c r="CM101" s="1802">
        <v>0</v>
      </c>
      <c r="CN101" s="1802">
        <v>0</v>
      </c>
      <c r="CO101" s="1802">
        <v>0</v>
      </c>
      <c r="CP101" s="1802">
        <v>0</v>
      </c>
      <c r="CQ101" s="1802">
        <v>0</v>
      </c>
      <c r="CR101" s="1802">
        <v>0</v>
      </c>
      <c r="CS101" s="1802">
        <v>0</v>
      </c>
      <c r="CT101" s="1802">
        <v>0</v>
      </c>
      <c r="CU101" s="1802">
        <v>0</v>
      </c>
      <c r="CV101" s="1802">
        <v>0</v>
      </c>
      <c r="CW101" s="1802">
        <v>0</v>
      </c>
      <c r="CX101" s="1802">
        <v>0</v>
      </c>
      <c r="CY101" s="1802">
        <v>0</v>
      </c>
      <c r="CZ101" s="1802">
        <v>0</v>
      </c>
      <c r="DA101" s="1802">
        <v>0</v>
      </c>
      <c r="DB101" s="1802">
        <v>0</v>
      </c>
      <c r="DC101" s="1802">
        <v>0</v>
      </c>
      <c r="DD101" s="1802">
        <v>0</v>
      </c>
      <c r="DE101" s="1802">
        <v>0</v>
      </c>
      <c r="DF101" s="1802">
        <v>0</v>
      </c>
      <c r="DG101" s="1802">
        <v>0</v>
      </c>
      <c r="DH101" s="1802">
        <v>0</v>
      </c>
      <c r="DI101" s="1802">
        <v>0</v>
      </c>
      <c r="DJ101" s="1802">
        <v>0</v>
      </c>
      <c r="DK101" s="1802">
        <v>0</v>
      </c>
      <c r="DL101" s="1802">
        <v>0</v>
      </c>
      <c r="DM101" s="1802">
        <v>0</v>
      </c>
      <c r="DN101" s="1802">
        <v>0</v>
      </c>
      <c r="DO101" s="1802">
        <v>0</v>
      </c>
      <c r="DP101" s="1802">
        <v>0</v>
      </c>
      <c r="DQ101" s="1802">
        <v>0</v>
      </c>
      <c r="DR101" s="1802">
        <v>0</v>
      </c>
      <c r="DS101" s="1802">
        <v>0</v>
      </c>
      <c r="DT101" s="1802">
        <v>0</v>
      </c>
      <c r="DU101" s="1802">
        <v>0</v>
      </c>
      <c r="DV101" s="1802">
        <v>0</v>
      </c>
      <c r="DW101" s="1802">
        <v>0</v>
      </c>
      <c r="DX101" s="1802">
        <v>0</v>
      </c>
      <c r="DY101" s="1802">
        <v>0</v>
      </c>
      <c r="DZ101" s="1802">
        <v>0</v>
      </c>
      <c r="EA101" s="1802">
        <v>0</v>
      </c>
      <c r="EB101" s="1802">
        <v>0</v>
      </c>
      <c r="EC101" s="1802">
        <v>0</v>
      </c>
      <c r="ED101" s="1802">
        <v>0</v>
      </c>
      <c r="EE101" s="1802">
        <v>0</v>
      </c>
      <c r="EF101" s="1802">
        <v>0</v>
      </c>
      <c r="EG101" s="1802">
        <v>0</v>
      </c>
      <c r="EH101" s="1802">
        <v>0</v>
      </c>
      <c r="EI101" s="1802">
        <v>0</v>
      </c>
      <c r="EJ101" s="1802">
        <v>0</v>
      </c>
      <c r="EK101" s="1802">
        <v>0</v>
      </c>
      <c r="EL101" s="1802">
        <v>0</v>
      </c>
      <c r="EM101" s="1802">
        <v>0</v>
      </c>
      <c r="EN101" s="1802">
        <v>0</v>
      </c>
      <c r="EO101" s="1802">
        <v>0</v>
      </c>
      <c r="EP101" s="1802">
        <v>0</v>
      </c>
      <c r="EQ101" s="1802">
        <v>0</v>
      </c>
      <c r="ER101" s="1802">
        <v>0</v>
      </c>
      <c r="ES101" s="1802">
        <v>0</v>
      </c>
      <c r="ET101" s="1802">
        <v>0</v>
      </c>
      <c r="EU101" s="1802">
        <v>0</v>
      </c>
      <c r="EV101" s="1802">
        <v>0</v>
      </c>
      <c r="EW101" s="1802">
        <v>0</v>
      </c>
      <c r="EX101" s="1802">
        <v>0</v>
      </c>
      <c r="EY101" s="1802">
        <v>0</v>
      </c>
      <c r="EZ101" s="1802">
        <v>0</v>
      </c>
      <c r="FA101" s="1802">
        <v>0</v>
      </c>
      <c r="FB101" s="1802">
        <v>0</v>
      </c>
      <c r="FC101" s="1802">
        <v>0</v>
      </c>
      <c r="FD101" s="1802">
        <v>0</v>
      </c>
      <c r="FE101" s="1802">
        <v>0</v>
      </c>
      <c r="FF101" s="1802">
        <v>0</v>
      </c>
      <c r="FG101" s="1802">
        <v>0</v>
      </c>
      <c r="FH101" s="1802">
        <v>0</v>
      </c>
      <c r="FI101" s="1802">
        <v>0</v>
      </c>
      <c r="FJ101" s="1802">
        <v>0</v>
      </c>
      <c r="FK101" s="1802">
        <v>0</v>
      </c>
      <c r="FL101" s="1802">
        <v>0</v>
      </c>
      <c r="FM101" s="1802">
        <v>0</v>
      </c>
      <c r="FN101" s="1802">
        <v>0</v>
      </c>
      <c r="FO101" s="1802">
        <v>0</v>
      </c>
      <c r="FP101" s="1802">
        <v>0</v>
      </c>
      <c r="FQ101" s="1802">
        <v>0</v>
      </c>
      <c r="FR101" s="1802">
        <v>0</v>
      </c>
      <c r="FS101" s="1802">
        <v>0</v>
      </c>
      <c r="FT101" s="1802">
        <v>0</v>
      </c>
      <c r="FU101" s="1802">
        <v>0</v>
      </c>
      <c r="FV101" s="1802">
        <v>0</v>
      </c>
      <c r="FW101" s="1802">
        <v>0</v>
      </c>
      <c r="FX101" s="1802">
        <v>0</v>
      </c>
      <c r="FY101" s="1802">
        <v>0</v>
      </c>
      <c r="FZ101" s="1802">
        <v>0</v>
      </c>
      <c r="GA101" s="1802">
        <v>0</v>
      </c>
      <c r="GB101" s="1802">
        <v>0</v>
      </c>
      <c r="GC101" s="1802">
        <v>0</v>
      </c>
      <c r="GD101" s="1802">
        <v>0</v>
      </c>
      <c r="GE101" s="1802">
        <v>0</v>
      </c>
      <c r="GF101" s="1802">
        <v>0</v>
      </c>
      <c r="GG101" s="1802">
        <v>0</v>
      </c>
      <c r="GH101" s="1802">
        <v>0</v>
      </c>
      <c r="GI101" s="1802">
        <v>0</v>
      </c>
      <c r="GJ101" s="1802">
        <v>0</v>
      </c>
      <c r="GK101" s="1802">
        <v>0</v>
      </c>
      <c r="GL101" s="1802">
        <v>0</v>
      </c>
      <c r="GM101" s="1802">
        <v>0</v>
      </c>
      <c r="GN101" s="1802">
        <v>0</v>
      </c>
      <c r="GO101" s="1802">
        <v>0</v>
      </c>
      <c r="GP101" s="1802">
        <v>0</v>
      </c>
      <c r="GQ101" s="1802">
        <v>0</v>
      </c>
      <c r="GR101" s="1802">
        <v>0</v>
      </c>
      <c r="GS101" s="1802">
        <v>0</v>
      </c>
      <c r="GT101" s="1802">
        <v>0</v>
      </c>
      <c r="GU101" s="1802">
        <v>0</v>
      </c>
      <c r="GV101" s="1802">
        <v>0</v>
      </c>
      <c r="GW101" s="1802">
        <v>0</v>
      </c>
      <c r="GX101" s="1802">
        <v>0</v>
      </c>
      <c r="GY101" s="1802">
        <v>0</v>
      </c>
      <c r="GZ101" s="1802">
        <v>0</v>
      </c>
      <c r="HA101" s="1802">
        <v>0</v>
      </c>
      <c r="HB101" s="1802">
        <v>0</v>
      </c>
      <c r="HC101" s="1802">
        <v>0</v>
      </c>
      <c r="HD101" s="1802">
        <v>0</v>
      </c>
      <c r="HE101" s="1802">
        <v>0</v>
      </c>
    </row>
    <row r="102" spans="1:213" ht="30" customHeight="1" thickBot="1" x14ac:dyDescent="0.25">
      <c r="A102" s="1692" t="s">
        <v>2345</v>
      </c>
      <c r="B102" s="1698" t="s">
        <v>555</v>
      </c>
      <c r="C102" s="1699" t="s">
        <v>2346</v>
      </c>
      <c r="D102" s="1881"/>
      <c r="E102" s="1843"/>
      <c r="F102" s="1836">
        <v>0</v>
      </c>
      <c r="G102" s="1802">
        <v>0</v>
      </c>
      <c r="H102" s="1802">
        <v>0</v>
      </c>
      <c r="I102" s="1802">
        <v>0</v>
      </c>
      <c r="J102" s="1802">
        <v>0</v>
      </c>
      <c r="K102" s="1802">
        <v>0</v>
      </c>
      <c r="L102" s="1802">
        <v>0</v>
      </c>
      <c r="M102" s="1802">
        <v>0</v>
      </c>
      <c r="N102" s="1802">
        <v>0</v>
      </c>
      <c r="O102" s="1802">
        <v>0</v>
      </c>
      <c r="P102" s="1802">
        <v>0</v>
      </c>
      <c r="Q102" s="1802">
        <v>0</v>
      </c>
      <c r="R102" s="1802">
        <v>0</v>
      </c>
      <c r="S102" s="1802">
        <v>0</v>
      </c>
      <c r="T102" s="1802">
        <v>0</v>
      </c>
      <c r="U102" s="1802">
        <v>0</v>
      </c>
      <c r="V102" s="1802">
        <v>0</v>
      </c>
      <c r="W102" s="1802">
        <v>0</v>
      </c>
      <c r="X102" s="1802">
        <v>0</v>
      </c>
      <c r="Y102" s="1802">
        <v>0</v>
      </c>
      <c r="Z102" s="1802">
        <v>0</v>
      </c>
      <c r="AA102" s="1802">
        <v>0</v>
      </c>
      <c r="AB102" s="1802">
        <v>0</v>
      </c>
      <c r="AC102" s="1802">
        <v>0</v>
      </c>
      <c r="AD102" s="1802">
        <v>0</v>
      </c>
      <c r="AE102" s="1802">
        <v>0</v>
      </c>
      <c r="AF102" s="1802">
        <v>0</v>
      </c>
      <c r="AG102" s="1802">
        <v>0</v>
      </c>
      <c r="AH102" s="1802">
        <v>0</v>
      </c>
      <c r="AI102" s="1802">
        <v>0</v>
      </c>
      <c r="AJ102" s="1802">
        <v>0</v>
      </c>
      <c r="AK102" s="1802">
        <v>0</v>
      </c>
      <c r="AL102" s="1802">
        <v>0</v>
      </c>
      <c r="AM102" s="1802">
        <v>0</v>
      </c>
      <c r="AN102" s="1802">
        <v>0</v>
      </c>
      <c r="AO102" s="1802">
        <v>0</v>
      </c>
      <c r="AP102" s="1802">
        <v>0</v>
      </c>
      <c r="AQ102" s="1802">
        <v>0</v>
      </c>
      <c r="AR102" s="1802">
        <v>0</v>
      </c>
      <c r="AS102" s="1802">
        <v>0</v>
      </c>
      <c r="AT102" s="1802">
        <v>0</v>
      </c>
      <c r="AU102" s="1802">
        <v>0</v>
      </c>
      <c r="AV102" s="1802">
        <v>0</v>
      </c>
      <c r="AW102" s="1802">
        <v>0</v>
      </c>
      <c r="AX102" s="1802">
        <v>0</v>
      </c>
      <c r="AY102" s="1802">
        <v>0</v>
      </c>
      <c r="AZ102" s="1802">
        <v>0</v>
      </c>
      <c r="BA102" s="1802">
        <v>0</v>
      </c>
      <c r="BB102" s="1802">
        <v>0</v>
      </c>
      <c r="BC102" s="1802">
        <v>0</v>
      </c>
      <c r="BD102" s="1802">
        <v>0</v>
      </c>
      <c r="BE102" s="1802">
        <v>0</v>
      </c>
      <c r="BF102" s="1802">
        <v>0</v>
      </c>
      <c r="BG102" s="1802">
        <v>0</v>
      </c>
      <c r="BH102" s="1802">
        <v>0</v>
      </c>
      <c r="BI102" s="1802">
        <v>0</v>
      </c>
      <c r="BJ102" s="1802">
        <v>0</v>
      </c>
      <c r="BK102" s="1802">
        <v>0</v>
      </c>
      <c r="BL102" s="1802">
        <v>0</v>
      </c>
      <c r="BM102" s="1802">
        <v>0</v>
      </c>
      <c r="BN102" s="1802">
        <v>0</v>
      </c>
      <c r="BO102" s="1802">
        <v>0</v>
      </c>
      <c r="BP102" s="1802">
        <v>0</v>
      </c>
      <c r="BQ102" s="1802">
        <v>0</v>
      </c>
      <c r="BR102" s="1802">
        <v>0</v>
      </c>
      <c r="BS102" s="1802">
        <v>0</v>
      </c>
      <c r="BT102" s="1802">
        <v>0</v>
      </c>
      <c r="BU102" s="1802">
        <v>0</v>
      </c>
      <c r="BV102" s="1802">
        <v>0</v>
      </c>
      <c r="BW102" s="1802">
        <v>0</v>
      </c>
      <c r="BX102" s="1802">
        <v>0</v>
      </c>
      <c r="BY102" s="1802">
        <v>0</v>
      </c>
      <c r="BZ102" s="1802">
        <v>0</v>
      </c>
      <c r="CA102" s="1802">
        <v>0</v>
      </c>
      <c r="CB102" s="1802">
        <v>0</v>
      </c>
      <c r="CC102" s="1802">
        <v>0</v>
      </c>
      <c r="CD102" s="1802">
        <v>0</v>
      </c>
      <c r="CE102" s="1802">
        <v>0</v>
      </c>
      <c r="CF102" s="1802">
        <v>0</v>
      </c>
      <c r="CG102" s="1802">
        <v>0</v>
      </c>
      <c r="CH102" s="1802">
        <v>0</v>
      </c>
      <c r="CI102" s="1802">
        <v>0</v>
      </c>
      <c r="CJ102" s="1802">
        <v>0</v>
      </c>
      <c r="CK102" s="1802">
        <v>0</v>
      </c>
      <c r="CL102" s="1802">
        <v>0</v>
      </c>
      <c r="CM102" s="1802">
        <v>0</v>
      </c>
      <c r="CN102" s="1802">
        <v>0</v>
      </c>
      <c r="CO102" s="1802">
        <v>0</v>
      </c>
      <c r="CP102" s="1802">
        <v>0</v>
      </c>
      <c r="CQ102" s="1802">
        <v>0</v>
      </c>
      <c r="CR102" s="1802">
        <v>0</v>
      </c>
      <c r="CS102" s="1802">
        <v>0</v>
      </c>
      <c r="CT102" s="1802">
        <v>0</v>
      </c>
      <c r="CU102" s="1802">
        <v>0</v>
      </c>
      <c r="CV102" s="1802">
        <v>0</v>
      </c>
      <c r="CW102" s="1802">
        <v>0</v>
      </c>
      <c r="CX102" s="1802">
        <v>0</v>
      </c>
      <c r="CY102" s="1802">
        <v>0</v>
      </c>
      <c r="CZ102" s="1802">
        <v>0</v>
      </c>
      <c r="DA102" s="1802">
        <v>0</v>
      </c>
      <c r="DB102" s="1802">
        <v>0</v>
      </c>
      <c r="DC102" s="1802">
        <v>0</v>
      </c>
      <c r="DD102" s="1802">
        <v>0</v>
      </c>
      <c r="DE102" s="1802">
        <v>0</v>
      </c>
      <c r="DF102" s="1802">
        <v>0</v>
      </c>
      <c r="DG102" s="1802">
        <v>0</v>
      </c>
      <c r="DH102" s="1802">
        <v>0</v>
      </c>
      <c r="DI102" s="1802">
        <v>0</v>
      </c>
      <c r="DJ102" s="1802">
        <v>0</v>
      </c>
      <c r="DK102" s="1802">
        <v>0</v>
      </c>
      <c r="DL102" s="1802">
        <v>0</v>
      </c>
      <c r="DM102" s="1802">
        <v>0</v>
      </c>
      <c r="DN102" s="1802">
        <v>0</v>
      </c>
      <c r="DO102" s="1802">
        <v>0</v>
      </c>
      <c r="DP102" s="1802">
        <v>0</v>
      </c>
      <c r="DQ102" s="1802">
        <v>0</v>
      </c>
      <c r="DR102" s="1802">
        <v>0</v>
      </c>
      <c r="DS102" s="1802">
        <v>0</v>
      </c>
      <c r="DT102" s="1802">
        <v>0</v>
      </c>
      <c r="DU102" s="1802">
        <v>0</v>
      </c>
      <c r="DV102" s="1802">
        <v>0</v>
      </c>
      <c r="DW102" s="1802">
        <v>0</v>
      </c>
      <c r="DX102" s="1802">
        <v>0</v>
      </c>
      <c r="DY102" s="1802">
        <v>0</v>
      </c>
      <c r="DZ102" s="1802">
        <v>0</v>
      </c>
      <c r="EA102" s="1802">
        <v>0</v>
      </c>
      <c r="EB102" s="1802">
        <v>0</v>
      </c>
      <c r="EC102" s="1802">
        <v>0</v>
      </c>
      <c r="ED102" s="1802">
        <v>0</v>
      </c>
      <c r="EE102" s="1802">
        <v>0</v>
      </c>
      <c r="EF102" s="1802">
        <v>0</v>
      </c>
      <c r="EG102" s="1802">
        <v>0</v>
      </c>
      <c r="EH102" s="1802">
        <v>0</v>
      </c>
      <c r="EI102" s="1802">
        <v>0</v>
      </c>
      <c r="EJ102" s="1802">
        <v>0</v>
      </c>
      <c r="EK102" s="1802">
        <v>0</v>
      </c>
      <c r="EL102" s="1802">
        <v>0</v>
      </c>
      <c r="EM102" s="1802">
        <v>0</v>
      </c>
      <c r="EN102" s="1802">
        <v>0</v>
      </c>
      <c r="EO102" s="1802">
        <v>0</v>
      </c>
      <c r="EP102" s="1802">
        <v>0</v>
      </c>
      <c r="EQ102" s="1802">
        <v>0</v>
      </c>
      <c r="ER102" s="1802">
        <v>0</v>
      </c>
      <c r="ES102" s="1802">
        <v>0</v>
      </c>
      <c r="ET102" s="1802">
        <v>0</v>
      </c>
      <c r="EU102" s="1802">
        <v>0</v>
      </c>
      <c r="EV102" s="1802">
        <v>0</v>
      </c>
      <c r="EW102" s="1802">
        <v>0</v>
      </c>
      <c r="EX102" s="1802">
        <v>0</v>
      </c>
      <c r="EY102" s="1802">
        <v>0</v>
      </c>
      <c r="EZ102" s="1802">
        <v>0</v>
      </c>
      <c r="FA102" s="1802">
        <v>0</v>
      </c>
      <c r="FB102" s="1802">
        <v>0</v>
      </c>
      <c r="FC102" s="1802">
        <v>0</v>
      </c>
      <c r="FD102" s="1802">
        <v>0</v>
      </c>
      <c r="FE102" s="1802">
        <v>0</v>
      </c>
      <c r="FF102" s="1802">
        <v>0</v>
      </c>
      <c r="FG102" s="1802">
        <v>0</v>
      </c>
      <c r="FH102" s="1802">
        <v>0</v>
      </c>
      <c r="FI102" s="1802">
        <v>0</v>
      </c>
      <c r="FJ102" s="1802">
        <v>0</v>
      </c>
      <c r="FK102" s="1802">
        <v>0</v>
      </c>
      <c r="FL102" s="1802">
        <v>0</v>
      </c>
      <c r="FM102" s="1802">
        <v>0</v>
      </c>
      <c r="FN102" s="1802">
        <v>0</v>
      </c>
      <c r="FO102" s="1802">
        <v>0</v>
      </c>
      <c r="FP102" s="1802">
        <v>0</v>
      </c>
      <c r="FQ102" s="1802">
        <v>0</v>
      </c>
      <c r="FR102" s="1802">
        <v>0</v>
      </c>
      <c r="FS102" s="1802">
        <v>0</v>
      </c>
      <c r="FT102" s="1802">
        <v>0</v>
      </c>
      <c r="FU102" s="1802">
        <v>0</v>
      </c>
      <c r="FV102" s="1802">
        <v>0</v>
      </c>
      <c r="FW102" s="1802">
        <v>0</v>
      </c>
      <c r="FX102" s="1802">
        <v>0</v>
      </c>
      <c r="FY102" s="1802">
        <v>0</v>
      </c>
      <c r="FZ102" s="1802">
        <v>0</v>
      </c>
      <c r="GA102" s="1802">
        <v>0</v>
      </c>
      <c r="GB102" s="1802">
        <v>0</v>
      </c>
      <c r="GC102" s="1802">
        <v>0</v>
      </c>
      <c r="GD102" s="1802">
        <v>0</v>
      </c>
      <c r="GE102" s="1802">
        <v>0</v>
      </c>
      <c r="GF102" s="1802">
        <v>0</v>
      </c>
      <c r="GG102" s="1802">
        <v>0</v>
      </c>
      <c r="GH102" s="1802">
        <v>0</v>
      </c>
      <c r="GI102" s="1802">
        <v>0</v>
      </c>
      <c r="GJ102" s="1802">
        <v>0</v>
      </c>
      <c r="GK102" s="1802">
        <v>0</v>
      </c>
      <c r="GL102" s="1802">
        <v>0</v>
      </c>
      <c r="GM102" s="1802">
        <v>0</v>
      </c>
      <c r="GN102" s="1802">
        <v>0</v>
      </c>
      <c r="GO102" s="1802">
        <v>0</v>
      </c>
      <c r="GP102" s="1802">
        <v>0</v>
      </c>
      <c r="GQ102" s="1802">
        <v>0</v>
      </c>
      <c r="GR102" s="1802">
        <v>0</v>
      </c>
      <c r="GS102" s="1802">
        <v>0</v>
      </c>
      <c r="GT102" s="1802">
        <v>0</v>
      </c>
      <c r="GU102" s="1802">
        <v>0</v>
      </c>
      <c r="GV102" s="1802">
        <v>0</v>
      </c>
      <c r="GW102" s="1802">
        <v>0</v>
      </c>
      <c r="GX102" s="1802">
        <v>0</v>
      </c>
      <c r="GY102" s="1802">
        <v>0</v>
      </c>
      <c r="GZ102" s="1802">
        <v>0</v>
      </c>
      <c r="HA102" s="1802">
        <v>0</v>
      </c>
      <c r="HB102" s="1802">
        <v>0</v>
      </c>
      <c r="HC102" s="1802">
        <v>0</v>
      </c>
      <c r="HD102" s="1802">
        <v>0</v>
      </c>
      <c r="HE102" s="1802">
        <v>0</v>
      </c>
    </row>
    <row r="103" spans="1:213" ht="21" customHeight="1" thickBot="1" x14ac:dyDescent="0.25">
      <c r="A103" s="1949" t="s">
        <v>2347</v>
      </c>
      <c r="B103" s="1988" t="s">
        <v>1002</v>
      </c>
      <c r="C103" s="1699" t="s">
        <v>586</v>
      </c>
      <c r="D103" s="1880"/>
      <c r="E103" s="1984"/>
      <c r="F103" s="1865"/>
      <c r="G103" s="1866"/>
      <c r="H103" s="1866"/>
      <c r="I103" s="1866"/>
      <c r="J103" s="1866"/>
      <c r="K103" s="1866"/>
      <c r="L103" s="1866"/>
      <c r="M103" s="1866"/>
      <c r="N103" s="1866"/>
      <c r="O103" s="1866"/>
      <c r="P103" s="1866"/>
      <c r="Q103" s="1866"/>
      <c r="R103" s="1866"/>
      <c r="S103" s="1866"/>
      <c r="T103" s="1866"/>
      <c r="U103" s="1866"/>
      <c r="V103" s="1866"/>
      <c r="W103" s="1866"/>
      <c r="X103" s="1866"/>
      <c r="Y103" s="1866"/>
      <c r="Z103" s="1866"/>
      <c r="AA103" s="1866"/>
      <c r="AB103" s="1866"/>
      <c r="AC103" s="1866"/>
      <c r="AD103" s="1866"/>
      <c r="AE103" s="1866"/>
      <c r="AF103" s="1866"/>
      <c r="AG103" s="1866"/>
      <c r="AH103" s="1866"/>
      <c r="AI103" s="1866"/>
      <c r="AJ103" s="1866"/>
      <c r="AK103" s="1866"/>
      <c r="AL103" s="1866"/>
      <c r="AM103" s="1866"/>
      <c r="AN103" s="1866"/>
      <c r="AO103" s="1866"/>
      <c r="AP103" s="1866"/>
      <c r="AQ103" s="1866"/>
      <c r="AR103" s="1866"/>
      <c r="AS103" s="1866"/>
      <c r="AT103" s="1866"/>
      <c r="AU103" s="1866"/>
      <c r="AV103" s="1866"/>
      <c r="AW103" s="1866"/>
      <c r="AX103" s="1866"/>
      <c r="AY103" s="1866"/>
      <c r="AZ103" s="1866"/>
      <c r="BA103" s="1866"/>
      <c r="BB103" s="1866"/>
      <c r="BC103" s="1866"/>
      <c r="BD103" s="1866"/>
      <c r="BE103" s="1866"/>
      <c r="BF103" s="1866"/>
      <c r="BG103" s="1866"/>
      <c r="BH103" s="1866"/>
      <c r="BI103" s="1866"/>
      <c r="BJ103" s="1866"/>
      <c r="BK103" s="1866"/>
      <c r="BL103" s="1866"/>
      <c r="BM103" s="1866"/>
      <c r="BN103" s="1866"/>
      <c r="BO103" s="1866"/>
      <c r="BP103" s="1866"/>
      <c r="BQ103" s="1866"/>
      <c r="BR103" s="1866"/>
      <c r="BS103" s="1866"/>
      <c r="BT103" s="1866"/>
      <c r="BU103" s="1866"/>
      <c r="BV103" s="1866"/>
      <c r="BW103" s="1866"/>
      <c r="BX103" s="1866"/>
      <c r="BY103" s="1866"/>
      <c r="BZ103" s="1866"/>
      <c r="CA103" s="1866"/>
      <c r="CB103" s="1866"/>
      <c r="CC103" s="1866"/>
      <c r="CD103" s="1866"/>
      <c r="CE103" s="1866"/>
      <c r="CF103" s="1866"/>
      <c r="CG103" s="1866"/>
      <c r="CH103" s="1866"/>
      <c r="CI103" s="1866"/>
      <c r="CJ103" s="1866"/>
      <c r="CK103" s="1866"/>
      <c r="CL103" s="1866"/>
      <c r="CM103" s="1866"/>
      <c r="CN103" s="1866"/>
      <c r="CO103" s="1866"/>
      <c r="CP103" s="1866"/>
      <c r="CQ103" s="1866"/>
      <c r="CR103" s="1866"/>
      <c r="CS103" s="1866"/>
      <c r="CT103" s="1866"/>
      <c r="CU103" s="1866"/>
      <c r="CV103" s="1866"/>
      <c r="CW103" s="1866"/>
      <c r="CX103" s="1866"/>
      <c r="CY103" s="1866"/>
      <c r="CZ103" s="1866"/>
      <c r="DA103" s="1866"/>
      <c r="DB103" s="1866"/>
      <c r="DC103" s="1866"/>
      <c r="DD103" s="1866"/>
      <c r="DE103" s="1866"/>
      <c r="DF103" s="1866"/>
      <c r="DG103" s="1866"/>
      <c r="DH103" s="1866"/>
      <c r="DI103" s="1866"/>
      <c r="DJ103" s="1866"/>
      <c r="DK103" s="1866"/>
      <c r="DL103" s="1866"/>
      <c r="DM103" s="1866"/>
      <c r="DN103" s="1866"/>
      <c r="DO103" s="1866"/>
      <c r="DP103" s="1866"/>
      <c r="DQ103" s="1866"/>
      <c r="DR103" s="1866"/>
      <c r="DS103" s="1866"/>
      <c r="DT103" s="1866"/>
      <c r="DU103" s="1866"/>
      <c r="DV103" s="1866"/>
      <c r="DW103" s="1866"/>
      <c r="DX103" s="1866"/>
      <c r="DY103" s="1866"/>
      <c r="DZ103" s="1866"/>
      <c r="EA103" s="1866"/>
      <c r="EB103" s="1866"/>
      <c r="EC103" s="1866"/>
      <c r="ED103" s="1866"/>
      <c r="EE103" s="1866"/>
      <c r="EF103" s="1866"/>
      <c r="EG103" s="1866"/>
      <c r="EH103" s="1866"/>
      <c r="EI103" s="1866"/>
      <c r="EJ103" s="1866"/>
      <c r="EK103" s="1866"/>
      <c r="EL103" s="1866"/>
      <c r="EM103" s="1866"/>
      <c r="EN103" s="1866"/>
      <c r="EO103" s="1866"/>
      <c r="EP103" s="1866"/>
      <c r="EQ103" s="1866"/>
      <c r="ER103" s="1866"/>
      <c r="ES103" s="1866"/>
      <c r="ET103" s="1866"/>
      <c r="EU103" s="1866"/>
      <c r="EV103" s="1866"/>
      <c r="EW103" s="1866"/>
      <c r="EX103" s="1866"/>
      <c r="EY103" s="1866"/>
      <c r="EZ103" s="1866"/>
      <c r="FA103" s="1866"/>
      <c r="FB103" s="1866"/>
      <c r="FC103" s="1866"/>
      <c r="FD103" s="1866"/>
      <c r="FE103" s="1866"/>
      <c r="FF103" s="1866"/>
      <c r="FG103" s="1866"/>
      <c r="FH103" s="1866"/>
      <c r="FI103" s="1866"/>
      <c r="FJ103" s="1866"/>
      <c r="FK103" s="1866"/>
      <c r="FL103" s="1866"/>
      <c r="FM103" s="1866"/>
      <c r="FN103" s="1866"/>
      <c r="FO103" s="1866"/>
      <c r="FP103" s="1866"/>
      <c r="FQ103" s="1866"/>
      <c r="FR103" s="1866"/>
      <c r="FS103" s="1866"/>
      <c r="FT103" s="1866"/>
      <c r="FU103" s="1866"/>
      <c r="FV103" s="1866"/>
      <c r="FW103" s="1866"/>
      <c r="FX103" s="1866"/>
      <c r="FY103" s="1866"/>
      <c r="FZ103" s="1866"/>
      <c r="GA103" s="1866"/>
      <c r="GB103" s="1866"/>
      <c r="GC103" s="1866"/>
      <c r="GD103" s="1866"/>
      <c r="GE103" s="1866"/>
      <c r="GF103" s="1866"/>
      <c r="GG103" s="1866"/>
      <c r="GH103" s="1866"/>
      <c r="GI103" s="1866"/>
      <c r="GJ103" s="1866"/>
      <c r="GK103" s="1866"/>
      <c r="GL103" s="1866"/>
      <c r="GM103" s="1866"/>
      <c r="GN103" s="1866"/>
      <c r="GO103" s="1866"/>
      <c r="GP103" s="1866"/>
      <c r="GQ103" s="1866"/>
      <c r="GR103" s="1866"/>
      <c r="GS103" s="1866"/>
      <c r="GT103" s="1866"/>
      <c r="GU103" s="1866"/>
      <c r="GV103" s="1866"/>
      <c r="GW103" s="1866"/>
      <c r="GX103" s="1866"/>
      <c r="GY103" s="1866"/>
      <c r="GZ103" s="1866"/>
      <c r="HA103" s="1866"/>
      <c r="HB103" s="1866"/>
      <c r="HC103" s="1866"/>
      <c r="HD103" s="1866"/>
      <c r="HE103" s="1866"/>
    </row>
    <row r="104" spans="1:213" ht="15" customHeight="1" x14ac:dyDescent="0.2">
      <c r="A104" s="1995"/>
      <c r="B104" s="1989"/>
      <c r="C104" s="1705" t="s">
        <v>587</v>
      </c>
      <c r="D104" s="1882"/>
      <c r="E104" s="1984"/>
      <c r="F104" s="1838">
        <v>0</v>
      </c>
      <c r="G104" s="1804">
        <v>0</v>
      </c>
      <c r="H104" s="1804">
        <v>0</v>
      </c>
      <c r="I104" s="1804">
        <v>0</v>
      </c>
      <c r="J104" s="1804">
        <v>0</v>
      </c>
      <c r="K104" s="1804">
        <v>0</v>
      </c>
      <c r="L104" s="1804">
        <v>0</v>
      </c>
      <c r="M104" s="1804">
        <v>0</v>
      </c>
      <c r="N104" s="1804">
        <v>0</v>
      </c>
      <c r="O104" s="1804">
        <v>0</v>
      </c>
      <c r="P104" s="1804">
        <v>0</v>
      </c>
      <c r="Q104" s="1804">
        <v>0</v>
      </c>
      <c r="R104" s="1804">
        <v>0</v>
      </c>
      <c r="S104" s="1804">
        <v>0</v>
      </c>
      <c r="T104" s="1804">
        <v>0</v>
      </c>
      <c r="U104" s="1804">
        <v>0</v>
      </c>
      <c r="V104" s="1804">
        <v>0</v>
      </c>
      <c r="W104" s="1804">
        <v>0</v>
      </c>
      <c r="X104" s="1804">
        <v>0</v>
      </c>
      <c r="Y104" s="1804">
        <v>0</v>
      </c>
      <c r="Z104" s="1804">
        <v>0</v>
      </c>
      <c r="AA104" s="1804">
        <v>0</v>
      </c>
      <c r="AB104" s="1804">
        <v>0</v>
      </c>
      <c r="AC104" s="1804">
        <v>0</v>
      </c>
      <c r="AD104" s="1804">
        <v>0</v>
      </c>
      <c r="AE104" s="1804">
        <v>0</v>
      </c>
      <c r="AF104" s="1804">
        <v>0</v>
      </c>
      <c r="AG104" s="1804">
        <v>0</v>
      </c>
      <c r="AH104" s="1804">
        <v>0</v>
      </c>
      <c r="AI104" s="1804">
        <v>0</v>
      </c>
      <c r="AJ104" s="1804">
        <v>0</v>
      </c>
      <c r="AK104" s="1804">
        <v>0</v>
      </c>
      <c r="AL104" s="1804">
        <v>0</v>
      </c>
      <c r="AM104" s="1804">
        <v>0</v>
      </c>
      <c r="AN104" s="1804">
        <v>0</v>
      </c>
      <c r="AO104" s="1804">
        <v>0</v>
      </c>
      <c r="AP104" s="1804">
        <v>0</v>
      </c>
      <c r="AQ104" s="1804">
        <v>0</v>
      </c>
      <c r="AR104" s="1804">
        <v>0</v>
      </c>
      <c r="AS104" s="1804">
        <v>0</v>
      </c>
      <c r="AT104" s="1804">
        <v>0</v>
      </c>
      <c r="AU104" s="1804">
        <v>0</v>
      </c>
      <c r="AV104" s="1804">
        <v>0</v>
      </c>
      <c r="AW104" s="1804">
        <v>0</v>
      </c>
      <c r="AX104" s="1804">
        <v>0</v>
      </c>
      <c r="AY104" s="1804">
        <v>0</v>
      </c>
      <c r="AZ104" s="1804">
        <v>0</v>
      </c>
      <c r="BA104" s="1804">
        <v>0</v>
      </c>
      <c r="BB104" s="1804">
        <v>0</v>
      </c>
      <c r="BC104" s="1804">
        <v>0</v>
      </c>
      <c r="BD104" s="1804">
        <v>0</v>
      </c>
      <c r="BE104" s="1804">
        <v>0</v>
      </c>
      <c r="BF104" s="1804">
        <v>0</v>
      </c>
      <c r="BG104" s="1804">
        <v>0</v>
      </c>
      <c r="BH104" s="1804">
        <v>0</v>
      </c>
      <c r="BI104" s="1804">
        <v>0</v>
      </c>
      <c r="BJ104" s="1804">
        <v>0</v>
      </c>
      <c r="BK104" s="1804">
        <v>0</v>
      </c>
      <c r="BL104" s="1804">
        <v>0</v>
      </c>
      <c r="BM104" s="1804">
        <v>0</v>
      </c>
      <c r="BN104" s="1804">
        <v>0</v>
      </c>
      <c r="BO104" s="1804">
        <v>0</v>
      </c>
      <c r="BP104" s="1804">
        <v>0</v>
      </c>
      <c r="BQ104" s="1804">
        <v>0</v>
      </c>
      <c r="BR104" s="1804">
        <v>0</v>
      </c>
      <c r="BS104" s="1804">
        <v>0</v>
      </c>
      <c r="BT104" s="1804">
        <v>0</v>
      </c>
      <c r="BU104" s="1804">
        <v>0</v>
      </c>
      <c r="BV104" s="1804">
        <v>0</v>
      </c>
      <c r="BW104" s="1804">
        <v>0</v>
      </c>
      <c r="BX104" s="1804">
        <v>0</v>
      </c>
      <c r="BY104" s="1804">
        <v>0</v>
      </c>
      <c r="BZ104" s="1804">
        <v>0</v>
      </c>
      <c r="CA104" s="1804">
        <v>0</v>
      </c>
      <c r="CB104" s="1804">
        <v>0</v>
      </c>
      <c r="CC104" s="1804">
        <v>0</v>
      </c>
      <c r="CD104" s="1804">
        <v>0</v>
      </c>
      <c r="CE104" s="1804">
        <v>0</v>
      </c>
      <c r="CF104" s="1804">
        <v>0</v>
      </c>
      <c r="CG104" s="1804">
        <v>0</v>
      </c>
      <c r="CH104" s="1804">
        <v>0</v>
      </c>
      <c r="CI104" s="1804">
        <v>0</v>
      </c>
      <c r="CJ104" s="1804">
        <v>0</v>
      </c>
      <c r="CK104" s="1804">
        <v>0</v>
      </c>
      <c r="CL104" s="1804">
        <v>0</v>
      </c>
      <c r="CM104" s="1804">
        <v>0</v>
      </c>
      <c r="CN104" s="1804">
        <v>0</v>
      </c>
      <c r="CO104" s="1804">
        <v>0</v>
      </c>
      <c r="CP104" s="1804">
        <v>0</v>
      </c>
      <c r="CQ104" s="1804">
        <v>0</v>
      </c>
      <c r="CR104" s="1804">
        <v>0</v>
      </c>
      <c r="CS104" s="1804">
        <v>0</v>
      </c>
      <c r="CT104" s="1804">
        <v>0</v>
      </c>
      <c r="CU104" s="1804">
        <v>0</v>
      </c>
      <c r="CV104" s="1804">
        <v>0</v>
      </c>
      <c r="CW104" s="1804">
        <v>0</v>
      </c>
      <c r="CX104" s="1804">
        <v>0</v>
      </c>
      <c r="CY104" s="1804">
        <v>0</v>
      </c>
      <c r="CZ104" s="1804">
        <v>0</v>
      </c>
      <c r="DA104" s="1804">
        <v>0</v>
      </c>
      <c r="DB104" s="1804">
        <v>0</v>
      </c>
      <c r="DC104" s="1804">
        <v>0</v>
      </c>
      <c r="DD104" s="1804">
        <v>0</v>
      </c>
      <c r="DE104" s="1804">
        <v>0</v>
      </c>
      <c r="DF104" s="1804">
        <v>0</v>
      </c>
      <c r="DG104" s="1804">
        <v>0</v>
      </c>
      <c r="DH104" s="1804">
        <v>0</v>
      </c>
      <c r="DI104" s="1804">
        <v>0</v>
      </c>
      <c r="DJ104" s="1804">
        <v>0</v>
      </c>
      <c r="DK104" s="1804">
        <v>0</v>
      </c>
      <c r="DL104" s="1804">
        <v>0</v>
      </c>
      <c r="DM104" s="1804">
        <v>0</v>
      </c>
      <c r="DN104" s="1804">
        <v>0</v>
      </c>
      <c r="DO104" s="1804">
        <v>0</v>
      </c>
      <c r="DP104" s="1804">
        <v>0</v>
      </c>
      <c r="DQ104" s="1804">
        <v>0</v>
      </c>
      <c r="DR104" s="1804">
        <v>0</v>
      </c>
      <c r="DS104" s="1804">
        <v>0</v>
      </c>
      <c r="DT104" s="1804">
        <v>0</v>
      </c>
      <c r="DU104" s="1804">
        <v>0</v>
      </c>
      <c r="DV104" s="1804">
        <v>0</v>
      </c>
      <c r="DW104" s="1804">
        <v>0</v>
      </c>
      <c r="DX104" s="1804">
        <v>0</v>
      </c>
      <c r="DY104" s="1804">
        <v>0</v>
      </c>
      <c r="DZ104" s="1804">
        <v>0</v>
      </c>
      <c r="EA104" s="1804">
        <v>0</v>
      </c>
      <c r="EB104" s="1804">
        <v>0</v>
      </c>
      <c r="EC104" s="1804">
        <v>0</v>
      </c>
      <c r="ED104" s="1804">
        <v>0</v>
      </c>
      <c r="EE104" s="1804">
        <v>0</v>
      </c>
      <c r="EF104" s="1804">
        <v>0</v>
      </c>
      <c r="EG104" s="1804">
        <v>0</v>
      </c>
      <c r="EH104" s="1804">
        <v>0</v>
      </c>
      <c r="EI104" s="1804">
        <v>0</v>
      </c>
      <c r="EJ104" s="1804">
        <v>0</v>
      </c>
      <c r="EK104" s="1804">
        <v>0</v>
      </c>
      <c r="EL104" s="1804">
        <v>0</v>
      </c>
      <c r="EM104" s="1804">
        <v>0</v>
      </c>
      <c r="EN104" s="1804">
        <v>0</v>
      </c>
      <c r="EO104" s="1804">
        <v>0</v>
      </c>
      <c r="EP104" s="1804">
        <v>0</v>
      </c>
      <c r="EQ104" s="1804">
        <v>0</v>
      </c>
      <c r="ER104" s="1804">
        <v>0</v>
      </c>
      <c r="ES104" s="1804">
        <v>0</v>
      </c>
      <c r="ET104" s="1804">
        <v>0</v>
      </c>
      <c r="EU104" s="1804">
        <v>0</v>
      </c>
      <c r="EV104" s="1804">
        <v>0</v>
      </c>
      <c r="EW104" s="1804">
        <v>0</v>
      </c>
      <c r="EX104" s="1804">
        <v>0</v>
      </c>
      <c r="EY104" s="1804">
        <v>0</v>
      </c>
      <c r="EZ104" s="1804">
        <v>0</v>
      </c>
      <c r="FA104" s="1804">
        <v>0</v>
      </c>
      <c r="FB104" s="1804">
        <v>0</v>
      </c>
      <c r="FC104" s="1804">
        <v>0</v>
      </c>
      <c r="FD104" s="1804">
        <v>0</v>
      </c>
      <c r="FE104" s="1804">
        <v>0</v>
      </c>
      <c r="FF104" s="1804">
        <v>0</v>
      </c>
      <c r="FG104" s="1804">
        <v>0</v>
      </c>
      <c r="FH104" s="1804">
        <v>0</v>
      </c>
      <c r="FI104" s="1804">
        <v>0</v>
      </c>
      <c r="FJ104" s="1804">
        <v>0</v>
      </c>
      <c r="FK104" s="1804">
        <v>0</v>
      </c>
      <c r="FL104" s="1804">
        <v>0</v>
      </c>
      <c r="FM104" s="1804">
        <v>0</v>
      </c>
      <c r="FN104" s="1804">
        <v>0</v>
      </c>
      <c r="FO104" s="1804">
        <v>0</v>
      </c>
      <c r="FP104" s="1804">
        <v>0</v>
      </c>
      <c r="FQ104" s="1804">
        <v>0</v>
      </c>
      <c r="FR104" s="1804">
        <v>0</v>
      </c>
      <c r="FS104" s="1804">
        <v>0</v>
      </c>
      <c r="FT104" s="1804">
        <v>0</v>
      </c>
      <c r="FU104" s="1804">
        <v>0</v>
      </c>
      <c r="FV104" s="1804">
        <v>0</v>
      </c>
      <c r="FW104" s="1804">
        <v>0</v>
      </c>
      <c r="FX104" s="1804">
        <v>0</v>
      </c>
      <c r="FY104" s="1804">
        <v>0</v>
      </c>
      <c r="FZ104" s="1804">
        <v>0</v>
      </c>
      <c r="GA104" s="1804">
        <v>0</v>
      </c>
      <c r="GB104" s="1804">
        <v>0</v>
      </c>
      <c r="GC104" s="1804">
        <v>0</v>
      </c>
      <c r="GD104" s="1804">
        <v>0</v>
      </c>
      <c r="GE104" s="1804">
        <v>0</v>
      </c>
      <c r="GF104" s="1804">
        <v>0</v>
      </c>
      <c r="GG104" s="1804">
        <v>0</v>
      </c>
      <c r="GH104" s="1804">
        <v>0</v>
      </c>
      <c r="GI104" s="1804">
        <v>0</v>
      </c>
      <c r="GJ104" s="1804">
        <v>0</v>
      </c>
      <c r="GK104" s="1804">
        <v>0</v>
      </c>
      <c r="GL104" s="1804">
        <v>0</v>
      </c>
      <c r="GM104" s="1804">
        <v>0</v>
      </c>
      <c r="GN104" s="1804">
        <v>0</v>
      </c>
      <c r="GO104" s="1804">
        <v>0</v>
      </c>
      <c r="GP104" s="1804">
        <v>0</v>
      </c>
      <c r="GQ104" s="1804">
        <v>0</v>
      </c>
      <c r="GR104" s="1804">
        <v>0</v>
      </c>
      <c r="GS104" s="1804">
        <v>0</v>
      </c>
      <c r="GT104" s="1804">
        <v>0</v>
      </c>
      <c r="GU104" s="1804">
        <v>0</v>
      </c>
      <c r="GV104" s="1804">
        <v>0</v>
      </c>
      <c r="GW104" s="1804">
        <v>0</v>
      </c>
      <c r="GX104" s="1804">
        <v>0</v>
      </c>
      <c r="GY104" s="1804">
        <v>0</v>
      </c>
      <c r="GZ104" s="1804">
        <v>0</v>
      </c>
      <c r="HA104" s="1804">
        <v>0</v>
      </c>
      <c r="HB104" s="1804">
        <v>0</v>
      </c>
      <c r="HC104" s="1804">
        <v>0</v>
      </c>
      <c r="HD104" s="1804">
        <v>0</v>
      </c>
      <c r="HE104" s="1804">
        <v>0</v>
      </c>
    </row>
    <row r="105" spans="1:213" ht="27" customHeight="1" x14ac:dyDescent="0.2">
      <c r="A105" s="1995"/>
      <c r="B105" s="1989"/>
      <c r="C105" s="1818" t="s">
        <v>585</v>
      </c>
      <c r="D105" s="1882"/>
      <c r="E105" s="1984"/>
      <c r="F105" s="1838">
        <v>0</v>
      </c>
      <c r="G105" s="1804">
        <v>0</v>
      </c>
      <c r="H105" s="1804">
        <v>0</v>
      </c>
      <c r="I105" s="1804">
        <v>0</v>
      </c>
      <c r="J105" s="1804">
        <v>0</v>
      </c>
      <c r="K105" s="1804">
        <v>0</v>
      </c>
      <c r="L105" s="1804">
        <v>0</v>
      </c>
      <c r="M105" s="1804">
        <v>0</v>
      </c>
      <c r="N105" s="1804">
        <v>0</v>
      </c>
      <c r="O105" s="1804">
        <v>0</v>
      </c>
      <c r="P105" s="1804">
        <v>0</v>
      </c>
      <c r="Q105" s="1804">
        <v>0</v>
      </c>
      <c r="R105" s="1804">
        <v>0</v>
      </c>
      <c r="S105" s="1804">
        <v>0</v>
      </c>
      <c r="T105" s="1804">
        <v>0</v>
      </c>
      <c r="U105" s="1804">
        <v>0</v>
      </c>
      <c r="V105" s="1804">
        <v>0</v>
      </c>
      <c r="W105" s="1804">
        <v>0</v>
      </c>
      <c r="X105" s="1804">
        <v>0</v>
      </c>
      <c r="Y105" s="1804">
        <v>0</v>
      </c>
      <c r="Z105" s="1804">
        <v>0</v>
      </c>
      <c r="AA105" s="1804">
        <v>0</v>
      </c>
      <c r="AB105" s="1804">
        <v>0</v>
      </c>
      <c r="AC105" s="1804">
        <v>0</v>
      </c>
      <c r="AD105" s="1804">
        <v>0</v>
      </c>
      <c r="AE105" s="1804">
        <v>0</v>
      </c>
      <c r="AF105" s="1804">
        <v>0</v>
      </c>
      <c r="AG105" s="1804">
        <v>0</v>
      </c>
      <c r="AH105" s="1804">
        <v>0</v>
      </c>
      <c r="AI105" s="1804">
        <v>0</v>
      </c>
      <c r="AJ105" s="1804">
        <v>0</v>
      </c>
      <c r="AK105" s="1804">
        <v>0</v>
      </c>
      <c r="AL105" s="1804">
        <v>0</v>
      </c>
      <c r="AM105" s="1804">
        <v>0</v>
      </c>
      <c r="AN105" s="1804">
        <v>0</v>
      </c>
      <c r="AO105" s="1804">
        <v>0</v>
      </c>
      <c r="AP105" s="1804">
        <v>0</v>
      </c>
      <c r="AQ105" s="1804">
        <v>0</v>
      </c>
      <c r="AR105" s="1804">
        <v>0</v>
      </c>
      <c r="AS105" s="1804">
        <v>0</v>
      </c>
      <c r="AT105" s="1804">
        <v>0</v>
      </c>
      <c r="AU105" s="1804">
        <v>0</v>
      </c>
      <c r="AV105" s="1804">
        <v>0</v>
      </c>
      <c r="AW105" s="1804">
        <v>0</v>
      </c>
      <c r="AX105" s="1804">
        <v>0</v>
      </c>
      <c r="AY105" s="1804">
        <v>0</v>
      </c>
      <c r="AZ105" s="1804">
        <v>0</v>
      </c>
      <c r="BA105" s="1804">
        <v>0</v>
      </c>
      <c r="BB105" s="1804">
        <v>0</v>
      </c>
      <c r="BC105" s="1804">
        <v>0</v>
      </c>
      <c r="BD105" s="1804">
        <v>0</v>
      </c>
      <c r="BE105" s="1804">
        <v>0</v>
      </c>
      <c r="BF105" s="1804">
        <v>0</v>
      </c>
      <c r="BG105" s="1804">
        <v>0</v>
      </c>
      <c r="BH105" s="1804">
        <v>0</v>
      </c>
      <c r="BI105" s="1804">
        <v>0</v>
      </c>
      <c r="BJ105" s="1804">
        <v>0</v>
      </c>
      <c r="BK105" s="1804">
        <v>0</v>
      </c>
      <c r="BL105" s="1804">
        <v>0</v>
      </c>
      <c r="BM105" s="1804">
        <v>0</v>
      </c>
      <c r="BN105" s="1804">
        <v>0</v>
      </c>
      <c r="BO105" s="1804">
        <v>0</v>
      </c>
      <c r="BP105" s="1804">
        <v>0</v>
      </c>
      <c r="BQ105" s="1804">
        <v>0</v>
      </c>
      <c r="BR105" s="1804">
        <v>0</v>
      </c>
      <c r="BS105" s="1804">
        <v>0</v>
      </c>
      <c r="BT105" s="1804">
        <v>0</v>
      </c>
      <c r="BU105" s="1804">
        <v>0</v>
      </c>
      <c r="BV105" s="1804">
        <v>0</v>
      </c>
      <c r="BW105" s="1804">
        <v>0</v>
      </c>
      <c r="BX105" s="1804">
        <v>0</v>
      </c>
      <c r="BY105" s="1804">
        <v>0</v>
      </c>
      <c r="BZ105" s="1804">
        <v>0</v>
      </c>
      <c r="CA105" s="1804">
        <v>0</v>
      </c>
      <c r="CB105" s="1804">
        <v>0</v>
      </c>
      <c r="CC105" s="1804">
        <v>0</v>
      </c>
      <c r="CD105" s="1804">
        <v>0</v>
      </c>
      <c r="CE105" s="1804">
        <v>0</v>
      </c>
      <c r="CF105" s="1804">
        <v>0</v>
      </c>
      <c r="CG105" s="1804">
        <v>0</v>
      </c>
      <c r="CH105" s="1804">
        <v>0</v>
      </c>
      <c r="CI105" s="1804">
        <v>0</v>
      </c>
      <c r="CJ105" s="1804">
        <v>0</v>
      </c>
      <c r="CK105" s="1804">
        <v>0</v>
      </c>
      <c r="CL105" s="1804">
        <v>0</v>
      </c>
      <c r="CM105" s="1804">
        <v>0</v>
      </c>
      <c r="CN105" s="1804">
        <v>0</v>
      </c>
      <c r="CO105" s="1804">
        <v>0</v>
      </c>
      <c r="CP105" s="1804">
        <v>0</v>
      </c>
      <c r="CQ105" s="1804">
        <v>0</v>
      </c>
      <c r="CR105" s="1804">
        <v>0</v>
      </c>
      <c r="CS105" s="1804">
        <v>0</v>
      </c>
      <c r="CT105" s="1804">
        <v>0</v>
      </c>
      <c r="CU105" s="1804">
        <v>0</v>
      </c>
      <c r="CV105" s="1804">
        <v>0</v>
      </c>
      <c r="CW105" s="1804">
        <v>0</v>
      </c>
      <c r="CX105" s="1804">
        <v>0</v>
      </c>
      <c r="CY105" s="1804">
        <v>0</v>
      </c>
      <c r="CZ105" s="1804">
        <v>0</v>
      </c>
      <c r="DA105" s="1804">
        <v>0</v>
      </c>
      <c r="DB105" s="1804">
        <v>0</v>
      </c>
      <c r="DC105" s="1804">
        <v>0</v>
      </c>
      <c r="DD105" s="1804">
        <v>0</v>
      </c>
      <c r="DE105" s="1804">
        <v>0</v>
      </c>
      <c r="DF105" s="1804">
        <v>0</v>
      </c>
      <c r="DG105" s="1804">
        <v>0</v>
      </c>
      <c r="DH105" s="1804">
        <v>0</v>
      </c>
      <c r="DI105" s="1804">
        <v>0</v>
      </c>
      <c r="DJ105" s="1804">
        <v>0</v>
      </c>
      <c r="DK105" s="1804">
        <v>0</v>
      </c>
      <c r="DL105" s="1804">
        <v>0</v>
      </c>
      <c r="DM105" s="1804">
        <v>0</v>
      </c>
      <c r="DN105" s="1804">
        <v>0</v>
      </c>
      <c r="DO105" s="1804">
        <v>0</v>
      </c>
      <c r="DP105" s="1804">
        <v>0</v>
      </c>
      <c r="DQ105" s="1804">
        <v>0</v>
      </c>
      <c r="DR105" s="1804">
        <v>0</v>
      </c>
      <c r="DS105" s="1804">
        <v>0</v>
      </c>
      <c r="DT105" s="1804">
        <v>0</v>
      </c>
      <c r="DU105" s="1804">
        <v>0</v>
      </c>
      <c r="DV105" s="1804">
        <v>0</v>
      </c>
      <c r="DW105" s="1804">
        <v>0</v>
      </c>
      <c r="DX105" s="1804">
        <v>0</v>
      </c>
      <c r="DY105" s="1804">
        <v>0</v>
      </c>
      <c r="DZ105" s="1804">
        <v>0</v>
      </c>
      <c r="EA105" s="1804">
        <v>0</v>
      </c>
      <c r="EB105" s="1804">
        <v>0</v>
      </c>
      <c r="EC105" s="1804">
        <v>0</v>
      </c>
      <c r="ED105" s="1804">
        <v>0</v>
      </c>
      <c r="EE105" s="1804">
        <v>0</v>
      </c>
      <c r="EF105" s="1804">
        <v>0</v>
      </c>
      <c r="EG105" s="1804">
        <v>0</v>
      </c>
      <c r="EH105" s="1804">
        <v>0</v>
      </c>
      <c r="EI105" s="1804">
        <v>0</v>
      </c>
      <c r="EJ105" s="1804">
        <v>0</v>
      </c>
      <c r="EK105" s="1804">
        <v>0</v>
      </c>
      <c r="EL105" s="1804">
        <v>0</v>
      </c>
      <c r="EM105" s="1804">
        <v>0</v>
      </c>
      <c r="EN105" s="1804">
        <v>0</v>
      </c>
      <c r="EO105" s="1804">
        <v>0</v>
      </c>
      <c r="EP105" s="1804">
        <v>0</v>
      </c>
      <c r="EQ105" s="1804">
        <v>0</v>
      </c>
      <c r="ER105" s="1804">
        <v>0</v>
      </c>
      <c r="ES105" s="1804">
        <v>0</v>
      </c>
      <c r="ET105" s="1804">
        <v>0</v>
      </c>
      <c r="EU105" s="1804">
        <v>0</v>
      </c>
      <c r="EV105" s="1804">
        <v>0</v>
      </c>
      <c r="EW105" s="1804">
        <v>0</v>
      </c>
      <c r="EX105" s="1804">
        <v>0</v>
      </c>
      <c r="EY105" s="1804">
        <v>0</v>
      </c>
      <c r="EZ105" s="1804">
        <v>0</v>
      </c>
      <c r="FA105" s="1804">
        <v>0</v>
      </c>
      <c r="FB105" s="1804">
        <v>0</v>
      </c>
      <c r="FC105" s="1804">
        <v>0</v>
      </c>
      <c r="FD105" s="1804">
        <v>0</v>
      </c>
      <c r="FE105" s="1804">
        <v>0</v>
      </c>
      <c r="FF105" s="1804">
        <v>0</v>
      </c>
      <c r="FG105" s="1804">
        <v>0</v>
      </c>
      <c r="FH105" s="1804">
        <v>0</v>
      </c>
      <c r="FI105" s="1804">
        <v>0</v>
      </c>
      <c r="FJ105" s="1804">
        <v>0</v>
      </c>
      <c r="FK105" s="1804">
        <v>0</v>
      </c>
      <c r="FL105" s="1804">
        <v>0</v>
      </c>
      <c r="FM105" s="1804">
        <v>0</v>
      </c>
      <c r="FN105" s="1804">
        <v>0</v>
      </c>
      <c r="FO105" s="1804">
        <v>0</v>
      </c>
      <c r="FP105" s="1804">
        <v>0</v>
      </c>
      <c r="FQ105" s="1804">
        <v>0</v>
      </c>
      <c r="FR105" s="1804">
        <v>0</v>
      </c>
      <c r="FS105" s="1804">
        <v>0</v>
      </c>
      <c r="FT105" s="1804">
        <v>0</v>
      </c>
      <c r="FU105" s="1804">
        <v>0</v>
      </c>
      <c r="FV105" s="1804">
        <v>0</v>
      </c>
      <c r="FW105" s="1804">
        <v>0</v>
      </c>
      <c r="FX105" s="1804">
        <v>0</v>
      </c>
      <c r="FY105" s="1804">
        <v>0</v>
      </c>
      <c r="FZ105" s="1804">
        <v>0</v>
      </c>
      <c r="GA105" s="1804">
        <v>0</v>
      </c>
      <c r="GB105" s="1804">
        <v>0</v>
      </c>
      <c r="GC105" s="1804">
        <v>0</v>
      </c>
      <c r="GD105" s="1804">
        <v>0</v>
      </c>
      <c r="GE105" s="1804">
        <v>0</v>
      </c>
      <c r="GF105" s="1804">
        <v>0</v>
      </c>
      <c r="GG105" s="1804">
        <v>0</v>
      </c>
      <c r="GH105" s="1804">
        <v>0</v>
      </c>
      <c r="GI105" s="1804">
        <v>0</v>
      </c>
      <c r="GJ105" s="1804">
        <v>0</v>
      </c>
      <c r="GK105" s="1804">
        <v>0</v>
      </c>
      <c r="GL105" s="1804">
        <v>0</v>
      </c>
      <c r="GM105" s="1804">
        <v>0</v>
      </c>
      <c r="GN105" s="1804">
        <v>0</v>
      </c>
      <c r="GO105" s="1804">
        <v>0</v>
      </c>
      <c r="GP105" s="1804">
        <v>0</v>
      </c>
      <c r="GQ105" s="1804">
        <v>0</v>
      </c>
      <c r="GR105" s="1804">
        <v>0</v>
      </c>
      <c r="GS105" s="1804">
        <v>0</v>
      </c>
      <c r="GT105" s="1804">
        <v>0</v>
      </c>
      <c r="GU105" s="1804">
        <v>0</v>
      </c>
      <c r="GV105" s="1804">
        <v>0</v>
      </c>
      <c r="GW105" s="1804">
        <v>0</v>
      </c>
      <c r="GX105" s="1804">
        <v>0</v>
      </c>
      <c r="GY105" s="1804">
        <v>0</v>
      </c>
      <c r="GZ105" s="1804">
        <v>0</v>
      </c>
      <c r="HA105" s="1804">
        <v>0</v>
      </c>
      <c r="HB105" s="1804">
        <v>0</v>
      </c>
      <c r="HC105" s="1804">
        <v>0</v>
      </c>
      <c r="HD105" s="1804">
        <v>0</v>
      </c>
      <c r="HE105" s="1804">
        <v>0</v>
      </c>
    </row>
    <row r="106" spans="1:213" ht="15" customHeight="1" x14ac:dyDescent="0.2">
      <c r="A106" s="1995"/>
      <c r="B106" s="1989"/>
      <c r="C106" s="1819" t="s">
        <v>894</v>
      </c>
      <c r="D106" s="1882"/>
      <c r="E106" s="1984"/>
      <c r="F106" s="1838">
        <v>0</v>
      </c>
      <c r="G106" s="1804">
        <v>0</v>
      </c>
      <c r="H106" s="1804">
        <v>0</v>
      </c>
      <c r="I106" s="1804">
        <v>0</v>
      </c>
      <c r="J106" s="1804">
        <v>0</v>
      </c>
      <c r="K106" s="1804">
        <v>0</v>
      </c>
      <c r="L106" s="1804">
        <v>0</v>
      </c>
      <c r="M106" s="1804">
        <v>0</v>
      </c>
      <c r="N106" s="1804">
        <v>0</v>
      </c>
      <c r="O106" s="1804">
        <v>0</v>
      </c>
      <c r="P106" s="1804">
        <v>0</v>
      </c>
      <c r="Q106" s="1804">
        <v>0</v>
      </c>
      <c r="R106" s="1804">
        <v>0</v>
      </c>
      <c r="S106" s="1804">
        <v>0</v>
      </c>
      <c r="T106" s="1804">
        <v>0</v>
      </c>
      <c r="U106" s="1804">
        <v>0</v>
      </c>
      <c r="V106" s="1804">
        <v>0</v>
      </c>
      <c r="W106" s="1804">
        <v>0</v>
      </c>
      <c r="X106" s="1804">
        <v>0</v>
      </c>
      <c r="Y106" s="1804">
        <v>0</v>
      </c>
      <c r="Z106" s="1804">
        <v>0</v>
      </c>
      <c r="AA106" s="1804">
        <v>0</v>
      </c>
      <c r="AB106" s="1804">
        <v>0</v>
      </c>
      <c r="AC106" s="1804">
        <v>0</v>
      </c>
      <c r="AD106" s="1804">
        <v>0</v>
      </c>
      <c r="AE106" s="1804">
        <v>0</v>
      </c>
      <c r="AF106" s="1804">
        <v>0</v>
      </c>
      <c r="AG106" s="1804">
        <v>0</v>
      </c>
      <c r="AH106" s="1804">
        <v>0</v>
      </c>
      <c r="AI106" s="1804">
        <v>0</v>
      </c>
      <c r="AJ106" s="1804">
        <v>0</v>
      </c>
      <c r="AK106" s="1804">
        <v>0</v>
      </c>
      <c r="AL106" s="1804">
        <v>0</v>
      </c>
      <c r="AM106" s="1804">
        <v>0</v>
      </c>
      <c r="AN106" s="1804">
        <v>0</v>
      </c>
      <c r="AO106" s="1804">
        <v>0</v>
      </c>
      <c r="AP106" s="1804">
        <v>0</v>
      </c>
      <c r="AQ106" s="1804">
        <v>0</v>
      </c>
      <c r="AR106" s="1804">
        <v>0</v>
      </c>
      <c r="AS106" s="1804">
        <v>0</v>
      </c>
      <c r="AT106" s="1804">
        <v>0</v>
      </c>
      <c r="AU106" s="1804">
        <v>0</v>
      </c>
      <c r="AV106" s="1804">
        <v>0</v>
      </c>
      <c r="AW106" s="1804">
        <v>0</v>
      </c>
      <c r="AX106" s="1804">
        <v>0</v>
      </c>
      <c r="AY106" s="1804">
        <v>0</v>
      </c>
      <c r="AZ106" s="1804">
        <v>0</v>
      </c>
      <c r="BA106" s="1804">
        <v>0</v>
      </c>
      <c r="BB106" s="1804">
        <v>0</v>
      </c>
      <c r="BC106" s="1804">
        <v>0</v>
      </c>
      <c r="BD106" s="1804">
        <v>0</v>
      </c>
      <c r="BE106" s="1804">
        <v>0</v>
      </c>
      <c r="BF106" s="1804">
        <v>0</v>
      </c>
      <c r="BG106" s="1804">
        <v>0</v>
      </c>
      <c r="BH106" s="1804">
        <v>0</v>
      </c>
      <c r="BI106" s="1804">
        <v>0</v>
      </c>
      <c r="BJ106" s="1804">
        <v>0</v>
      </c>
      <c r="BK106" s="1804">
        <v>0</v>
      </c>
      <c r="BL106" s="1804">
        <v>0</v>
      </c>
      <c r="BM106" s="1804">
        <v>0</v>
      </c>
      <c r="BN106" s="1804">
        <v>0</v>
      </c>
      <c r="BO106" s="1804">
        <v>0</v>
      </c>
      <c r="BP106" s="1804">
        <v>0</v>
      </c>
      <c r="BQ106" s="1804">
        <v>0</v>
      </c>
      <c r="BR106" s="1804">
        <v>0</v>
      </c>
      <c r="BS106" s="1804">
        <v>0</v>
      </c>
      <c r="BT106" s="1804">
        <v>0</v>
      </c>
      <c r="BU106" s="1804">
        <v>0</v>
      </c>
      <c r="BV106" s="1804">
        <v>0</v>
      </c>
      <c r="BW106" s="1804">
        <v>0</v>
      </c>
      <c r="BX106" s="1804">
        <v>0</v>
      </c>
      <c r="BY106" s="1804">
        <v>0</v>
      </c>
      <c r="BZ106" s="1804">
        <v>0</v>
      </c>
      <c r="CA106" s="1804">
        <v>0</v>
      </c>
      <c r="CB106" s="1804">
        <v>0</v>
      </c>
      <c r="CC106" s="1804">
        <v>0</v>
      </c>
      <c r="CD106" s="1804">
        <v>0</v>
      </c>
      <c r="CE106" s="1804">
        <v>0</v>
      </c>
      <c r="CF106" s="1804">
        <v>0</v>
      </c>
      <c r="CG106" s="1804">
        <v>0</v>
      </c>
      <c r="CH106" s="1804">
        <v>0</v>
      </c>
      <c r="CI106" s="1804">
        <v>0</v>
      </c>
      <c r="CJ106" s="1804">
        <v>0</v>
      </c>
      <c r="CK106" s="1804">
        <v>0</v>
      </c>
      <c r="CL106" s="1804">
        <v>0</v>
      </c>
      <c r="CM106" s="1804">
        <v>0</v>
      </c>
      <c r="CN106" s="1804">
        <v>0</v>
      </c>
      <c r="CO106" s="1804">
        <v>0</v>
      </c>
      <c r="CP106" s="1804">
        <v>0</v>
      </c>
      <c r="CQ106" s="1804">
        <v>0</v>
      </c>
      <c r="CR106" s="1804">
        <v>0</v>
      </c>
      <c r="CS106" s="1804">
        <v>0</v>
      </c>
      <c r="CT106" s="1804">
        <v>0</v>
      </c>
      <c r="CU106" s="1804">
        <v>0</v>
      </c>
      <c r="CV106" s="1804">
        <v>0</v>
      </c>
      <c r="CW106" s="1804">
        <v>0</v>
      </c>
      <c r="CX106" s="1804">
        <v>0</v>
      </c>
      <c r="CY106" s="1804">
        <v>0</v>
      </c>
      <c r="CZ106" s="1804">
        <v>0</v>
      </c>
      <c r="DA106" s="1804">
        <v>0</v>
      </c>
      <c r="DB106" s="1804">
        <v>0</v>
      </c>
      <c r="DC106" s="1804">
        <v>0</v>
      </c>
      <c r="DD106" s="1804">
        <v>0</v>
      </c>
      <c r="DE106" s="1804">
        <v>0</v>
      </c>
      <c r="DF106" s="1804">
        <v>0</v>
      </c>
      <c r="DG106" s="1804">
        <v>0</v>
      </c>
      <c r="DH106" s="1804">
        <v>0</v>
      </c>
      <c r="DI106" s="1804">
        <v>0</v>
      </c>
      <c r="DJ106" s="1804">
        <v>0</v>
      </c>
      <c r="DK106" s="1804">
        <v>0</v>
      </c>
      <c r="DL106" s="1804">
        <v>0</v>
      </c>
      <c r="DM106" s="1804">
        <v>0</v>
      </c>
      <c r="DN106" s="1804">
        <v>0</v>
      </c>
      <c r="DO106" s="1804">
        <v>0</v>
      </c>
      <c r="DP106" s="1804">
        <v>0</v>
      </c>
      <c r="DQ106" s="1804">
        <v>0</v>
      </c>
      <c r="DR106" s="1804">
        <v>0</v>
      </c>
      <c r="DS106" s="1804">
        <v>0</v>
      </c>
      <c r="DT106" s="1804">
        <v>0</v>
      </c>
      <c r="DU106" s="1804">
        <v>0</v>
      </c>
      <c r="DV106" s="1804">
        <v>0</v>
      </c>
      <c r="DW106" s="1804">
        <v>0</v>
      </c>
      <c r="DX106" s="1804">
        <v>0</v>
      </c>
      <c r="DY106" s="1804">
        <v>0</v>
      </c>
      <c r="DZ106" s="1804">
        <v>0</v>
      </c>
      <c r="EA106" s="1804">
        <v>0</v>
      </c>
      <c r="EB106" s="1804">
        <v>0</v>
      </c>
      <c r="EC106" s="1804">
        <v>0</v>
      </c>
      <c r="ED106" s="1804">
        <v>0</v>
      </c>
      <c r="EE106" s="1804">
        <v>0</v>
      </c>
      <c r="EF106" s="1804">
        <v>0</v>
      </c>
      <c r="EG106" s="1804">
        <v>0</v>
      </c>
      <c r="EH106" s="1804">
        <v>0</v>
      </c>
      <c r="EI106" s="1804">
        <v>0</v>
      </c>
      <c r="EJ106" s="1804">
        <v>0</v>
      </c>
      <c r="EK106" s="1804">
        <v>0</v>
      </c>
      <c r="EL106" s="1804">
        <v>0</v>
      </c>
      <c r="EM106" s="1804">
        <v>0</v>
      </c>
      <c r="EN106" s="1804">
        <v>0</v>
      </c>
      <c r="EO106" s="1804">
        <v>0</v>
      </c>
      <c r="EP106" s="1804">
        <v>0</v>
      </c>
      <c r="EQ106" s="1804">
        <v>0</v>
      </c>
      <c r="ER106" s="1804">
        <v>0</v>
      </c>
      <c r="ES106" s="1804">
        <v>0</v>
      </c>
      <c r="ET106" s="1804">
        <v>0</v>
      </c>
      <c r="EU106" s="1804">
        <v>0</v>
      </c>
      <c r="EV106" s="1804">
        <v>0</v>
      </c>
      <c r="EW106" s="1804">
        <v>0</v>
      </c>
      <c r="EX106" s="1804">
        <v>0</v>
      </c>
      <c r="EY106" s="1804">
        <v>0</v>
      </c>
      <c r="EZ106" s="1804">
        <v>0</v>
      </c>
      <c r="FA106" s="1804">
        <v>0</v>
      </c>
      <c r="FB106" s="1804">
        <v>0</v>
      </c>
      <c r="FC106" s="1804">
        <v>0</v>
      </c>
      <c r="FD106" s="1804">
        <v>0</v>
      </c>
      <c r="FE106" s="1804">
        <v>0</v>
      </c>
      <c r="FF106" s="1804">
        <v>0</v>
      </c>
      <c r="FG106" s="1804">
        <v>0</v>
      </c>
      <c r="FH106" s="1804">
        <v>0</v>
      </c>
      <c r="FI106" s="1804">
        <v>0</v>
      </c>
      <c r="FJ106" s="1804">
        <v>0</v>
      </c>
      <c r="FK106" s="1804">
        <v>0</v>
      </c>
      <c r="FL106" s="1804">
        <v>0</v>
      </c>
      <c r="FM106" s="1804">
        <v>0</v>
      </c>
      <c r="FN106" s="1804">
        <v>0</v>
      </c>
      <c r="FO106" s="1804">
        <v>0</v>
      </c>
      <c r="FP106" s="1804">
        <v>0</v>
      </c>
      <c r="FQ106" s="1804">
        <v>0</v>
      </c>
      <c r="FR106" s="1804">
        <v>0</v>
      </c>
      <c r="FS106" s="1804">
        <v>0</v>
      </c>
      <c r="FT106" s="1804">
        <v>0</v>
      </c>
      <c r="FU106" s="1804">
        <v>0</v>
      </c>
      <c r="FV106" s="1804">
        <v>0</v>
      </c>
      <c r="FW106" s="1804">
        <v>0</v>
      </c>
      <c r="FX106" s="1804">
        <v>0</v>
      </c>
      <c r="FY106" s="1804">
        <v>0</v>
      </c>
      <c r="FZ106" s="1804">
        <v>0</v>
      </c>
      <c r="GA106" s="1804">
        <v>0</v>
      </c>
      <c r="GB106" s="1804">
        <v>0</v>
      </c>
      <c r="GC106" s="1804">
        <v>0</v>
      </c>
      <c r="GD106" s="1804">
        <v>0</v>
      </c>
      <c r="GE106" s="1804">
        <v>0</v>
      </c>
      <c r="GF106" s="1804">
        <v>0</v>
      </c>
      <c r="GG106" s="1804">
        <v>0</v>
      </c>
      <c r="GH106" s="1804">
        <v>0</v>
      </c>
      <c r="GI106" s="1804">
        <v>0</v>
      </c>
      <c r="GJ106" s="1804">
        <v>0</v>
      </c>
      <c r="GK106" s="1804">
        <v>0</v>
      </c>
      <c r="GL106" s="1804">
        <v>0</v>
      </c>
      <c r="GM106" s="1804">
        <v>0</v>
      </c>
      <c r="GN106" s="1804">
        <v>0</v>
      </c>
      <c r="GO106" s="1804">
        <v>0</v>
      </c>
      <c r="GP106" s="1804">
        <v>0</v>
      </c>
      <c r="GQ106" s="1804">
        <v>0</v>
      </c>
      <c r="GR106" s="1804">
        <v>0</v>
      </c>
      <c r="GS106" s="1804">
        <v>0</v>
      </c>
      <c r="GT106" s="1804">
        <v>0</v>
      </c>
      <c r="GU106" s="1804">
        <v>0</v>
      </c>
      <c r="GV106" s="1804">
        <v>0</v>
      </c>
      <c r="GW106" s="1804">
        <v>0</v>
      </c>
      <c r="GX106" s="1804">
        <v>0</v>
      </c>
      <c r="GY106" s="1804">
        <v>0</v>
      </c>
      <c r="GZ106" s="1804">
        <v>0</v>
      </c>
      <c r="HA106" s="1804">
        <v>0</v>
      </c>
      <c r="HB106" s="1804">
        <v>0</v>
      </c>
      <c r="HC106" s="1804">
        <v>0</v>
      </c>
      <c r="HD106" s="1804">
        <v>0</v>
      </c>
      <c r="HE106" s="1804">
        <v>0</v>
      </c>
    </row>
    <row r="107" spans="1:213" ht="15" customHeight="1" thickBot="1" x14ac:dyDescent="0.25">
      <c r="A107" s="1950"/>
      <c r="B107" s="1991"/>
      <c r="C107" s="1697" t="s">
        <v>893</v>
      </c>
      <c r="D107" s="1882"/>
      <c r="E107" s="1984"/>
      <c r="F107" s="1838">
        <v>0</v>
      </c>
      <c r="G107" s="1804">
        <v>0</v>
      </c>
      <c r="H107" s="1804">
        <v>0</v>
      </c>
      <c r="I107" s="1804">
        <v>0</v>
      </c>
      <c r="J107" s="1804">
        <v>0</v>
      </c>
      <c r="K107" s="1804">
        <v>0</v>
      </c>
      <c r="L107" s="1804">
        <v>0</v>
      </c>
      <c r="M107" s="1804">
        <v>0</v>
      </c>
      <c r="N107" s="1804">
        <v>0</v>
      </c>
      <c r="O107" s="1804">
        <v>0</v>
      </c>
      <c r="P107" s="1804">
        <v>0</v>
      </c>
      <c r="Q107" s="1804">
        <v>0</v>
      </c>
      <c r="R107" s="1804">
        <v>0</v>
      </c>
      <c r="S107" s="1804">
        <v>0</v>
      </c>
      <c r="T107" s="1804">
        <v>0</v>
      </c>
      <c r="U107" s="1804">
        <v>0</v>
      </c>
      <c r="V107" s="1804">
        <v>0</v>
      </c>
      <c r="W107" s="1804">
        <v>0</v>
      </c>
      <c r="X107" s="1804">
        <v>0</v>
      </c>
      <c r="Y107" s="1804">
        <v>0</v>
      </c>
      <c r="Z107" s="1804">
        <v>0</v>
      </c>
      <c r="AA107" s="1804">
        <v>0</v>
      </c>
      <c r="AB107" s="1804">
        <v>0</v>
      </c>
      <c r="AC107" s="1804">
        <v>0</v>
      </c>
      <c r="AD107" s="1804">
        <v>0</v>
      </c>
      <c r="AE107" s="1804">
        <v>0</v>
      </c>
      <c r="AF107" s="1804">
        <v>0</v>
      </c>
      <c r="AG107" s="1804">
        <v>0</v>
      </c>
      <c r="AH107" s="1804">
        <v>0</v>
      </c>
      <c r="AI107" s="1804">
        <v>0</v>
      </c>
      <c r="AJ107" s="1804">
        <v>0</v>
      </c>
      <c r="AK107" s="1804">
        <v>0</v>
      </c>
      <c r="AL107" s="1804">
        <v>0</v>
      </c>
      <c r="AM107" s="1804">
        <v>0</v>
      </c>
      <c r="AN107" s="1804">
        <v>0</v>
      </c>
      <c r="AO107" s="1804">
        <v>0</v>
      </c>
      <c r="AP107" s="1804">
        <v>0</v>
      </c>
      <c r="AQ107" s="1804">
        <v>0</v>
      </c>
      <c r="AR107" s="1804">
        <v>0</v>
      </c>
      <c r="AS107" s="1804">
        <v>0</v>
      </c>
      <c r="AT107" s="1804">
        <v>0</v>
      </c>
      <c r="AU107" s="1804">
        <v>0</v>
      </c>
      <c r="AV107" s="1804">
        <v>0</v>
      </c>
      <c r="AW107" s="1804">
        <v>0</v>
      </c>
      <c r="AX107" s="1804">
        <v>0</v>
      </c>
      <c r="AY107" s="1804">
        <v>0</v>
      </c>
      <c r="AZ107" s="1804">
        <v>0</v>
      </c>
      <c r="BA107" s="1804">
        <v>0</v>
      </c>
      <c r="BB107" s="1804">
        <v>0</v>
      </c>
      <c r="BC107" s="1804">
        <v>0</v>
      </c>
      <c r="BD107" s="1804">
        <v>0</v>
      </c>
      <c r="BE107" s="1804">
        <v>0</v>
      </c>
      <c r="BF107" s="1804">
        <v>0</v>
      </c>
      <c r="BG107" s="1804">
        <v>0</v>
      </c>
      <c r="BH107" s="1804">
        <v>0</v>
      </c>
      <c r="BI107" s="1804">
        <v>0</v>
      </c>
      <c r="BJ107" s="1804">
        <v>0</v>
      </c>
      <c r="BK107" s="1804">
        <v>0</v>
      </c>
      <c r="BL107" s="1804">
        <v>0</v>
      </c>
      <c r="BM107" s="1804">
        <v>0</v>
      </c>
      <c r="BN107" s="1804">
        <v>0</v>
      </c>
      <c r="BO107" s="1804">
        <v>0</v>
      </c>
      <c r="BP107" s="1804">
        <v>0</v>
      </c>
      <c r="BQ107" s="1804">
        <v>0</v>
      </c>
      <c r="BR107" s="1804">
        <v>0</v>
      </c>
      <c r="BS107" s="1804">
        <v>0</v>
      </c>
      <c r="BT107" s="1804">
        <v>0</v>
      </c>
      <c r="BU107" s="1804">
        <v>0</v>
      </c>
      <c r="BV107" s="1804">
        <v>0</v>
      </c>
      <c r="BW107" s="1804">
        <v>0</v>
      </c>
      <c r="BX107" s="1804">
        <v>0</v>
      </c>
      <c r="BY107" s="1804">
        <v>0</v>
      </c>
      <c r="BZ107" s="1804">
        <v>0</v>
      </c>
      <c r="CA107" s="1804">
        <v>0</v>
      </c>
      <c r="CB107" s="1804">
        <v>0</v>
      </c>
      <c r="CC107" s="1804">
        <v>0</v>
      </c>
      <c r="CD107" s="1804">
        <v>0</v>
      </c>
      <c r="CE107" s="1804">
        <v>0</v>
      </c>
      <c r="CF107" s="1804">
        <v>0</v>
      </c>
      <c r="CG107" s="1804">
        <v>0</v>
      </c>
      <c r="CH107" s="1804">
        <v>0</v>
      </c>
      <c r="CI107" s="1804">
        <v>0</v>
      </c>
      <c r="CJ107" s="1804">
        <v>0</v>
      </c>
      <c r="CK107" s="1804">
        <v>0</v>
      </c>
      <c r="CL107" s="1804">
        <v>0</v>
      </c>
      <c r="CM107" s="1804">
        <v>0</v>
      </c>
      <c r="CN107" s="1804">
        <v>0</v>
      </c>
      <c r="CO107" s="1804">
        <v>0</v>
      </c>
      <c r="CP107" s="1804">
        <v>0</v>
      </c>
      <c r="CQ107" s="1804">
        <v>0</v>
      </c>
      <c r="CR107" s="1804">
        <v>0</v>
      </c>
      <c r="CS107" s="1804">
        <v>0</v>
      </c>
      <c r="CT107" s="1804">
        <v>0</v>
      </c>
      <c r="CU107" s="1804">
        <v>0</v>
      </c>
      <c r="CV107" s="1804">
        <v>0</v>
      </c>
      <c r="CW107" s="1804">
        <v>0</v>
      </c>
      <c r="CX107" s="1804">
        <v>0</v>
      </c>
      <c r="CY107" s="1804">
        <v>0</v>
      </c>
      <c r="CZ107" s="1804">
        <v>0</v>
      </c>
      <c r="DA107" s="1804">
        <v>0</v>
      </c>
      <c r="DB107" s="1804">
        <v>0</v>
      </c>
      <c r="DC107" s="1804">
        <v>0</v>
      </c>
      <c r="DD107" s="1804">
        <v>0</v>
      </c>
      <c r="DE107" s="1804">
        <v>0</v>
      </c>
      <c r="DF107" s="1804">
        <v>0</v>
      </c>
      <c r="DG107" s="1804">
        <v>0</v>
      </c>
      <c r="DH107" s="1804">
        <v>0</v>
      </c>
      <c r="DI107" s="1804">
        <v>0</v>
      </c>
      <c r="DJ107" s="1804">
        <v>0</v>
      </c>
      <c r="DK107" s="1804">
        <v>0</v>
      </c>
      <c r="DL107" s="1804">
        <v>0</v>
      </c>
      <c r="DM107" s="1804">
        <v>0</v>
      </c>
      <c r="DN107" s="1804">
        <v>0</v>
      </c>
      <c r="DO107" s="1804">
        <v>0</v>
      </c>
      <c r="DP107" s="1804">
        <v>0</v>
      </c>
      <c r="DQ107" s="1804">
        <v>0</v>
      </c>
      <c r="DR107" s="1804">
        <v>0</v>
      </c>
      <c r="DS107" s="1804">
        <v>0</v>
      </c>
      <c r="DT107" s="1804">
        <v>0</v>
      </c>
      <c r="DU107" s="1804">
        <v>0</v>
      </c>
      <c r="DV107" s="1804">
        <v>0</v>
      </c>
      <c r="DW107" s="1804">
        <v>0</v>
      </c>
      <c r="DX107" s="1804">
        <v>0</v>
      </c>
      <c r="DY107" s="1804">
        <v>0</v>
      </c>
      <c r="DZ107" s="1804">
        <v>0</v>
      </c>
      <c r="EA107" s="1804">
        <v>0</v>
      </c>
      <c r="EB107" s="1804">
        <v>0</v>
      </c>
      <c r="EC107" s="1804">
        <v>0</v>
      </c>
      <c r="ED107" s="1804">
        <v>0</v>
      </c>
      <c r="EE107" s="1804">
        <v>0</v>
      </c>
      <c r="EF107" s="1804">
        <v>0</v>
      </c>
      <c r="EG107" s="1804">
        <v>0</v>
      </c>
      <c r="EH107" s="1804">
        <v>0</v>
      </c>
      <c r="EI107" s="1804">
        <v>0</v>
      </c>
      <c r="EJ107" s="1804">
        <v>0</v>
      </c>
      <c r="EK107" s="1804">
        <v>0</v>
      </c>
      <c r="EL107" s="1804">
        <v>0</v>
      </c>
      <c r="EM107" s="1804">
        <v>0</v>
      </c>
      <c r="EN107" s="1804">
        <v>0</v>
      </c>
      <c r="EO107" s="1804">
        <v>0</v>
      </c>
      <c r="EP107" s="1804">
        <v>0</v>
      </c>
      <c r="EQ107" s="1804">
        <v>0</v>
      </c>
      <c r="ER107" s="1804">
        <v>0</v>
      </c>
      <c r="ES107" s="1804">
        <v>0</v>
      </c>
      <c r="ET107" s="1804">
        <v>0</v>
      </c>
      <c r="EU107" s="1804">
        <v>0</v>
      </c>
      <c r="EV107" s="1804">
        <v>0</v>
      </c>
      <c r="EW107" s="1804">
        <v>0</v>
      </c>
      <c r="EX107" s="1804">
        <v>0</v>
      </c>
      <c r="EY107" s="1804">
        <v>0</v>
      </c>
      <c r="EZ107" s="1804">
        <v>0</v>
      </c>
      <c r="FA107" s="1804">
        <v>0</v>
      </c>
      <c r="FB107" s="1804">
        <v>0</v>
      </c>
      <c r="FC107" s="1804">
        <v>0</v>
      </c>
      <c r="FD107" s="1804">
        <v>0</v>
      </c>
      <c r="FE107" s="1804">
        <v>0</v>
      </c>
      <c r="FF107" s="1804">
        <v>0</v>
      </c>
      <c r="FG107" s="1804">
        <v>0</v>
      </c>
      <c r="FH107" s="1804">
        <v>0</v>
      </c>
      <c r="FI107" s="1804">
        <v>0</v>
      </c>
      <c r="FJ107" s="1804">
        <v>0</v>
      </c>
      <c r="FK107" s="1804">
        <v>0</v>
      </c>
      <c r="FL107" s="1804">
        <v>0</v>
      </c>
      <c r="FM107" s="1804">
        <v>0</v>
      </c>
      <c r="FN107" s="1804">
        <v>0</v>
      </c>
      <c r="FO107" s="1804">
        <v>0</v>
      </c>
      <c r="FP107" s="1804">
        <v>0</v>
      </c>
      <c r="FQ107" s="1804">
        <v>0</v>
      </c>
      <c r="FR107" s="1804">
        <v>0</v>
      </c>
      <c r="FS107" s="1804">
        <v>0</v>
      </c>
      <c r="FT107" s="1804">
        <v>0</v>
      </c>
      <c r="FU107" s="1804">
        <v>0</v>
      </c>
      <c r="FV107" s="1804">
        <v>0</v>
      </c>
      <c r="FW107" s="1804">
        <v>0</v>
      </c>
      <c r="FX107" s="1804">
        <v>0</v>
      </c>
      <c r="FY107" s="1804">
        <v>0</v>
      </c>
      <c r="FZ107" s="1804">
        <v>0</v>
      </c>
      <c r="GA107" s="1804">
        <v>0</v>
      </c>
      <c r="GB107" s="1804">
        <v>0</v>
      </c>
      <c r="GC107" s="1804">
        <v>0</v>
      </c>
      <c r="GD107" s="1804">
        <v>0</v>
      </c>
      <c r="GE107" s="1804">
        <v>0</v>
      </c>
      <c r="GF107" s="1804">
        <v>0</v>
      </c>
      <c r="GG107" s="1804">
        <v>0</v>
      </c>
      <c r="GH107" s="1804">
        <v>0</v>
      </c>
      <c r="GI107" s="1804">
        <v>0</v>
      </c>
      <c r="GJ107" s="1804">
        <v>0</v>
      </c>
      <c r="GK107" s="1804">
        <v>0</v>
      </c>
      <c r="GL107" s="1804">
        <v>0</v>
      </c>
      <c r="GM107" s="1804">
        <v>0</v>
      </c>
      <c r="GN107" s="1804">
        <v>0</v>
      </c>
      <c r="GO107" s="1804">
        <v>0</v>
      </c>
      <c r="GP107" s="1804">
        <v>0</v>
      </c>
      <c r="GQ107" s="1804">
        <v>0</v>
      </c>
      <c r="GR107" s="1804">
        <v>0</v>
      </c>
      <c r="GS107" s="1804">
        <v>0</v>
      </c>
      <c r="GT107" s="1804">
        <v>0</v>
      </c>
      <c r="GU107" s="1804">
        <v>0</v>
      </c>
      <c r="GV107" s="1804">
        <v>0</v>
      </c>
      <c r="GW107" s="1804">
        <v>0</v>
      </c>
      <c r="GX107" s="1804">
        <v>0</v>
      </c>
      <c r="GY107" s="1804">
        <v>0</v>
      </c>
      <c r="GZ107" s="1804">
        <v>0</v>
      </c>
      <c r="HA107" s="1804">
        <v>0</v>
      </c>
      <c r="HB107" s="1804">
        <v>0</v>
      </c>
      <c r="HC107" s="1804">
        <v>0</v>
      </c>
      <c r="HD107" s="1804">
        <v>0</v>
      </c>
      <c r="HE107" s="1804">
        <v>0</v>
      </c>
    </row>
    <row r="108" spans="1:213" ht="30" customHeight="1" thickBot="1" x14ac:dyDescent="0.25">
      <c r="A108" s="1694" t="s">
        <v>2348</v>
      </c>
      <c r="B108" s="1698" t="s">
        <v>66</v>
      </c>
      <c r="C108" s="1699" t="s">
        <v>1368</v>
      </c>
      <c r="D108" s="1882"/>
      <c r="E108" s="1843"/>
      <c r="F108" s="1838">
        <v>0</v>
      </c>
      <c r="G108" s="1804">
        <v>0</v>
      </c>
      <c r="H108" s="1804">
        <v>0</v>
      </c>
      <c r="I108" s="1804">
        <v>0</v>
      </c>
      <c r="J108" s="1804">
        <v>0</v>
      </c>
      <c r="K108" s="1804">
        <v>0</v>
      </c>
      <c r="L108" s="1804">
        <v>0</v>
      </c>
      <c r="M108" s="1804">
        <v>0</v>
      </c>
      <c r="N108" s="1804">
        <v>0</v>
      </c>
      <c r="O108" s="1804">
        <v>0</v>
      </c>
      <c r="P108" s="1804">
        <v>0</v>
      </c>
      <c r="Q108" s="1804">
        <v>0</v>
      </c>
      <c r="R108" s="1804">
        <v>0</v>
      </c>
      <c r="S108" s="1804">
        <v>0</v>
      </c>
      <c r="T108" s="1804">
        <v>0</v>
      </c>
      <c r="U108" s="1804">
        <v>0</v>
      </c>
      <c r="V108" s="1804">
        <v>0</v>
      </c>
      <c r="W108" s="1804">
        <v>0</v>
      </c>
      <c r="X108" s="1804">
        <v>0</v>
      </c>
      <c r="Y108" s="1804">
        <v>0</v>
      </c>
      <c r="Z108" s="1804">
        <v>0</v>
      </c>
      <c r="AA108" s="1804">
        <v>0</v>
      </c>
      <c r="AB108" s="1804">
        <v>0</v>
      </c>
      <c r="AC108" s="1804">
        <v>0</v>
      </c>
      <c r="AD108" s="1804">
        <v>0</v>
      </c>
      <c r="AE108" s="1804">
        <v>0</v>
      </c>
      <c r="AF108" s="1804">
        <v>0</v>
      </c>
      <c r="AG108" s="1804">
        <v>0</v>
      </c>
      <c r="AH108" s="1804">
        <v>0</v>
      </c>
      <c r="AI108" s="1804">
        <v>0</v>
      </c>
      <c r="AJ108" s="1804">
        <v>0</v>
      </c>
      <c r="AK108" s="1804">
        <v>0</v>
      </c>
      <c r="AL108" s="1804">
        <v>0</v>
      </c>
      <c r="AM108" s="1804">
        <v>0</v>
      </c>
      <c r="AN108" s="1804">
        <v>0</v>
      </c>
      <c r="AO108" s="1804">
        <v>0</v>
      </c>
      <c r="AP108" s="1804">
        <v>0</v>
      </c>
      <c r="AQ108" s="1804">
        <v>0</v>
      </c>
      <c r="AR108" s="1804">
        <v>0</v>
      </c>
      <c r="AS108" s="1804">
        <v>0</v>
      </c>
      <c r="AT108" s="1804">
        <v>0</v>
      </c>
      <c r="AU108" s="1804">
        <v>0</v>
      </c>
      <c r="AV108" s="1804">
        <v>0</v>
      </c>
      <c r="AW108" s="1804">
        <v>0</v>
      </c>
      <c r="AX108" s="1804">
        <v>0</v>
      </c>
      <c r="AY108" s="1804">
        <v>0</v>
      </c>
      <c r="AZ108" s="1804">
        <v>0</v>
      </c>
      <c r="BA108" s="1804">
        <v>0</v>
      </c>
      <c r="BB108" s="1804">
        <v>0</v>
      </c>
      <c r="BC108" s="1804">
        <v>0</v>
      </c>
      <c r="BD108" s="1804">
        <v>0</v>
      </c>
      <c r="BE108" s="1804">
        <v>0</v>
      </c>
      <c r="BF108" s="1804">
        <v>0</v>
      </c>
      <c r="BG108" s="1804">
        <v>0</v>
      </c>
      <c r="BH108" s="1804">
        <v>0</v>
      </c>
      <c r="BI108" s="1804">
        <v>0</v>
      </c>
      <c r="BJ108" s="1804">
        <v>0</v>
      </c>
      <c r="BK108" s="1804">
        <v>0</v>
      </c>
      <c r="BL108" s="1804">
        <v>0</v>
      </c>
      <c r="BM108" s="1804">
        <v>0</v>
      </c>
      <c r="BN108" s="1804">
        <v>0</v>
      </c>
      <c r="BO108" s="1804">
        <v>0</v>
      </c>
      <c r="BP108" s="1804">
        <v>0</v>
      </c>
      <c r="BQ108" s="1804">
        <v>0</v>
      </c>
      <c r="BR108" s="1804">
        <v>0</v>
      </c>
      <c r="BS108" s="1804">
        <v>0</v>
      </c>
      <c r="BT108" s="1804">
        <v>0</v>
      </c>
      <c r="BU108" s="1804">
        <v>0</v>
      </c>
      <c r="BV108" s="1804">
        <v>0</v>
      </c>
      <c r="BW108" s="1804">
        <v>0</v>
      </c>
      <c r="BX108" s="1804">
        <v>0</v>
      </c>
      <c r="BY108" s="1804">
        <v>0</v>
      </c>
      <c r="BZ108" s="1804">
        <v>0</v>
      </c>
      <c r="CA108" s="1804">
        <v>0</v>
      </c>
      <c r="CB108" s="1804">
        <v>0</v>
      </c>
      <c r="CC108" s="1804">
        <v>0</v>
      </c>
      <c r="CD108" s="1804">
        <v>0</v>
      </c>
      <c r="CE108" s="1804">
        <v>0</v>
      </c>
      <c r="CF108" s="1804">
        <v>0</v>
      </c>
      <c r="CG108" s="1804">
        <v>0</v>
      </c>
      <c r="CH108" s="1804">
        <v>0</v>
      </c>
      <c r="CI108" s="1804">
        <v>0</v>
      </c>
      <c r="CJ108" s="1804">
        <v>0</v>
      </c>
      <c r="CK108" s="1804">
        <v>0</v>
      </c>
      <c r="CL108" s="1804">
        <v>0</v>
      </c>
      <c r="CM108" s="1804">
        <v>0</v>
      </c>
      <c r="CN108" s="1804">
        <v>0</v>
      </c>
      <c r="CO108" s="1804">
        <v>0</v>
      </c>
      <c r="CP108" s="1804">
        <v>0</v>
      </c>
      <c r="CQ108" s="1804">
        <v>0</v>
      </c>
      <c r="CR108" s="1804">
        <v>0</v>
      </c>
      <c r="CS108" s="1804">
        <v>0</v>
      </c>
      <c r="CT108" s="1804">
        <v>0</v>
      </c>
      <c r="CU108" s="1804">
        <v>0</v>
      </c>
      <c r="CV108" s="1804">
        <v>0</v>
      </c>
      <c r="CW108" s="1804">
        <v>0</v>
      </c>
      <c r="CX108" s="1804">
        <v>0</v>
      </c>
      <c r="CY108" s="1804">
        <v>0</v>
      </c>
      <c r="CZ108" s="1804">
        <v>0</v>
      </c>
      <c r="DA108" s="1804">
        <v>0</v>
      </c>
      <c r="DB108" s="1804">
        <v>0</v>
      </c>
      <c r="DC108" s="1804">
        <v>0</v>
      </c>
      <c r="DD108" s="1804">
        <v>0</v>
      </c>
      <c r="DE108" s="1804">
        <v>0</v>
      </c>
      <c r="DF108" s="1804">
        <v>0</v>
      </c>
      <c r="DG108" s="1804">
        <v>0</v>
      </c>
      <c r="DH108" s="1804">
        <v>0</v>
      </c>
      <c r="DI108" s="1804">
        <v>0</v>
      </c>
      <c r="DJ108" s="1804">
        <v>0</v>
      </c>
      <c r="DK108" s="1804">
        <v>0</v>
      </c>
      <c r="DL108" s="1804">
        <v>0</v>
      </c>
      <c r="DM108" s="1804">
        <v>0</v>
      </c>
      <c r="DN108" s="1804">
        <v>0</v>
      </c>
      <c r="DO108" s="1804">
        <v>0</v>
      </c>
      <c r="DP108" s="1804">
        <v>0</v>
      </c>
      <c r="DQ108" s="1804">
        <v>0</v>
      </c>
      <c r="DR108" s="1804">
        <v>0</v>
      </c>
      <c r="DS108" s="1804">
        <v>0</v>
      </c>
      <c r="DT108" s="1804">
        <v>0</v>
      </c>
      <c r="DU108" s="1804">
        <v>0</v>
      </c>
      <c r="DV108" s="1804">
        <v>0</v>
      </c>
      <c r="DW108" s="1804">
        <v>0</v>
      </c>
      <c r="DX108" s="1804">
        <v>0</v>
      </c>
      <c r="DY108" s="1804">
        <v>0</v>
      </c>
      <c r="DZ108" s="1804">
        <v>0</v>
      </c>
      <c r="EA108" s="1804">
        <v>0</v>
      </c>
      <c r="EB108" s="1804">
        <v>0</v>
      </c>
      <c r="EC108" s="1804">
        <v>0</v>
      </c>
      <c r="ED108" s="1804">
        <v>0</v>
      </c>
      <c r="EE108" s="1804">
        <v>0</v>
      </c>
      <c r="EF108" s="1804">
        <v>0</v>
      </c>
      <c r="EG108" s="1804">
        <v>0</v>
      </c>
      <c r="EH108" s="1804">
        <v>0</v>
      </c>
      <c r="EI108" s="1804">
        <v>0</v>
      </c>
      <c r="EJ108" s="1804">
        <v>0</v>
      </c>
      <c r="EK108" s="1804">
        <v>0</v>
      </c>
      <c r="EL108" s="1804">
        <v>0</v>
      </c>
      <c r="EM108" s="1804">
        <v>0</v>
      </c>
      <c r="EN108" s="1804">
        <v>0</v>
      </c>
      <c r="EO108" s="1804">
        <v>0</v>
      </c>
      <c r="EP108" s="1804">
        <v>0</v>
      </c>
      <c r="EQ108" s="1804">
        <v>0</v>
      </c>
      <c r="ER108" s="1804">
        <v>0</v>
      </c>
      <c r="ES108" s="1804">
        <v>0</v>
      </c>
      <c r="ET108" s="1804">
        <v>0</v>
      </c>
      <c r="EU108" s="1804">
        <v>0</v>
      </c>
      <c r="EV108" s="1804">
        <v>0</v>
      </c>
      <c r="EW108" s="1804">
        <v>0</v>
      </c>
      <c r="EX108" s="1804">
        <v>0</v>
      </c>
      <c r="EY108" s="1804">
        <v>0</v>
      </c>
      <c r="EZ108" s="1804">
        <v>0</v>
      </c>
      <c r="FA108" s="1804">
        <v>0</v>
      </c>
      <c r="FB108" s="1804">
        <v>0</v>
      </c>
      <c r="FC108" s="1804">
        <v>0</v>
      </c>
      <c r="FD108" s="1804">
        <v>0</v>
      </c>
      <c r="FE108" s="1804">
        <v>0</v>
      </c>
      <c r="FF108" s="1804">
        <v>0</v>
      </c>
      <c r="FG108" s="1804">
        <v>0</v>
      </c>
      <c r="FH108" s="1804">
        <v>0</v>
      </c>
      <c r="FI108" s="1804">
        <v>0</v>
      </c>
      <c r="FJ108" s="1804">
        <v>0</v>
      </c>
      <c r="FK108" s="1804">
        <v>0</v>
      </c>
      <c r="FL108" s="1804">
        <v>0</v>
      </c>
      <c r="FM108" s="1804">
        <v>0</v>
      </c>
      <c r="FN108" s="1804">
        <v>0</v>
      </c>
      <c r="FO108" s="1804">
        <v>0</v>
      </c>
      <c r="FP108" s="1804">
        <v>0</v>
      </c>
      <c r="FQ108" s="1804">
        <v>0</v>
      </c>
      <c r="FR108" s="1804">
        <v>0</v>
      </c>
      <c r="FS108" s="1804">
        <v>0</v>
      </c>
      <c r="FT108" s="1804">
        <v>0</v>
      </c>
      <c r="FU108" s="1804">
        <v>0</v>
      </c>
      <c r="FV108" s="1804">
        <v>0</v>
      </c>
      <c r="FW108" s="1804">
        <v>0</v>
      </c>
      <c r="FX108" s="1804">
        <v>0</v>
      </c>
      <c r="FY108" s="1804">
        <v>0</v>
      </c>
      <c r="FZ108" s="1804">
        <v>0</v>
      </c>
      <c r="GA108" s="1804">
        <v>0</v>
      </c>
      <c r="GB108" s="1804">
        <v>0</v>
      </c>
      <c r="GC108" s="1804">
        <v>0</v>
      </c>
      <c r="GD108" s="1804">
        <v>0</v>
      </c>
      <c r="GE108" s="1804">
        <v>0</v>
      </c>
      <c r="GF108" s="1804">
        <v>0</v>
      </c>
      <c r="GG108" s="1804">
        <v>0</v>
      </c>
      <c r="GH108" s="1804">
        <v>0</v>
      </c>
      <c r="GI108" s="1804">
        <v>0</v>
      </c>
      <c r="GJ108" s="1804">
        <v>0</v>
      </c>
      <c r="GK108" s="1804">
        <v>0</v>
      </c>
      <c r="GL108" s="1804">
        <v>0</v>
      </c>
      <c r="GM108" s="1804">
        <v>0</v>
      </c>
      <c r="GN108" s="1804">
        <v>0</v>
      </c>
      <c r="GO108" s="1804">
        <v>0</v>
      </c>
      <c r="GP108" s="1804">
        <v>0</v>
      </c>
      <c r="GQ108" s="1804">
        <v>0</v>
      </c>
      <c r="GR108" s="1804">
        <v>0</v>
      </c>
      <c r="GS108" s="1804">
        <v>0</v>
      </c>
      <c r="GT108" s="1804">
        <v>0</v>
      </c>
      <c r="GU108" s="1804">
        <v>0</v>
      </c>
      <c r="GV108" s="1804">
        <v>0</v>
      </c>
      <c r="GW108" s="1804">
        <v>0</v>
      </c>
      <c r="GX108" s="1804">
        <v>0</v>
      </c>
      <c r="GY108" s="1804">
        <v>0</v>
      </c>
      <c r="GZ108" s="1804">
        <v>0</v>
      </c>
      <c r="HA108" s="1804">
        <v>0</v>
      </c>
      <c r="HB108" s="1804">
        <v>0</v>
      </c>
      <c r="HC108" s="1804">
        <v>0</v>
      </c>
      <c r="HD108" s="1804">
        <v>0</v>
      </c>
      <c r="HE108" s="1804">
        <v>0</v>
      </c>
    </row>
    <row r="109" spans="1:213" ht="21" customHeight="1" thickBot="1" x14ac:dyDescent="0.25">
      <c r="A109" s="1968" t="s">
        <v>2349</v>
      </c>
      <c r="B109" s="1988" t="s">
        <v>1920</v>
      </c>
      <c r="C109" s="1699" t="s">
        <v>1925</v>
      </c>
      <c r="D109" s="1880"/>
      <c r="E109" s="1984"/>
      <c r="F109" s="1865"/>
      <c r="G109" s="1866"/>
      <c r="H109" s="1866"/>
      <c r="I109" s="1866"/>
      <c r="J109" s="1866"/>
      <c r="K109" s="1866"/>
      <c r="L109" s="1866"/>
      <c r="M109" s="1866"/>
      <c r="N109" s="1866"/>
      <c r="O109" s="1866"/>
      <c r="P109" s="1866"/>
      <c r="Q109" s="1866"/>
      <c r="R109" s="1866"/>
      <c r="S109" s="1866"/>
      <c r="T109" s="1866"/>
      <c r="U109" s="1866"/>
      <c r="V109" s="1866"/>
      <c r="W109" s="1866"/>
      <c r="X109" s="1866"/>
      <c r="Y109" s="1866"/>
      <c r="Z109" s="1866"/>
      <c r="AA109" s="1866"/>
      <c r="AB109" s="1866"/>
      <c r="AC109" s="1866"/>
      <c r="AD109" s="1866"/>
      <c r="AE109" s="1866"/>
      <c r="AF109" s="1866"/>
      <c r="AG109" s="1866"/>
      <c r="AH109" s="1866"/>
      <c r="AI109" s="1866"/>
      <c r="AJ109" s="1866"/>
      <c r="AK109" s="1866"/>
      <c r="AL109" s="1866"/>
      <c r="AM109" s="1866"/>
      <c r="AN109" s="1866"/>
      <c r="AO109" s="1866"/>
      <c r="AP109" s="1866"/>
      <c r="AQ109" s="1866"/>
      <c r="AR109" s="1866"/>
      <c r="AS109" s="1866"/>
      <c r="AT109" s="1866"/>
      <c r="AU109" s="1866"/>
      <c r="AV109" s="1866"/>
      <c r="AW109" s="1866"/>
      <c r="AX109" s="1866"/>
      <c r="AY109" s="1866"/>
      <c r="AZ109" s="1866"/>
      <c r="BA109" s="1866"/>
      <c r="BB109" s="1866"/>
      <c r="BC109" s="1866"/>
      <c r="BD109" s="1866"/>
      <c r="BE109" s="1866"/>
      <c r="BF109" s="1866"/>
      <c r="BG109" s="1866"/>
      <c r="BH109" s="1866"/>
      <c r="BI109" s="1866"/>
      <c r="BJ109" s="1866"/>
      <c r="BK109" s="1866"/>
      <c r="BL109" s="1866"/>
      <c r="BM109" s="1866"/>
      <c r="BN109" s="1866"/>
      <c r="BO109" s="1866"/>
      <c r="BP109" s="1866"/>
      <c r="BQ109" s="1866"/>
      <c r="BR109" s="1866"/>
      <c r="BS109" s="1866"/>
      <c r="BT109" s="1866"/>
      <c r="BU109" s="1866"/>
      <c r="BV109" s="1866"/>
      <c r="BW109" s="1866"/>
      <c r="BX109" s="1866"/>
      <c r="BY109" s="1866"/>
      <c r="BZ109" s="1866"/>
      <c r="CA109" s="1866"/>
      <c r="CB109" s="1866"/>
      <c r="CC109" s="1866"/>
      <c r="CD109" s="1866"/>
      <c r="CE109" s="1866"/>
      <c r="CF109" s="1866"/>
      <c r="CG109" s="1866"/>
      <c r="CH109" s="1866"/>
      <c r="CI109" s="1866"/>
      <c r="CJ109" s="1866"/>
      <c r="CK109" s="1866"/>
      <c r="CL109" s="1866"/>
      <c r="CM109" s="1866"/>
      <c r="CN109" s="1866"/>
      <c r="CO109" s="1866"/>
      <c r="CP109" s="1866"/>
      <c r="CQ109" s="1866"/>
      <c r="CR109" s="1866"/>
      <c r="CS109" s="1866"/>
      <c r="CT109" s="1866"/>
      <c r="CU109" s="1866"/>
      <c r="CV109" s="1866"/>
      <c r="CW109" s="1866"/>
      <c r="CX109" s="1866"/>
      <c r="CY109" s="1866"/>
      <c r="CZ109" s="1866"/>
      <c r="DA109" s="1866"/>
      <c r="DB109" s="1866"/>
      <c r="DC109" s="1866"/>
      <c r="DD109" s="1866"/>
      <c r="DE109" s="1866"/>
      <c r="DF109" s="1866"/>
      <c r="DG109" s="1866"/>
      <c r="DH109" s="1866"/>
      <c r="DI109" s="1866"/>
      <c r="DJ109" s="1866"/>
      <c r="DK109" s="1866"/>
      <c r="DL109" s="1866"/>
      <c r="DM109" s="1866"/>
      <c r="DN109" s="1866"/>
      <c r="DO109" s="1866"/>
      <c r="DP109" s="1866"/>
      <c r="DQ109" s="1866"/>
      <c r="DR109" s="1866"/>
      <c r="DS109" s="1866"/>
      <c r="DT109" s="1866"/>
      <c r="DU109" s="1866"/>
      <c r="DV109" s="1866"/>
      <c r="DW109" s="1866"/>
      <c r="DX109" s="1866"/>
      <c r="DY109" s="1866"/>
      <c r="DZ109" s="1866"/>
      <c r="EA109" s="1866"/>
      <c r="EB109" s="1866"/>
      <c r="EC109" s="1866"/>
      <c r="ED109" s="1866"/>
      <c r="EE109" s="1866"/>
      <c r="EF109" s="1866"/>
      <c r="EG109" s="1866"/>
      <c r="EH109" s="1866"/>
      <c r="EI109" s="1866"/>
      <c r="EJ109" s="1866"/>
      <c r="EK109" s="1866"/>
      <c r="EL109" s="1866"/>
      <c r="EM109" s="1866"/>
      <c r="EN109" s="1866"/>
      <c r="EO109" s="1866"/>
      <c r="EP109" s="1866"/>
      <c r="EQ109" s="1866"/>
      <c r="ER109" s="1866"/>
      <c r="ES109" s="1866"/>
      <c r="ET109" s="1866"/>
      <c r="EU109" s="1866"/>
      <c r="EV109" s="1866"/>
      <c r="EW109" s="1866"/>
      <c r="EX109" s="1866"/>
      <c r="EY109" s="1866"/>
      <c r="EZ109" s="1866"/>
      <c r="FA109" s="1866"/>
      <c r="FB109" s="1866"/>
      <c r="FC109" s="1866"/>
      <c r="FD109" s="1866"/>
      <c r="FE109" s="1866"/>
      <c r="FF109" s="1866"/>
      <c r="FG109" s="1866"/>
      <c r="FH109" s="1866"/>
      <c r="FI109" s="1866"/>
      <c r="FJ109" s="1866"/>
      <c r="FK109" s="1866"/>
      <c r="FL109" s="1866"/>
      <c r="FM109" s="1866"/>
      <c r="FN109" s="1866"/>
      <c r="FO109" s="1866"/>
      <c r="FP109" s="1866"/>
      <c r="FQ109" s="1866"/>
      <c r="FR109" s="1866"/>
      <c r="FS109" s="1866"/>
      <c r="FT109" s="1866"/>
      <c r="FU109" s="1866"/>
      <c r="FV109" s="1866"/>
      <c r="FW109" s="1866"/>
      <c r="FX109" s="1866"/>
      <c r="FY109" s="1866"/>
      <c r="FZ109" s="1866"/>
      <c r="GA109" s="1866"/>
      <c r="GB109" s="1866"/>
      <c r="GC109" s="1866"/>
      <c r="GD109" s="1866"/>
      <c r="GE109" s="1866"/>
      <c r="GF109" s="1866"/>
      <c r="GG109" s="1866"/>
      <c r="GH109" s="1866"/>
      <c r="GI109" s="1866"/>
      <c r="GJ109" s="1866"/>
      <c r="GK109" s="1866"/>
      <c r="GL109" s="1866"/>
      <c r="GM109" s="1866"/>
      <c r="GN109" s="1866"/>
      <c r="GO109" s="1866"/>
      <c r="GP109" s="1866"/>
      <c r="GQ109" s="1866"/>
      <c r="GR109" s="1866"/>
      <c r="GS109" s="1866"/>
      <c r="GT109" s="1866"/>
      <c r="GU109" s="1866"/>
      <c r="GV109" s="1866"/>
      <c r="GW109" s="1866"/>
      <c r="GX109" s="1866"/>
      <c r="GY109" s="1866"/>
      <c r="GZ109" s="1866"/>
      <c r="HA109" s="1866"/>
      <c r="HB109" s="1866"/>
      <c r="HC109" s="1866"/>
      <c r="HD109" s="1866"/>
      <c r="HE109" s="1866"/>
    </row>
    <row r="110" spans="1:213" ht="27" customHeight="1" x14ac:dyDescent="0.2">
      <c r="A110" s="1966"/>
      <c r="B110" s="1994"/>
      <c r="C110" s="1696" t="s">
        <v>1921</v>
      </c>
      <c r="D110" s="1883"/>
      <c r="E110" s="1996"/>
      <c r="F110" s="1838">
        <v>0</v>
      </c>
      <c r="G110" s="1804">
        <v>0</v>
      </c>
      <c r="H110" s="1804">
        <v>0</v>
      </c>
      <c r="I110" s="1804">
        <v>0</v>
      </c>
      <c r="J110" s="1804">
        <v>0</v>
      </c>
      <c r="K110" s="1804">
        <v>0</v>
      </c>
      <c r="L110" s="1804">
        <v>0</v>
      </c>
      <c r="M110" s="1804">
        <v>0</v>
      </c>
      <c r="N110" s="1804">
        <v>0</v>
      </c>
      <c r="O110" s="1804">
        <v>0</v>
      </c>
      <c r="P110" s="1804">
        <v>0</v>
      </c>
      <c r="Q110" s="1804">
        <v>0</v>
      </c>
      <c r="R110" s="1804">
        <v>0</v>
      </c>
      <c r="S110" s="1804">
        <v>0</v>
      </c>
      <c r="T110" s="1804">
        <v>0</v>
      </c>
      <c r="U110" s="1804">
        <v>0</v>
      </c>
      <c r="V110" s="1804">
        <v>0</v>
      </c>
      <c r="W110" s="1804">
        <v>0</v>
      </c>
      <c r="X110" s="1804">
        <v>0</v>
      </c>
      <c r="Y110" s="1804">
        <v>0</v>
      </c>
      <c r="Z110" s="1804">
        <v>0</v>
      </c>
      <c r="AA110" s="1804">
        <v>0</v>
      </c>
      <c r="AB110" s="1804">
        <v>0</v>
      </c>
      <c r="AC110" s="1804">
        <v>0</v>
      </c>
      <c r="AD110" s="1804">
        <v>0</v>
      </c>
      <c r="AE110" s="1804">
        <v>0</v>
      </c>
      <c r="AF110" s="1804">
        <v>0</v>
      </c>
      <c r="AG110" s="1804">
        <v>0</v>
      </c>
      <c r="AH110" s="1804">
        <v>0</v>
      </c>
      <c r="AI110" s="1804">
        <v>0</v>
      </c>
      <c r="AJ110" s="1804">
        <v>0</v>
      </c>
      <c r="AK110" s="1804">
        <v>0</v>
      </c>
      <c r="AL110" s="1804">
        <v>0</v>
      </c>
      <c r="AM110" s="1804">
        <v>0</v>
      </c>
      <c r="AN110" s="1804">
        <v>0</v>
      </c>
      <c r="AO110" s="1804">
        <v>0</v>
      </c>
      <c r="AP110" s="1804">
        <v>0</v>
      </c>
      <c r="AQ110" s="1804">
        <v>0</v>
      </c>
      <c r="AR110" s="1804">
        <v>0</v>
      </c>
      <c r="AS110" s="1804">
        <v>0</v>
      </c>
      <c r="AT110" s="1804">
        <v>0</v>
      </c>
      <c r="AU110" s="1804">
        <v>0</v>
      </c>
      <c r="AV110" s="1804">
        <v>0</v>
      </c>
      <c r="AW110" s="1804">
        <v>0</v>
      </c>
      <c r="AX110" s="1804">
        <v>0</v>
      </c>
      <c r="AY110" s="1804">
        <v>0</v>
      </c>
      <c r="AZ110" s="1804">
        <v>0</v>
      </c>
      <c r="BA110" s="1804">
        <v>0</v>
      </c>
      <c r="BB110" s="1804">
        <v>0</v>
      </c>
      <c r="BC110" s="1804">
        <v>0</v>
      </c>
      <c r="BD110" s="1804">
        <v>0</v>
      </c>
      <c r="BE110" s="1804">
        <v>0</v>
      </c>
      <c r="BF110" s="1804">
        <v>0</v>
      </c>
      <c r="BG110" s="1804">
        <v>0</v>
      </c>
      <c r="BH110" s="1804">
        <v>0</v>
      </c>
      <c r="BI110" s="1804">
        <v>0</v>
      </c>
      <c r="BJ110" s="1804">
        <v>0</v>
      </c>
      <c r="BK110" s="1804">
        <v>0</v>
      </c>
      <c r="BL110" s="1804">
        <v>0</v>
      </c>
      <c r="BM110" s="1804">
        <v>0</v>
      </c>
      <c r="BN110" s="1804">
        <v>0</v>
      </c>
      <c r="BO110" s="1804">
        <v>0</v>
      </c>
      <c r="BP110" s="1804">
        <v>0</v>
      </c>
      <c r="BQ110" s="1804">
        <v>0</v>
      </c>
      <c r="BR110" s="1804">
        <v>0</v>
      </c>
      <c r="BS110" s="1804">
        <v>0</v>
      </c>
      <c r="BT110" s="1804">
        <v>0</v>
      </c>
      <c r="BU110" s="1804">
        <v>0</v>
      </c>
      <c r="BV110" s="1804">
        <v>0</v>
      </c>
      <c r="BW110" s="1804">
        <v>0</v>
      </c>
      <c r="BX110" s="1804">
        <v>0</v>
      </c>
      <c r="BY110" s="1804">
        <v>0</v>
      </c>
      <c r="BZ110" s="1804">
        <v>0</v>
      </c>
      <c r="CA110" s="1804">
        <v>0</v>
      </c>
      <c r="CB110" s="1804">
        <v>0</v>
      </c>
      <c r="CC110" s="1804">
        <v>0</v>
      </c>
      <c r="CD110" s="1804">
        <v>0</v>
      </c>
      <c r="CE110" s="1804">
        <v>0</v>
      </c>
      <c r="CF110" s="1804">
        <v>0</v>
      </c>
      <c r="CG110" s="1804">
        <v>0</v>
      </c>
      <c r="CH110" s="1804">
        <v>0</v>
      </c>
      <c r="CI110" s="1804">
        <v>0</v>
      </c>
      <c r="CJ110" s="1804">
        <v>0</v>
      </c>
      <c r="CK110" s="1804">
        <v>0</v>
      </c>
      <c r="CL110" s="1804">
        <v>0</v>
      </c>
      <c r="CM110" s="1804">
        <v>0</v>
      </c>
      <c r="CN110" s="1804">
        <v>0</v>
      </c>
      <c r="CO110" s="1804">
        <v>0</v>
      </c>
      <c r="CP110" s="1804">
        <v>0</v>
      </c>
      <c r="CQ110" s="1804">
        <v>0</v>
      </c>
      <c r="CR110" s="1804">
        <v>0</v>
      </c>
      <c r="CS110" s="1804">
        <v>0</v>
      </c>
      <c r="CT110" s="1804">
        <v>0</v>
      </c>
      <c r="CU110" s="1804">
        <v>0</v>
      </c>
      <c r="CV110" s="1804">
        <v>0</v>
      </c>
      <c r="CW110" s="1804">
        <v>0</v>
      </c>
      <c r="CX110" s="1804">
        <v>0</v>
      </c>
      <c r="CY110" s="1804">
        <v>0</v>
      </c>
      <c r="CZ110" s="1804">
        <v>0</v>
      </c>
      <c r="DA110" s="1804">
        <v>0</v>
      </c>
      <c r="DB110" s="1804">
        <v>0</v>
      </c>
      <c r="DC110" s="1804">
        <v>0</v>
      </c>
      <c r="DD110" s="1804">
        <v>0</v>
      </c>
      <c r="DE110" s="1804">
        <v>0</v>
      </c>
      <c r="DF110" s="1804">
        <v>0</v>
      </c>
      <c r="DG110" s="1804">
        <v>0</v>
      </c>
      <c r="DH110" s="1804">
        <v>0</v>
      </c>
      <c r="DI110" s="1804">
        <v>0</v>
      </c>
      <c r="DJ110" s="1804">
        <v>0</v>
      </c>
      <c r="DK110" s="1804">
        <v>0</v>
      </c>
      <c r="DL110" s="1804">
        <v>0</v>
      </c>
      <c r="DM110" s="1804">
        <v>0</v>
      </c>
      <c r="DN110" s="1804">
        <v>0</v>
      </c>
      <c r="DO110" s="1804">
        <v>0</v>
      </c>
      <c r="DP110" s="1804">
        <v>0</v>
      </c>
      <c r="DQ110" s="1804">
        <v>0</v>
      </c>
      <c r="DR110" s="1804">
        <v>0</v>
      </c>
      <c r="DS110" s="1804">
        <v>0</v>
      </c>
      <c r="DT110" s="1804">
        <v>0</v>
      </c>
      <c r="DU110" s="1804">
        <v>0</v>
      </c>
      <c r="DV110" s="1804">
        <v>0</v>
      </c>
      <c r="DW110" s="1804">
        <v>0</v>
      </c>
      <c r="DX110" s="1804">
        <v>0</v>
      </c>
      <c r="DY110" s="1804">
        <v>0</v>
      </c>
      <c r="DZ110" s="1804">
        <v>0</v>
      </c>
      <c r="EA110" s="1804">
        <v>0</v>
      </c>
      <c r="EB110" s="1804">
        <v>0</v>
      </c>
      <c r="EC110" s="1804">
        <v>0</v>
      </c>
      <c r="ED110" s="1804">
        <v>0</v>
      </c>
      <c r="EE110" s="1804">
        <v>0</v>
      </c>
      <c r="EF110" s="1804">
        <v>0</v>
      </c>
      <c r="EG110" s="1804">
        <v>0</v>
      </c>
      <c r="EH110" s="1804">
        <v>0</v>
      </c>
      <c r="EI110" s="1804">
        <v>0</v>
      </c>
      <c r="EJ110" s="1804">
        <v>0</v>
      </c>
      <c r="EK110" s="1804">
        <v>0</v>
      </c>
      <c r="EL110" s="1804">
        <v>0</v>
      </c>
      <c r="EM110" s="1804">
        <v>0</v>
      </c>
      <c r="EN110" s="1804">
        <v>0</v>
      </c>
      <c r="EO110" s="1804">
        <v>0</v>
      </c>
      <c r="EP110" s="1804">
        <v>0</v>
      </c>
      <c r="EQ110" s="1804">
        <v>0</v>
      </c>
      <c r="ER110" s="1804">
        <v>0</v>
      </c>
      <c r="ES110" s="1804">
        <v>0</v>
      </c>
      <c r="ET110" s="1804">
        <v>0</v>
      </c>
      <c r="EU110" s="1804">
        <v>0</v>
      </c>
      <c r="EV110" s="1804">
        <v>0</v>
      </c>
      <c r="EW110" s="1804">
        <v>0</v>
      </c>
      <c r="EX110" s="1804">
        <v>0</v>
      </c>
      <c r="EY110" s="1804">
        <v>0</v>
      </c>
      <c r="EZ110" s="1804">
        <v>0</v>
      </c>
      <c r="FA110" s="1804">
        <v>0</v>
      </c>
      <c r="FB110" s="1804">
        <v>0</v>
      </c>
      <c r="FC110" s="1804">
        <v>0</v>
      </c>
      <c r="FD110" s="1804">
        <v>0</v>
      </c>
      <c r="FE110" s="1804">
        <v>0</v>
      </c>
      <c r="FF110" s="1804">
        <v>0</v>
      </c>
      <c r="FG110" s="1804">
        <v>0</v>
      </c>
      <c r="FH110" s="1804">
        <v>0</v>
      </c>
      <c r="FI110" s="1804">
        <v>0</v>
      </c>
      <c r="FJ110" s="1804">
        <v>0</v>
      </c>
      <c r="FK110" s="1804">
        <v>0</v>
      </c>
      <c r="FL110" s="1804">
        <v>0</v>
      </c>
      <c r="FM110" s="1804">
        <v>0</v>
      </c>
      <c r="FN110" s="1804">
        <v>0</v>
      </c>
      <c r="FO110" s="1804">
        <v>0</v>
      </c>
      <c r="FP110" s="1804">
        <v>0</v>
      </c>
      <c r="FQ110" s="1804">
        <v>0</v>
      </c>
      <c r="FR110" s="1804">
        <v>0</v>
      </c>
      <c r="FS110" s="1804">
        <v>0</v>
      </c>
      <c r="FT110" s="1804">
        <v>0</v>
      </c>
      <c r="FU110" s="1804">
        <v>0</v>
      </c>
      <c r="FV110" s="1804">
        <v>0</v>
      </c>
      <c r="FW110" s="1804">
        <v>0</v>
      </c>
      <c r="FX110" s="1804">
        <v>0</v>
      </c>
      <c r="FY110" s="1804">
        <v>0</v>
      </c>
      <c r="FZ110" s="1804">
        <v>0</v>
      </c>
      <c r="GA110" s="1804">
        <v>0</v>
      </c>
      <c r="GB110" s="1804">
        <v>0</v>
      </c>
      <c r="GC110" s="1804">
        <v>0</v>
      </c>
      <c r="GD110" s="1804">
        <v>0</v>
      </c>
      <c r="GE110" s="1804">
        <v>0</v>
      </c>
      <c r="GF110" s="1804">
        <v>0</v>
      </c>
      <c r="GG110" s="1804">
        <v>0</v>
      </c>
      <c r="GH110" s="1804">
        <v>0</v>
      </c>
      <c r="GI110" s="1804">
        <v>0</v>
      </c>
      <c r="GJ110" s="1804">
        <v>0</v>
      </c>
      <c r="GK110" s="1804">
        <v>0</v>
      </c>
      <c r="GL110" s="1804">
        <v>0</v>
      </c>
      <c r="GM110" s="1804">
        <v>0</v>
      </c>
      <c r="GN110" s="1804">
        <v>0</v>
      </c>
      <c r="GO110" s="1804">
        <v>0</v>
      </c>
      <c r="GP110" s="1804">
        <v>0</v>
      </c>
      <c r="GQ110" s="1804">
        <v>0</v>
      </c>
      <c r="GR110" s="1804">
        <v>0</v>
      </c>
      <c r="GS110" s="1804">
        <v>0</v>
      </c>
      <c r="GT110" s="1804">
        <v>0</v>
      </c>
      <c r="GU110" s="1804">
        <v>0</v>
      </c>
      <c r="GV110" s="1804">
        <v>0</v>
      </c>
      <c r="GW110" s="1804">
        <v>0</v>
      </c>
      <c r="GX110" s="1804">
        <v>0</v>
      </c>
      <c r="GY110" s="1804">
        <v>0</v>
      </c>
      <c r="GZ110" s="1804">
        <v>0</v>
      </c>
      <c r="HA110" s="1804">
        <v>0</v>
      </c>
      <c r="HB110" s="1804">
        <v>0</v>
      </c>
      <c r="HC110" s="1804">
        <v>0</v>
      </c>
      <c r="HD110" s="1804">
        <v>0</v>
      </c>
      <c r="HE110" s="1804">
        <v>0</v>
      </c>
    </row>
    <row r="111" spans="1:213" ht="15" customHeight="1" x14ac:dyDescent="0.2">
      <c r="A111" s="1966"/>
      <c r="B111" s="1994"/>
      <c r="C111" s="1818" t="s">
        <v>1924</v>
      </c>
      <c r="D111" s="1883"/>
      <c r="E111" s="1996"/>
      <c r="F111" s="1838">
        <v>0</v>
      </c>
      <c r="G111" s="1804">
        <v>0</v>
      </c>
      <c r="H111" s="1804">
        <v>0</v>
      </c>
      <c r="I111" s="1804">
        <v>0</v>
      </c>
      <c r="J111" s="1804">
        <v>0</v>
      </c>
      <c r="K111" s="1804">
        <v>0</v>
      </c>
      <c r="L111" s="1804">
        <v>0</v>
      </c>
      <c r="M111" s="1804">
        <v>0</v>
      </c>
      <c r="N111" s="1804">
        <v>0</v>
      </c>
      <c r="O111" s="1804">
        <v>0</v>
      </c>
      <c r="P111" s="1804">
        <v>0</v>
      </c>
      <c r="Q111" s="1804">
        <v>0</v>
      </c>
      <c r="R111" s="1804">
        <v>0</v>
      </c>
      <c r="S111" s="1804">
        <v>0</v>
      </c>
      <c r="T111" s="1804">
        <v>0</v>
      </c>
      <c r="U111" s="1804">
        <v>0</v>
      </c>
      <c r="V111" s="1804">
        <v>0</v>
      </c>
      <c r="W111" s="1804">
        <v>0</v>
      </c>
      <c r="X111" s="1804">
        <v>0</v>
      </c>
      <c r="Y111" s="1804">
        <v>0</v>
      </c>
      <c r="Z111" s="1804">
        <v>0</v>
      </c>
      <c r="AA111" s="1804">
        <v>0</v>
      </c>
      <c r="AB111" s="1804">
        <v>0</v>
      </c>
      <c r="AC111" s="1804">
        <v>0</v>
      </c>
      <c r="AD111" s="1804">
        <v>0</v>
      </c>
      <c r="AE111" s="1804">
        <v>0</v>
      </c>
      <c r="AF111" s="1804">
        <v>0</v>
      </c>
      <c r="AG111" s="1804">
        <v>0</v>
      </c>
      <c r="AH111" s="1804">
        <v>0</v>
      </c>
      <c r="AI111" s="1804">
        <v>0</v>
      </c>
      <c r="AJ111" s="1804">
        <v>0</v>
      </c>
      <c r="AK111" s="1804">
        <v>0</v>
      </c>
      <c r="AL111" s="1804">
        <v>0</v>
      </c>
      <c r="AM111" s="1804">
        <v>0</v>
      </c>
      <c r="AN111" s="1804">
        <v>0</v>
      </c>
      <c r="AO111" s="1804">
        <v>0</v>
      </c>
      <c r="AP111" s="1804">
        <v>0</v>
      </c>
      <c r="AQ111" s="1804">
        <v>0</v>
      </c>
      <c r="AR111" s="1804">
        <v>0</v>
      </c>
      <c r="AS111" s="1804">
        <v>0</v>
      </c>
      <c r="AT111" s="1804">
        <v>0</v>
      </c>
      <c r="AU111" s="1804">
        <v>0</v>
      </c>
      <c r="AV111" s="1804">
        <v>0</v>
      </c>
      <c r="AW111" s="1804">
        <v>0</v>
      </c>
      <c r="AX111" s="1804">
        <v>0</v>
      </c>
      <c r="AY111" s="1804">
        <v>0</v>
      </c>
      <c r="AZ111" s="1804">
        <v>0</v>
      </c>
      <c r="BA111" s="1804">
        <v>0</v>
      </c>
      <c r="BB111" s="1804">
        <v>0</v>
      </c>
      <c r="BC111" s="1804">
        <v>0</v>
      </c>
      <c r="BD111" s="1804">
        <v>0</v>
      </c>
      <c r="BE111" s="1804">
        <v>0</v>
      </c>
      <c r="BF111" s="1804">
        <v>0</v>
      </c>
      <c r="BG111" s="1804">
        <v>0</v>
      </c>
      <c r="BH111" s="1804">
        <v>0</v>
      </c>
      <c r="BI111" s="1804">
        <v>0</v>
      </c>
      <c r="BJ111" s="1804">
        <v>0</v>
      </c>
      <c r="BK111" s="1804">
        <v>0</v>
      </c>
      <c r="BL111" s="1804">
        <v>0</v>
      </c>
      <c r="BM111" s="1804">
        <v>0</v>
      </c>
      <c r="BN111" s="1804">
        <v>0</v>
      </c>
      <c r="BO111" s="1804">
        <v>0</v>
      </c>
      <c r="BP111" s="1804">
        <v>0</v>
      </c>
      <c r="BQ111" s="1804">
        <v>0</v>
      </c>
      <c r="BR111" s="1804">
        <v>0</v>
      </c>
      <c r="BS111" s="1804">
        <v>0</v>
      </c>
      <c r="BT111" s="1804">
        <v>0</v>
      </c>
      <c r="BU111" s="1804">
        <v>0</v>
      </c>
      <c r="BV111" s="1804">
        <v>0</v>
      </c>
      <c r="BW111" s="1804">
        <v>0</v>
      </c>
      <c r="BX111" s="1804">
        <v>0</v>
      </c>
      <c r="BY111" s="1804">
        <v>0</v>
      </c>
      <c r="BZ111" s="1804">
        <v>0</v>
      </c>
      <c r="CA111" s="1804">
        <v>0</v>
      </c>
      <c r="CB111" s="1804">
        <v>0</v>
      </c>
      <c r="CC111" s="1804">
        <v>0</v>
      </c>
      <c r="CD111" s="1804">
        <v>0</v>
      </c>
      <c r="CE111" s="1804">
        <v>0</v>
      </c>
      <c r="CF111" s="1804">
        <v>0</v>
      </c>
      <c r="CG111" s="1804">
        <v>0</v>
      </c>
      <c r="CH111" s="1804">
        <v>0</v>
      </c>
      <c r="CI111" s="1804">
        <v>0</v>
      </c>
      <c r="CJ111" s="1804">
        <v>0</v>
      </c>
      <c r="CK111" s="1804">
        <v>0</v>
      </c>
      <c r="CL111" s="1804">
        <v>0</v>
      </c>
      <c r="CM111" s="1804">
        <v>0</v>
      </c>
      <c r="CN111" s="1804">
        <v>0</v>
      </c>
      <c r="CO111" s="1804">
        <v>0</v>
      </c>
      <c r="CP111" s="1804">
        <v>0</v>
      </c>
      <c r="CQ111" s="1804">
        <v>0</v>
      </c>
      <c r="CR111" s="1804">
        <v>0</v>
      </c>
      <c r="CS111" s="1804">
        <v>0</v>
      </c>
      <c r="CT111" s="1804">
        <v>0</v>
      </c>
      <c r="CU111" s="1804">
        <v>0</v>
      </c>
      <c r="CV111" s="1804">
        <v>0</v>
      </c>
      <c r="CW111" s="1804">
        <v>0</v>
      </c>
      <c r="CX111" s="1804">
        <v>0</v>
      </c>
      <c r="CY111" s="1804">
        <v>0</v>
      </c>
      <c r="CZ111" s="1804">
        <v>0</v>
      </c>
      <c r="DA111" s="1804">
        <v>0</v>
      </c>
      <c r="DB111" s="1804">
        <v>0</v>
      </c>
      <c r="DC111" s="1804">
        <v>0</v>
      </c>
      <c r="DD111" s="1804">
        <v>0</v>
      </c>
      <c r="DE111" s="1804">
        <v>0</v>
      </c>
      <c r="DF111" s="1804">
        <v>0</v>
      </c>
      <c r="DG111" s="1804">
        <v>0</v>
      </c>
      <c r="DH111" s="1804">
        <v>0</v>
      </c>
      <c r="DI111" s="1804">
        <v>0</v>
      </c>
      <c r="DJ111" s="1804">
        <v>0</v>
      </c>
      <c r="DK111" s="1804">
        <v>0</v>
      </c>
      <c r="DL111" s="1804">
        <v>0</v>
      </c>
      <c r="DM111" s="1804">
        <v>0</v>
      </c>
      <c r="DN111" s="1804">
        <v>0</v>
      </c>
      <c r="DO111" s="1804">
        <v>0</v>
      </c>
      <c r="DP111" s="1804">
        <v>0</v>
      </c>
      <c r="DQ111" s="1804">
        <v>0</v>
      </c>
      <c r="DR111" s="1804">
        <v>0</v>
      </c>
      <c r="DS111" s="1804">
        <v>0</v>
      </c>
      <c r="DT111" s="1804">
        <v>0</v>
      </c>
      <c r="DU111" s="1804">
        <v>0</v>
      </c>
      <c r="DV111" s="1804">
        <v>0</v>
      </c>
      <c r="DW111" s="1804">
        <v>0</v>
      </c>
      <c r="DX111" s="1804">
        <v>0</v>
      </c>
      <c r="DY111" s="1804">
        <v>0</v>
      </c>
      <c r="DZ111" s="1804">
        <v>0</v>
      </c>
      <c r="EA111" s="1804">
        <v>0</v>
      </c>
      <c r="EB111" s="1804">
        <v>0</v>
      </c>
      <c r="EC111" s="1804">
        <v>0</v>
      </c>
      <c r="ED111" s="1804">
        <v>0</v>
      </c>
      <c r="EE111" s="1804">
        <v>0</v>
      </c>
      <c r="EF111" s="1804">
        <v>0</v>
      </c>
      <c r="EG111" s="1804">
        <v>0</v>
      </c>
      <c r="EH111" s="1804">
        <v>0</v>
      </c>
      <c r="EI111" s="1804">
        <v>0</v>
      </c>
      <c r="EJ111" s="1804">
        <v>0</v>
      </c>
      <c r="EK111" s="1804">
        <v>0</v>
      </c>
      <c r="EL111" s="1804">
        <v>0</v>
      </c>
      <c r="EM111" s="1804">
        <v>0</v>
      </c>
      <c r="EN111" s="1804">
        <v>0</v>
      </c>
      <c r="EO111" s="1804">
        <v>0</v>
      </c>
      <c r="EP111" s="1804">
        <v>0</v>
      </c>
      <c r="EQ111" s="1804">
        <v>0</v>
      </c>
      <c r="ER111" s="1804">
        <v>0</v>
      </c>
      <c r="ES111" s="1804">
        <v>0</v>
      </c>
      <c r="ET111" s="1804">
        <v>0</v>
      </c>
      <c r="EU111" s="1804">
        <v>0</v>
      </c>
      <c r="EV111" s="1804">
        <v>0</v>
      </c>
      <c r="EW111" s="1804">
        <v>0</v>
      </c>
      <c r="EX111" s="1804">
        <v>0</v>
      </c>
      <c r="EY111" s="1804">
        <v>0</v>
      </c>
      <c r="EZ111" s="1804">
        <v>0</v>
      </c>
      <c r="FA111" s="1804">
        <v>0</v>
      </c>
      <c r="FB111" s="1804">
        <v>0</v>
      </c>
      <c r="FC111" s="1804">
        <v>0</v>
      </c>
      <c r="FD111" s="1804">
        <v>0</v>
      </c>
      <c r="FE111" s="1804">
        <v>0</v>
      </c>
      <c r="FF111" s="1804">
        <v>0</v>
      </c>
      <c r="FG111" s="1804">
        <v>0</v>
      </c>
      <c r="FH111" s="1804">
        <v>0</v>
      </c>
      <c r="FI111" s="1804">
        <v>0</v>
      </c>
      <c r="FJ111" s="1804">
        <v>0</v>
      </c>
      <c r="FK111" s="1804">
        <v>0</v>
      </c>
      <c r="FL111" s="1804">
        <v>0</v>
      </c>
      <c r="FM111" s="1804">
        <v>0</v>
      </c>
      <c r="FN111" s="1804">
        <v>0</v>
      </c>
      <c r="FO111" s="1804">
        <v>0</v>
      </c>
      <c r="FP111" s="1804">
        <v>0</v>
      </c>
      <c r="FQ111" s="1804">
        <v>0</v>
      </c>
      <c r="FR111" s="1804">
        <v>0</v>
      </c>
      <c r="FS111" s="1804">
        <v>0</v>
      </c>
      <c r="FT111" s="1804">
        <v>0</v>
      </c>
      <c r="FU111" s="1804">
        <v>0</v>
      </c>
      <c r="FV111" s="1804">
        <v>0</v>
      </c>
      <c r="FW111" s="1804">
        <v>0</v>
      </c>
      <c r="FX111" s="1804">
        <v>0</v>
      </c>
      <c r="FY111" s="1804">
        <v>0</v>
      </c>
      <c r="FZ111" s="1804">
        <v>0</v>
      </c>
      <c r="GA111" s="1804">
        <v>0</v>
      </c>
      <c r="GB111" s="1804">
        <v>0</v>
      </c>
      <c r="GC111" s="1804">
        <v>0</v>
      </c>
      <c r="GD111" s="1804">
        <v>0</v>
      </c>
      <c r="GE111" s="1804">
        <v>0</v>
      </c>
      <c r="GF111" s="1804">
        <v>0</v>
      </c>
      <c r="GG111" s="1804">
        <v>0</v>
      </c>
      <c r="GH111" s="1804">
        <v>0</v>
      </c>
      <c r="GI111" s="1804">
        <v>0</v>
      </c>
      <c r="GJ111" s="1804">
        <v>0</v>
      </c>
      <c r="GK111" s="1804">
        <v>0</v>
      </c>
      <c r="GL111" s="1804">
        <v>0</v>
      </c>
      <c r="GM111" s="1804">
        <v>0</v>
      </c>
      <c r="GN111" s="1804">
        <v>0</v>
      </c>
      <c r="GO111" s="1804">
        <v>0</v>
      </c>
      <c r="GP111" s="1804">
        <v>0</v>
      </c>
      <c r="GQ111" s="1804">
        <v>0</v>
      </c>
      <c r="GR111" s="1804">
        <v>0</v>
      </c>
      <c r="GS111" s="1804">
        <v>0</v>
      </c>
      <c r="GT111" s="1804">
        <v>0</v>
      </c>
      <c r="GU111" s="1804">
        <v>0</v>
      </c>
      <c r="GV111" s="1804">
        <v>0</v>
      </c>
      <c r="GW111" s="1804">
        <v>0</v>
      </c>
      <c r="GX111" s="1804">
        <v>0</v>
      </c>
      <c r="GY111" s="1804">
        <v>0</v>
      </c>
      <c r="GZ111" s="1804">
        <v>0</v>
      </c>
      <c r="HA111" s="1804">
        <v>0</v>
      </c>
      <c r="HB111" s="1804">
        <v>0</v>
      </c>
      <c r="HC111" s="1804">
        <v>0</v>
      </c>
      <c r="HD111" s="1804">
        <v>0</v>
      </c>
      <c r="HE111" s="1804">
        <v>0</v>
      </c>
    </row>
    <row r="112" spans="1:213" ht="15" customHeight="1" x14ac:dyDescent="0.2">
      <c r="A112" s="1966"/>
      <c r="B112" s="1994"/>
      <c r="C112" s="1696" t="s">
        <v>1923</v>
      </c>
      <c r="D112" s="1883"/>
      <c r="E112" s="1996"/>
      <c r="F112" s="1838">
        <v>0</v>
      </c>
      <c r="G112" s="1804">
        <v>0</v>
      </c>
      <c r="H112" s="1804">
        <v>0</v>
      </c>
      <c r="I112" s="1804">
        <v>0</v>
      </c>
      <c r="J112" s="1804">
        <v>0</v>
      </c>
      <c r="K112" s="1804">
        <v>0</v>
      </c>
      <c r="L112" s="1804">
        <v>0</v>
      </c>
      <c r="M112" s="1804">
        <v>0</v>
      </c>
      <c r="N112" s="1804">
        <v>0</v>
      </c>
      <c r="O112" s="1804">
        <v>0</v>
      </c>
      <c r="P112" s="1804">
        <v>0</v>
      </c>
      <c r="Q112" s="1804">
        <v>0</v>
      </c>
      <c r="R112" s="1804">
        <v>0</v>
      </c>
      <c r="S112" s="1804">
        <v>0</v>
      </c>
      <c r="T112" s="1804">
        <v>0</v>
      </c>
      <c r="U112" s="1804">
        <v>0</v>
      </c>
      <c r="V112" s="1804">
        <v>0</v>
      </c>
      <c r="W112" s="1804">
        <v>0</v>
      </c>
      <c r="X112" s="1804">
        <v>0</v>
      </c>
      <c r="Y112" s="1804">
        <v>0</v>
      </c>
      <c r="Z112" s="1804">
        <v>0</v>
      </c>
      <c r="AA112" s="1804">
        <v>0</v>
      </c>
      <c r="AB112" s="1804">
        <v>0</v>
      </c>
      <c r="AC112" s="1804">
        <v>0</v>
      </c>
      <c r="AD112" s="1804">
        <v>0</v>
      </c>
      <c r="AE112" s="1804">
        <v>0</v>
      </c>
      <c r="AF112" s="1804">
        <v>0</v>
      </c>
      <c r="AG112" s="1804">
        <v>0</v>
      </c>
      <c r="AH112" s="1804">
        <v>0</v>
      </c>
      <c r="AI112" s="1804">
        <v>0</v>
      </c>
      <c r="AJ112" s="1804">
        <v>0</v>
      </c>
      <c r="AK112" s="1804">
        <v>0</v>
      </c>
      <c r="AL112" s="1804">
        <v>0</v>
      </c>
      <c r="AM112" s="1804">
        <v>0</v>
      </c>
      <c r="AN112" s="1804">
        <v>0</v>
      </c>
      <c r="AO112" s="1804">
        <v>0</v>
      </c>
      <c r="AP112" s="1804">
        <v>0</v>
      </c>
      <c r="AQ112" s="1804">
        <v>0</v>
      </c>
      <c r="AR112" s="1804">
        <v>0</v>
      </c>
      <c r="AS112" s="1804">
        <v>0</v>
      </c>
      <c r="AT112" s="1804">
        <v>0</v>
      </c>
      <c r="AU112" s="1804">
        <v>0</v>
      </c>
      <c r="AV112" s="1804">
        <v>0</v>
      </c>
      <c r="AW112" s="1804">
        <v>0</v>
      </c>
      <c r="AX112" s="1804">
        <v>0</v>
      </c>
      <c r="AY112" s="1804">
        <v>0</v>
      </c>
      <c r="AZ112" s="1804">
        <v>0</v>
      </c>
      <c r="BA112" s="1804">
        <v>0</v>
      </c>
      <c r="BB112" s="1804">
        <v>0</v>
      </c>
      <c r="BC112" s="1804">
        <v>0</v>
      </c>
      <c r="BD112" s="1804">
        <v>0</v>
      </c>
      <c r="BE112" s="1804">
        <v>0</v>
      </c>
      <c r="BF112" s="1804">
        <v>0</v>
      </c>
      <c r="BG112" s="1804">
        <v>0</v>
      </c>
      <c r="BH112" s="1804">
        <v>0</v>
      </c>
      <c r="BI112" s="1804">
        <v>0</v>
      </c>
      <c r="BJ112" s="1804">
        <v>0</v>
      </c>
      <c r="BK112" s="1804">
        <v>0</v>
      </c>
      <c r="BL112" s="1804">
        <v>0</v>
      </c>
      <c r="BM112" s="1804">
        <v>0</v>
      </c>
      <c r="BN112" s="1804">
        <v>0</v>
      </c>
      <c r="BO112" s="1804">
        <v>0</v>
      </c>
      <c r="BP112" s="1804">
        <v>0</v>
      </c>
      <c r="BQ112" s="1804">
        <v>0</v>
      </c>
      <c r="BR112" s="1804">
        <v>0</v>
      </c>
      <c r="BS112" s="1804">
        <v>0</v>
      </c>
      <c r="BT112" s="1804">
        <v>0</v>
      </c>
      <c r="BU112" s="1804">
        <v>0</v>
      </c>
      <c r="BV112" s="1804">
        <v>0</v>
      </c>
      <c r="BW112" s="1804">
        <v>0</v>
      </c>
      <c r="BX112" s="1804">
        <v>0</v>
      </c>
      <c r="BY112" s="1804">
        <v>0</v>
      </c>
      <c r="BZ112" s="1804">
        <v>0</v>
      </c>
      <c r="CA112" s="1804">
        <v>0</v>
      </c>
      <c r="CB112" s="1804">
        <v>0</v>
      </c>
      <c r="CC112" s="1804">
        <v>0</v>
      </c>
      <c r="CD112" s="1804">
        <v>0</v>
      </c>
      <c r="CE112" s="1804">
        <v>0</v>
      </c>
      <c r="CF112" s="1804">
        <v>0</v>
      </c>
      <c r="CG112" s="1804">
        <v>0</v>
      </c>
      <c r="CH112" s="1804">
        <v>0</v>
      </c>
      <c r="CI112" s="1804">
        <v>0</v>
      </c>
      <c r="CJ112" s="1804">
        <v>0</v>
      </c>
      <c r="CK112" s="1804">
        <v>0</v>
      </c>
      <c r="CL112" s="1804">
        <v>0</v>
      </c>
      <c r="CM112" s="1804">
        <v>0</v>
      </c>
      <c r="CN112" s="1804">
        <v>0</v>
      </c>
      <c r="CO112" s="1804">
        <v>0</v>
      </c>
      <c r="CP112" s="1804">
        <v>0</v>
      </c>
      <c r="CQ112" s="1804">
        <v>0</v>
      </c>
      <c r="CR112" s="1804">
        <v>0</v>
      </c>
      <c r="CS112" s="1804">
        <v>0</v>
      </c>
      <c r="CT112" s="1804">
        <v>0</v>
      </c>
      <c r="CU112" s="1804">
        <v>0</v>
      </c>
      <c r="CV112" s="1804">
        <v>0</v>
      </c>
      <c r="CW112" s="1804">
        <v>0</v>
      </c>
      <c r="CX112" s="1804">
        <v>0</v>
      </c>
      <c r="CY112" s="1804">
        <v>0</v>
      </c>
      <c r="CZ112" s="1804">
        <v>0</v>
      </c>
      <c r="DA112" s="1804">
        <v>0</v>
      </c>
      <c r="DB112" s="1804">
        <v>0</v>
      </c>
      <c r="DC112" s="1804">
        <v>0</v>
      </c>
      <c r="DD112" s="1804">
        <v>0</v>
      </c>
      <c r="DE112" s="1804">
        <v>0</v>
      </c>
      <c r="DF112" s="1804">
        <v>0</v>
      </c>
      <c r="DG112" s="1804">
        <v>0</v>
      </c>
      <c r="DH112" s="1804">
        <v>0</v>
      </c>
      <c r="DI112" s="1804">
        <v>0</v>
      </c>
      <c r="DJ112" s="1804">
        <v>0</v>
      </c>
      <c r="DK112" s="1804">
        <v>0</v>
      </c>
      <c r="DL112" s="1804">
        <v>0</v>
      </c>
      <c r="DM112" s="1804">
        <v>0</v>
      </c>
      <c r="DN112" s="1804">
        <v>0</v>
      </c>
      <c r="DO112" s="1804">
        <v>0</v>
      </c>
      <c r="DP112" s="1804">
        <v>0</v>
      </c>
      <c r="DQ112" s="1804">
        <v>0</v>
      </c>
      <c r="DR112" s="1804">
        <v>0</v>
      </c>
      <c r="DS112" s="1804">
        <v>0</v>
      </c>
      <c r="DT112" s="1804">
        <v>0</v>
      </c>
      <c r="DU112" s="1804">
        <v>0</v>
      </c>
      <c r="DV112" s="1804">
        <v>0</v>
      </c>
      <c r="DW112" s="1804">
        <v>0</v>
      </c>
      <c r="DX112" s="1804">
        <v>0</v>
      </c>
      <c r="DY112" s="1804">
        <v>0</v>
      </c>
      <c r="DZ112" s="1804">
        <v>0</v>
      </c>
      <c r="EA112" s="1804">
        <v>0</v>
      </c>
      <c r="EB112" s="1804">
        <v>0</v>
      </c>
      <c r="EC112" s="1804">
        <v>0</v>
      </c>
      <c r="ED112" s="1804">
        <v>0</v>
      </c>
      <c r="EE112" s="1804">
        <v>0</v>
      </c>
      <c r="EF112" s="1804">
        <v>0</v>
      </c>
      <c r="EG112" s="1804">
        <v>0</v>
      </c>
      <c r="EH112" s="1804">
        <v>0</v>
      </c>
      <c r="EI112" s="1804">
        <v>0</v>
      </c>
      <c r="EJ112" s="1804">
        <v>0</v>
      </c>
      <c r="EK112" s="1804">
        <v>0</v>
      </c>
      <c r="EL112" s="1804">
        <v>0</v>
      </c>
      <c r="EM112" s="1804">
        <v>0</v>
      </c>
      <c r="EN112" s="1804">
        <v>0</v>
      </c>
      <c r="EO112" s="1804">
        <v>0</v>
      </c>
      <c r="EP112" s="1804">
        <v>0</v>
      </c>
      <c r="EQ112" s="1804">
        <v>0</v>
      </c>
      <c r="ER112" s="1804">
        <v>0</v>
      </c>
      <c r="ES112" s="1804">
        <v>0</v>
      </c>
      <c r="ET112" s="1804">
        <v>0</v>
      </c>
      <c r="EU112" s="1804">
        <v>0</v>
      </c>
      <c r="EV112" s="1804">
        <v>0</v>
      </c>
      <c r="EW112" s="1804">
        <v>0</v>
      </c>
      <c r="EX112" s="1804">
        <v>0</v>
      </c>
      <c r="EY112" s="1804">
        <v>0</v>
      </c>
      <c r="EZ112" s="1804">
        <v>0</v>
      </c>
      <c r="FA112" s="1804">
        <v>0</v>
      </c>
      <c r="FB112" s="1804">
        <v>0</v>
      </c>
      <c r="FC112" s="1804">
        <v>0</v>
      </c>
      <c r="FD112" s="1804">
        <v>0</v>
      </c>
      <c r="FE112" s="1804">
        <v>0</v>
      </c>
      <c r="FF112" s="1804">
        <v>0</v>
      </c>
      <c r="FG112" s="1804">
        <v>0</v>
      </c>
      <c r="FH112" s="1804">
        <v>0</v>
      </c>
      <c r="FI112" s="1804">
        <v>0</v>
      </c>
      <c r="FJ112" s="1804">
        <v>0</v>
      </c>
      <c r="FK112" s="1804">
        <v>0</v>
      </c>
      <c r="FL112" s="1804">
        <v>0</v>
      </c>
      <c r="FM112" s="1804">
        <v>0</v>
      </c>
      <c r="FN112" s="1804">
        <v>0</v>
      </c>
      <c r="FO112" s="1804">
        <v>0</v>
      </c>
      <c r="FP112" s="1804">
        <v>0</v>
      </c>
      <c r="FQ112" s="1804">
        <v>0</v>
      </c>
      <c r="FR112" s="1804">
        <v>0</v>
      </c>
      <c r="FS112" s="1804">
        <v>0</v>
      </c>
      <c r="FT112" s="1804">
        <v>0</v>
      </c>
      <c r="FU112" s="1804">
        <v>0</v>
      </c>
      <c r="FV112" s="1804">
        <v>0</v>
      </c>
      <c r="FW112" s="1804">
        <v>0</v>
      </c>
      <c r="FX112" s="1804">
        <v>0</v>
      </c>
      <c r="FY112" s="1804">
        <v>0</v>
      </c>
      <c r="FZ112" s="1804">
        <v>0</v>
      </c>
      <c r="GA112" s="1804">
        <v>0</v>
      </c>
      <c r="GB112" s="1804">
        <v>0</v>
      </c>
      <c r="GC112" s="1804">
        <v>0</v>
      </c>
      <c r="GD112" s="1804">
        <v>0</v>
      </c>
      <c r="GE112" s="1804">
        <v>0</v>
      </c>
      <c r="GF112" s="1804">
        <v>0</v>
      </c>
      <c r="GG112" s="1804">
        <v>0</v>
      </c>
      <c r="GH112" s="1804">
        <v>0</v>
      </c>
      <c r="GI112" s="1804">
        <v>0</v>
      </c>
      <c r="GJ112" s="1804">
        <v>0</v>
      </c>
      <c r="GK112" s="1804">
        <v>0</v>
      </c>
      <c r="GL112" s="1804">
        <v>0</v>
      </c>
      <c r="GM112" s="1804">
        <v>0</v>
      </c>
      <c r="GN112" s="1804">
        <v>0</v>
      </c>
      <c r="GO112" s="1804">
        <v>0</v>
      </c>
      <c r="GP112" s="1804">
        <v>0</v>
      </c>
      <c r="GQ112" s="1804">
        <v>0</v>
      </c>
      <c r="GR112" s="1804">
        <v>0</v>
      </c>
      <c r="GS112" s="1804">
        <v>0</v>
      </c>
      <c r="GT112" s="1804">
        <v>0</v>
      </c>
      <c r="GU112" s="1804">
        <v>0</v>
      </c>
      <c r="GV112" s="1804">
        <v>0</v>
      </c>
      <c r="GW112" s="1804">
        <v>0</v>
      </c>
      <c r="GX112" s="1804">
        <v>0</v>
      </c>
      <c r="GY112" s="1804">
        <v>0</v>
      </c>
      <c r="GZ112" s="1804">
        <v>0</v>
      </c>
      <c r="HA112" s="1804">
        <v>0</v>
      </c>
      <c r="HB112" s="1804">
        <v>0</v>
      </c>
      <c r="HC112" s="1804">
        <v>0</v>
      </c>
      <c r="HD112" s="1804">
        <v>0</v>
      </c>
      <c r="HE112" s="1804">
        <v>0</v>
      </c>
    </row>
    <row r="113" spans="1:213" ht="15" customHeight="1" x14ac:dyDescent="0.2">
      <c r="A113" s="1966"/>
      <c r="B113" s="1994"/>
      <c r="C113" s="1696" t="s">
        <v>1922</v>
      </c>
      <c r="D113" s="1883"/>
      <c r="E113" s="1996"/>
      <c r="F113" s="1838">
        <v>0</v>
      </c>
      <c r="G113" s="1804">
        <v>0</v>
      </c>
      <c r="H113" s="1804">
        <v>0</v>
      </c>
      <c r="I113" s="1804">
        <v>0</v>
      </c>
      <c r="J113" s="1804">
        <v>0</v>
      </c>
      <c r="K113" s="1804">
        <v>0</v>
      </c>
      <c r="L113" s="1804">
        <v>0</v>
      </c>
      <c r="M113" s="1804">
        <v>0</v>
      </c>
      <c r="N113" s="1804">
        <v>0</v>
      </c>
      <c r="O113" s="1804">
        <v>0</v>
      </c>
      <c r="P113" s="1804">
        <v>0</v>
      </c>
      <c r="Q113" s="1804">
        <v>0</v>
      </c>
      <c r="R113" s="1804">
        <v>0</v>
      </c>
      <c r="S113" s="1804">
        <v>0</v>
      </c>
      <c r="T113" s="1804">
        <v>0</v>
      </c>
      <c r="U113" s="1804">
        <v>0</v>
      </c>
      <c r="V113" s="1804">
        <v>0</v>
      </c>
      <c r="W113" s="1804">
        <v>0</v>
      </c>
      <c r="X113" s="1804">
        <v>0</v>
      </c>
      <c r="Y113" s="1804">
        <v>0</v>
      </c>
      <c r="Z113" s="1804">
        <v>0</v>
      </c>
      <c r="AA113" s="1804">
        <v>0</v>
      </c>
      <c r="AB113" s="1804">
        <v>0</v>
      </c>
      <c r="AC113" s="1804">
        <v>0</v>
      </c>
      <c r="AD113" s="1804">
        <v>0</v>
      </c>
      <c r="AE113" s="1804">
        <v>0</v>
      </c>
      <c r="AF113" s="1804">
        <v>0</v>
      </c>
      <c r="AG113" s="1804">
        <v>0</v>
      </c>
      <c r="AH113" s="1804">
        <v>0</v>
      </c>
      <c r="AI113" s="1804">
        <v>0</v>
      </c>
      <c r="AJ113" s="1804">
        <v>0</v>
      </c>
      <c r="AK113" s="1804">
        <v>0</v>
      </c>
      <c r="AL113" s="1804">
        <v>0</v>
      </c>
      <c r="AM113" s="1804">
        <v>0</v>
      </c>
      <c r="AN113" s="1804">
        <v>0</v>
      </c>
      <c r="AO113" s="1804">
        <v>0</v>
      </c>
      <c r="AP113" s="1804">
        <v>0</v>
      </c>
      <c r="AQ113" s="1804">
        <v>0</v>
      </c>
      <c r="AR113" s="1804">
        <v>0</v>
      </c>
      <c r="AS113" s="1804">
        <v>0</v>
      </c>
      <c r="AT113" s="1804">
        <v>0</v>
      </c>
      <c r="AU113" s="1804">
        <v>0</v>
      </c>
      <c r="AV113" s="1804">
        <v>0</v>
      </c>
      <c r="AW113" s="1804">
        <v>0</v>
      </c>
      <c r="AX113" s="1804">
        <v>0</v>
      </c>
      <c r="AY113" s="1804">
        <v>0</v>
      </c>
      <c r="AZ113" s="1804">
        <v>0</v>
      </c>
      <c r="BA113" s="1804">
        <v>0</v>
      </c>
      <c r="BB113" s="1804">
        <v>0</v>
      </c>
      <c r="BC113" s="1804">
        <v>0</v>
      </c>
      <c r="BD113" s="1804">
        <v>0</v>
      </c>
      <c r="BE113" s="1804">
        <v>0</v>
      </c>
      <c r="BF113" s="1804">
        <v>0</v>
      </c>
      <c r="BG113" s="1804">
        <v>0</v>
      </c>
      <c r="BH113" s="1804">
        <v>0</v>
      </c>
      <c r="BI113" s="1804">
        <v>0</v>
      </c>
      <c r="BJ113" s="1804">
        <v>0</v>
      </c>
      <c r="BK113" s="1804">
        <v>0</v>
      </c>
      <c r="BL113" s="1804">
        <v>0</v>
      </c>
      <c r="BM113" s="1804">
        <v>0</v>
      </c>
      <c r="BN113" s="1804">
        <v>0</v>
      </c>
      <c r="BO113" s="1804">
        <v>0</v>
      </c>
      <c r="BP113" s="1804">
        <v>0</v>
      </c>
      <c r="BQ113" s="1804">
        <v>0</v>
      </c>
      <c r="BR113" s="1804">
        <v>0</v>
      </c>
      <c r="BS113" s="1804">
        <v>0</v>
      </c>
      <c r="BT113" s="1804">
        <v>0</v>
      </c>
      <c r="BU113" s="1804">
        <v>0</v>
      </c>
      <c r="BV113" s="1804">
        <v>0</v>
      </c>
      <c r="BW113" s="1804">
        <v>0</v>
      </c>
      <c r="BX113" s="1804">
        <v>0</v>
      </c>
      <c r="BY113" s="1804">
        <v>0</v>
      </c>
      <c r="BZ113" s="1804">
        <v>0</v>
      </c>
      <c r="CA113" s="1804">
        <v>0</v>
      </c>
      <c r="CB113" s="1804">
        <v>0</v>
      </c>
      <c r="CC113" s="1804">
        <v>0</v>
      </c>
      <c r="CD113" s="1804">
        <v>0</v>
      </c>
      <c r="CE113" s="1804">
        <v>0</v>
      </c>
      <c r="CF113" s="1804">
        <v>0</v>
      </c>
      <c r="CG113" s="1804">
        <v>0</v>
      </c>
      <c r="CH113" s="1804">
        <v>0</v>
      </c>
      <c r="CI113" s="1804">
        <v>0</v>
      </c>
      <c r="CJ113" s="1804">
        <v>0</v>
      </c>
      <c r="CK113" s="1804">
        <v>0</v>
      </c>
      <c r="CL113" s="1804">
        <v>0</v>
      </c>
      <c r="CM113" s="1804">
        <v>0</v>
      </c>
      <c r="CN113" s="1804">
        <v>0</v>
      </c>
      <c r="CO113" s="1804">
        <v>0</v>
      </c>
      <c r="CP113" s="1804">
        <v>0</v>
      </c>
      <c r="CQ113" s="1804">
        <v>0</v>
      </c>
      <c r="CR113" s="1804">
        <v>0</v>
      </c>
      <c r="CS113" s="1804">
        <v>0</v>
      </c>
      <c r="CT113" s="1804">
        <v>0</v>
      </c>
      <c r="CU113" s="1804">
        <v>0</v>
      </c>
      <c r="CV113" s="1804">
        <v>0</v>
      </c>
      <c r="CW113" s="1804">
        <v>0</v>
      </c>
      <c r="CX113" s="1804">
        <v>0</v>
      </c>
      <c r="CY113" s="1804">
        <v>0</v>
      </c>
      <c r="CZ113" s="1804">
        <v>0</v>
      </c>
      <c r="DA113" s="1804">
        <v>0</v>
      </c>
      <c r="DB113" s="1804">
        <v>0</v>
      </c>
      <c r="DC113" s="1804">
        <v>0</v>
      </c>
      <c r="DD113" s="1804">
        <v>0</v>
      </c>
      <c r="DE113" s="1804">
        <v>0</v>
      </c>
      <c r="DF113" s="1804">
        <v>0</v>
      </c>
      <c r="DG113" s="1804">
        <v>0</v>
      </c>
      <c r="DH113" s="1804">
        <v>0</v>
      </c>
      <c r="DI113" s="1804">
        <v>0</v>
      </c>
      <c r="DJ113" s="1804">
        <v>0</v>
      </c>
      <c r="DK113" s="1804">
        <v>0</v>
      </c>
      <c r="DL113" s="1804">
        <v>0</v>
      </c>
      <c r="DM113" s="1804">
        <v>0</v>
      </c>
      <c r="DN113" s="1804">
        <v>0</v>
      </c>
      <c r="DO113" s="1804">
        <v>0</v>
      </c>
      <c r="DP113" s="1804">
        <v>0</v>
      </c>
      <c r="DQ113" s="1804">
        <v>0</v>
      </c>
      <c r="DR113" s="1804">
        <v>0</v>
      </c>
      <c r="DS113" s="1804">
        <v>0</v>
      </c>
      <c r="DT113" s="1804">
        <v>0</v>
      </c>
      <c r="DU113" s="1804">
        <v>0</v>
      </c>
      <c r="DV113" s="1804">
        <v>0</v>
      </c>
      <c r="DW113" s="1804">
        <v>0</v>
      </c>
      <c r="DX113" s="1804">
        <v>0</v>
      </c>
      <c r="DY113" s="1804">
        <v>0</v>
      </c>
      <c r="DZ113" s="1804">
        <v>0</v>
      </c>
      <c r="EA113" s="1804">
        <v>0</v>
      </c>
      <c r="EB113" s="1804">
        <v>0</v>
      </c>
      <c r="EC113" s="1804">
        <v>0</v>
      </c>
      <c r="ED113" s="1804">
        <v>0</v>
      </c>
      <c r="EE113" s="1804">
        <v>0</v>
      </c>
      <c r="EF113" s="1804">
        <v>0</v>
      </c>
      <c r="EG113" s="1804">
        <v>0</v>
      </c>
      <c r="EH113" s="1804">
        <v>0</v>
      </c>
      <c r="EI113" s="1804">
        <v>0</v>
      </c>
      <c r="EJ113" s="1804">
        <v>0</v>
      </c>
      <c r="EK113" s="1804">
        <v>0</v>
      </c>
      <c r="EL113" s="1804">
        <v>0</v>
      </c>
      <c r="EM113" s="1804">
        <v>0</v>
      </c>
      <c r="EN113" s="1804">
        <v>0</v>
      </c>
      <c r="EO113" s="1804">
        <v>0</v>
      </c>
      <c r="EP113" s="1804">
        <v>0</v>
      </c>
      <c r="EQ113" s="1804">
        <v>0</v>
      </c>
      <c r="ER113" s="1804">
        <v>0</v>
      </c>
      <c r="ES113" s="1804">
        <v>0</v>
      </c>
      <c r="ET113" s="1804">
        <v>0</v>
      </c>
      <c r="EU113" s="1804">
        <v>0</v>
      </c>
      <c r="EV113" s="1804">
        <v>0</v>
      </c>
      <c r="EW113" s="1804">
        <v>0</v>
      </c>
      <c r="EX113" s="1804">
        <v>0</v>
      </c>
      <c r="EY113" s="1804">
        <v>0</v>
      </c>
      <c r="EZ113" s="1804">
        <v>0</v>
      </c>
      <c r="FA113" s="1804">
        <v>0</v>
      </c>
      <c r="FB113" s="1804">
        <v>0</v>
      </c>
      <c r="FC113" s="1804">
        <v>0</v>
      </c>
      <c r="FD113" s="1804">
        <v>0</v>
      </c>
      <c r="FE113" s="1804">
        <v>0</v>
      </c>
      <c r="FF113" s="1804">
        <v>0</v>
      </c>
      <c r="FG113" s="1804">
        <v>0</v>
      </c>
      <c r="FH113" s="1804">
        <v>0</v>
      </c>
      <c r="FI113" s="1804">
        <v>0</v>
      </c>
      <c r="FJ113" s="1804">
        <v>0</v>
      </c>
      <c r="FK113" s="1804">
        <v>0</v>
      </c>
      <c r="FL113" s="1804">
        <v>0</v>
      </c>
      <c r="FM113" s="1804">
        <v>0</v>
      </c>
      <c r="FN113" s="1804">
        <v>0</v>
      </c>
      <c r="FO113" s="1804">
        <v>0</v>
      </c>
      <c r="FP113" s="1804">
        <v>0</v>
      </c>
      <c r="FQ113" s="1804">
        <v>0</v>
      </c>
      <c r="FR113" s="1804">
        <v>0</v>
      </c>
      <c r="FS113" s="1804">
        <v>0</v>
      </c>
      <c r="FT113" s="1804">
        <v>0</v>
      </c>
      <c r="FU113" s="1804">
        <v>0</v>
      </c>
      <c r="FV113" s="1804">
        <v>0</v>
      </c>
      <c r="FW113" s="1804">
        <v>0</v>
      </c>
      <c r="FX113" s="1804">
        <v>0</v>
      </c>
      <c r="FY113" s="1804">
        <v>0</v>
      </c>
      <c r="FZ113" s="1804">
        <v>0</v>
      </c>
      <c r="GA113" s="1804">
        <v>0</v>
      </c>
      <c r="GB113" s="1804">
        <v>0</v>
      </c>
      <c r="GC113" s="1804">
        <v>0</v>
      </c>
      <c r="GD113" s="1804">
        <v>0</v>
      </c>
      <c r="GE113" s="1804">
        <v>0</v>
      </c>
      <c r="GF113" s="1804">
        <v>0</v>
      </c>
      <c r="GG113" s="1804">
        <v>0</v>
      </c>
      <c r="GH113" s="1804">
        <v>0</v>
      </c>
      <c r="GI113" s="1804">
        <v>0</v>
      </c>
      <c r="GJ113" s="1804">
        <v>0</v>
      </c>
      <c r="GK113" s="1804">
        <v>0</v>
      </c>
      <c r="GL113" s="1804">
        <v>0</v>
      </c>
      <c r="GM113" s="1804">
        <v>0</v>
      </c>
      <c r="GN113" s="1804">
        <v>0</v>
      </c>
      <c r="GO113" s="1804">
        <v>0</v>
      </c>
      <c r="GP113" s="1804">
        <v>0</v>
      </c>
      <c r="GQ113" s="1804">
        <v>0</v>
      </c>
      <c r="GR113" s="1804">
        <v>0</v>
      </c>
      <c r="GS113" s="1804">
        <v>0</v>
      </c>
      <c r="GT113" s="1804">
        <v>0</v>
      </c>
      <c r="GU113" s="1804">
        <v>0</v>
      </c>
      <c r="GV113" s="1804">
        <v>0</v>
      </c>
      <c r="GW113" s="1804">
        <v>0</v>
      </c>
      <c r="GX113" s="1804">
        <v>0</v>
      </c>
      <c r="GY113" s="1804">
        <v>0</v>
      </c>
      <c r="GZ113" s="1804">
        <v>0</v>
      </c>
      <c r="HA113" s="1804">
        <v>0</v>
      </c>
      <c r="HB113" s="1804">
        <v>0</v>
      </c>
      <c r="HC113" s="1804">
        <v>0</v>
      </c>
      <c r="HD113" s="1804">
        <v>0</v>
      </c>
      <c r="HE113" s="1804">
        <v>0</v>
      </c>
    </row>
    <row r="114" spans="1:213" ht="15" customHeight="1" thickBot="1" x14ac:dyDescent="0.25">
      <c r="A114" s="1967"/>
      <c r="B114" s="1952"/>
      <c r="C114" s="1696" t="s">
        <v>926</v>
      </c>
      <c r="D114" s="1883"/>
      <c r="E114" s="1996"/>
      <c r="F114" s="1838">
        <v>0</v>
      </c>
      <c r="G114" s="1804">
        <v>0</v>
      </c>
      <c r="H114" s="1804">
        <v>0</v>
      </c>
      <c r="I114" s="1804">
        <v>0</v>
      </c>
      <c r="J114" s="1804">
        <v>0</v>
      </c>
      <c r="K114" s="1804">
        <v>0</v>
      </c>
      <c r="L114" s="1804">
        <v>0</v>
      </c>
      <c r="M114" s="1804">
        <v>0</v>
      </c>
      <c r="N114" s="1804">
        <v>0</v>
      </c>
      <c r="O114" s="1804">
        <v>0</v>
      </c>
      <c r="P114" s="1804">
        <v>0</v>
      </c>
      <c r="Q114" s="1804">
        <v>0</v>
      </c>
      <c r="R114" s="1804">
        <v>0</v>
      </c>
      <c r="S114" s="1804">
        <v>0</v>
      </c>
      <c r="T114" s="1804">
        <v>0</v>
      </c>
      <c r="U114" s="1804">
        <v>0</v>
      </c>
      <c r="V114" s="1804">
        <v>0</v>
      </c>
      <c r="W114" s="1804">
        <v>0</v>
      </c>
      <c r="X114" s="1804">
        <v>0</v>
      </c>
      <c r="Y114" s="1804">
        <v>0</v>
      </c>
      <c r="Z114" s="1804">
        <v>0</v>
      </c>
      <c r="AA114" s="1804">
        <v>0</v>
      </c>
      <c r="AB114" s="1804">
        <v>0</v>
      </c>
      <c r="AC114" s="1804">
        <v>0</v>
      </c>
      <c r="AD114" s="1804">
        <v>0</v>
      </c>
      <c r="AE114" s="1804">
        <v>0</v>
      </c>
      <c r="AF114" s="1804">
        <v>0</v>
      </c>
      <c r="AG114" s="1804">
        <v>0</v>
      </c>
      <c r="AH114" s="1804">
        <v>0</v>
      </c>
      <c r="AI114" s="1804">
        <v>0</v>
      </c>
      <c r="AJ114" s="1804">
        <v>0</v>
      </c>
      <c r="AK114" s="1804">
        <v>0</v>
      </c>
      <c r="AL114" s="1804">
        <v>0</v>
      </c>
      <c r="AM114" s="1804">
        <v>0</v>
      </c>
      <c r="AN114" s="1804">
        <v>0</v>
      </c>
      <c r="AO114" s="1804">
        <v>0</v>
      </c>
      <c r="AP114" s="1804">
        <v>0</v>
      </c>
      <c r="AQ114" s="1804">
        <v>0</v>
      </c>
      <c r="AR114" s="1804">
        <v>0</v>
      </c>
      <c r="AS114" s="1804">
        <v>0</v>
      </c>
      <c r="AT114" s="1804">
        <v>0</v>
      </c>
      <c r="AU114" s="1804">
        <v>0</v>
      </c>
      <c r="AV114" s="1804">
        <v>0</v>
      </c>
      <c r="AW114" s="1804">
        <v>0</v>
      </c>
      <c r="AX114" s="1804">
        <v>0</v>
      </c>
      <c r="AY114" s="1804">
        <v>0</v>
      </c>
      <c r="AZ114" s="1804">
        <v>0</v>
      </c>
      <c r="BA114" s="1804">
        <v>0</v>
      </c>
      <c r="BB114" s="1804">
        <v>0</v>
      </c>
      <c r="BC114" s="1804">
        <v>0</v>
      </c>
      <c r="BD114" s="1804">
        <v>0</v>
      </c>
      <c r="BE114" s="1804">
        <v>0</v>
      </c>
      <c r="BF114" s="1804">
        <v>0</v>
      </c>
      <c r="BG114" s="1804">
        <v>0</v>
      </c>
      <c r="BH114" s="1804">
        <v>0</v>
      </c>
      <c r="BI114" s="1804">
        <v>0</v>
      </c>
      <c r="BJ114" s="1804">
        <v>0</v>
      </c>
      <c r="BK114" s="1804">
        <v>0</v>
      </c>
      <c r="BL114" s="1804">
        <v>0</v>
      </c>
      <c r="BM114" s="1804">
        <v>0</v>
      </c>
      <c r="BN114" s="1804">
        <v>0</v>
      </c>
      <c r="BO114" s="1804">
        <v>0</v>
      </c>
      <c r="BP114" s="1804">
        <v>0</v>
      </c>
      <c r="BQ114" s="1804">
        <v>0</v>
      </c>
      <c r="BR114" s="1804">
        <v>0</v>
      </c>
      <c r="BS114" s="1804">
        <v>0</v>
      </c>
      <c r="BT114" s="1804">
        <v>0</v>
      </c>
      <c r="BU114" s="1804">
        <v>0</v>
      </c>
      <c r="BV114" s="1804">
        <v>0</v>
      </c>
      <c r="BW114" s="1804">
        <v>0</v>
      </c>
      <c r="BX114" s="1804">
        <v>0</v>
      </c>
      <c r="BY114" s="1804">
        <v>0</v>
      </c>
      <c r="BZ114" s="1804">
        <v>0</v>
      </c>
      <c r="CA114" s="1804">
        <v>0</v>
      </c>
      <c r="CB114" s="1804">
        <v>0</v>
      </c>
      <c r="CC114" s="1804">
        <v>0</v>
      </c>
      <c r="CD114" s="1804">
        <v>0</v>
      </c>
      <c r="CE114" s="1804">
        <v>0</v>
      </c>
      <c r="CF114" s="1804">
        <v>0</v>
      </c>
      <c r="CG114" s="1804">
        <v>0</v>
      </c>
      <c r="CH114" s="1804">
        <v>0</v>
      </c>
      <c r="CI114" s="1804">
        <v>0</v>
      </c>
      <c r="CJ114" s="1804">
        <v>0</v>
      </c>
      <c r="CK114" s="1804">
        <v>0</v>
      </c>
      <c r="CL114" s="1804">
        <v>0</v>
      </c>
      <c r="CM114" s="1804">
        <v>0</v>
      </c>
      <c r="CN114" s="1804">
        <v>0</v>
      </c>
      <c r="CO114" s="1804">
        <v>0</v>
      </c>
      <c r="CP114" s="1804">
        <v>0</v>
      </c>
      <c r="CQ114" s="1804">
        <v>0</v>
      </c>
      <c r="CR114" s="1804">
        <v>0</v>
      </c>
      <c r="CS114" s="1804">
        <v>0</v>
      </c>
      <c r="CT114" s="1804">
        <v>0</v>
      </c>
      <c r="CU114" s="1804">
        <v>0</v>
      </c>
      <c r="CV114" s="1804">
        <v>0</v>
      </c>
      <c r="CW114" s="1804">
        <v>0</v>
      </c>
      <c r="CX114" s="1804">
        <v>0</v>
      </c>
      <c r="CY114" s="1804">
        <v>0</v>
      </c>
      <c r="CZ114" s="1804">
        <v>0</v>
      </c>
      <c r="DA114" s="1804">
        <v>0</v>
      </c>
      <c r="DB114" s="1804">
        <v>0</v>
      </c>
      <c r="DC114" s="1804">
        <v>0</v>
      </c>
      <c r="DD114" s="1804">
        <v>0</v>
      </c>
      <c r="DE114" s="1804">
        <v>0</v>
      </c>
      <c r="DF114" s="1804">
        <v>0</v>
      </c>
      <c r="DG114" s="1804">
        <v>0</v>
      </c>
      <c r="DH114" s="1804">
        <v>0</v>
      </c>
      <c r="DI114" s="1804">
        <v>0</v>
      </c>
      <c r="DJ114" s="1804">
        <v>0</v>
      </c>
      <c r="DK114" s="1804">
        <v>0</v>
      </c>
      <c r="DL114" s="1804">
        <v>0</v>
      </c>
      <c r="DM114" s="1804">
        <v>0</v>
      </c>
      <c r="DN114" s="1804">
        <v>0</v>
      </c>
      <c r="DO114" s="1804">
        <v>0</v>
      </c>
      <c r="DP114" s="1804">
        <v>0</v>
      </c>
      <c r="DQ114" s="1804">
        <v>0</v>
      </c>
      <c r="DR114" s="1804">
        <v>0</v>
      </c>
      <c r="DS114" s="1804">
        <v>0</v>
      </c>
      <c r="DT114" s="1804">
        <v>0</v>
      </c>
      <c r="DU114" s="1804">
        <v>0</v>
      </c>
      <c r="DV114" s="1804">
        <v>0</v>
      </c>
      <c r="DW114" s="1804">
        <v>0</v>
      </c>
      <c r="DX114" s="1804">
        <v>0</v>
      </c>
      <c r="DY114" s="1804">
        <v>0</v>
      </c>
      <c r="DZ114" s="1804">
        <v>0</v>
      </c>
      <c r="EA114" s="1804">
        <v>0</v>
      </c>
      <c r="EB114" s="1804">
        <v>0</v>
      </c>
      <c r="EC114" s="1804">
        <v>0</v>
      </c>
      <c r="ED114" s="1804">
        <v>0</v>
      </c>
      <c r="EE114" s="1804">
        <v>0</v>
      </c>
      <c r="EF114" s="1804">
        <v>0</v>
      </c>
      <c r="EG114" s="1804">
        <v>0</v>
      </c>
      <c r="EH114" s="1804">
        <v>0</v>
      </c>
      <c r="EI114" s="1804">
        <v>0</v>
      </c>
      <c r="EJ114" s="1804">
        <v>0</v>
      </c>
      <c r="EK114" s="1804">
        <v>0</v>
      </c>
      <c r="EL114" s="1804">
        <v>0</v>
      </c>
      <c r="EM114" s="1804">
        <v>0</v>
      </c>
      <c r="EN114" s="1804">
        <v>0</v>
      </c>
      <c r="EO114" s="1804">
        <v>0</v>
      </c>
      <c r="EP114" s="1804">
        <v>0</v>
      </c>
      <c r="EQ114" s="1804">
        <v>0</v>
      </c>
      <c r="ER114" s="1804">
        <v>0</v>
      </c>
      <c r="ES114" s="1804">
        <v>0</v>
      </c>
      <c r="ET114" s="1804">
        <v>0</v>
      </c>
      <c r="EU114" s="1804">
        <v>0</v>
      </c>
      <c r="EV114" s="1804">
        <v>0</v>
      </c>
      <c r="EW114" s="1804">
        <v>0</v>
      </c>
      <c r="EX114" s="1804">
        <v>0</v>
      </c>
      <c r="EY114" s="1804">
        <v>0</v>
      </c>
      <c r="EZ114" s="1804">
        <v>0</v>
      </c>
      <c r="FA114" s="1804">
        <v>0</v>
      </c>
      <c r="FB114" s="1804">
        <v>0</v>
      </c>
      <c r="FC114" s="1804">
        <v>0</v>
      </c>
      <c r="FD114" s="1804">
        <v>0</v>
      </c>
      <c r="FE114" s="1804">
        <v>0</v>
      </c>
      <c r="FF114" s="1804">
        <v>0</v>
      </c>
      <c r="FG114" s="1804">
        <v>0</v>
      </c>
      <c r="FH114" s="1804">
        <v>0</v>
      </c>
      <c r="FI114" s="1804">
        <v>0</v>
      </c>
      <c r="FJ114" s="1804">
        <v>0</v>
      </c>
      <c r="FK114" s="1804">
        <v>0</v>
      </c>
      <c r="FL114" s="1804">
        <v>0</v>
      </c>
      <c r="FM114" s="1804">
        <v>0</v>
      </c>
      <c r="FN114" s="1804">
        <v>0</v>
      </c>
      <c r="FO114" s="1804">
        <v>0</v>
      </c>
      <c r="FP114" s="1804">
        <v>0</v>
      </c>
      <c r="FQ114" s="1804">
        <v>0</v>
      </c>
      <c r="FR114" s="1804">
        <v>0</v>
      </c>
      <c r="FS114" s="1804">
        <v>0</v>
      </c>
      <c r="FT114" s="1804">
        <v>0</v>
      </c>
      <c r="FU114" s="1804">
        <v>0</v>
      </c>
      <c r="FV114" s="1804">
        <v>0</v>
      </c>
      <c r="FW114" s="1804">
        <v>0</v>
      </c>
      <c r="FX114" s="1804">
        <v>0</v>
      </c>
      <c r="FY114" s="1804">
        <v>0</v>
      </c>
      <c r="FZ114" s="1804">
        <v>0</v>
      </c>
      <c r="GA114" s="1804">
        <v>0</v>
      </c>
      <c r="GB114" s="1804">
        <v>0</v>
      </c>
      <c r="GC114" s="1804">
        <v>0</v>
      </c>
      <c r="GD114" s="1804">
        <v>0</v>
      </c>
      <c r="GE114" s="1804">
        <v>0</v>
      </c>
      <c r="GF114" s="1804">
        <v>0</v>
      </c>
      <c r="GG114" s="1804">
        <v>0</v>
      </c>
      <c r="GH114" s="1804">
        <v>0</v>
      </c>
      <c r="GI114" s="1804">
        <v>0</v>
      </c>
      <c r="GJ114" s="1804">
        <v>0</v>
      </c>
      <c r="GK114" s="1804">
        <v>0</v>
      </c>
      <c r="GL114" s="1804">
        <v>0</v>
      </c>
      <c r="GM114" s="1804">
        <v>0</v>
      </c>
      <c r="GN114" s="1804">
        <v>0</v>
      </c>
      <c r="GO114" s="1804">
        <v>0</v>
      </c>
      <c r="GP114" s="1804">
        <v>0</v>
      </c>
      <c r="GQ114" s="1804">
        <v>0</v>
      </c>
      <c r="GR114" s="1804">
        <v>0</v>
      </c>
      <c r="GS114" s="1804">
        <v>0</v>
      </c>
      <c r="GT114" s="1804">
        <v>0</v>
      </c>
      <c r="GU114" s="1804">
        <v>0</v>
      </c>
      <c r="GV114" s="1804">
        <v>0</v>
      </c>
      <c r="GW114" s="1804">
        <v>0</v>
      </c>
      <c r="GX114" s="1804">
        <v>0</v>
      </c>
      <c r="GY114" s="1804">
        <v>0</v>
      </c>
      <c r="GZ114" s="1804">
        <v>0</v>
      </c>
      <c r="HA114" s="1804">
        <v>0</v>
      </c>
      <c r="HB114" s="1804">
        <v>0</v>
      </c>
      <c r="HC114" s="1804">
        <v>0</v>
      </c>
      <c r="HD114" s="1804">
        <v>0</v>
      </c>
      <c r="HE114" s="1804">
        <v>0</v>
      </c>
    </row>
    <row r="115" spans="1:213" ht="18.75" customHeight="1" thickBot="1" x14ac:dyDescent="0.25">
      <c r="A115" s="1963" t="s">
        <v>2350</v>
      </c>
      <c r="B115" s="1988" t="s">
        <v>958</v>
      </c>
      <c r="C115" s="1699" t="s">
        <v>734</v>
      </c>
      <c r="D115" s="1880"/>
      <c r="E115" s="1984"/>
      <c r="F115" s="1865"/>
      <c r="G115" s="1866"/>
      <c r="H115" s="1866"/>
      <c r="I115" s="1866"/>
      <c r="J115" s="1866"/>
      <c r="K115" s="1866"/>
      <c r="L115" s="1866"/>
      <c r="M115" s="1866"/>
      <c r="N115" s="1866"/>
      <c r="O115" s="1866"/>
      <c r="P115" s="1866"/>
      <c r="Q115" s="1866"/>
      <c r="R115" s="1866"/>
      <c r="S115" s="1866"/>
      <c r="T115" s="1866"/>
      <c r="U115" s="1866"/>
      <c r="V115" s="1866"/>
      <c r="W115" s="1866"/>
      <c r="X115" s="1866"/>
      <c r="Y115" s="1866"/>
      <c r="Z115" s="1866"/>
      <c r="AA115" s="1866"/>
      <c r="AB115" s="1866"/>
      <c r="AC115" s="1866"/>
      <c r="AD115" s="1866"/>
      <c r="AE115" s="1866"/>
      <c r="AF115" s="1866"/>
      <c r="AG115" s="1866"/>
      <c r="AH115" s="1866"/>
      <c r="AI115" s="1866"/>
      <c r="AJ115" s="1866"/>
      <c r="AK115" s="1866"/>
      <c r="AL115" s="1866"/>
      <c r="AM115" s="1866"/>
      <c r="AN115" s="1866"/>
      <c r="AO115" s="1866"/>
      <c r="AP115" s="1866"/>
      <c r="AQ115" s="1866"/>
      <c r="AR115" s="1866"/>
      <c r="AS115" s="1866"/>
      <c r="AT115" s="1866"/>
      <c r="AU115" s="1866"/>
      <c r="AV115" s="1866"/>
      <c r="AW115" s="1866"/>
      <c r="AX115" s="1866"/>
      <c r="AY115" s="1866"/>
      <c r="AZ115" s="1866"/>
      <c r="BA115" s="1866"/>
      <c r="BB115" s="1866"/>
      <c r="BC115" s="1866"/>
      <c r="BD115" s="1866"/>
      <c r="BE115" s="1866"/>
      <c r="BF115" s="1866"/>
      <c r="BG115" s="1866"/>
      <c r="BH115" s="1866"/>
      <c r="BI115" s="1866"/>
      <c r="BJ115" s="1866"/>
      <c r="BK115" s="1866"/>
      <c r="BL115" s="1866"/>
      <c r="BM115" s="1866"/>
      <c r="BN115" s="1866"/>
      <c r="BO115" s="1866"/>
      <c r="BP115" s="1866"/>
      <c r="BQ115" s="1866"/>
      <c r="BR115" s="1866"/>
      <c r="BS115" s="1866"/>
      <c r="BT115" s="1866"/>
      <c r="BU115" s="1866"/>
      <c r="BV115" s="1866"/>
      <c r="BW115" s="1866"/>
      <c r="BX115" s="1866"/>
      <c r="BY115" s="1866"/>
      <c r="BZ115" s="1866"/>
      <c r="CA115" s="1866"/>
      <c r="CB115" s="1866"/>
      <c r="CC115" s="1866"/>
      <c r="CD115" s="1866"/>
      <c r="CE115" s="1866"/>
      <c r="CF115" s="1866"/>
      <c r="CG115" s="1866"/>
      <c r="CH115" s="1866"/>
      <c r="CI115" s="1866"/>
      <c r="CJ115" s="1866"/>
      <c r="CK115" s="1866"/>
      <c r="CL115" s="1866"/>
      <c r="CM115" s="1866"/>
      <c r="CN115" s="1866"/>
      <c r="CO115" s="1866"/>
      <c r="CP115" s="1866"/>
      <c r="CQ115" s="1866"/>
      <c r="CR115" s="1866"/>
      <c r="CS115" s="1866"/>
      <c r="CT115" s="1866"/>
      <c r="CU115" s="1866"/>
      <c r="CV115" s="1866"/>
      <c r="CW115" s="1866"/>
      <c r="CX115" s="1866"/>
      <c r="CY115" s="1866"/>
      <c r="CZ115" s="1866"/>
      <c r="DA115" s="1866"/>
      <c r="DB115" s="1866"/>
      <c r="DC115" s="1866"/>
      <c r="DD115" s="1866"/>
      <c r="DE115" s="1866"/>
      <c r="DF115" s="1866"/>
      <c r="DG115" s="1866"/>
      <c r="DH115" s="1866"/>
      <c r="DI115" s="1866"/>
      <c r="DJ115" s="1866"/>
      <c r="DK115" s="1866"/>
      <c r="DL115" s="1866"/>
      <c r="DM115" s="1866"/>
      <c r="DN115" s="1866"/>
      <c r="DO115" s="1866"/>
      <c r="DP115" s="1866"/>
      <c r="DQ115" s="1866"/>
      <c r="DR115" s="1866"/>
      <c r="DS115" s="1866"/>
      <c r="DT115" s="1866"/>
      <c r="DU115" s="1866"/>
      <c r="DV115" s="1866"/>
      <c r="DW115" s="1866"/>
      <c r="DX115" s="1866"/>
      <c r="DY115" s="1866"/>
      <c r="DZ115" s="1866"/>
      <c r="EA115" s="1866"/>
      <c r="EB115" s="1866"/>
      <c r="EC115" s="1866"/>
      <c r="ED115" s="1866"/>
      <c r="EE115" s="1866"/>
      <c r="EF115" s="1866"/>
      <c r="EG115" s="1866"/>
      <c r="EH115" s="1866"/>
      <c r="EI115" s="1866"/>
      <c r="EJ115" s="1866"/>
      <c r="EK115" s="1866"/>
      <c r="EL115" s="1866"/>
      <c r="EM115" s="1866"/>
      <c r="EN115" s="1866"/>
      <c r="EO115" s="1866"/>
      <c r="EP115" s="1866"/>
      <c r="EQ115" s="1866"/>
      <c r="ER115" s="1866"/>
      <c r="ES115" s="1866"/>
      <c r="ET115" s="1866"/>
      <c r="EU115" s="1866"/>
      <c r="EV115" s="1866"/>
      <c r="EW115" s="1866"/>
      <c r="EX115" s="1866"/>
      <c r="EY115" s="1866"/>
      <c r="EZ115" s="1866"/>
      <c r="FA115" s="1866"/>
      <c r="FB115" s="1866"/>
      <c r="FC115" s="1866"/>
      <c r="FD115" s="1866"/>
      <c r="FE115" s="1866"/>
      <c r="FF115" s="1866"/>
      <c r="FG115" s="1866"/>
      <c r="FH115" s="1866"/>
      <c r="FI115" s="1866"/>
      <c r="FJ115" s="1866"/>
      <c r="FK115" s="1866"/>
      <c r="FL115" s="1866"/>
      <c r="FM115" s="1866"/>
      <c r="FN115" s="1866"/>
      <c r="FO115" s="1866"/>
      <c r="FP115" s="1866"/>
      <c r="FQ115" s="1866"/>
      <c r="FR115" s="1866"/>
      <c r="FS115" s="1866"/>
      <c r="FT115" s="1866"/>
      <c r="FU115" s="1866"/>
      <c r="FV115" s="1866"/>
      <c r="FW115" s="1866"/>
      <c r="FX115" s="1866"/>
      <c r="FY115" s="1866"/>
      <c r="FZ115" s="1866"/>
      <c r="GA115" s="1866"/>
      <c r="GB115" s="1866"/>
      <c r="GC115" s="1866"/>
      <c r="GD115" s="1866"/>
      <c r="GE115" s="1866"/>
      <c r="GF115" s="1866"/>
      <c r="GG115" s="1866"/>
      <c r="GH115" s="1866"/>
      <c r="GI115" s="1866"/>
      <c r="GJ115" s="1866"/>
      <c r="GK115" s="1866"/>
      <c r="GL115" s="1866"/>
      <c r="GM115" s="1866"/>
      <c r="GN115" s="1866"/>
      <c r="GO115" s="1866"/>
      <c r="GP115" s="1866"/>
      <c r="GQ115" s="1866"/>
      <c r="GR115" s="1866"/>
      <c r="GS115" s="1866"/>
      <c r="GT115" s="1866"/>
      <c r="GU115" s="1866"/>
      <c r="GV115" s="1866"/>
      <c r="GW115" s="1866"/>
      <c r="GX115" s="1866"/>
      <c r="GY115" s="1866"/>
      <c r="GZ115" s="1866"/>
      <c r="HA115" s="1866"/>
      <c r="HB115" s="1866"/>
      <c r="HC115" s="1866"/>
      <c r="HD115" s="1866"/>
      <c r="HE115" s="1866"/>
    </row>
    <row r="116" spans="1:213" ht="15" customHeight="1" x14ac:dyDescent="0.2">
      <c r="A116" s="1964"/>
      <c r="B116" s="1989"/>
      <c r="C116" s="1700" t="s">
        <v>767</v>
      </c>
      <c r="D116" s="1883"/>
      <c r="E116" s="1984"/>
      <c r="F116" s="1838">
        <v>0</v>
      </c>
      <c r="G116" s="1804">
        <v>0</v>
      </c>
      <c r="H116" s="1804">
        <v>0</v>
      </c>
      <c r="I116" s="1804">
        <v>0</v>
      </c>
      <c r="J116" s="1804">
        <v>0</v>
      </c>
      <c r="K116" s="1804">
        <v>0</v>
      </c>
      <c r="L116" s="1804">
        <v>0</v>
      </c>
      <c r="M116" s="1804">
        <v>0</v>
      </c>
      <c r="N116" s="1804">
        <v>0</v>
      </c>
      <c r="O116" s="1804">
        <v>0</v>
      </c>
      <c r="P116" s="1804">
        <v>0</v>
      </c>
      <c r="Q116" s="1804">
        <v>0</v>
      </c>
      <c r="R116" s="1804">
        <v>0</v>
      </c>
      <c r="S116" s="1804">
        <v>0</v>
      </c>
      <c r="T116" s="1804">
        <v>0</v>
      </c>
      <c r="U116" s="1804">
        <v>0</v>
      </c>
      <c r="V116" s="1804">
        <v>0</v>
      </c>
      <c r="W116" s="1804">
        <v>0</v>
      </c>
      <c r="X116" s="1804">
        <v>0</v>
      </c>
      <c r="Y116" s="1804">
        <v>0</v>
      </c>
      <c r="Z116" s="1804">
        <v>0</v>
      </c>
      <c r="AA116" s="1804">
        <v>0</v>
      </c>
      <c r="AB116" s="1804">
        <v>0</v>
      </c>
      <c r="AC116" s="1804">
        <v>0</v>
      </c>
      <c r="AD116" s="1804">
        <v>0</v>
      </c>
      <c r="AE116" s="1804">
        <v>0</v>
      </c>
      <c r="AF116" s="1804">
        <v>0</v>
      </c>
      <c r="AG116" s="1804">
        <v>0</v>
      </c>
      <c r="AH116" s="1804">
        <v>0</v>
      </c>
      <c r="AI116" s="1804">
        <v>0</v>
      </c>
      <c r="AJ116" s="1804">
        <v>0</v>
      </c>
      <c r="AK116" s="1804">
        <v>0</v>
      </c>
      <c r="AL116" s="1804">
        <v>0</v>
      </c>
      <c r="AM116" s="1804">
        <v>0</v>
      </c>
      <c r="AN116" s="1804">
        <v>0</v>
      </c>
      <c r="AO116" s="1804">
        <v>0</v>
      </c>
      <c r="AP116" s="1804">
        <v>0</v>
      </c>
      <c r="AQ116" s="1804">
        <v>0</v>
      </c>
      <c r="AR116" s="1804">
        <v>0</v>
      </c>
      <c r="AS116" s="1804">
        <v>0</v>
      </c>
      <c r="AT116" s="1804">
        <v>0</v>
      </c>
      <c r="AU116" s="1804">
        <v>0</v>
      </c>
      <c r="AV116" s="1804">
        <v>0</v>
      </c>
      <c r="AW116" s="1804">
        <v>0</v>
      </c>
      <c r="AX116" s="1804">
        <v>0</v>
      </c>
      <c r="AY116" s="1804">
        <v>0</v>
      </c>
      <c r="AZ116" s="1804">
        <v>0</v>
      </c>
      <c r="BA116" s="1804">
        <v>0</v>
      </c>
      <c r="BB116" s="1804">
        <v>0</v>
      </c>
      <c r="BC116" s="1804">
        <v>0</v>
      </c>
      <c r="BD116" s="1804">
        <v>0</v>
      </c>
      <c r="BE116" s="1804">
        <v>0</v>
      </c>
      <c r="BF116" s="1804">
        <v>0</v>
      </c>
      <c r="BG116" s="1804">
        <v>0</v>
      </c>
      <c r="BH116" s="1804">
        <v>0</v>
      </c>
      <c r="BI116" s="1804">
        <v>0</v>
      </c>
      <c r="BJ116" s="1804">
        <v>0</v>
      </c>
      <c r="BK116" s="1804">
        <v>0</v>
      </c>
      <c r="BL116" s="1804">
        <v>0</v>
      </c>
      <c r="BM116" s="1804">
        <v>0</v>
      </c>
      <c r="BN116" s="1804">
        <v>0</v>
      </c>
      <c r="BO116" s="1804">
        <v>0</v>
      </c>
      <c r="BP116" s="1804">
        <v>0</v>
      </c>
      <c r="BQ116" s="1804">
        <v>0</v>
      </c>
      <c r="BR116" s="1804">
        <v>0</v>
      </c>
      <c r="BS116" s="1804">
        <v>0</v>
      </c>
      <c r="BT116" s="1804">
        <v>0</v>
      </c>
      <c r="BU116" s="1804">
        <v>0</v>
      </c>
      <c r="BV116" s="1804">
        <v>0</v>
      </c>
      <c r="BW116" s="1804">
        <v>0</v>
      </c>
      <c r="BX116" s="1804">
        <v>0</v>
      </c>
      <c r="BY116" s="1804">
        <v>0</v>
      </c>
      <c r="BZ116" s="1804">
        <v>0</v>
      </c>
      <c r="CA116" s="1804">
        <v>0</v>
      </c>
      <c r="CB116" s="1804">
        <v>0</v>
      </c>
      <c r="CC116" s="1804">
        <v>0</v>
      </c>
      <c r="CD116" s="1804">
        <v>0</v>
      </c>
      <c r="CE116" s="1804">
        <v>0</v>
      </c>
      <c r="CF116" s="1804">
        <v>0</v>
      </c>
      <c r="CG116" s="1804">
        <v>0</v>
      </c>
      <c r="CH116" s="1804">
        <v>0</v>
      </c>
      <c r="CI116" s="1804">
        <v>0</v>
      </c>
      <c r="CJ116" s="1804">
        <v>0</v>
      </c>
      <c r="CK116" s="1804">
        <v>0</v>
      </c>
      <c r="CL116" s="1804">
        <v>0</v>
      </c>
      <c r="CM116" s="1804">
        <v>0</v>
      </c>
      <c r="CN116" s="1804">
        <v>0</v>
      </c>
      <c r="CO116" s="1804">
        <v>0</v>
      </c>
      <c r="CP116" s="1804">
        <v>0</v>
      </c>
      <c r="CQ116" s="1804">
        <v>0</v>
      </c>
      <c r="CR116" s="1804">
        <v>0</v>
      </c>
      <c r="CS116" s="1804">
        <v>0</v>
      </c>
      <c r="CT116" s="1804">
        <v>0</v>
      </c>
      <c r="CU116" s="1804">
        <v>0</v>
      </c>
      <c r="CV116" s="1804">
        <v>0</v>
      </c>
      <c r="CW116" s="1804">
        <v>0</v>
      </c>
      <c r="CX116" s="1804">
        <v>0</v>
      </c>
      <c r="CY116" s="1804">
        <v>0</v>
      </c>
      <c r="CZ116" s="1804">
        <v>0</v>
      </c>
      <c r="DA116" s="1804">
        <v>0</v>
      </c>
      <c r="DB116" s="1804">
        <v>0</v>
      </c>
      <c r="DC116" s="1804">
        <v>0</v>
      </c>
      <c r="DD116" s="1804">
        <v>0</v>
      </c>
      <c r="DE116" s="1804">
        <v>0</v>
      </c>
      <c r="DF116" s="1804">
        <v>0</v>
      </c>
      <c r="DG116" s="1804">
        <v>0</v>
      </c>
      <c r="DH116" s="1804">
        <v>0</v>
      </c>
      <c r="DI116" s="1804">
        <v>0</v>
      </c>
      <c r="DJ116" s="1804">
        <v>0</v>
      </c>
      <c r="DK116" s="1804">
        <v>0</v>
      </c>
      <c r="DL116" s="1804">
        <v>0</v>
      </c>
      <c r="DM116" s="1804">
        <v>0</v>
      </c>
      <c r="DN116" s="1804">
        <v>0</v>
      </c>
      <c r="DO116" s="1804">
        <v>0</v>
      </c>
      <c r="DP116" s="1804">
        <v>0</v>
      </c>
      <c r="DQ116" s="1804">
        <v>0</v>
      </c>
      <c r="DR116" s="1804">
        <v>0</v>
      </c>
      <c r="DS116" s="1804">
        <v>0</v>
      </c>
      <c r="DT116" s="1804">
        <v>0</v>
      </c>
      <c r="DU116" s="1804">
        <v>0</v>
      </c>
      <c r="DV116" s="1804">
        <v>0</v>
      </c>
      <c r="DW116" s="1804">
        <v>0</v>
      </c>
      <c r="DX116" s="1804">
        <v>0</v>
      </c>
      <c r="DY116" s="1804">
        <v>0</v>
      </c>
      <c r="DZ116" s="1804">
        <v>0</v>
      </c>
      <c r="EA116" s="1804">
        <v>0</v>
      </c>
      <c r="EB116" s="1804">
        <v>0</v>
      </c>
      <c r="EC116" s="1804">
        <v>0</v>
      </c>
      <c r="ED116" s="1804">
        <v>0</v>
      </c>
      <c r="EE116" s="1804">
        <v>0</v>
      </c>
      <c r="EF116" s="1804">
        <v>0</v>
      </c>
      <c r="EG116" s="1804">
        <v>0</v>
      </c>
      <c r="EH116" s="1804">
        <v>0</v>
      </c>
      <c r="EI116" s="1804">
        <v>0</v>
      </c>
      <c r="EJ116" s="1804">
        <v>0</v>
      </c>
      <c r="EK116" s="1804">
        <v>0</v>
      </c>
      <c r="EL116" s="1804">
        <v>0</v>
      </c>
      <c r="EM116" s="1804">
        <v>0</v>
      </c>
      <c r="EN116" s="1804">
        <v>0</v>
      </c>
      <c r="EO116" s="1804">
        <v>0</v>
      </c>
      <c r="EP116" s="1804">
        <v>0</v>
      </c>
      <c r="EQ116" s="1804">
        <v>0</v>
      </c>
      <c r="ER116" s="1804">
        <v>0</v>
      </c>
      <c r="ES116" s="1804">
        <v>0</v>
      </c>
      <c r="ET116" s="1804">
        <v>0</v>
      </c>
      <c r="EU116" s="1804">
        <v>0</v>
      </c>
      <c r="EV116" s="1804">
        <v>0</v>
      </c>
      <c r="EW116" s="1804">
        <v>0</v>
      </c>
      <c r="EX116" s="1804">
        <v>0</v>
      </c>
      <c r="EY116" s="1804">
        <v>0</v>
      </c>
      <c r="EZ116" s="1804">
        <v>0</v>
      </c>
      <c r="FA116" s="1804">
        <v>0</v>
      </c>
      <c r="FB116" s="1804">
        <v>0</v>
      </c>
      <c r="FC116" s="1804">
        <v>0</v>
      </c>
      <c r="FD116" s="1804">
        <v>0</v>
      </c>
      <c r="FE116" s="1804">
        <v>0</v>
      </c>
      <c r="FF116" s="1804">
        <v>0</v>
      </c>
      <c r="FG116" s="1804">
        <v>0</v>
      </c>
      <c r="FH116" s="1804">
        <v>0</v>
      </c>
      <c r="FI116" s="1804">
        <v>0</v>
      </c>
      <c r="FJ116" s="1804">
        <v>0</v>
      </c>
      <c r="FK116" s="1804">
        <v>0</v>
      </c>
      <c r="FL116" s="1804">
        <v>0</v>
      </c>
      <c r="FM116" s="1804">
        <v>0</v>
      </c>
      <c r="FN116" s="1804">
        <v>0</v>
      </c>
      <c r="FO116" s="1804">
        <v>0</v>
      </c>
      <c r="FP116" s="1804">
        <v>0</v>
      </c>
      <c r="FQ116" s="1804">
        <v>0</v>
      </c>
      <c r="FR116" s="1804">
        <v>0</v>
      </c>
      <c r="FS116" s="1804">
        <v>0</v>
      </c>
      <c r="FT116" s="1804">
        <v>0</v>
      </c>
      <c r="FU116" s="1804">
        <v>0</v>
      </c>
      <c r="FV116" s="1804">
        <v>0</v>
      </c>
      <c r="FW116" s="1804">
        <v>0</v>
      </c>
      <c r="FX116" s="1804">
        <v>0</v>
      </c>
      <c r="FY116" s="1804">
        <v>0</v>
      </c>
      <c r="FZ116" s="1804">
        <v>0</v>
      </c>
      <c r="GA116" s="1804">
        <v>0</v>
      </c>
      <c r="GB116" s="1804">
        <v>0</v>
      </c>
      <c r="GC116" s="1804">
        <v>0</v>
      </c>
      <c r="GD116" s="1804">
        <v>0</v>
      </c>
      <c r="GE116" s="1804">
        <v>0</v>
      </c>
      <c r="GF116" s="1804">
        <v>0</v>
      </c>
      <c r="GG116" s="1804">
        <v>0</v>
      </c>
      <c r="GH116" s="1804">
        <v>0</v>
      </c>
      <c r="GI116" s="1804">
        <v>0</v>
      </c>
      <c r="GJ116" s="1804">
        <v>0</v>
      </c>
      <c r="GK116" s="1804">
        <v>0</v>
      </c>
      <c r="GL116" s="1804">
        <v>0</v>
      </c>
      <c r="GM116" s="1804">
        <v>0</v>
      </c>
      <c r="GN116" s="1804">
        <v>0</v>
      </c>
      <c r="GO116" s="1804">
        <v>0</v>
      </c>
      <c r="GP116" s="1804">
        <v>0</v>
      </c>
      <c r="GQ116" s="1804">
        <v>0</v>
      </c>
      <c r="GR116" s="1804">
        <v>0</v>
      </c>
      <c r="GS116" s="1804">
        <v>0</v>
      </c>
      <c r="GT116" s="1804">
        <v>0</v>
      </c>
      <c r="GU116" s="1804">
        <v>0</v>
      </c>
      <c r="GV116" s="1804">
        <v>0</v>
      </c>
      <c r="GW116" s="1804">
        <v>0</v>
      </c>
      <c r="GX116" s="1804">
        <v>0</v>
      </c>
      <c r="GY116" s="1804">
        <v>0</v>
      </c>
      <c r="GZ116" s="1804">
        <v>0</v>
      </c>
      <c r="HA116" s="1804">
        <v>0</v>
      </c>
      <c r="HB116" s="1804">
        <v>0</v>
      </c>
      <c r="HC116" s="1804">
        <v>0</v>
      </c>
      <c r="HD116" s="1804">
        <v>0</v>
      </c>
      <c r="HE116" s="1804">
        <v>0</v>
      </c>
    </row>
    <row r="117" spans="1:213" ht="15" customHeight="1" x14ac:dyDescent="0.2">
      <c r="A117" s="1964"/>
      <c r="B117" s="1989"/>
      <c r="C117" s="1820" t="s">
        <v>768</v>
      </c>
      <c r="D117" s="1883"/>
      <c r="E117" s="1984"/>
      <c r="F117" s="1838">
        <v>0</v>
      </c>
      <c r="G117" s="1804">
        <v>0</v>
      </c>
      <c r="H117" s="1804">
        <v>0</v>
      </c>
      <c r="I117" s="1804">
        <v>0</v>
      </c>
      <c r="J117" s="1804">
        <v>0</v>
      </c>
      <c r="K117" s="1804">
        <v>0</v>
      </c>
      <c r="L117" s="1804">
        <v>0</v>
      </c>
      <c r="M117" s="1804">
        <v>0</v>
      </c>
      <c r="N117" s="1804">
        <v>0</v>
      </c>
      <c r="O117" s="1804">
        <v>0</v>
      </c>
      <c r="P117" s="1804">
        <v>0</v>
      </c>
      <c r="Q117" s="1804">
        <v>0</v>
      </c>
      <c r="R117" s="1804">
        <v>0</v>
      </c>
      <c r="S117" s="1804">
        <v>0</v>
      </c>
      <c r="T117" s="1804">
        <v>0</v>
      </c>
      <c r="U117" s="1804">
        <v>0</v>
      </c>
      <c r="V117" s="1804">
        <v>0</v>
      </c>
      <c r="W117" s="1804">
        <v>0</v>
      </c>
      <c r="X117" s="1804">
        <v>0</v>
      </c>
      <c r="Y117" s="1804">
        <v>0</v>
      </c>
      <c r="Z117" s="1804">
        <v>0</v>
      </c>
      <c r="AA117" s="1804">
        <v>0</v>
      </c>
      <c r="AB117" s="1804">
        <v>0</v>
      </c>
      <c r="AC117" s="1804">
        <v>0</v>
      </c>
      <c r="AD117" s="1804">
        <v>0</v>
      </c>
      <c r="AE117" s="1804">
        <v>0</v>
      </c>
      <c r="AF117" s="1804">
        <v>0</v>
      </c>
      <c r="AG117" s="1804">
        <v>0</v>
      </c>
      <c r="AH117" s="1804">
        <v>0</v>
      </c>
      <c r="AI117" s="1804">
        <v>0</v>
      </c>
      <c r="AJ117" s="1804">
        <v>0</v>
      </c>
      <c r="AK117" s="1804">
        <v>0</v>
      </c>
      <c r="AL117" s="1804">
        <v>0</v>
      </c>
      <c r="AM117" s="1804">
        <v>0</v>
      </c>
      <c r="AN117" s="1804">
        <v>0</v>
      </c>
      <c r="AO117" s="1804">
        <v>0</v>
      </c>
      <c r="AP117" s="1804">
        <v>0</v>
      </c>
      <c r="AQ117" s="1804">
        <v>0</v>
      </c>
      <c r="AR117" s="1804">
        <v>0</v>
      </c>
      <c r="AS117" s="1804">
        <v>0</v>
      </c>
      <c r="AT117" s="1804">
        <v>0</v>
      </c>
      <c r="AU117" s="1804">
        <v>0</v>
      </c>
      <c r="AV117" s="1804">
        <v>0</v>
      </c>
      <c r="AW117" s="1804">
        <v>0</v>
      </c>
      <c r="AX117" s="1804">
        <v>0</v>
      </c>
      <c r="AY117" s="1804">
        <v>0</v>
      </c>
      <c r="AZ117" s="1804">
        <v>0</v>
      </c>
      <c r="BA117" s="1804">
        <v>0</v>
      </c>
      <c r="BB117" s="1804">
        <v>0</v>
      </c>
      <c r="BC117" s="1804">
        <v>0</v>
      </c>
      <c r="BD117" s="1804">
        <v>0</v>
      </c>
      <c r="BE117" s="1804">
        <v>0</v>
      </c>
      <c r="BF117" s="1804">
        <v>0</v>
      </c>
      <c r="BG117" s="1804">
        <v>0</v>
      </c>
      <c r="BH117" s="1804">
        <v>0</v>
      </c>
      <c r="BI117" s="1804">
        <v>0</v>
      </c>
      <c r="BJ117" s="1804">
        <v>0</v>
      </c>
      <c r="BK117" s="1804">
        <v>0</v>
      </c>
      <c r="BL117" s="1804">
        <v>0</v>
      </c>
      <c r="BM117" s="1804">
        <v>0</v>
      </c>
      <c r="BN117" s="1804">
        <v>0</v>
      </c>
      <c r="BO117" s="1804">
        <v>0</v>
      </c>
      <c r="BP117" s="1804">
        <v>0</v>
      </c>
      <c r="BQ117" s="1804">
        <v>0</v>
      </c>
      <c r="BR117" s="1804">
        <v>0</v>
      </c>
      <c r="BS117" s="1804">
        <v>0</v>
      </c>
      <c r="BT117" s="1804">
        <v>0</v>
      </c>
      <c r="BU117" s="1804">
        <v>0</v>
      </c>
      <c r="BV117" s="1804">
        <v>0</v>
      </c>
      <c r="BW117" s="1804">
        <v>0</v>
      </c>
      <c r="BX117" s="1804">
        <v>0</v>
      </c>
      <c r="BY117" s="1804">
        <v>0</v>
      </c>
      <c r="BZ117" s="1804">
        <v>0</v>
      </c>
      <c r="CA117" s="1804">
        <v>0</v>
      </c>
      <c r="CB117" s="1804">
        <v>0</v>
      </c>
      <c r="CC117" s="1804">
        <v>0</v>
      </c>
      <c r="CD117" s="1804">
        <v>0</v>
      </c>
      <c r="CE117" s="1804">
        <v>0</v>
      </c>
      <c r="CF117" s="1804">
        <v>0</v>
      </c>
      <c r="CG117" s="1804">
        <v>0</v>
      </c>
      <c r="CH117" s="1804">
        <v>0</v>
      </c>
      <c r="CI117" s="1804">
        <v>0</v>
      </c>
      <c r="CJ117" s="1804">
        <v>0</v>
      </c>
      <c r="CK117" s="1804">
        <v>0</v>
      </c>
      <c r="CL117" s="1804">
        <v>0</v>
      </c>
      <c r="CM117" s="1804">
        <v>0</v>
      </c>
      <c r="CN117" s="1804">
        <v>0</v>
      </c>
      <c r="CO117" s="1804">
        <v>0</v>
      </c>
      <c r="CP117" s="1804">
        <v>0</v>
      </c>
      <c r="CQ117" s="1804">
        <v>0</v>
      </c>
      <c r="CR117" s="1804">
        <v>0</v>
      </c>
      <c r="CS117" s="1804">
        <v>0</v>
      </c>
      <c r="CT117" s="1804">
        <v>0</v>
      </c>
      <c r="CU117" s="1804">
        <v>0</v>
      </c>
      <c r="CV117" s="1804">
        <v>0</v>
      </c>
      <c r="CW117" s="1804">
        <v>0</v>
      </c>
      <c r="CX117" s="1804">
        <v>0</v>
      </c>
      <c r="CY117" s="1804">
        <v>0</v>
      </c>
      <c r="CZ117" s="1804">
        <v>0</v>
      </c>
      <c r="DA117" s="1804">
        <v>0</v>
      </c>
      <c r="DB117" s="1804">
        <v>0</v>
      </c>
      <c r="DC117" s="1804">
        <v>0</v>
      </c>
      <c r="DD117" s="1804">
        <v>0</v>
      </c>
      <c r="DE117" s="1804">
        <v>0</v>
      </c>
      <c r="DF117" s="1804">
        <v>0</v>
      </c>
      <c r="DG117" s="1804">
        <v>0</v>
      </c>
      <c r="DH117" s="1804">
        <v>0</v>
      </c>
      <c r="DI117" s="1804">
        <v>0</v>
      </c>
      <c r="DJ117" s="1804">
        <v>0</v>
      </c>
      <c r="DK117" s="1804">
        <v>0</v>
      </c>
      <c r="DL117" s="1804">
        <v>0</v>
      </c>
      <c r="DM117" s="1804">
        <v>0</v>
      </c>
      <c r="DN117" s="1804">
        <v>0</v>
      </c>
      <c r="DO117" s="1804">
        <v>0</v>
      </c>
      <c r="DP117" s="1804">
        <v>0</v>
      </c>
      <c r="DQ117" s="1804">
        <v>0</v>
      </c>
      <c r="DR117" s="1804">
        <v>0</v>
      </c>
      <c r="DS117" s="1804">
        <v>0</v>
      </c>
      <c r="DT117" s="1804">
        <v>0</v>
      </c>
      <c r="DU117" s="1804">
        <v>0</v>
      </c>
      <c r="DV117" s="1804">
        <v>0</v>
      </c>
      <c r="DW117" s="1804">
        <v>0</v>
      </c>
      <c r="DX117" s="1804">
        <v>0</v>
      </c>
      <c r="DY117" s="1804">
        <v>0</v>
      </c>
      <c r="DZ117" s="1804">
        <v>0</v>
      </c>
      <c r="EA117" s="1804">
        <v>0</v>
      </c>
      <c r="EB117" s="1804">
        <v>0</v>
      </c>
      <c r="EC117" s="1804">
        <v>0</v>
      </c>
      <c r="ED117" s="1804">
        <v>0</v>
      </c>
      <c r="EE117" s="1804">
        <v>0</v>
      </c>
      <c r="EF117" s="1804">
        <v>0</v>
      </c>
      <c r="EG117" s="1804">
        <v>0</v>
      </c>
      <c r="EH117" s="1804">
        <v>0</v>
      </c>
      <c r="EI117" s="1804">
        <v>0</v>
      </c>
      <c r="EJ117" s="1804">
        <v>0</v>
      </c>
      <c r="EK117" s="1804">
        <v>0</v>
      </c>
      <c r="EL117" s="1804">
        <v>0</v>
      </c>
      <c r="EM117" s="1804">
        <v>0</v>
      </c>
      <c r="EN117" s="1804">
        <v>0</v>
      </c>
      <c r="EO117" s="1804">
        <v>0</v>
      </c>
      <c r="EP117" s="1804">
        <v>0</v>
      </c>
      <c r="EQ117" s="1804">
        <v>0</v>
      </c>
      <c r="ER117" s="1804">
        <v>0</v>
      </c>
      <c r="ES117" s="1804">
        <v>0</v>
      </c>
      <c r="ET117" s="1804">
        <v>0</v>
      </c>
      <c r="EU117" s="1804">
        <v>0</v>
      </c>
      <c r="EV117" s="1804">
        <v>0</v>
      </c>
      <c r="EW117" s="1804">
        <v>0</v>
      </c>
      <c r="EX117" s="1804">
        <v>0</v>
      </c>
      <c r="EY117" s="1804">
        <v>0</v>
      </c>
      <c r="EZ117" s="1804">
        <v>0</v>
      </c>
      <c r="FA117" s="1804">
        <v>0</v>
      </c>
      <c r="FB117" s="1804">
        <v>0</v>
      </c>
      <c r="FC117" s="1804">
        <v>0</v>
      </c>
      <c r="FD117" s="1804">
        <v>0</v>
      </c>
      <c r="FE117" s="1804">
        <v>0</v>
      </c>
      <c r="FF117" s="1804">
        <v>0</v>
      </c>
      <c r="FG117" s="1804">
        <v>0</v>
      </c>
      <c r="FH117" s="1804">
        <v>0</v>
      </c>
      <c r="FI117" s="1804">
        <v>0</v>
      </c>
      <c r="FJ117" s="1804">
        <v>0</v>
      </c>
      <c r="FK117" s="1804">
        <v>0</v>
      </c>
      <c r="FL117" s="1804">
        <v>0</v>
      </c>
      <c r="FM117" s="1804">
        <v>0</v>
      </c>
      <c r="FN117" s="1804">
        <v>0</v>
      </c>
      <c r="FO117" s="1804">
        <v>0</v>
      </c>
      <c r="FP117" s="1804">
        <v>0</v>
      </c>
      <c r="FQ117" s="1804">
        <v>0</v>
      </c>
      <c r="FR117" s="1804">
        <v>0</v>
      </c>
      <c r="FS117" s="1804">
        <v>0</v>
      </c>
      <c r="FT117" s="1804">
        <v>0</v>
      </c>
      <c r="FU117" s="1804">
        <v>0</v>
      </c>
      <c r="FV117" s="1804">
        <v>0</v>
      </c>
      <c r="FW117" s="1804">
        <v>0</v>
      </c>
      <c r="FX117" s="1804">
        <v>0</v>
      </c>
      <c r="FY117" s="1804">
        <v>0</v>
      </c>
      <c r="FZ117" s="1804">
        <v>0</v>
      </c>
      <c r="GA117" s="1804">
        <v>0</v>
      </c>
      <c r="GB117" s="1804">
        <v>0</v>
      </c>
      <c r="GC117" s="1804">
        <v>0</v>
      </c>
      <c r="GD117" s="1804">
        <v>0</v>
      </c>
      <c r="GE117" s="1804">
        <v>0</v>
      </c>
      <c r="GF117" s="1804">
        <v>0</v>
      </c>
      <c r="GG117" s="1804">
        <v>0</v>
      </c>
      <c r="GH117" s="1804">
        <v>0</v>
      </c>
      <c r="GI117" s="1804">
        <v>0</v>
      </c>
      <c r="GJ117" s="1804">
        <v>0</v>
      </c>
      <c r="GK117" s="1804">
        <v>0</v>
      </c>
      <c r="GL117" s="1804">
        <v>0</v>
      </c>
      <c r="GM117" s="1804">
        <v>0</v>
      </c>
      <c r="GN117" s="1804">
        <v>0</v>
      </c>
      <c r="GO117" s="1804">
        <v>0</v>
      </c>
      <c r="GP117" s="1804">
        <v>0</v>
      </c>
      <c r="GQ117" s="1804">
        <v>0</v>
      </c>
      <c r="GR117" s="1804">
        <v>0</v>
      </c>
      <c r="GS117" s="1804">
        <v>0</v>
      </c>
      <c r="GT117" s="1804">
        <v>0</v>
      </c>
      <c r="GU117" s="1804">
        <v>0</v>
      </c>
      <c r="GV117" s="1804">
        <v>0</v>
      </c>
      <c r="GW117" s="1804">
        <v>0</v>
      </c>
      <c r="GX117" s="1804">
        <v>0</v>
      </c>
      <c r="GY117" s="1804">
        <v>0</v>
      </c>
      <c r="GZ117" s="1804">
        <v>0</v>
      </c>
      <c r="HA117" s="1804">
        <v>0</v>
      </c>
      <c r="HB117" s="1804">
        <v>0</v>
      </c>
      <c r="HC117" s="1804">
        <v>0</v>
      </c>
      <c r="HD117" s="1804">
        <v>0</v>
      </c>
      <c r="HE117" s="1804">
        <v>0</v>
      </c>
    </row>
    <row r="118" spans="1:213" ht="15" customHeight="1" x14ac:dyDescent="0.2">
      <c r="A118" s="1964"/>
      <c r="B118" s="1989"/>
      <c r="C118" s="1820" t="s">
        <v>769</v>
      </c>
      <c r="D118" s="1883"/>
      <c r="E118" s="1984"/>
      <c r="F118" s="1838">
        <v>0</v>
      </c>
      <c r="G118" s="1804">
        <v>0</v>
      </c>
      <c r="H118" s="1804">
        <v>0</v>
      </c>
      <c r="I118" s="1804">
        <v>0</v>
      </c>
      <c r="J118" s="1804">
        <v>0</v>
      </c>
      <c r="K118" s="1804">
        <v>0</v>
      </c>
      <c r="L118" s="1804">
        <v>0</v>
      </c>
      <c r="M118" s="1804">
        <v>0</v>
      </c>
      <c r="N118" s="1804">
        <v>0</v>
      </c>
      <c r="O118" s="1804">
        <v>0</v>
      </c>
      <c r="P118" s="1804">
        <v>0</v>
      </c>
      <c r="Q118" s="1804">
        <v>0</v>
      </c>
      <c r="R118" s="1804">
        <v>0</v>
      </c>
      <c r="S118" s="1804">
        <v>0</v>
      </c>
      <c r="T118" s="1804">
        <v>0</v>
      </c>
      <c r="U118" s="1804">
        <v>0</v>
      </c>
      <c r="V118" s="1804">
        <v>0</v>
      </c>
      <c r="W118" s="1804">
        <v>0</v>
      </c>
      <c r="X118" s="1804">
        <v>0</v>
      </c>
      <c r="Y118" s="1804">
        <v>0</v>
      </c>
      <c r="Z118" s="1804">
        <v>0</v>
      </c>
      <c r="AA118" s="1804">
        <v>0</v>
      </c>
      <c r="AB118" s="1804">
        <v>0</v>
      </c>
      <c r="AC118" s="1804">
        <v>0</v>
      </c>
      <c r="AD118" s="1804">
        <v>0</v>
      </c>
      <c r="AE118" s="1804">
        <v>0</v>
      </c>
      <c r="AF118" s="1804">
        <v>0</v>
      </c>
      <c r="AG118" s="1804">
        <v>0</v>
      </c>
      <c r="AH118" s="1804">
        <v>0</v>
      </c>
      <c r="AI118" s="1804">
        <v>0</v>
      </c>
      <c r="AJ118" s="1804">
        <v>0</v>
      </c>
      <c r="AK118" s="1804">
        <v>0</v>
      </c>
      <c r="AL118" s="1804">
        <v>0</v>
      </c>
      <c r="AM118" s="1804">
        <v>0</v>
      </c>
      <c r="AN118" s="1804">
        <v>0</v>
      </c>
      <c r="AO118" s="1804">
        <v>0</v>
      </c>
      <c r="AP118" s="1804">
        <v>0</v>
      </c>
      <c r="AQ118" s="1804">
        <v>0</v>
      </c>
      <c r="AR118" s="1804">
        <v>0</v>
      </c>
      <c r="AS118" s="1804">
        <v>0</v>
      </c>
      <c r="AT118" s="1804">
        <v>0</v>
      </c>
      <c r="AU118" s="1804">
        <v>0</v>
      </c>
      <c r="AV118" s="1804">
        <v>0</v>
      </c>
      <c r="AW118" s="1804">
        <v>0</v>
      </c>
      <c r="AX118" s="1804">
        <v>0</v>
      </c>
      <c r="AY118" s="1804">
        <v>0</v>
      </c>
      <c r="AZ118" s="1804">
        <v>0</v>
      </c>
      <c r="BA118" s="1804">
        <v>0</v>
      </c>
      <c r="BB118" s="1804">
        <v>0</v>
      </c>
      <c r="BC118" s="1804">
        <v>0</v>
      </c>
      <c r="BD118" s="1804">
        <v>0</v>
      </c>
      <c r="BE118" s="1804">
        <v>0</v>
      </c>
      <c r="BF118" s="1804">
        <v>0</v>
      </c>
      <c r="BG118" s="1804">
        <v>0</v>
      </c>
      <c r="BH118" s="1804">
        <v>0</v>
      </c>
      <c r="BI118" s="1804">
        <v>0</v>
      </c>
      <c r="BJ118" s="1804">
        <v>0</v>
      </c>
      <c r="BK118" s="1804">
        <v>0</v>
      </c>
      <c r="BL118" s="1804">
        <v>0</v>
      </c>
      <c r="BM118" s="1804">
        <v>0</v>
      </c>
      <c r="BN118" s="1804">
        <v>0</v>
      </c>
      <c r="BO118" s="1804">
        <v>0</v>
      </c>
      <c r="BP118" s="1804">
        <v>0</v>
      </c>
      <c r="BQ118" s="1804">
        <v>0</v>
      </c>
      <c r="BR118" s="1804">
        <v>0</v>
      </c>
      <c r="BS118" s="1804">
        <v>0</v>
      </c>
      <c r="BT118" s="1804">
        <v>0</v>
      </c>
      <c r="BU118" s="1804">
        <v>0</v>
      </c>
      <c r="BV118" s="1804">
        <v>0</v>
      </c>
      <c r="BW118" s="1804">
        <v>0</v>
      </c>
      <c r="BX118" s="1804">
        <v>0</v>
      </c>
      <c r="BY118" s="1804">
        <v>0</v>
      </c>
      <c r="BZ118" s="1804">
        <v>0</v>
      </c>
      <c r="CA118" s="1804">
        <v>0</v>
      </c>
      <c r="CB118" s="1804">
        <v>0</v>
      </c>
      <c r="CC118" s="1804">
        <v>0</v>
      </c>
      <c r="CD118" s="1804">
        <v>0</v>
      </c>
      <c r="CE118" s="1804">
        <v>0</v>
      </c>
      <c r="CF118" s="1804">
        <v>0</v>
      </c>
      <c r="CG118" s="1804">
        <v>0</v>
      </c>
      <c r="CH118" s="1804">
        <v>0</v>
      </c>
      <c r="CI118" s="1804">
        <v>0</v>
      </c>
      <c r="CJ118" s="1804">
        <v>0</v>
      </c>
      <c r="CK118" s="1804">
        <v>0</v>
      </c>
      <c r="CL118" s="1804">
        <v>0</v>
      </c>
      <c r="CM118" s="1804">
        <v>0</v>
      </c>
      <c r="CN118" s="1804">
        <v>0</v>
      </c>
      <c r="CO118" s="1804">
        <v>0</v>
      </c>
      <c r="CP118" s="1804">
        <v>0</v>
      </c>
      <c r="CQ118" s="1804">
        <v>0</v>
      </c>
      <c r="CR118" s="1804">
        <v>0</v>
      </c>
      <c r="CS118" s="1804">
        <v>0</v>
      </c>
      <c r="CT118" s="1804">
        <v>0</v>
      </c>
      <c r="CU118" s="1804">
        <v>0</v>
      </c>
      <c r="CV118" s="1804">
        <v>0</v>
      </c>
      <c r="CW118" s="1804">
        <v>0</v>
      </c>
      <c r="CX118" s="1804">
        <v>0</v>
      </c>
      <c r="CY118" s="1804">
        <v>0</v>
      </c>
      <c r="CZ118" s="1804">
        <v>0</v>
      </c>
      <c r="DA118" s="1804">
        <v>0</v>
      </c>
      <c r="DB118" s="1804">
        <v>0</v>
      </c>
      <c r="DC118" s="1804">
        <v>0</v>
      </c>
      <c r="DD118" s="1804">
        <v>0</v>
      </c>
      <c r="DE118" s="1804">
        <v>0</v>
      </c>
      <c r="DF118" s="1804">
        <v>0</v>
      </c>
      <c r="DG118" s="1804">
        <v>0</v>
      </c>
      <c r="DH118" s="1804">
        <v>0</v>
      </c>
      <c r="DI118" s="1804">
        <v>0</v>
      </c>
      <c r="DJ118" s="1804">
        <v>0</v>
      </c>
      <c r="DK118" s="1804">
        <v>0</v>
      </c>
      <c r="DL118" s="1804">
        <v>0</v>
      </c>
      <c r="DM118" s="1804">
        <v>0</v>
      </c>
      <c r="DN118" s="1804">
        <v>0</v>
      </c>
      <c r="DO118" s="1804">
        <v>0</v>
      </c>
      <c r="DP118" s="1804">
        <v>0</v>
      </c>
      <c r="DQ118" s="1804">
        <v>0</v>
      </c>
      <c r="DR118" s="1804">
        <v>0</v>
      </c>
      <c r="DS118" s="1804">
        <v>0</v>
      </c>
      <c r="DT118" s="1804">
        <v>0</v>
      </c>
      <c r="DU118" s="1804">
        <v>0</v>
      </c>
      <c r="DV118" s="1804">
        <v>0</v>
      </c>
      <c r="DW118" s="1804">
        <v>0</v>
      </c>
      <c r="DX118" s="1804">
        <v>0</v>
      </c>
      <c r="DY118" s="1804">
        <v>0</v>
      </c>
      <c r="DZ118" s="1804">
        <v>0</v>
      </c>
      <c r="EA118" s="1804">
        <v>0</v>
      </c>
      <c r="EB118" s="1804">
        <v>0</v>
      </c>
      <c r="EC118" s="1804">
        <v>0</v>
      </c>
      <c r="ED118" s="1804">
        <v>0</v>
      </c>
      <c r="EE118" s="1804">
        <v>0</v>
      </c>
      <c r="EF118" s="1804">
        <v>0</v>
      </c>
      <c r="EG118" s="1804">
        <v>0</v>
      </c>
      <c r="EH118" s="1804">
        <v>0</v>
      </c>
      <c r="EI118" s="1804">
        <v>0</v>
      </c>
      <c r="EJ118" s="1804">
        <v>0</v>
      </c>
      <c r="EK118" s="1804">
        <v>0</v>
      </c>
      <c r="EL118" s="1804">
        <v>0</v>
      </c>
      <c r="EM118" s="1804">
        <v>0</v>
      </c>
      <c r="EN118" s="1804">
        <v>0</v>
      </c>
      <c r="EO118" s="1804">
        <v>0</v>
      </c>
      <c r="EP118" s="1804">
        <v>0</v>
      </c>
      <c r="EQ118" s="1804">
        <v>0</v>
      </c>
      <c r="ER118" s="1804">
        <v>0</v>
      </c>
      <c r="ES118" s="1804">
        <v>0</v>
      </c>
      <c r="ET118" s="1804">
        <v>0</v>
      </c>
      <c r="EU118" s="1804">
        <v>0</v>
      </c>
      <c r="EV118" s="1804">
        <v>0</v>
      </c>
      <c r="EW118" s="1804">
        <v>0</v>
      </c>
      <c r="EX118" s="1804">
        <v>0</v>
      </c>
      <c r="EY118" s="1804">
        <v>0</v>
      </c>
      <c r="EZ118" s="1804">
        <v>0</v>
      </c>
      <c r="FA118" s="1804">
        <v>0</v>
      </c>
      <c r="FB118" s="1804">
        <v>0</v>
      </c>
      <c r="FC118" s="1804">
        <v>0</v>
      </c>
      <c r="FD118" s="1804">
        <v>0</v>
      </c>
      <c r="FE118" s="1804">
        <v>0</v>
      </c>
      <c r="FF118" s="1804">
        <v>0</v>
      </c>
      <c r="FG118" s="1804">
        <v>0</v>
      </c>
      <c r="FH118" s="1804">
        <v>0</v>
      </c>
      <c r="FI118" s="1804">
        <v>0</v>
      </c>
      <c r="FJ118" s="1804">
        <v>0</v>
      </c>
      <c r="FK118" s="1804">
        <v>0</v>
      </c>
      <c r="FL118" s="1804">
        <v>0</v>
      </c>
      <c r="FM118" s="1804">
        <v>0</v>
      </c>
      <c r="FN118" s="1804">
        <v>0</v>
      </c>
      <c r="FO118" s="1804">
        <v>0</v>
      </c>
      <c r="FP118" s="1804">
        <v>0</v>
      </c>
      <c r="FQ118" s="1804">
        <v>0</v>
      </c>
      <c r="FR118" s="1804">
        <v>0</v>
      </c>
      <c r="FS118" s="1804">
        <v>0</v>
      </c>
      <c r="FT118" s="1804">
        <v>0</v>
      </c>
      <c r="FU118" s="1804">
        <v>0</v>
      </c>
      <c r="FV118" s="1804">
        <v>0</v>
      </c>
      <c r="FW118" s="1804">
        <v>0</v>
      </c>
      <c r="FX118" s="1804">
        <v>0</v>
      </c>
      <c r="FY118" s="1804">
        <v>0</v>
      </c>
      <c r="FZ118" s="1804">
        <v>0</v>
      </c>
      <c r="GA118" s="1804">
        <v>0</v>
      </c>
      <c r="GB118" s="1804">
        <v>0</v>
      </c>
      <c r="GC118" s="1804">
        <v>0</v>
      </c>
      <c r="GD118" s="1804">
        <v>0</v>
      </c>
      <c r="GE118" s="1804">
        <v>0</v>
      </c>
      <c r="GF118" s="1804">
        <v>0</v>
      </c>
      <c r="GG118" s="1804">
        <v>0</v>
      </c>
      <c r="GH118" s="1804">
        <v>0</v>
      </c>
      <c r="GI118" s="1804">
        <v>0</v>
      </c>
      <c r="GJ118" s="1804">
        <v>0</v>
      </c>
      <c r="GK118" s="1804">
        <v>0</v>
      </c>
      <c r="GL118" s="1804">
        <v>0</v>
      </c>
      <c r="GM118" s="1804">
        <v>0</v>
      </c>
      <c r="GN118" s="1804">
        <v>0</v>
      </c>
      <c r="GO118" s="1804">
        <v>0</v>
      </c>
      <c r="GP118" s="1804">
        <v>0</v>
      </c>
      <c r="GQ118" s="1804">
        <v>0</v>
      </c>
      <c r="GR118" s="1804">
        <v>0</v>
      </c>
      <c r="GS118" s="1804">
        <v>0</v>
      </c>
      <c r="GT118" s="1804">
        <v>0</v>
      </c>
      <c r="GU118" s="1804">
        <v>0</v>
      </c>
      <c r="GV118" s="1804">
        <v>0</v>
      </c>
      <c r="GW118" s="1804">
        <v>0</v>
      </c>
      <c r="GX118" s="1804">
        <v>0</v>
      </c>
      <c r="GY118" s="1804">
        <v>0</v>
      </c>
      <c r="GZ118" s="1804">
        <v>0</v>
      </c>
      <c r="HA118" s="1804">
        <v>0</v>
      </c>
      <c r="HB118" s="1804">
        <v>0</v>
      </c>
      <c r="HC118" s="1804">
        <v>0</v>
      </c>
      <c r="HD118" s="1804">
        <v>0</v>
      </c>
      <c r="HE118" s="1804">
        <v>0</v>
      </c>
    </row>
    <row r="119" spans="1:213" ht="15" customHeight="1" x14ac:dyDescent="0.2">
      <c r="A119" s="1964"/>
      <c r="B119" s="1989"/>
      <c r="C119" s="1820" t="s">
        <v>1369</v>
      </c>
      <c r="D119" s="1883"/>
      <c r="E119" s="1984"/>
      <c r="F119" s="1838">
        <v>0</v>
      </c>
      <c r="G119" s="1804">
        <v>0</v>
      </c>
      <c r="H119" s="1804">
        <v>0</v>
      </c>
      <c r="I119" s="1804">
        <v>0</v>
      </c>
      <c r="J119" s="1804">
        <v>0</v>
      </c>
      <c r="K119" s="1804">
        <v>0</v>
      </c>
      <c r="L119" s="1804">
        <v>0</v>
      </c>
      <c r="M119" s="1804">
        <v>0</v>
      </c>
      <c r="N119" s="1804">
        <v>0</v>
      </c>
      <c r="O119" s="1804">
        <v>0</v>
      </c>
      <c r="P119" s="1804">
        <v>0</v>
      </c>
      <c r="Q119" s="1804">
        <v>0</v>
      </c>
      <c r="R119" s="1804">
        <v>0</v>
      </c>
      <c r="S119" s="1804">
        <v>0</v>
      </c>
      <c r="T119" s="1804">
        <v>0</v>
      </c>
      <c r="U119" s="1804">
        <v>0</v>
      </c>
      <c r="V119" s="1804">
        <v>0</v>
      </c>
      <c r="W119" s="1804">
        <v>0</v>
      </c>
      <c r="X119" s="1804">
        <v>0</v>
      </c>
      <c r="Y119" s="1804">
        <v>0</v>
      </c>
      <c r="Z119" s="1804">
        <v>0</v>
      </c>
      <c r="AA119" s="1804">
        <v>0</v>
      </c>
      <c r="AB119" s="1804">
        <v>0</v>
      </c>
      <c r="AC119" s="1804">
        <v>0</v>
      </c>
      <c r="AD119" s="1804">
        <v>0</v>
      </c>
      <c r="AE119" s="1804">
        <v>0</v>
      </c>
      <c r="AF119" s="1804">
        <v>0</v>
      </c>
      <c r="AG119" s="1804">
        <v>0</v>
      </c>
      <c r="AH119" s="1804">
        <v>0</v>
      </c>
      <c r="AI119" s="1804">
        <v>0</v>
      </c>
      <c r="AJ119" s="1804">
        <v>0</v>
      </c>
      <c r="AK119" s="1804">
        <v>0</v>
      </c>
      <c r="AL119" s="1804">
        <v>0</v>
      </c>
      <c r="AM119" s="1804">
        <v>0</v>
      </c>
      <c r="AN119" s="1804">
        <v>0</v>
      </c>
      <c r="AO119" s="1804">
        <v>0</v>
      </c>
      <c r="AP119" s="1804">
        <v>0</v>
      </c>
      <c r="AQ119" s="1804">
        <v>0</v>
      </c>
      <c r="AR119" s="1804">
        <v>0</v>
      </c>
      <c r="AS119" s="1804">
        <v>0</v>
      </c>
      <c r="AT119" s="1804">
        <v>0</v>
      </c>
      <c r="AU119" s="1804">
        <v>0</v>
      </c>
      <c r="AV119" s="1804">
        <v>0</v>
      </c>
      <c r="AW119" s="1804">
        <v>0</v>
      </c>
      <c r="AX119" s="1804">
        <v>0</v>
      </c>
      <c r="AY119" s="1804">
        <v>0</v>
      </c>
      <c r="AZ119" s="1804">
        <v>0</v>
      </c>
      <c r="BA119" s="1804">
        <v>0</v>
      </c>
      <c r="BB119" s="1804">
        <v>0</v>
      </c>
      <c r="BC119" s="1804">
        <v>0</v>
      </c>
      <c r="BD119" s="1804">
        <v>0</v>
      </c>
      <c r="BE119" s="1804">
        <v>0</v>
      </c>
      <c r="BF119" s="1804">
        <v>0</v>
      </c>
      <c r="BG119" s="1804">
        <v>0</v>
      </c>
      <c r="BH119" s="1804">
        <v>0</v>
      </c>
      <c r="BI119" s="1804">
        <v>0</v>
      </c>
      <c r="BJ119" s="1804">
        <v>0</v>
      </c>
      <c r="BK119" s="1804">
        <v>0</v>
      </c>
      <c r="BL119" s="1804">
        <v>0</v>
      </c>
      <c r="BM119" s="1804">
        <v>0</v>
      </c>
      <c r="BN119" s="1804">
        <v>0</v>
      </c>
      <c r="BO119" s="1804">
        <v>0</v>
      </c>
      <c r="BP119" s="1804">
        <v>0</v>
      </c>
      <c r="BQ119" s="1804">
        <v>0</v>
      </c>
      <c r="BR119" s="1804">
        <v>0</v>
      </c>
      <c r="BS119" s="1804">
        <v>0</v>
      </c>
      <c r="BT119" s="1804">
        <v>0</v>
      </c>
      <c r="BU119" s="1804">
        <v>0</v>
      </c>
      <c r="BV119" s="1804">
        <v>0</v>
      </c>
      <c r="BW119" s="1804">
        <v>0</v>
      </c>
      <c r="BX119" s="1804">
        <v>0</v>
      </c>
      <c r="BY119" s="1804">
        <v>0</v>
      </c>
      <c r="BZ119" s="1804">
        <v>0</v>
      </c>
      <c r="CA119" s="1804">
        <v>0</v>
      </c>
      <c r="CB119" s="1804">
        <v>0</v>
      </c>
      <c r="CC119" s="1804">
        <v>0</v>
      </c>
      <c r="CD119" s="1804">
        <v>0</v>
      </c>
      <c r="CE119" s="1804">
        <v>0</v>
      </c>
      <c r="CF119" s="1804">
        <v>0</v>
      </c>
      <c r="CG119" s="1804">
        <v>0</v>
      </c>
      <c r="CH119" s="1804">
        <v>0</v>
      </c>
      <c r="CI119" s="1804">
        <v>0</v>
      </c>
      <c r="CJ119" s="1804">
        <v>0</v>
      </c>
      <c r="CK119" s="1804">
        <v>0</v>
      </c>
      <c r="CL119" s="1804">
        <v>0</v>
      </c>
      <c r="CM119" s="1804">
        <v>0</v>
      </c>
      <c r="CN119" s="1804">
        <v>0</v>
      </c>
      <c r="CO119" s="1804">
        <v>0</v>
      </c>
      <c r="CP119" s="1804">
        <v>0</v>
      </c>
      <c r="CQ119" s="1804">
        <v>0</v>
      </c>
      <c r="CR119" s="1804">
        <v>0</v>
      </c>
      <c r="CS119" s="1804">
        <v>0</v>
      </c>
      <c r="CT119" s="1804">
        <v>0</v>
      </c>
      <c r="CU119" s="1804">
        <v>0</v>
      </c>
      <c r="CV119" s="1804">
        <v>0</v>
      </c>
      <c r="CW119" s="1804">
        <v>0</v>
      </c>
      <c r="CX119" s="1804">
        <v>0</v>
      </c>
      <c r="CY119" s="1804">
        <v>0</v>
      </c>
      <c r="CZ119" s="1804">
        <v>0</v>
      </c>
      <c r="DA119" s="1804">
        <v>0</v>
      </c>
      <c r="DB119" s="1804">
        <v>0</v>
      </c>
      <c r="DC119" s="1804">
        <v>0</v>
      </c>
      <c r="DD119" s="1804">
        <v>0</v>
      </c>
      <c r="DE119" s="1804">
        <v>0</v>
      </c>
      <c r="DF119" s="1804">
        <v>0</v>
      </c>
      <c r="DG119" s="1804">
        <v>0</v>
      </c>
      <c r="DH119" s="1804">
        <v>0</v>
      </c>
      <c r="DI119" s="1804">
        <v>0</v>
      </c>
      <c r="DJ119" s="1804">
        <v>0</v>
      </c>
      <c r="DK119" s="1804">
        <v>0</v>
      </c>
      <c r="DL119" s="1804">
        <v>0</v>
      </c>
      <c r="DM119" s="1804">
        <v>0</v>
      </c>
      <c r="DN119" s="1804">
        <v>0</v>
      </c>
      <c r="DO119" s="1804">
        <v>0</v>
      </c>
      <c r="DP119" s="1804">
        <v>0</v>
      </c>
      <c r="DQ119" s="1804">
        <v>0</v>
      </c>
      <c r="DR119" s="1804">
        <v>0</v>
      </c>
      <c r="DS119" s="1804">
        <v>0</v>
      </c>
      <c r="DT119" s="1804">
        <v>0</v>
      </c>
      <c r="DU119" s="1804">
        <v>0</v>
      </c>
      <c r="DV119" s="1804">
        <v>0</v>
      </c>
      <c r="DW119" s="1804">
        <v>0</v>
      </c>
      <c r="DX119" s="1804">
        <v>0</v>
      </c>
      <c r="DY119" s="1804">
        <v>0</v>
      </c>
      <c r="DZ119" s="1804">
        <v>0</v>
      </c>
      <c r="EA119" s="1804">
        <v>0</v>
      </c>
      <c r="EB119" s="1804">
        <v>0</v>
      </c>
      <c r="EC119" s="1804">
        <v>0</v>
      </c>
      <c r="ED119" s="1804">
        <v>0</v>
      </c>
      <c r="EE119" s="1804">
        <v>0</v>
      </c>
      <c r="EF119" s="1804">
        <v>0</v>
      </c>
      <c r="EG119" s="1804">
        <v>0</v>
      </c>
      <c r="EH119" s="1804">
        <v>0</v>
      </c>
      <c r="EI119" s="1804">
        <v>0</v>
      </c>
      <c r="EJ119" s="1804">
        <v>0</v>
      </c>
      <c r="EK119" s="1804">
        <v>0</v>
      </c>
      <c r="EL119" s="1804">
        <v>0</v>
      </c>
      <c r="EM119" s="1804">
        <v>0</v>
      </c>
      <c r="EN119" s="1804">
        <v>0</v>
      </c>
      <c r="EO119" s="1804">
        <v>0</v>
      </c>
      <c r="EP119" s="1804">
        <v>0</v>
      </c>
      <c r="EQ119" s="1804">
        <v>0</v>
      </c>
      <c r="ER119" s="1804">
        <v>0</v>
      </c>
      <c r="ES119" s="1804">
        <v>0</v>
      </c>
      <c r="ET119" s="1804">
        <v>0</v>
      </c>
      <c r="EU119" s="1804">
        <v>0</v>
      </c>
      <c r="EV119" s="1804">
        <v>0</v>
      </c>
      <c r="EW119" s="1804">
        <v>0</v>
      </c>
      <c r="EX119" s="1804">
        <v>0</v>
      </c>
      <c r="EY119" s="1804">
        <v>0</v>
      </c>
      <c r="EZ119" s="1804">
        <v>0</v>
      </c>
      <c r="FA119" s="1804">
        <v>0</v>
      </c>
      <c r="FB119" s="1804">
        <v>0</v>
      </c>
      <c r="FC119" s="1804">
        <v>0</v>
      </c>
      <c r="FD119" s="1804">
        <v>0</v>
      </c>
      <c r="FE119" s="1804">
        <v>0</v>
      </c>
      <c r="FF119" s="1804">
        <v>0</v>
      </c>
      <c r="FG119" s="1804">
        <v>0</v>
      </c>
      <c r="FH119" s="1804">
        <v>0</v>
      </c>
      <c r="FI119" s="1804">
        <v>0</v>
      </c>
      <c r="FJ119" s="1804">
        <v>0</v>
      </c>
      <c r="FK119" s="1804">
        <v>0</v>
      </c>
      <c r="FL119" s="1804">
        <v>0</v>
      </c>
      <c r="FM119" s="1804">
        <v>0</v>
      </c>
      <c r="FN119" s="1804">
        <v>0</v>
      </c>
      <c r="FO119" s="1804">
        <v>0</v>
      </c>
      <c r="FP119" s="1804">
        <v>0</v>
      </c>
      <c r="FQ119" s="1804">
        <v>0</v>
      </c>
      <c r="FR119" s="1804">
        <v>0</v>
      </c>
      <c r="FS119" s="1804">
        <v>0</v>
      </c>
      <c r="FT119" s="1804">
        <v>0</v>
      </c>
      <c r="FU119" s="1804">
        <v>0</v>
      </c>
      <c r="FV119" s="1804">
        <v>0</v>
      </c>
      <c r="FW119" s="1804">
        <v>0</v>
      </c>
      <c r="FX119" s="1804">
        <v>0</v>
      </c>
      <c r="FY119" s="1804">
        <v>0</v>
      </c>
      <c r="FZ119" s="1804">
        <v>0</v>
      </c>
      <c r="GA119" s="1804">
        <v>0</v>
      </c>
      <c r="GB119" s="1804">
        <v>0</v>
      </c>
      <c r="GC119" s="1804">
        <v>0</v>
      </c>
      <c r="GD119" s="1804">
        <v>0</v>
      </c>
      <c r="GE119" s="1804">
        <v>0</v>
      </c>
      <c r="GF119" s="1804">
        <v>0</v>
      </c>
      <c r="GG119" s="1804">
        <v>0</v>
      </c>
      <c r="GH119" s="1804">
        <v>0</v>
      </c>
      <c r="GI119" s="1804">
        <v>0</v>
      </c>
      <c r="GJ119" s="1804">
        <v>0</v>
      </c>
      <c r="GK119" s="1804">
        <v>0</v>
      </c>
      <c r="GL119" s="1804">
        <v>0</v>
      </c>
      <c r="GM119" s="1804">
        <v>0</v>
      </c>
      <c r="GN119" s="1804">
        <v>0</v>
      </c>
      <c r="GO119" s="1804">
        <v>0</v>
      </c>
      <c r="GP119" s="1804">
        <v>0</v>
      </c>
      <c r="GQ119" s="1804">
        <v>0</v>
      </c>
      <c r="GR119" s="1804">
        <v>0</v>
      </c>
      <c r="GS119" s="1804">
        <v>0</v>
      </c>
      <c r="GT119" s="1804">
        <v>0</v>
      </c>
      <c r="GU119" s="1804">
        <v>0</v>
      </c>
      <c r="GV119" s="1804">
        <v>0</v>
      </c>
      <c r="GW119" s="1804">
        <v>0</v>
      </c>
      <c r="GX119" s="1804">
        <v>0</v>
      </c>
      <c r="GY119" s="1804">
        <v>0</v>
      </c>
      <c r="GZ119" s="1804">
        <v>0</v>
      </c>
      <c r="HA119" s="1804">
        <v>0</v>
      </c>
      <c r="HB119" s="1804">
        <v>0</v>
      </c>
      <c r="HC119" s="1804">
        <v>0</v>
      </c>
      <c r="HD119" s="1804">
        <v>0</v>
      </c>
      <c r="HE119" s="1804">
        <v>0</v>
      </c>
    </row>
    <row r="120" spans="1:213" ht="15" customHeight="1" thickBot="1" x14ac:dyDescent="0.25">
      <c r="A120" s="1965"/>
      <c r="B120" s="1991"/>
      <c r="C120" s="1697" t="s">
        <v>1370</v>
      </c>
      <c r="D120" s="1883"/>
      <c r="E120" s="1984"/>
      <c r="F120" s="1838">
        <v>0</v>
      </c>
      <c r="G120" s="1804">
        <v>0</v>
      </c>
      <c r="H120" s="1804">
        <v>0</v>
      </c>
      <c r="I120" s="1804">
        <v>0</v>
      </c>
      <c r="J120" s="1804">
        <v>0</v>
      </c>
      <c r="K120" s="1804">
        <v>0</v>
      </c>
      <c r="L120" s="1804">
        <v>0</v>
      </c>
      <c r="M120" s="1804">
        <v>0</v>
      </c>
      <c r="N120" s="1804">
        <v>0</v>
      </c>
      <c r="O120" s="1804">
        <v>0</v>
      </c>
      <c r="P120" s="1804">
        <v>0</v>
      </c>
      <c r="Q120" s="1804">
        <v>0</v>
      </c>
      <c r="R120" s="1804">
        <v>0</v>
      </c>
      <c r="S120" s="1804">
        <v>0</v>
      </c>
      <c r="T120" s="1804">
        <v>0</v>
      </c>
      <c r="U120" s="1804">
        <v>0</v>
      </c>
      <c r="V120" s="1804">
        <v>0</v>
      </c>
      <c r="W120" s="1804">
        <v>0</v>
      </c>
      <c r="X120" s="1804">
        <v>0</v>
      </c>
      <c r="Y120" s="1804">
        <v>0</v>
      </c>
      <c r="Z120" s="1804">
        <v>0</v>
      </c>
      <c r="AA120" s="1804">
        <v>0</v>
      </c>
      <c r="AB120" s="1804">
        <v>0</v>
      </c>
      <c r="AC120" s="1804">
        <v>0</v>
      </c>
      <c r="AD120" s="1804">
        <v>0</v>
      </c>
      <c r="AE120" s="1804">
        <v>0</v>
      </c>
      <c r="AF120" s="1804">
        <v>0</v>
      </c>
      <c r="AG120" s="1804">
        <v>0</v>
      </c>
      <c r="AH120" s="1804">
        <v>0</v>
      </c>
      <c r="AI120" s="1804">
        <v>0</v>
      </c>
      <c r="AJ120" s="1804">
        <v>0</v>
      </c>
      <c r="AK120" s="1804">
        <v>0</v>
      </c>
      <c r="AL120" s="1804">
        <v>0</v>
      </c>
      <c r="AM120" s="1804">
        <v>0</v>
      </c>
      <c r="AN120" s="1804">
        <v>0</v>
      </c>
      <c r="AO120" s="1804">
        <v>0</v>
      </c>
      <c r="AP120" s="1804">
        <v>0</v>
      </c>
      <c r="AQ120" s="1804">
        <v>0</v>
      </c>
      <c r="AR120" s="1804">
        <v>0</v>
      </c>
      <c r="AS120" s="1804">
        <v>0</v>
      </c>
      <c r="AT120" s="1804">
        <v>0</v>
      </c>
      <c r="AU120" s="1804">
        <v>0</v>
      </c>
      <c r="AV120" s="1804">
        <v>0</v>
      </c>
      <c r="AW120" s="1804">
        <v>0</v>
      </c>
      <c r="AX120" s="1804">
        <v>0</v>
      </c>
      <c r="AY120" s="1804">
        <v>0</v>
      </c>
      <c r="AZ120" s="1804">
        <v>0</v>
      </c>
      <c r="BA120" s="1804">
        <v>0</v>
      </c>
      <c r="BB120" s="1804">
        <v>0</v>
      </c>
      <c r="BC120" s="1804">
        <v>0</v>
      </c>
      <c r="BD120" s="1804">
        <v>0</v>
      </c>
      <c r="BE120" s="1804">
        <v>0</v>
      </c>
      <c r="BF120" s="1804">
        <v>0</v>
      </c>
      <c r="BG120" s="1804">
        <v>0</v>
      </c>
      <c r="BH120" s="1804">
        <v>0</v>
      </c>
      <c r="BI120" s="1804">
        <v>0</v>
      </c>
      <c r="BJ120" s="1804">
        <v>0</v>
      </c>
      <c r="BK120" s="1804">
        <v>0</v>
      </c>
      <c r="BL120" s="1804">
        <v>0</v>
      </c>
      <c r="BM120" s="1804">
        <v>0</v>
      </c>
      <c r="BN120" s="1804">
        <v>0</v>
      </c>
      <c r="BO120" s="1804">
        <v>0</v>
      </c>
      <c r="BP120" s="1804">
        <v>0</v>
      </c>
      <c r="BQ120" s="1804">
        <v>0</v>
      </c>
      <c r="BR120" s="1804">
        <v>0</v>
      </c>
      <c r="BS120" s="1804">
        <v>0</v>
      </c>
      <c r="BT120" s="1804">
        <v>0</v>
      </c>
      <c r="BU120" s="1804">
        <v>0</v>
      </c>
      <c r="BV120" s="1804">
        <v>0</v>
      </c>
      <c r="BW120" s="1804">
        <v>0</v>
      </c>
      <c r="BX120" s="1804">
        <v>0</v>
      </c>
      <c r="BY120" s="1804">
        <v>0</v>
      </c>
      <c r="BZ120" s="1804">
        <v>0</v>
      </c>
      <c r="CA120" s="1804">
        <v>0</v>
      </c>
      <c r="CB120" s="1804">
        <v>0</v>
      </c>
      <c r="CC120" s="1804">
        <v>0</v>
      </c>
      <c r="CD120" s="1804">
        <v>0</v>
      </c>
      <c r="CE120" s="1804">
        <v>0</v>
      </c>
      <c r="CF120" s="1804">
        <v>0</v>
      </c>
      <c r="CG120" s="1804">
        <v>0</v>
      </c>
      <c r="CH120" s="1804">
        <v>0</v>
      </c>
      <c r="CI120" s="1804">
        <v>0</v>
      </c>
      <c r="CJ120" s="1804">
        <v>0</v>
      </c>
      <c r="CK120" s="1804">
        <v>0</v>
      </c>
      <c r="CL120" s="1804">
        <v>0</v>
      </c>
      <c r="CM120" s="1804">
        <v>0</v>
      </c>
      <c r="CN120" s="1804">
        <v>0</v>
      </c>
      <c r="CO120" s="1804">
        <v>0</v>
      </c>
      <c r="CP120" s="1804">
        <v>0</v>
      </c>
      <c r="CQ120" s="1804">
        <v>0</v>
      </c>
      <c r="CR120" s="1804">
        <v>0</v>
      </c>
      <c r="CS120" s="1804">
        <v>0</v>
      </c>
      <c r="CT120" s="1804">
        <v>0</v>
      </c>
      <c r="CU120" s="1804">
        <v>0</v>
      </c>
      <c r="CV120" s="1804">
        <v>0</v>
      </c>
      <c r="CW120" s="1804">
        <v>0</v>
      </c>
      <c r="CX120" s="1804">
        <v>0</v>
      </c>
      <c r="CY120" s="1804">
        <v>0</v>
      </c>
      <c r="CZ120" s="1804">
        <v>0</v>
      </c>
      <c r="DA120" s="1804">
        <v>0</v>
      </c>
      <c r="DB120" s="1804">
        <v>0</v>
      </c>
      <c r="DC120" s="1804">
        <v>0</v>
      </c>
      <c r="DD120" s="1804">
        <v>0</v>
      </c>
      <c r="DE120" s="1804">
        <v>0</v>
      </c>
      <c r="DF120" s="1804">
        <v>0</v>
      </c>
      <c r="DG120" s="1804">
        <v>0</v>
      </c>
      <c r="DH120" s="1804">
        <v>0</v>
      </c>
      <c r="DI120" s="1804">
        <v>0</v>
      </c>
      <c r="DJ120" s="1804">
        <v>0</v>
      </c>
      <c r="DK120" s="1804">
        <v>0</v>
      </c>
      <c r="DL120" s="1804">
        <v>0</v>
      </c>
      <c r="DM120" s="1804">
        <v>0</v>
      </c>
      <c r="DN120" s="1804">
        <v>0</v>
      </c>
      <c r="DO120" s="1804">
        <v>0</v>
      </c>
      <c r="DP120" s="1804">
        <v>0</v>
      </c>
      <c r="DQ120" s="1804">
        <v>0</v>
      </c>
      <c r="DR120" s="1804">
        <v>0</v>
      </c>
      <c r="DS120" s="1804">
        <v>0</v>
      </c>
      <c r="DT120" s="1804">
        <v>0</v>
      </c>
      <c r="DU120" s="1804">
        <v>0</v>
      </c>
      <c r="DV120" s="1804">
        <v>0</v>
      </c>
      <c r="DW120" s="1804">
        <v>0</v>
      </c>
      <c r="DX120" s="1804">
        <v>0</v>
      </c>
      <c r="DY120" s="1804">
        <v>0</v>
      </c>
      <c r="DZ120" s="1804">
        <v>0</v>
      </c>
      <c r="EA120" s="1804">
        <v>0</v>
      </c>
      <c r="EB120" s="1804">
        <v>0</v>
      </c>
      <c r="EC120" s="1804">
        <v>0</v>
      </c>
      <c r="ED120" s="1804">
        <v>0</v>
      </c>
      <c r="EE120" s="1804">
        <v>0</v>
      </c>
      <c r="EF120" s="1804">
        <v>0</v>
      </c>
      <c r="EG120" s="1804">
        <v>0</v>
      </c>
      <c r="EH120" s="1804">
        <v>0</v>
      </c>
      <c r="EI120" s="1804">
        <v>0</v>
      </c>
      <c r="EJ120" s="1804">
        <v>0</v>
      </c>
      <c r="EK120" s="1804">
        <v>0</v>
      </c>
      <c r="EL120" s="1804">
        <v>0</v>
      </c>
      <c r="EM120" s="1804">
        <v>0</v>
      </c>
      <c r="EN120" s="1804">
        <v>0</v>
      </c>
      <c r="EO120" s="1804">
        <v>0</v>
      </c>
      <c r="EP120" s="1804">
        <v>0</v>
      </c>
      <c r="EQ120" s="1804">
        <v>0</v>
      </c>
      <c r="ER120" s="1804">
        <v>0</v>
      </c>
      <c r="ES120" s="1804">
        <v>0</v>
      </c>
      <c r="ET120" s="1804">
        <v>0</v>
      </c>
      <c r="EU120" s="1804">
        <v>0</v>
      </c>
      <c r="EV120" s="1804">
        <v>0</v>
      </c>
      <c r="EW120" s="1804">
        <v>0</v>
      </c>
      <c r="EX120" s="1804">
        <v>0</v>
      </c>
      <c r="EY120" s="1804">
        <v>0</v>
      </c>
      <c r="EZ120" s="1804">
        <v>0</v>
      </c>
      <c r="FA120" s="1804">
        <v>0</v>
      </c>
      <c r="FB120" s="1804">
        <v>0</v>
      </c>
      <c r="FC120" s="1804">
        <v>0</v>
      </c>
      <c r="FD120" s="1804">
        <v>0</v>
      </c>
      <c r="FE120" s="1804">
        <v>0</v>
      </c>
      <c r="FF120" s="1804">
        <v>0</v>
      </c>
      <c r="FG120" s="1804">
        <v>0</v>
      </c>
      <c r="FH120" s="1804">
        <v>0</v>
      </c>
      <c r="FI120" s="1804">
        <v>0</v>
      </c>
      <c r="FJ120" s="1804">
        <v>0</v>
      </c>
      <c r="FK120" s="1804">
        <v>0</v>
      </c>
      <c r="FL120" s="1804">
        <v>0</v>
      </c>
      <c r="FM120" s="1804">
        <v>0</v>
      </c>
      <c r="FN120" s="1804">
        <v>0</v>
      </c>
      <c r="FO120" s="1804">
        <v>0</v>
      </c>
      <c r="FP120" s="1804">
        <v>0</v>
      </c>
      <c r="FQ120" s="1804">
        <v>0</v>
      </c>
      <c r="FR120" s="1804">
        <v>0</v>
      </c>
      <c r="FS120" s="1804">
        <v>0</v>
      </c>
      <c r="FT120" s="1804">
        <v>0</v>
      </c>
      <c r="FU120" s="1804">
        <v>0</v>
      </c>
      <c r="FV120" s="1804">
        <v>0</v>
      </c>
      <c r="FW120" s="1804">
        <v>0</v>
      </c>
      <c r="FX120" s="1804">
        <v>0</v>
      </c>
      <c r="FY120" s="1804">
        <v>0</v>
      </c>
      <c r="FZ120" s="1804">
        <v>0</v>
      </c>
      <c r="GA120" s="1804">
        <v>0</v>
      </c>
      <c r="GB120" s="1804">
        <v>0</v>
      </c>
      <c r="GC120" s="1804">
        <v>0</v>
      </c>
      <c r="GD120" s="1804">
        <v>0</v>
      </c>
      <c r="GE120" s="1804">
        <v>0</v>
      </c>
      <c r="GF120" s="1804">
        <v>0</v>
      </c>
      <c r="GG120" s="1804">
        <v>0</v>
      </c>
      <c r="GH120" s="1804">
        <v>0</v>
      </c>
      <c r="GI120" s="1804">
        <v>0</v>
      </c>
      <c r="GJ120" s="1804">
        <v>0</v>
      </c>
      <c r="GK120" s="1804">
        <v>0</v>
      </c>
      <c r="GL120" s="1804">
        <v>0</v>
      </c>
      <c r="GM120" s="1804">
        <v>0</v>
      </c>
      <c r="GN120" s="1804">
        <v>0</v>
      </c>
      <c r="GO120" s="1804">
        <v>0</v>
      </c>
      <c r="GP120" s="1804">
        <v>0</v>
      </c>
      <c r="GQ120" s="1804">
        <v>0</v>
      </c>
      <c r="GR120" s="1804">
        <v>0</v>
      </c>
      <c r="GS120" s="1804">
        <v>0</v>
      </c>
      <c r="GT120" s="1804">
        <v>0</v>
      </c>
      <c r="GU120" s="1804">
        <v>0</v>
      </c>
      <c r="GV120" s="1804">
        <v>0</v>
      </c>
      <c r="GW120" s="1804">
        <v>0</v>
      </c>
      <c r="GX120" s="1804">
        <v>0</v>
      </c>
      <c r="GY120" s="1804">
        <v>0</v>
      </c>
      <c r="GZ120" s="1804">
        <v>0</v>
      </c>
      <c r="HA120" s="1804">
        <v>0</v>
      </c>
      <c r="HB120" s="1804">
        <v>0</v>
      </c>
      <c r="HC120" s="1804">
        <v>0</v>
      </c>
      <c r="HD120" s="1804">
        <v>0</v>
      </c>
      <c r="HE120" s="1804">
        <v>0</v>
      </c>
    </row>
    <row r="121" spans="1:213" ht="21" customHeight="1" thickBot="1" x14ac:dyDescent="0.25">
      <c r="A121" s="1968" t="s">
        <v>2351</v>
      </c>
      <c r="B121" s="1988" t="s">
        <v>99</v>
      </c>
      <c r="C121" s="1699" t="s">
        <v>858</v>
      </c>
      <c r="D121" s="1880"/>
      <c r="E121" s="1984"/>
      <c r="F121" s="1865"/>
      <c r="G121" s="1866"/>
      <c r="H121" s="1866"/>
      <c r="I121" s="1866"/>
      <c r="J121" s="1866"/>
      <c r="K121" s="1866"/>
      <c r="L121" s="1866"/>
      <c r="M121" s="1866"/>
      <c r="N121" s="1866"/>
      <c r="O121" s="1866"/>
      <c r="P121" s="1866"/>
      <c r="Q121" s="1866"/>
      <c r="R121" s="1866"/>
      <c r="S121" s="1866"/>
      <c r="T121" s="1866"/>
      <c r="U121" s="1866"/>
      <c r="V121" s="1866"/>
      <c r="W121" s="1866"/>
      <c r="X121" s="1866"/>
      <c r="Y121" s="1866"/>
      <c r="Z121" s="1866"/>
      <c r="AA121" s="1866"/>
      <c r="AB121" s="1866"/>
      <c r="AC121" s="1866"/>
      <c r="AD121" s="1866"/>
      <c r="AE121" s="1866"/>
      <c r="AF121" s="1866"/>
      <c r="AG121" s="1866"/>
      <c r="AH121" s="1866"/>
      <c r="AI121" s="1866"/>
      <c r="AJ121" s="1866"/>
      <c r="AK121" s="1866"/>
      <c r="AL121" s="1866"/>
      <c r="AM121" s="1866"/>
      <c r="AN121" s="1866"/>
      <c r="AO121" s="1866"/>
      <c r="AP121" s="1866"/>
      <c r="AQ121" s="1866"/>
      <c r="AR121" s="1866"/>
      <c r="AS121" s="1866"/>
      <c r="AT121" s="1866"/>
      <c r="AU121" s="1866"/>
      <c r="AV121" s="1866"/>
      <c r="AW121" s="1866"/>
      <c r="AX121" s="1866"/>
      <c r="AY121" s="1866"/>
      <c r="AZ121" s="1866"/>
      <c r="BA121" s="1866"/>
      <c r="BB121" s="1866"/>
      <c r="BC121" s="1866"/>
      <c r="BD121" s="1866"/>
      <c r="BE121" s="1866"/>
      <c r="BF121" s="1866"/>
      <c r="BG121" s="1866"/>
      <c r="BH121" s="1866"/>
      <c r="BI121" s="1866"/>
      <c r="BJ121" s="1866"/>
      <c r="BK121" s="1866"/>
      <c r="BL121" s="1866"/>
      <c r="BM121" s="1866"/>
      <c r="BN121" s="1866"/>
      <c r="BO121" s="1866"/>
      <c r="BP121" s="1866"/>
      <c r="BQ121" s="1866"/>
      <c r="BR121" s="1866"/>
      <c r="BS121" s="1866"/>
      <c r="BT121" s="1866"/>
      <c r="BU121" s="1866"/>
      <c r="BV121" s="1866"/>
      <c r="BW121" s="1866"/>
      <c r="BX121" s="1866"/>
      <c r="BY121" s="1866"/>
      <c r="BZ121" s="1866"/>
      <c r="CA121" s="1866"/>
      <c r="CB121" s="1866"/>
      <c r="CC121" s="1866"/>
      <c r="CD121" s="1866"/>
      <c r="CE121" s="1866"/>
      <c r="CF121" s="1866"/>
      <c r="CG121" s="1866"/>
      <c r="CH121" s="1866"/>
      <c r="CI121" s="1866"/>
      <c r="CJ121" s="1866"/>
      <c r="CK121" s="1866"/>
      <c r="CL121" s="1866"/>
      <c r="CM121" s="1866"/>
      <c r="CN121" s="1866"/>
      <c r="CO121" s="1866"/>
      <c r="CP121" s="1866"/>
      <c r="CQ121" s="1866"/>
      <c r="CR121" s="1866"/>
      <c r="CS121" s="1866"/>
      <c r="CT121" s="1866"/>
      <c r="CU121" s="1866"/>
      <c r="CV121" s="1866"/>
      <c r="CW121" s="1866"/>
      <c r="CX121" s="1866"/>
      <c r="CY121" s="1866"/>
      <c r="CZ121" s="1866"/>
      <c r="DA121" s="1866"/>
      <c r="DB121" s="1866"/>
      <c r="DC121" s="1866"/>
      <c r="DD121" s="1866"/>
      <c r="DE121" s="1866"/>
      <c r="DF121" s="1866"/>
      <c r="DG121" s="1866"/>
      <c r="DH121" s="1866"/>
      <c r="DI121" s="1866"/>
      <c r="DJ121" s="1866"/>
      <c r="DK121" s="1866"/>
      <c r="DL121" s="1866"/>
      <c r="DM121" s="1866"/>
      <c r="DN121" s="1866"/>
      <c r="DO121" s="1866"/>
      <c r="DP121" s="1866"/>
      <c r="DQ121" s="1866"/>
      <c r="DR121" s="1866"/>
      <c r="DS121" s="1866"/>
      <c r="DT121" s="1866"/>
      <c r="DU121" s="1866"/>
      <c r="DV121" s="1866"/>
      <c r="DW121" s="1866"/>
      <c r="DX121" s="1866"/>
      <c r="DY121" s="1866"/>
      <c r="DZ121" s="1866"/>
      <c r="EA121" s="1866"/>
      <c r="EB121" s="1866"/>
      <c r="EC121" s="1866"/>
      <c r="ED121" s="1866"/>
      <c r="EE121" s="1866"/>
      <c r="EF121" s="1866"/>
      <c r="EG121" s="1866"/>
      <c r="EH121" s="1866"/>
      <c r="EI121" s="1866"/>
      <c r="EJ121" s="1866"/>
      <c r="EK121" s="1866"/>
      <c r="EL121" s="1866"/>
      <c r="EM121" s="1866"/>
      <c r="EN121" s="1866"/>
      <c r="EO121" s="1866"/>
      <c r="EP121" s="1866"/>
      <c r="EQ121" s="1866"/>
      <c r="ER121" s="1866"/>
      <c r="ES121" s="1866"/>
      <c r="ET121" s="1866"/>
      <c r="EU121" s="1866"/>
      <c r="EV121" s="1866"/>
      <c r="EW121" s="1866"/>
      <c r="EX121" s="1866"/>
      <c r="EY121" s="1866"/>
      <c r="EZ121" s="1866"/>
      <c r="FA121" s="1866"/>
      <c r="FB121" s="1866"/>
      <c r="FC121" s="1866"/>
      <c r="FD121" s="1866"/>
      <c r="FE121" s="1866"/>
      <c r="FF121" s="1866"/>
      <c r="FG121" s="1866"/>
      <c r="FH121" s="1866"/>
      <c r="FI121" s="1866"/>
      <c r="FJ121" s="1866"/>
      <c r="FK121" s="1866"/>
      <c r="FL121" s="1866"/>
      <c r="FM121" s="1866"/>
      <c r="FN121" s="1866"/>
      <c r="FO121" s="1866"/>
      <c r="FP121" s="1866"/>
      <c r="FQ121" s="1866"/>
      <c r="FR121" s="1866"/>
      <c r="FS121" s="1866"/>
      <c r="FT121" s="1866"/>
      <c r="FU121" s="1866"/>
      <c r="FV121" s="1866"/>
      <c r="FW121" s="1866"/>
      <c r="FX121" s="1866"/>
      <c r="FY121" s="1866"/>
      <c r="FZ121" s="1866"/>
      <c r="GA121" s="1866"/>
      <c r="GB121" s="1866"/>
      <c r="GC121" s="1866"/>
      <c r="GD121" s="1866"/>
      <c r="GE121" s="1866"/>
      <c r="GF121" s="1866"/>
      <c r="GG121" s="1866"/>
      <c r="GH121" s="1866"/>
      <c r="GI121" s="1866"/>
      <c r="GJ121" s="1866"/>
      <c r="GK121" s="1866"/>
      <c r="GL121" s="1866"/>
      <c r="GM121" s="1866"/>
      <c r="GN121" s="1866"/>
      <c r="GO121" s="1866"/>
      <c r="GP121" s="1866"/>
      <c r="GQ121" s="1866"/>
      <c r="GR121" s="1866"/>
      <c r="GS121" s="1866"/>
      <c r="GT121" s="1866"/>
      <c r="GU121" s="1866"/>
      <c r="GV121" s="1866"/>
      <c r="GW121" s="1866"/>
      <c r="GX121" s="1866"/>
      <c r="GY121" s="1866"/>
      <c r="GZ121" s="1866"/>
      <c r="HA121" s="1866"/>
      <c r="HB121" s="1866"/>
      <c r="HC121" s="1866"/>
      <c r="HD121" s="1866"/>
      <c r="HE121" s="1866"/>
    </row>
    <row r="122" spans="1:213" ht="27" customHeight="1" x14ac:dyDescent="0.2">
      <c r="A122" s="1966"/>
      <c r="B122" s="1989"/>
      <c r="C122" s="1690" t="s">
        <v>959</v>
      </c>
      <c r="D122" s="1883"/>
      <c r="E122" s="1984"/>
      <c r="F122" s="1838">
        <v>0</v>
      </c>
      <c r="G122" s="1804">
        <v>0</v>
      </c>
      <c r="H122" s="1804">
        <v>0</v>
      </c>
      <c r="I122" s="1804">
        <v>0</v>
      </c>
      <c r="J122" s="1804">
        <v>0</v>
      </c>
      <c r="K122" s="1804">
        <v>0</v>
      </c>
      <c r="L122" s="1804">
        <v>0</v>
      </c>
      <c r="M122" s="1804">
        <v>0</v>
      </c>
      <c r="N122" s="1804">
        <v>0</v>
      </c>
      <c r="O122" s="1804">
        <v>0</v>
      </c>
      <c r="P122" s="1804">
        <v>0</v>
      </c>
      <c r="Q122" s="1804">
        <v>0</v>
      </c>
      <c r="R122" s="1804">
        <v>0</v>
      </c>
      <c r="S122" s="1804">
        <v>0</v>
      </c>
      <c r="T122" s="1804">
        <v>0</v>
      </c>
      <c r="U122" s="1804">
        <v>0</v>
      </c>
      <c r="V122" s="1804">
        <v>0</v>
      </c>
      <c r="W122" s="1804">
        <v>0</v>
      </c>
      <c r="X122" s="1804">
        <v>0</v>
      </c>
      <c r="Y122" s="1804">
        <v>0</v>
      </c>
      <c r="Z122" s="1804">
        <v>0</v>
      </c>
      <c r="AA122" s="1804">
        <v>0</v>
      </c>
      <c r="AB122" s="1804">
        <v>0</v>
      </c>
      <c r="AC122" s="1804">
        <v>0</v>
      </c>
      <c r="AD122" s="1804">
        <v>0</v>
      </c>
      <c r="AE122" s="1804">
        <v>0</v>
      </c>
      <c r="AF122" s="1804">
        <v>0</v>
      </c>
      <c r="AG122" s="1804">
        <v>0</v>
      </c>
      <c r="AH122" s="1804">
        <v>0</v>
      </c>
      <c r="AI122" s="1804">
        <v>0</v>
      </c>
      <c r="AJ122" s="1804">
        <v>0</v>
      </c>
      <c r="AK122" s="1804">
        <v>0</v>
      </c>
      <c r="AL122" s="1804">
        <v>0</v>
      </c>
      <c r="AM122" s="1804">
        <v>0</v>
      </c>
      <c r="AN122" s="1804">
        <v>0</v>
      </c>
      <c r="AO122" s="1804">
        <v>0</v>
      </c>
      <c r="AP122" s="1804">
        <v>0</v>
      </c>
      <c r="AQ122" s="1804">
        <v>0</v>
      </c>
      <c r="AR122" s="1804">
        <v>0</v>
      </c>
      <c r="AS122" s="1804">
        <v>0</v>
      </c>
      <c r="AT122" s="1804">
        <v>0</v>
      </c>
      <c r="AU122" s="1804">
        <v>0</v>
      </c>
      <c r="AV122" s="1804">
        <v>0</v>
      </c>
      <c r="AW122" s="1804">
        <v>0</v>
      </c>
      <c r="AX122" s="1804">
        <v>0</v>
      </c>
      <c r="AY122" s="1804">
        <v>0</v>
      </c>
      <c r="AZ122" s="1804">
        <v>0</v>
      </c>
      <c r="BA122" s="1804">
        <v>0</v>
      </c>
      <c r="BB122" s="1804">
        <v>0</v>
      </c>
      <c r="BC122" s="1804">
        <v>0</v>
      </c>
      <c r="BD122" s="1804">
        <v>0</v>
      </c>
      <c r="BE122" s="1804">
        <v>0</v>
      </c>
      <c r="BF122" s="1804">
        <v>0</v>
      </c>
      <c r="BG122" s="1804">
        <v>0</v>
      </c>
      <c r="BH122" s="1804">
        <v>0</v>
      </c>
      <c r="BI122" s="1804">
        <v>0</v>
      </c>
      <c r="BJ122" s="1804">
        <v>0</v>
      </c>
      <c r="BK122" s="1804">
        <v>0</v>
      </c>
      <c r="BL122" s="1804">
        <v>0</v>
      </c>
      <c r="BM122" s="1804">
        <v>0</v>
      </c>
      <c r="BN122" s="1804">
        <v>0</v>
      </c>
      <c r="BO122" s="1804">
        <v>0</v>
      </c>
      <c r="BP122" s="1804">
        <v>0</v>
      </c>
      <c r="BQ122" s="1804">
        <v>0</v>
      </c>
      <c r="BR122" s="1804">
        <v>0</v>
      </c>
      <c r="BS122" s="1804">
        <v>0</v>
      </c>
      <c r="BT122" s="1804">
        <v>0</v>
      </c>
      <c r="BU122" s="1804">
        <v>0</v>
      </c>
      <c r="BV122" s="1804">
        <v>0</v>
      </c>
      <c r="BW122" s="1804">
        <v>0</v>
      </c>
      <c r="BX122" s="1804">
        <v>0</v>
      </c>
      <c r="BY122" s="1804">
        <v>0</v>
      </c>
      <c r="BZ122" s="1804">
        <v>0</v>
      </c>
      <c r="CA122" s="1804">
        <v>0</v>
      </c>
      <c r="CB122" s="1804">
        <v>0</v>
      </c>
      <c r="CC122" s="1804">
        <v>0</v>
      </c>
      <c r="CD122" s="1804">
        <v>0</v>
      </c>
      <c r="CE122" s="1804">
        <v>0</v>
      </c>
      <c r="CF122" s="1804">
        <v>0</v>
      </c>
      <c r="CG122" s="1804">
        <v>0</v>
      </c>
      <c r="CH122" s="1804">
        <v>0</v>
      </c>
      <c r="CI122" s="1804">
        <v>0</v>
      </c>
      <c r="CJ122" s="1804">
        <v>0</v>
      </c>
      <c r="CK122" s="1804">
        <v>0</v>
      </c>
      <c r="CL122" s="1804">
        <v>0</v>
      </c>
      <c r="CM122" s="1804">
        <v>0</v>
      </c>
      <c r="CN122" s="1804">
        <v>0</v>
      </c>
      <c r="CO122" s="1804">
        <v>0</v>
      </c>
      <c r="CP122" s="1804">
        <v>0</v>
      </c>
      <c r="CQ122" s="1804">
        <v>0</v>
      </c>
      <c r="CR122" s="1804">
        <v>0</v>
      </c>
      <c r="CS122" s="1804">
        <v>0</v>
      </c>
      <c r="CT122" s="1804">
        <v>0</v>
      </c>
      <c r="CU122" s="1804">
        <v>0</v>
      </c>
      <c r="CV122" s="1804">
        <v>0</v>
      </c>
      <c r="CW122" s="1804">
        <v>0</v>
      </c>
      <c r="CX122" s="1804">
        <v>0</v>
      </c>
      <c r="CY122" s="1804">
        <v>0</v>
      </c>
      <c r="CZ122" s="1804">
        <v>0</v>
      </c>
      <c r="DA122" s="1804">
        <v>0</v>
      </c>
      <c r="DB122" s="1804">
        <v>0</v>
      </c>
      <c r="DC122" s="1804">
        <v>0</v>
      </c>
      <c r="DD122" s="1804">
        <v>0</v>
      </c>
      <c r="DE122" s="1804">
        <v>0</v>
      </c>
      <c r="DF122" s="1804">
        <v>0</v>
      </c>
      <c r="DG122" s="1804">
        <v>0</v>
      </c>
      <c r="DH122" s="1804">
        <v>0</v>
      </c>
      <c r="DI122" s="1804">
        <v>0</v>
      </c>
      <c r="DJ122" s="1804">
        <v>0</v>
      </c>
      <c r="DK122" s="1804">
        <v>0</v>
      </c>
      <c r="DL122" s="1804">
        <v>0</v>
      </c>
      <c r="DM122" s="1804">
        <v>0</v>
      </c>
      <c r="DN122" s="1804">
        <v>0</v>
      </c>
      <c r="DO122" s="1804">
        <v>0</v>
      </c>
      <c r="DP122" s="1804">
        <v>0</v>
      </c>
      <c r="DQ122" s="1804">
        <v>0</v>
      </c>
      <c r="DR122" s="1804">
        <v>0</v>
      </c>
      <c r="DS122" s="1804">
        <v>0</v>
      </c>
      <c r="DT122" s="1804">
        <v>0</v>
      </c>
      <c r="DU122" s="1804">
        <v>0</v>
      </c>
      <c r="DV122" s="1804">
        <v>0</v>
      </c>
      <c r="DW122" s="1804">
        <v>0</v>
      </c>
      <c r="DX122" s="1804">
        <v>0</v>
      </c>
      <c r="DY122" s="1804">
        <v>0</v>
      </c>
      <c r="DZ122" s="1804">
        <v>0</v>
      </c>
      <c r="EA122" s="1804">
        <v>0</v>
      </c>
      <c r="EB122" s="1804">
        <v>0</v>
      </c>
      <c r="EC122" s="1804">
        <v>0</v>
      </c>
      <c r="ED122" s="1804">
        <v>0</v>
      </c>
      <c r="EE122" s="1804">
        <v>0</v>
      </c>
      <c r="EF122" s="1804">
        <v>0</v>
      </c>
      <c r="EG122" s="1804">
        <v>0</v>
      </c>
      <c r="EH122" s="1804">
        <v>0</v>
      </c>
      <c r="EI122" s="1804">
        <v>0</v>
      </c>
      <c r="EJ122" s="1804">
        <v>0</v>
      </c>
      <c r="EK122" s="1804">
        <v>0</v>
      </c>
      <c r="EL122" s="1804">
        <v>0</v>
      </c>
      <c r="EM122" s="1804">
        <v>0</v>
      </c>
      <c r="EN122" s="1804">
        <v>0</v>
      </c>
      <c r="EO122" s="1804">
        <v>0</v>
      </c>
      <c r="EP122" s="1804">
        <v>0</v>
      </c>
      <c r="EQ122" s="1804">
        <v>0</v>
      </c>
      <c r="ER122" s="1804">
        <v>0</v>
      </c>
      <c r="ES122" s="1804">
        <v>0</v>
      </c>
      <c r="ET122" s="1804">
        <v>0</v>
      </c>
      <c r="EU122" s="1804">
        <v>0</v>
      </c>
      <c r="EV122" s="1804">
        <v>0</v>
      </c>
      <c r="EW122" s="1804">
        <v>0</v>
      </c>
      <c r="EX122" s="1804">
        <v>0</v>
      </c>
      <c r="EY122" s="1804">
        <v>0</v>
      </c>
      <c r="EZ122" s="1804">
        <v>0</v>
      </c>
      <c r="FA122" s="1804">
        <v>0</v>
      </c>
      <c r="FB122" s="1804">
        <v>0</v>
      </c>
      <c r="FC122" s="1804">
        <v>0</v>
      </c>
      <c r="FD122" s="1804">
        <v>0</v>
      </c>
      <c r="FE122" s="1804">
        <v>0</v>
      </c>
      <c r="FF122" s="1804">
        <v>0</v>
      </c>
      <c r="FG122" s="1804">
        <v>0</v>
      </c>
      <c r="FH122" s="1804">
        <v>0</v>
      </c>
      <c r="FI122" s="1804">
        <v>0</v>
      </c>
      <c r="FJ122" s="1804">
        <v>0</v>
      </c>
      <c r="FK122" s="1804">
        <v>0</v>
      </c>
      <c r="FL122" s="1804">
        <v>0</v>
      </c>
      <c r="FM122" s="1804">
        <v>0</v>
      </c>
      <c r="FN122" s="1804">
        <v>0</v>
      </c>
      <c r="FO122" s="1804">
        <v>0</v>
      </c>
      <c r="FP122" s="1804">
        <v>0</v>
      </c>
      <c r="FQ122" s="1804">
        <v>0</v>
      </c>
      <c r="FR122" s="1804">
        <v>0</v>
      </c>
      <c r="FS122" s="1804">
        <v>0</v>
      </c>
      <c r="FT122" s="1804">
        <v>0</v>
      </c>
      <c r="FU122" s="1804">
        <v>0</v>
      </c>
      <c r="FV122" s="1804">
        <v>0</v>
      </c>
      <c r="FW122" s="1804">
        <v>0</v>
      </c>
      <c r="FX122" s="1804">
        <v>0</v>
      </c>
      <c r="FY122" s="1804">
        <v>0</v>
      </c>
      <c r="FZ122" s="1804">
        <v>0</v>
      </c>
      <c r="GA122" s="1804">
        <v>0</v>
      </c>
      <c r="GB122" s="1804">
        <v>0</v>
      </c>
      <c r="GC122" s="1804">
        <v>0</v>
      </c>
      <c r="GD122" s="1804">
        <v>0</v>
      </c>
      <c r="GE122" s="1804">
        <v>0</v>
      </c>
      <c r="GF122" s="1804">
        <v>0</v>
      </c>
      <c r="GG122" s="1804">
        <v>0</v>
      </c>
      <c r="GH122" s="1804">
        <v>0</v>
      </c>
      <c r="GI122" s="1804">
        <v>0</v>
      </c>
      <c r="GJ122" s="1804">
        <v>0</v>
      </c>
      <c r="GK122" s="1804">
        <v>0</v>
      </c>
      <c r="GL122" s="1804">
        <v>0</v>
      </c>
      <c r="GM122" s="1804">
        <v>0</v>
      </c>
      <c r="GN122" s="1804">
        <v>0</v>
      </c>
      <c r="GO122" s="1804">
        <v>0</v>
      </c>
      <c r="GP122" s="1804">
        <v>0</v>
      </c>
      <c r="GQ122" s="1804">
        <v>0</v>
      </c>
      <c r="GR122" s="1804">
        <v>0</v>
      </c>
      <c r="GS122" s="1804">
        <v>0</v>
      </c>
      <c r="GT122" s="1804">
        <v>0</v>
      </c>
      <c r="GU122" s="1804">
        <v>0</v>
      </c>
      <c r="GV122" s="1804">
        <v>0</v>
      </c>
      <c r="GW122" s="1804">
        <v>0</v>
      </c>
      <c r="GX122" s="1804">
        <v>0</v>
      </c>
      <c r="GY122" s="1804">
        <v>0</v>
      </c>
      <c r="GZ122" s="1804">
        <v>0</v>
      </c>
      <c r="HA122" s="1804">
        <v>0</v>
      </c>
      <c r="HB122" s="1804">
        <v>0</v>
      </c>
      <c r="HC122" s="1804">
        <v>0</v>
      </c>
      <c r="HD122" s="1804">
        <v>0</v>
      </c>
      <c r="HE122" s="1804">
        <v>0</v>
      </c>
    </row>
    <row r="123" spans="1:213" ht="15" customHeight="1" x14ac:dyDescent="0.2">
      <c r="A123" s="1966"/>
      <c r="B123" s="1989"/>
      <c r="C123" s="1821" t="s">
        <v>960</v>
      </c>
      <c r="D123" s="1883"/>
      <c r="E123" s="1984"/>
      <c r="F123" s="1838">
        <v>0</v>
      </c>
      <c r="G123" s="1804">
        <v>0</v>
      </c>
      <c r="H123" s="1804">
        <v>0</v>
      </c>
      <c r="I123" s="1804">
        <v>0</v>
      </c>
      <c r="J123" s="1804">
        <v>0</v>
      </c>
      <c r="K123" s="1804">
        <v>0</v>
      </c>
      <c r="L123" s="1804">
        <v>0</v>
      </c>
      <c r="M123" s="1804">
        <v>0</v>
      </c>
      <c r="N123" s="1804">
        <v>0</v>
      </c>
      <c r="O123" s="1804">
        <v>0</v>
      </c>
      <c r="P123" s="1804">
        <v>0</v>
      </c>
      <c r="Q123" s="1804">
        <v>0</v>
      </c>
      <c r="R123" s="1804">
        <v>0</v>
      </c>
      <c r="S123" s="1804">
        <v>0</v>
      </c>
      <c r="T123" s="1804">
        <v>0</v>
      </c>
      <c r="U123" s="1804">
        <v>0</v>
      </c>
      <c r="V123" s="1804">
        <v>0</v>
      </c>
      <c r="W123" s="1804">
        <v>0</v>
      </c>
      <c r="X123" s="1804">
        <v>0</v>
      </c>
      <c r="Y123" s="1804">
        <v>0</v>
      </c>
      <c r="Z123" s="1804">
        <v>0</v>
      </c>
      <c r="AA123" s="1804">
        <v>0</v>
      </c>
      <c r="AB123" s="1804">
        <v>0</v>
      </c>
      <c r="AC123" s="1804">
        <v>0</v>
      </c>
      <c r="AD123" s="1804">
        <v>0</v>
      </c>
      <c r="AE123" s="1804">
        <v>0</v>
      </c>
      <c r="AF123" s="1804">
        <v>0</v>
      </c>
      <c r="AG123" s="1804">
        <v>0</v>
      </c>
      <c r="AH123" s="1804">
        <v>0</v>
      </c>
      <c r="AI123" s="1804">
        <v>0</v>
      </c>
      <c r="AJ123" s="1804">
        <v>0</v>
      </c>
      <c r="AK123" s="1804">
        <v>0</v>
      </c>
      <c r="AL123" s="1804">
        <v>0</v>
      </c>
      <c r="AM123" s="1804">
        <v>0</v>
      </c>
      <c r="AN123" s="1804">
        <v>0</v>
      </c>
      <c r="AO123" s="1804">
        <v>0</v>
      </c>
      <c r="AP123" s="1804">
        <v>0</v>
      </c>
      <c r="AQ123" s="1804">
        <v>0</v>
      </c>
      <c r="AR123" s="1804">
        <v>0</v>
      </c>
      <c r="AS123" s="1804">
        <v>0</v>
      </c>
      <c r="AT123" s="1804">
        <v>0</v>
      </c>
      <c r="AU123" s="1804">
        <v>0</v>
      </c>
      <c r="AV123" s="1804">
        <v>0</v>
      </c>
      <c r="AW123" s="1804">
        <v>0</v>
      </c>
      <c r="AX123" s="1804">
        <v>0</v>
      </c>
      <c r="AY123" s="1804">
        <v>0</v>
      </c>
      <c r="AZ123" s="1804">
        <v>0</v>
      </c>
      <c r="BA123" s="1804">
        <v>0</v>
      </c>
      <c r="BB123" s="1804">
        <v>0</v>
      </c>
      <c r="BC123" s="1804">
        <v>0</v>
      </c>
      <c r="BD123" s="1804">
        <v>0</v>
      </c>
      <c r="BE123" s="1804">
        <v>0</v>
      </c>
      <c r="BF123" s="1804">
        <v>0</v>
      </c>
      <c r="BG123" s="1804">
        <v>0</v>
      </c>
      <c r="BH123" s="1804">
        <v>0</v>
      </c>
      <c r="BI123" s="1804">
        <v>0</v>
      </c>
      <c r="BJ123" s="1804">
        <v>0</v>
      </c>
      <c r="BK123" s="1804">
        <v>0</v>
      </c>
      <c r="BL123" s="1804">
        <v>0</v>
      </c>
      <c r="BM123" s="1804">
        <v>0</v>
      </c>
      <c r="BN123" s="1804">
        <v>0</v>
      </c>
      <c r="BO123" s="1804">
        <v>0</v>
      </c>
      <c r="BP123" s="1804">
        <v>0</v>
      </c>
      <c r="BQ123" s="1804">
        <v>0</v>
      </c>
      <c r="BR123" s="1804">
        <v>0</v>
      </c>
      <c r="BS123" s="1804">
        <v>0</v>
      </c>
      <c r="BT123" s="1804">
        <v>0</v>
      </c>
      <c r="BU123" s="1804">
        <v>0</v>
      </c>
      <c r="BV123" s="1804">
        <v>0</v>
      </c>
      <c r="BW123" s="1804">
        <v>0</v>
      </c>
      <c r="BX123" s="1804">
        <v>0</v>
      </c>
      <c r="BY123" s="1804">
        <v>0</v>
      </c>
      <c r="BZ123" s="1804">
        <v>0</v>
      </c>
      <c r="CA123" s="1804">
        <v>0</v>
      </c>
      <c r="CB123" s="1804">
        <v>0</v>
      </c>
      <c r="CC123" s="1804">
        <v>0</v>
      </c>
      <c r="CD123" s="1804">
        <v>0</v>
      </c>
      <c r="CE123" s="1804">
        <v>0</v>
      </c>
      <c r="CF123" s="1804">
        <v>0</v>
      </c>
      <c r="CG123" s="1804">
        <v>0</v>
      </c>
      <c r="CH123" s="1804">
        <v>0</v>
      </c>
      <c r="CI123" s="1804">
        <v>0</v>
      </c>
      <c r="CJ123" s="1804">
        <v>0</v>
      </c>
      <c r="CK123" s="1804">
        <v>0</v>
      </c>
      <c r="CL123" s="1804">
        <v>0</v>
      </c>
      <c r="CM123" s="1804">
        <v>0</v>
      </c>
      <c r="CN123" s="1804">
        <v>0</v>
      </c>
      <c r="CO123" s="1804">
        <v>0</v>
      </c>
      <c r="CP123" s="1804">
        <v>0</v>
      </c>
      <c r="CQ123" s="1804">
        <v>0</v>
      </c>
      <c r="CR123" s="1804">
        <v>0</v>
      </c>
      <c r="CS123" s="1804">
        <v>0</v>
      </c>
      <c r="CT123" s="1804">
        <v>0</v>
      </c>
      <c r="CU123" s="1804">
        <v>0</v>
      </c>
      <c r="CV123" s="1804">
        <v>0</v>
      </c>
      <c r="CW123" s="1804">
        <v>0</v>
      </c>
      <c r="CX123" s="1804">
        <v>0</v>
      </c>
      <c r="CY123" s="1804">
        <v>0</v>
      </c>
      <c r="CZ123" s="1804">
        <v>0</v>
      </c>
      <c r="DA123" s="1804">
        <v>0</v>
      </c>
      <c r="DB123" s="1804">
        <v>0</v>
      </c>
      <c r="DC123" s="1804">
        <v>0</v>
      </c>
      <c r="DD123" s="1804">
        <v>0</v>
      </c>
      <c r="DE123" s="1804">
        <v>0</v>
      </c>
      <c r="DF123" s="1804">
        <v>0</v>
      </c>
      <c r="DG123" s="1804">
        <v>0</v>
      </c>
      <c r="DH123" s="1804">
        <v>0</v>
      </c>
      <c r="DI123" s="1804">
        <v>0</v>
      </c>
      <c r="DJ123" s="1804">
        <v>0</v>
      </c>
      <c r="DK123" s="1804">
        <v>0</v>
      </c>
      <c r="DL123" s="1804">
        <v>0</v>
      </c>
      <c r="DM123" s="1804">
        <v>0</v>
      </c>
      <c r="DN123" s="1804">
        <v>0</v>
      </c>
      <c r="DO123" s="1804">
        <v>0</v>
      </c>
      <c r="DP123" s="1804">
        <v>0</v>
      </c>
      <c r="DQ123" s="1804">
        <v>0</v>
      </c>
      <c r="DR123" s="1804">
        <v>0</v>
      </c>
      <c r="DS123" s="1804">
        <v>0</v>
      </c>
      <c r="DT123" s="1804">
        <v>0</v>
      </c>
      <c r="DU123" s="1804">
        <v>0</v>
      </c>
      <c r="DV123" s="1804">
        <v>0</v>
      </c>
      <c r="DW123" s="1804">
        <v>0</v>
      </c>
      <c r="DX123" s="1804">
        <v>0</v>
      </c>
      <c r="DY123" s="1804">
        <v>0</v>
      </c>
      <c r="DZ123" s="1804">
        <v>0</v>
      </c>
      <c r="EA123" s="1804">
        <v>0</v>
      </c>
      <c r="EB123" s="1804">
        <v>0</v>
      </c>
      <c r="EC123" s="1804">
        <v>0</v>
      </c>
      <c r="ED123" s="1804">
        <v>0</v>
      </c>
      <c r="EE123" s="1804">
        <v>0</v>
      </c>
      <c r="EF123" s="1804">
        <v>0</v>
      </c>
      <c r="EG123" s="1804">
        <v>0</v>
      </c>
      <c r="EH123" s="1804">
        <v>0</v>
      </c>
      <c r="EI123" s="1804">
        <v>0</v>
      </c>
      <c r="EJ123" s="1804">
        <v>0</v>
      </c>
      <c r="EK123" s="1804">
        <v>0</v>
      </c>
      <c r="EL123" s="1804">
        <v>0</v>
      </c>
      <c r="EM123" s="1804">
        <v>0</v>
      </c>
      <c r="EN123" s="1804">
        <v>0</v>
      </c>
      <c r="EO123" s="1804">
        <v>0</v>
      </c>
      <c r="EP123" s="1804">
        <v>0</v>
      </c>
      <c r="EQ123" s="1804">
        <v>0</v>
      </c>
      <c r="ER123" s="1804">
        <v>0</v>
      </c>
      <c r="ES123" s="1804">
        <v>0</v>
      </c>
      <c r="ET123" s="1804">
        <v>0</v>
      </c>
      <c r="EU123" s="1804">
        <v>0</v>
      </c>
      <c r="EV123" s="1804">
        <v>0</v>
      </c>
      <c r="EW123" s="1804">
        <v>0</v>
      </c>
      <c r="EX123" s="1804">
        <v>0</v>
      </c>
      <c r="EY123" s="1804">
        <v>0</v>
      </c>
      <c r="EZ123" s="1804">
        <v>0</v>
      </c>
      <c r="FA123" s="1804">
        <v>0</v>
      </c>
      <c r="FB123" s="1804">
        <v>0</v>
      </c>
      <c r="FC123" s="1804">
        <v>0</v>
      </c>
      <c r="FD123" s="1804">
        <v>0</v>
      </c>
      <c r="FE123" s="1804">
        <v>0</v>
      </c>
      <c r="FF123" s="1804">
        <v>0</v>
      </c>
      <c r="FG123" s="1804">
        <v>0</v>
      </c>
      <c r="FH123" s="1804">
        <v>0</v>
      </c>
      <c r="FI123" s="1804">
        <v>0</v>
      </c>
      <c r="FJ123" s="1804">
        <v>0</v>
      </c>
      <c r="FK123" s="1804">
        <v>0</v>
      </c>
      <c r="FL123" s="1804">
        <v>0</v>
      </c>
      <c r="FM123" s="1804">
        <v>0</v>
      </c>
      <c r="FN123" s="1804">
        <v>0</v>
      </c>
      <c r="FO123" s="1804">
        <v>0</v>
      </c>
      <c r="FP123" s="1804">
        <v>0</v>
      </c>
      <c r="FQ123" s="1804">
        <v>0</v>
      </c>
      <c r="FR123" s="1804">
        <v>0</v>
      </c>
      <c r="FS123" s="1804">
        <v>0</v>
      </c>
      <c r="FT123" s="1804">
        <v>0</v>
      </c>
      <c r="FU123" s="1804">
        <v>0</v>
      </c>
      <c r="FV123" s="1804">
        <v>0</v>
      </c>
      <c r="FW123" s="1804">
        <v>0</v>
      </c>
      <c r="FX123" s="1804">
        <v>0</v>
      </c>
      <c r="FY123" s="1804">
        <v>0</v>
      </c>
      <c r="FZ123" s="1804">
        <v>0</v>
      </c>
      <c r="GA123" s="1804">
        <v>0</v>
      </c>
      <c r="GB123" s="1804">
        <v>0</v>
      </c>
      <c r="GC123" s="1804">
        <v>0</v>
      </c>
      <c r="GD123" s="1804">
        <v>0</v>
      </c>
      <c r="GE123" s="1804">
        <v>0</v>
      </c>
      <c r="GF123" s="1804">
        <v>0</v>
      </c>
      <c r="GG123" s="1804">
        <v>0</v>
      </c>
      <c r="GH123" s="1804">
        <v>0</v>
      </c>
      <c r="GI123" s="1804">
        <v>0</v>
      </c>
      <c r="GJ123" s="1804">
        <v>0</v>
      </c>
      <c r="GK123" s="1804">
        <v>0</v>
      </c>
      <c r="GL123" s="1804">
        <v>0</v>
      </c>
      <c r="GM123" s="1804">
        <v>0</v>
      </c>
      <c r="GN123" s="1804">
        <v>0</v>
      </c>
      <c r="GO123" s="1804">
        <v>0</v>
      </c>
      <c r="GP123" s="1804">
        <v>0</v>
      </c>
      <c r="GQ123" s="1804">
        <v>0</v>
      </c>
      <c r="GR123" s="1804">
        <v>0</v>
      </c>
      <c r="GS123" s="1804">
        <v>0</v>
      </c>
      <c r="GT123" s="1804">
        <v>0</v>
      </c>
      <c r="GU123" s="1804">
        <v>0</v>
      </c>
      <c r="GV123" s="1804">
        <v>0</v>
      </c>
      <c r="GW123" s="1804">
        <v>0</v>
      </c>
      <c r="GX123" s="1804">
        <v>0</v>
      </c>
      <c r="GY123" s="1804">
        <v>0</v>
      </c>
      <c r="GZ123" s="1804">
        <v>0</v>
      </c>
      <c r="HA123" s="1804">
        <v>0</v>
      </c>
      <c r="HB123" s="1804">
        <v>0</v>
      </c>
      <c r="HC123" s="1804">
        <v>0</v>
      </c>
      <c r="HD123" s="1804">
        <v>0</v>
      </c>
      <c r="HE123" s="1804">
        <v>0</v>
      </c>
    </row>
    <row r="124" spans="1:213" ht="15" customHeight="1" thickBot="1" x14ac:dyDescent="0.25">
      <c r="A124" s="1967"/>
      <c r="B124" s="1991"/>
      <c r="C124" s="1701" t="s">
        <v>961</v>
      </c>
      <c r="D124" s="1883"/>
      <c r="E124" s="1984"/>
      <c r="F124" s="1838">
        <v>0</v>
      </c>
      <c r="G124" s="1804">
        <v>0</v>
      </c>
      <c r="H124" s="1804">
        <v>0</v>
      </c>
      <c r="I124" s="1804">
        <v>0</v>
      </c>
      <c r="J124" s="1804">
        <v>0</v>
      </c>
      <c r="K124" s="1804">
        <v>0</v>
      </c>
      <c r="L124" s="1804">
        <v>0</v>
      </c>
      <c r="M124" s="1804">
        <v>0</v>
      </c>
      <c r="N124" s="1804">
        <v>0</v>
      </c>
      <c r="O124" s="1804">
        <v>0</v>
      </c>
      <c r="P124" s="1804">
        <v>0</v>
      </c>
      <c r="Q124" s="1804">
        <v>0</v>
      </c>
      <c r="R124" s="1804">
        <v>0</v>
      </c>
      <c r="S124" s="1804">
        <v>0</v>
      </c>
      <c r="T124" s="1804">
        <v>0</v>
      </c>
      <c r="U124" s="1804">
        <v>0</v>
      </c>
      <c r="V124" s="1804">
        <v>0</v>
      </c>
      <c r="W124" s="1804">
        <v>0</v>
      </c>
      <c r="X124" s="1804">
        <v>0</v>
      </c>
      <c r="Y124" s="1804">
        <v>0</v>
      </c>
      <c r="Z124" s="1804">
        <v>0</v>
      </c>
      <c r="AA124" s="1804">
        <v>0</v>
      </c>
      <c r="AB124" s="1804">
        <v>0</v>
      </c>
      <c r="AC124" s="1804">
        <v>0</v>
      </c>
      <c r="AD124" s="1804">
        <v>0</v>
      </c>
      <c r="AE124" s="1804">
        <v>0</v>
      </c>
      <c r="AF124" s="1804">
        <v>0</v>
      </c>
      <c r="AG124" s="1804">
        <v>0</v>
      </c>
      <c r="AH124" s="1804">
        <v>0</v>
      </c>
      <c r="AI124" s="1804">
        <v>0</v>
      </c>
      <c r="AJ124" s="1804">
        <v>0</v>
      </c>
      <c r="AK124" s="1804">
        <v>0</v>
      </c>
      <c r="AL124" s="1804">
        <v>0</v>
      </c>
      <c r="AM124" s="1804">
        <v>0</v>
      </c>
      <c r="AN124" s="1804">
        <v>0</v>
      </c>
      <c r="AO124" s="1804">
        <v>0</v>
      </c>
      <c r="AP124" s="1804">
        <v>0</v>
      </c>
      <c r="AQ124" s="1804">
        <v>0</v>
      </c>
      <c r="AR124" s="1804">
        <v>0</v>
      </c>
      <c r="AS124" s="1804">
        <v>0</v>
      </c>
      <c r="AT124" s="1804">
        <v>0</v>
      </c>
      <c r="AU124" s="1804">
        <v>0</v>
      </c>
      <c r="AV124" s="1804">
        <v>0</v>
      </c>
      <c r="AW124" s="1804">
        <v>0</v>
      </c>
      <c r="AX124" s="1804">
        <v>0</v>
      </c>
      <c r="AY124" s="1804">
        <v>0</v>
      </c>
      <c r="AZ124" s="1804">
        <v>0</v>
      </c>
      <c r="BA124" s="1804">
        <v>0</v>
      </c>
      <c r="BB124" s="1804">
        <v>0</v>
      </c>
      <c r="BC124" s="1804">
        <v>0</v>
      </c>
      <c r="BD124" s="1804">
        <v>0</v>
      </c>
      <c r="BE124" s="1804">
        <v>0</v>
      </c>
      <c r="BF124" s="1804">
        <v>0</v>
      </c>
      <c r="BG124" s="1804">
        <v>0</v>
      </c>
      <c r="BH124" s="1804">
        <v>0</v>
      </c>
      <c r="BI124" s="1804">
        <v>0</v>
      </c>
      <c r="BJ124" s="1804">
        <v>0</v>
      </c>
      <c r="BK124" s="1804">
        <v>0</v>
      </c>
      <c r="BL124" s="1804">
        <v>0</v>
      </c>
      <c r="BM124" s="1804">
        <v>0</v>
      </c>
      <c r="BN124" s="1804">
        <v>0</v>
      </c>
      <c r="BO124" s="1804">
        <v>0</v>
      </c>
      <c r="BP124" s="1804">
        <v>0</v>
      </c>
      <c r="BQ124" s="1804">
        <v>0</v>
      </c>
      <c r="BR124" s="1804">
        <v>0</v>
      </c>
      <c r="BS124" s="1804">
        <v>0</v>
      </c>
      <c r="BT124" s="1804">
        <v>0</v>
      </c>
      <c r="BU124" s="1804">
        <v>0</v>
      </c>
      <c r="BV124" s="1804">
        <v>0</v>
      </c>
      <c r="BW124" s="1804">
        <v>0</v>
      </c>
      <c r="BX124" s="1804">
        <v>0</v>
      </c>
      <c r="BY124" s="1804">
        <v>0</v>
      </c>
      <c r="BZ124" s="1804">
        <v>0</v>
      </c>
      <c r="CA124" s="1804">
        <v>0</v>
      </c>
      <c r="CB124" s="1804">
        <v>0</v>
      </c>
      <c r="CC124" s="1804">
        <v>0</v>
      </c>
      <c r="CD124" s="1804">
        <v>0</v>
      </c>
      <c r="CE124" s="1804">
        <v>0</v>
      </c>
      <c r="CF124" s="1804">
        <v>0</v>
      </c>
      <c r="CG124" s="1804">
        <v>0</v>
      </c>
      <c r="CH124" s="1804">
        <v>0</v>
      </c>
      <c r="CI124" s="1804">
        <v>0</v>
      </c>
      <c r="CJ124" s="1804">
        <v>0</v>
      </c>
      <c r="CK124" s="1804">
        <v>0</v>
      </c>
      <c r="CL124" s="1804">
        <v>0</v>
      </c>
      <c r="CM124" s="1804">
        <v>0</v>
      </c>
      <c r="CN124" s="1804">
        <v>0</v>
      </c>
      <c r="CO124" s="1804">
        <v>0</v>
      </c>
      <c r="CP124" s="1804">
        <v>0</v>
      </c>
      <c r="CQ124" s="1804">
        <v>0</v>
      </c>
      <c r="CR124" s="1804">
        <v>0</v>
      </c>
      <c r="CS124" s="1804">
        <v>0</v>
      </c>
      <c r="CT124" s="1804">
        <v>0</v>
      </c>
      <c r="CU124" s="1804">
        <v>0</v>
      </c>
      <c r="CV124" s="1804">
        <v>0</v>
      </c>
      <c r="CW124" s="1804">
        <v>0</v>
      </c>
      <c r="CX124" s="1804">
        <v>0</v>
      </c>
      <c r="CY124" s="1804">
        <v>0</v>
      </c>
      <c r="CZ124" s="1804">
        <v>0</v>
      </c>
      <c r="DA124" s="1804">
        <v>0</v>
      </c>
      <c r="DB124" s="1804">
        <v>0</v>
      </c>
      <c r="DC124" s="1804">
        <v>0</v>
      </c>
      <c r="DD124" s="1804">
        <v>0</v>
      </c>
      <c r="DE124" s="1804">
        <v>0</v>
      </c>
      <c r="DF124" s="1804">
        <v>0</v>
      </c>
      <c r="DG124" s="1804">
        <v>0</v>
      </c>
      <c r="DH124" s="1804">
        <v>0</v>
      </c>
      <c r="DI124" s="1804">
        <v>0</v>
      </c>
      <c r="DJ124" s="1804">
        <v>0</v>
      </c>
      <c r="DK124" s="1804">
        <v>0</v>
      </c>
      <c r="DL124" s="1804">
        <v>0</v>
      </c>
      <c r="DM124" s="1804">
        <v>0</v>
      </c>
      <c r="DN124" s="1804">
        <v>0</v>
      </c>
      <c r="DO124" s="1804">
        <v>0</v>
      </c>
      <c r="DP124" s="1804">
        <v>0</v>
      </c>
      <c r="DQ124" s="1804">
        <v>0</v>
      </c>
      <c r="DR124" s="1804">
        <v>0</v>
      </c>
      <c r="DS124" s="1804">
        <v>0</v>
      </c>
      <c r="DT124" s="1804">
        <v>0</v>
      </c>
      <c r="DU124" s="1804">
        <v>0</v>
      </c>
      <c r="DV124" s="1804">
        <v>0</v>
      </c>
      <c r="DW124" s="1804">
        <v>0</v>
      </c>
      <c r="DX124" s="1804">
        <v>0</v>
      </c>
      <c r="DY124" s="1804">
        <v>0</v>
      </c>
      <c r="DZ124" s="1804">
        <v>0</v>
      </c>
      <c r="EA124" s="1804">
        <v>0</v>
      </c>
      <c r="EB124" s="1804">
        <v>0</v>
      </c>
      <c r="EC124" s="1804">
        <v>0</v>
      </c>
      <c r="ED124" s="1804">
        <v>0</v>
      </c>
      <c r="EE124" s="1804">
        <v>0</v>
      </c>
      <c r="EF124" s="1804">
        <v>0</v>
      </c>
      <c r="EG124" s="1804">
        <v>0</v>
      </c>
      <c r="EH124" s="1804">
        <v>0</v>
      </c>
      <c r="EI124" s="1804">
        <v>0</v>
      </c>
      <c r="EJ124" s="1804">
        <v>0</v>
      </c>
      <c r="EK124" s="1804">
        <v>0</v>
      </c>
      <c r="EL124" s="1804">
        <v>0</v>
      </c>
      <c r="EM124" s="1804">
        <v>0</v>
      </c>
      <c r="EN124" s="1804">
        <v>0</v>
      </c>
      <c r="EO124" s="1804">
        <v>0</v>
      </c>
      <c r="EP124" s="1804">
        <v>0</v>
      </c>
      <c r="EQ124" s="1804">
        <v>0</v>
      </c>
      <c r="ER124" s="1804">
        <v>0</v>
      </c>
      <c r="ES124" s="1804">
        <v>0</v>
      </c>
      <c r="ET124" s="1804">
        <v>0</v>
      </c>
      <c r="EU124" s="1804">
        <v>0</v>
      </c>
      <c r="EV124" s="1804">
        <v>0</v>
      </c>
      <c r="EW124" s="1804">
        <v>0</v>
      </c>
      <c r="EX124" s="1804">
        <v>0</v>
      </c>
      <c r="EY124" s="1804">
        <v>0</v>
      </c>
      <c r="EZ124" s="1804">
        <v>0</v>
      </c>
      <c r="FA124" s="1804">
        <v>0</v>
      </c>
      <c r="FB124" s="1804">
        <v>0</v>
      </c>
      <c r="FC124" s="1804">
        <v>0</v>
      </c>
      <c r="FD124" s="1804">
        <v>0</v>
      </c>
      <c r="FE124" s="1804">
        <v>0</v>
      </c>
      <c r="FF124" s="1804">
        <v>0</v>
      </c>
      <c r="FG124" s="1804">
        <v>0</v>
      </c>
      <c r="FH124" s="1804">
        <v>0</v>
      </c>
      <c r="FI124" s="1804">
        <v>0</v>
      </c>
      <c r="FJ124" s="1804">
        <v>0</v>
      </c>
      <c r="FK124" s="1804">
        <v>0</v>
      </c>
      <c r="FL124" s="1804">
        <v>0</v>
      </c>
      <c r="FM124" s="1804">
        <v>0</v>
      </c>
      <c r="FN124" s="1804">
        <v>0</v>
      </c>
      <c r="FO124" s="1804">
        <v>0</v>
      </c>
      <c r="FP124" s="1804">
        <v>0</v>
      </c>
      <c r="FQ124" s="1804">
        <v>0</v>
      </c>
      <c r="FR124" s="1804">
        <v>0</v>
      </c>
      <c r="FS124" s="1804">
        <v>0</v>
      </c>
      <c r="FT124" s="1804">
        <v>0</v>
      </c>
      <c r="FU124" s="1804">
        <v>0</v>
      </c>
      <c r="FV124" s="1804">
        <v>0</v>
      </c>
      <c r="FW124" s="1804">
        <v>0</v>
      </c>
      <c r="FX124" s="1804">
        <v>0</v>
      </c>
      <c r="FY124" s="1804">
        <v>0</v>
      </c>
      <c r="FZ124" s="1804">
        <v>0</v>
      </c>
      <c r="GA124" s="1804">
        <v>0</v>
      </c>
      <c r="GB124" s="1804">
        <v>0</v>
      </c>
      <c r="GC124" s="1804">
        <v>0</v>
      </c>
      <c r="GD124" s="1804">
        <v>0</v>
      </c>
      <c r="GE124" s="1804">
        <v>0</v>
      </c>
      <c r="GF124" s="1804">
        <v>0</v>
      </c>
      <c r="GG124" s="1804">
        <v>0</v>
      </c>
      <c r="GH124" s="1804">
        <v>0</v>
      </c>
      <c r="GI124" s="1804">
        <v>0</v>
      </c>
      <c r="GJ124" s="1804">
        <v>0</v>
      </c>
      <c r="GK124" s="1804">
        <v>0</v>
      </c>
      <c r="GL124" s="1804">
        <v>0</v>
      </c>
      <c r="GM124" s="1804">
        <v>0</v>
      </c>
      <c r="GN124" s="1804">
        <v>0</v>
      </c>
      <c r="GO124" s="1804">
        <v>0</v>
      </c>
      <c r="GP124" s="1804">
        <v>0</v>
      </c>
      <c r="GQ124" s="1804">
        <v>0</v>
      </c>
      <c r="GR124" s="1804">
        <v>0</v>
      </c>
      <c r="GS124" s="1804">
        <v>0</v>
      </c>
      <c r="GT124" s="1804">
        <v>0</v>
      </c>
      <c r="GU124" s="1804">
        <v>0</v>
      </c>
      <c r="GV124" s="1804">
        <v>0</v>
      </c>
      <c r="GW124" s="1804">
        <v>0</v>
      </c>
      <c r="GX124" s="1804">
        <v>0</v>
      </c>
      <c r="GY124" s="1804">
        <v>0</v>
      </c>
      <c r="GZ124" s="1804">
        <v>0</v>
      </c>
      <c r="HA124" s="1804">
        <v>0</v>
      </c>
      <c r="HB124" s="1804">
        <v>0</v>
      </c>
      <c r="HC124" s="1804">
        <v>0</v>
      </c>
      <c r="HD124" s="1804">
        <v>0</v>
      </c>
      <c r="HE124" s="1804">
        <v>0</v>
      </c>
    </row>
    <row r="125" spans="1:213" ht="21" customHeight="1" thickBot="1" x14ac:dyDescent="0.25">
      <c r="A125" s="1978" t="s">
        <v>2352</v>
      </c>
      <c r="B125" s="1988" t="s">
        <v>745</v>
      </c>
      <c r="C125" s="1699" t="s">
        <v>902</v>
      </c>
      <c r="D125" s="1880"/>
      <c r="E125" s="1984"/>
      <c r="F125" s="1865"/>
      <c r="G125" s="1866"/>
      <c r="H125" s="1866"/>
      <c r="I125" s="1866"/>
      <c r="J125" s="1866"/>
      <c r="K125" s="1866"/>
      <c r="L125" s="1866"/>
      <c r="M125" s="1866"/>
      <c r="N125" s="1866"/>
      <c r="O125" s="1866"/>
      <c r="P125" s="1866"/>
      <c r="Q125" s="1866"/>
      <c r="R125" s="1866"/>
      <c r="S125" s="1866"/>
      <c r="T125" s="1866"/>
      <c r="U125" s="1866"/>
      <c r="V125" s="1866"/>
      <c r="W125" s="1866"/>
      <c r="X125" s="1866"/>
      <c r="Y125" s="1866"/>
      <c r="Z125" s="1866"/>
      <c r="AA125" s="1866"/>
      <c r="AB125" s="1866"/>
      <c r="AC125" s="1866"/>
      <c r="AD125" s="1866"/>
      <c r="AE125" s="1866"/>
      <c r="AF125" s="1866"/>
      <c r="AG125" s="1866"/>
      <c r="AH125" s="1866"/>
      <c r="AI125" s="1866"/>
      <c r="AJ125" s="1866"/>
      <c r="AK125" s="1866"/>
      <c r="AL125" s="1866"/>
      <c r="AM125" s="1866"/>
      <c r="AN125" s="1866"/>
      <c r="AO125" s="1866"/>
      <c r="AP125" s="1866"/>
      <c r="AQ125" s="1866"/>
      <c r="AR125" s="1866"/>
      <c r="AS125" s="1866"/>
      <c r="AT125" s="1866"/>
      <c r="AU125" s="1866"/>
      <c r="AV125" s="1866"/>
      <c r="AW125" s="1866"/>
      <c r="AX125" s="1866"/>
      <c r="AY125" s="1866"/>
      <c r="AZ125" s="1866"/>
      <c r="BA125" s="1866"/>
      <c r="BB125" s="1866"/>
      <c r="BC125" s="1866"/>
      <c r="BD125" s="1866"/>
      <c r="BE125" s="1866"/>
      <c r="BF125" s="1866"/>
      <c r="BG125" s="1866"/>
      <c r="BH125" s="1866"/>
      <c r="BI125" s="1866"/>
      <c r="BJ125" s="1866"/>
      <c r="BK125" s="1866"/>
      <c r="BL125" s="1866"/>
      <c r="BM125" s="1866"/>
      <c r="BN125" s="1866"/>
      <c r="BO125" s="1866"/>
      <c r="BP125" s="1866"/>
      <c r="BQ125" s="1866"/>
      <c r="BR125" s="1866"/>
      <c r="BS125" s="1866"/>
      <c r="BT125" s="1866"/>
      <c r="BU125" s="1866"/>
      <c r="BV125" s="1866"/>
      <c r="BW125" s="1866"/>
      <c r="BX125" s="1866"/>
      <c r="BY125" s="1866"/>
      <c r="BZ125" s="1866"/>
      <c r="CA125" s="1866"/>
      <c r="CB125" s="1866"/>
      <c r="CC125" s="1866"/>
      <c r="CD125" s="1866"/>
      <c r="CE125" s="1866"/>
      <c r="CF125" s="1866"/>
      <c r="CG125" s="1866"/>
      <c r="CH125" s="1866"/>
      <c r="CI125" s="1866"/>
      <c r="CJ125" s="1866"/>
      <c r="CK125" s="1866"/>
      <c r="CL125" s="1866"/>
      <c r="CM125" s="1866"/>
      <c r="CN125" s="1866"/>
      <c r="CO125" s="1866"/>
      <c r="CP125" s="1866"/>
      <c r="CQ125" s="1866"/>
      <c r="CR125" s="1866"/>
      <c r="CS125" s="1866"/>
      <c r="CT125" s="1866"/>
      <c r="CU125" s="1866"/>
      <c r="CV125" s="1866"/>
      <c r="CW125" s="1866"/>
      <c r="CX125" s="1866"/>
      <c r="CY125" s="1866"/>
      <c r="CZ125" s="1866"/>
      <c r="DA125" s="1866"/>
      <c r="DB125" s="1866"/>
      <c r="DC125" s="1866"/>
      <c r="DD125" s="1866"/>
      <c r="DE125" s="1866"/>
      <c r="DF125" s="1866"/>
      <c r="DG125" s="1866"/>
      <c r="DH125" s="1866"/>
      <c r="DI125" s="1866"/>
      <c r="DJ125" s="1866"/>
      <c r="DK125" s="1866"/>
      <c r="DL125" s="1866"/>
      <c r="DM125" s="1866"/>
      <c r="DN125" s="1866"/>
      <c r="DO125" s="1866"/>
      <c r="DP125" s="1866"/>
      <c r="DQ125" s="1866"/>
      <c r="DR125" s="1866"/>
      <c r="DS125" s="1866"/>
      <c r="DT125" s="1866"/>
      <c r="DU125" s="1866"/>
      <c r="DV125" s="1866"/>
      <c r="DW125" s="1866"/>
      <c r="DX125" s="1866"/>
      <c r="DY125" s="1866"/>
      <c r="DZ125" s="1866"/>
      <c r="EA125" s="1866"/>
      <c r="EB125" s="1866"/>
      <c r="EC125" s="1866"/>
      <c r="ED125" s="1866"/>
      <c r="EE125" s="1866"/>
      <c r="EF125" s="1866"/>
      <c r="EG125" s="1866"/>
      <c r="EH125" s="1866"/>
      <c r="EI125" s="1866"/>
      <c r="EJ125" s="1866"/>
      <c r="EK125" s="1866"/>
      <c r="EL125" s="1866"/>
      <c r="EM125" s="1866"/>
      <c r="EN125" s="1866"/>
      <c r="EO125" s="1866"/>
      <c r="EP125" s="1866"/>
      <c r="EQ125" s="1866"/>
      <c r="ER125" s="1866"/>
      <c r="ES125" s="1866"/>
      <c r="ET125" s="1866"/>
      <c r="EU125" s="1866"/>
      <c r="EV125" s="1866"/>
      <c r="EW125" s="1866"/>
      <c r="EX125" s="1866"/>
      <c r="EY125" s="1866"/>
      <c r="EZ125" s="1866"/>
      <c r="FA125" s="1866"/>
      <c r="FB125" s="1866"/>
      <c r="FC125" s="1866"/>
      <c r="FD125" s="1866"/>
      <c r="FE125" s="1866"/>
      <c r="FF125" s="1866"/>
      <c r="FG125" s="1866"/>
      <c r="FH125" s="1866"/>
      <c r="FI125" s="1866"/>
      <c r="FJ125" s="1866"/>
      <c r="FK125" s="1866"/>
      <c r="FL125" s="1866"/>
      <c r="FM125" s="1866"/>
      <c r="FN125" s="1866"/>
      <c r="FO125" s="1866"/>
      <c r="FP125" s="1866"/>
      <c r="FQ125" s="1866"/>
      <c r="FR125" s="1866"/>
      <c r="FS125" s="1866"/>
      <c r="FT125" s="1866"/>
      <c r="FU125" s="1866"/>
      <c r="FV125" s="1866"/>
      <c r="FW125" s="1866"/>
      <c r="FX125" s="1866"/>
      <c r="FY125" s="1866"/>
      <c r="FZ125" s="1866"/>
      <c r="GA125" s="1866"/>
      <c r="GB125" s="1866"/>
      <c r="GC125" s="1866"/>
      <c r="GD125" s="1866"/>
      <c r="GE125" s="1866"/>
      <c r="GF125" s="1866"/>
      <c r="GG125" s="1866"/>
      <c r="GH125" s="1866"/>
      <c r="GI125" s="1866"/>
      <c r="GJ125" s="1866"/>
      <c r="GK125" s="1866"/>
      <c r="GL125" s="1866"/>
      <c r="GM125" s="1866"/>
      <c r="GN125" s="1866"/>
      <c r="GO125" s="1866"/>
      <c r="GP125" s="1866"/>
      <c r="GQ125" s="1866"/>
      <c r="GR125" s="1866"/>
      <c r="GS125" s="1866"/>
      <c r="GT125" s="1866"/>
      <c r="GU125" s="1866"/>
      <c r="GV125" s="1866"/>
      <c r="GW125" s="1866"/>
      <c r="GX125" s="1866"/>
      <c r="GY125" s="1866"/>
      <c r="GZ125" s="1866"/>
      <c r="HA125" s="1866"/>
      <c r="HB125" s="1866"/>
      <c r="HC125" s="1866"/>
      <c r="HD125" s="1866"/>
      <c r="HE125" s="1866"/>
    </row>
    <row r="126" spans="1:213" ht="29.25" customHeight="1" x14ac:dyDescent="0.2">
      <c r="A126" s="1979"/>
      <c r="B126" s="1989"/>
      <c r="C126" s="1696" t="s">
        <v>2353</v>
      </c>
      <c r="D126" s="1883"/>
      <c r="E126" s="1984"/>
      <c r="F126" s="1838">
        <v>0</v>
      </c>
      <c r="G126" s="1804">
        <v>0</v>
      </c>
      <c r="H126" s="1804">
        <v>0</v>
      </c>
      <c r="I126" s="1804">
        <v>0</v>
      </c>
      <c r="J126" s="1804">
        <v>0</v>
      </c>
      <c r="K126" s="1804">
        <v>0</v>
      </c>
      <c r="L126" s="1804">
        <v>0</v>
      </c>
      <c r="M126" s="1804">
        <v>0</v>
      </c>
      <c r="N126" s="1804">
        <v>0</v>
      </c>
      <c r="O126" s="1804">
        <v>0</v>
      </c>
      <c r="P126" s="1804">
        <v>0</v>
      </c>
      <c r="Q126" s="1804">
        <v>0</v>
      </c>
      <c r="R126" s="1804">
        <v>0</v>
      </c>
      <c r="S126" s="1804">
        <v>0</v>
      </c>
      <c r="T126" s="1804">
        <v>0</v>
      </c>
      <c r="U126" s="1804">
        <v>0</v>
      </c>
      <c r="V126" s="1804">
        <v>0</v>
      </c>
      <c r="W126" s="1804">
        <v>0</v>
      </c>
      <c r="X126" s="1804">
        <v>0</v>
      </c>
      <c r="Y126" s="1804">
        <v>0</v>
      </c>
      <c r="Z126" s="1804">
        <v>0</v>
      </c>
      <c r="AA126" s="1804">
        <v>0</v>
      </c>
      <c r="AB126" s="1804">
        <v>0</v>
      </c>
      <c r="AC126" s="1804">
        <v>0</v>
      </c>
      <c r="AD126" s="1804">
        <v>0</v>
      </c>
      <c r="AE126" s="1804">
        <v>0</v>
      </c>
      <c r="AF126" s="1804">
        <v>0</v>
      </c>
      <c r="AG126" s="1804">
        <v>0</v>
      </c>
      <c r="AH126" s="1804">
        <v>0</v>
      </c>
      <c r="AI126" s="1804">
        <v>0</v>
      </c>
      <c r="AJ126" s="1804">
        <v>0</v>
      </c>
      <c r="AK126" s="1804">
        <v>0</v>
      </c>
      <c r="AL126" s="1804">
        <v>0</v>
      </c>
      <c r="AM126" s="1804">
        <v>0</v>
      </c>
      <c r="AN126" s="1804">
        <v>0</v>
      </c>
      <c r="AO126" s="1804">
        <v>0</v>
      </c>
      <c r="AP126" s="1804">
        <v>0</v>
      </c>
      <c r="AQ126" s="1804">
        <v>0</v>
      </c>
      <c r="AR126" s="1804">
        <v>0</v>
      </c>
      <c r="AS126" s="1804">
        <v>0</v>
      </c>
      <c r="AT126" s="1804">
        <v>0</v>
      </c>
      <c r="AU126" s="1804">
        <v>0</v>
      </c>
      <c r="AV126" s="1804">
        <v>0</v>
      </c>
      <c r="AW126" s="1804">
        <v>0</v>
      </c>
      <c r="AX126" s="1804">
        <v>0</v>
      </c>
      <c r="AY126" s="1804">
        <v>0</v>
      </c>
      <c r="AZ126" s="1804">
        <v>0</v>
      </c>
      <c r="BA126" s="1804">
        <v>0</v>
      </c>
      <c r="BB126" s="1804">
        <v>0</v>
      </c>
      <c r="BC126" s="1804">
        <v>0</v>
      </c>
      <c r="BD126" s="1804">
        <v>0</v>
      </c>
      <c r="BE126" s="1804">
        <v>0</v>
      </c>
      <c r="BF126" s="1804">
        <v>0</v>
      </c>
      <c r="BG126" s="1804">
        <v>0</v>
      </c>
      <c r="BH126" s="1804">
        <v>0</v>
      </c>
      <c r="BI126" s="1804">
        <v>0</v>
      </c>
      <c r="BJ126" s="1804">
        <v>0</v>
      </c>
      <c r="BK126" s="1804">
        <v>0</v>
      </c>
      <c r="BL126" s="1804">
        <v>0</v>
      </c>
      <c r="BM126" s="1804">
        <v>0</v>
      </c>
      <c r="BN126" s="1804">
        <v>0</v>
      </c>
      <c r="BO126" s="1804">
        <v>0</v>
      </c>
      <c r="BP126" s="1804">
        <v>0</v>
      </c>
      <c r="BQ126" s="1804">
        <v>0</v>
      </c>
      <c r="BR126" s="1804">
        <v>0</v>
      </c>
      <c r="BS126" s="1804">
        <v>0</v>
      </c>
      <c r="BT126" s="1804">
        <v>0</v>
      </c>
      <c r="BU126" s="1804">
        <v>0</v>
      </c>
      <c r="BV126" s="1804">
        <v>0</v>
      </c>
      <c r="BW126" s="1804">
        <v>0</v>
      </c>
      <c r="BX126" s="1804">
        <v>0</v>
      </c>
      <c r="BY126" s="1804">
        <v>0</v>
      </c>
      <c r="BZ126" s="1804">
        <v>0</v>
      </c>
      <c r="CA126" s="1804">
        <v>0</v>
      </c>
      <c r="CB126" s="1804">
        <v>0</v>
      </c>
      <c r="CC126" s="1804">
        <v>0</v>
      </c>
      <c r="CD126" s="1804">
        <v>0</v>
      </c>
      <c r="CE126" s="1804">
        <v>0</v>
      </c>
      <c r="CF126" s="1804">
        <v>0</v>
      </c>
      <c r="CG126" s="1804">
        <v>0</v>
      </c>
      <c r="CH126" s="1804">
        <v>0</v>
      </c>
      <c r="CI126" s="1804">
        <v>0</v>
      </c>
      <c r="CJ126" s="1804">
        <v>0</v>
      </c>
      <c r="CK126" s="1804">
        <v>0</v>
      </c>
      <c r="CL126" s="1804">
        <v>0</v>
      </c>
      <c r="CM126" s="1804">
        <v>0</v>
      </c>
      <c r="CN126" s="1804">
        <v>0</v>
      </c>
      <c r="CO126" s="1804">
        <v>0</v>
      </c>
      <c r="CP126" s="1804">
        <v>0</v>
      </c>
      <c r="CQ126" s="1804">
        <v>0</v>
      </c>
      <c r="CR126" s="1804">
        <v>0</v>
      </c>
      <c r="CS126" s="1804">
        <v>0</v>
      </c>
      <c r="CT126" s="1804">
        <v>0</v>
      </c>
      <c r="CU126" s="1804">
        <v>0</v>
      </c>
      <c r="CV126" s="1804">
        <v>0</v>
      </c>
      <c r="CW126" s="1804">
        <v>0</v>
      </c>
      <c r="CX126" s="1804">
        <v>0</v>
      </c>
      <c r="CY126" s="1804">
        <v>0</v>
      </c>
      <c r="CZ126" s="1804">
        <v>0</v>
      </c>
      <c r="DA126" s="1804">
        <v>0</v>
      </c>
      <c r="DB126" s="1804">
        <v>0</v>
      </c>
      <c r="DC126" s="1804">
        <v>0</v>
      </c>
      <c r="DD126" s="1804">
        <v>0</v>
      </c>
      <c r="DE126" s="1804">
        <v>0</v>
      </c>
      <c r="DF126" s="1804">
        <v>0</v>
      </c>
      <c r="DG126" s="1804">
        <v>0</v>
      </c>
      <c r="DH126" s="1804">
        <v>0</v>
      </c>
      <c r="DI126" s="1804">
        <v>0</v>
      </c>
      <c r="DJ126" s="1804">
        <v>0</v>
      </c>
      <c r="DK126" s="1804">
        <v>0</v>
      </c>
      <c r="DL126" s="1804">
        <v>0</v>
      </c>
      <c r="DM126" s="1804">
        <v>0</v>
      </c>
      <c r="DN126" s="1804">
        <v>0</v>
      </c>
      <c r="DO126" s="1804">
        <v>0</v>
      </c>
      <c r="DP126" s="1804">
        <v>0</v>
      </c>
      <c r="DQ126" s="1804">
        <v>0</v>
      </c>
      <c r="DR126" s="1804">
        <v>0</v>
      </c>
      <c r="DS126" s="1804">
        <v>0</v>
      </c>
      <c r="DT126" s="1804">
        <v>0</v>
      </c>
      <c r="DU126" s="1804">
        <v>0</v>
      </c>
      <c r="DV126" s="1804">
        <v>0</v>
      </c>
      <c r="DW126" s="1804">
        <v>0</v>
      </c>
      <c r="DX126" s="1804">
        <v>0</v>
      </c>
      <c r="DY126" s="1804">
        <v>0</v>
      </c>
      <c r="DZ126" s="1804">
        <v>0</v>
      </c>
      <c r="EA126" s="1804">
        <v>0</v>
      </c>
      <c r="EB126" s="1804">
        <v>0</v>
      </c>
      <c r="EC126" s="1804">
        <v>0</v>
      </c>
      <c r="ED126" s="1804">
        <v>0</v>
      </c>
      <c r="EE126" s="1804">
        <v>0</v>
      </c>
      <c r="EF126" s="1804">
        <v>0</v>
      </c>
      <c r="EG126" s="1804">
        <v>0</v>
      </c>
      <c r="EH126" s="1804">
        <v>0</v>
      </c>
      <c r="EI126" s="1804">
        <v>0</v>
      </c>
      <c r="EJ126" s="1804">
        <v>0</v>
      </c>
      <c r="EK126" s="1804">
        <v>0</v>
      </c>
      <c r="EL126" s="1804">
        <v>0</v>
      </c>
      <c r="EM126" s="1804">
        <v>0</v>
      </c>
      <c r="EN126" s="1804">
        <v>0</v>
      </c>
      <c r="EO126" s="1804">
        <v>0</v>
      </c>
      <c r="EP126" s="1804">
        <v>0</v>
      </c>
      <c r="EQ126" s="1804">
        <v>0</v>
      </c>
      <c r="ER126" s="1804">
        <v>0</v>
      </c>
      <c r="ES126" s="1804">
        <v>0</v>
      </c>
      <c r="ET126" s="1804">
        <v>0</v>
      </c>
      <c r="EU126" s="1804">
        <v>0</v>
      </c>
      <c r="EV126" s="1804">
        <v>0</v>
      </c>
      <c r="EW126" s="1804">
        <v>0</v>
      </c>
      <c r="EX126" s="1804">
        <v>0</v>
      </c>
      <c r="EY126" s="1804">
        <v>0</v>
      </c>
      <c r="EZ126" s="1804">
        <v>0</v>
      </c>
      <c r="FA126" s="1804">
        <v>0</v>
      </c>
      <c r="FB126" s="1804">
        <v>0</v>
      </c>
      <c r="FC126" s="1804">
        <v>0</v>
      </c>
      <c r="FD126" s="1804">
        <v>0</v>
      </c>
      <c r="FE126" s="1804">
        <v>0</v>
      </c>
      <c r="FF126" s="1804">
        <v>0</v>
      </c>
      <c r="FG126" s="1804">
        <v>0</v>
      </c>
      <c r="FH126" s="1804">
        <v>0</v>
      </c>
      <c r="FI126" s="1804">
        <v>0</v>
      </c>
      <c r="FJ126" s="1804">
        <v>0</v>
      </c>
      <c r="FK126" s="1804">
        <v>0</v>
      </c>
      <c r="FL126" s="1804">
        <v>0</v>
      </c>
      <c r="FM126" s="1804">
        <v>0</v>
      </c>
      <c r="FN126" s="1804">
        <v>0</v>
      </c>
      <c r="FO126" s="1804">
        <v>0</v>
      </c>
      <c r="FP126" s="1804">
        <v>0</v>
      </c>
      <c r="FQ126" s="1804">
        <v>0</v>
      </c>
      <c r="FR126" s="1804">
        <v>0</v>
      </c>
      <c r="FS126" s="1804">
        <v>0</v>
      </c>
      <c r="FT126" s="1804">
        <v>0</v>
      </c>
      <c r="FU126" s="1804">
        <v>0</v>
      </c>
      <c r="FV126" s="1804">
        <v>0</v>
      </c>
      <c r="FW126" s="1804">
        <v>0</v>
      </c>
      <c r="FX126" s="1804">
        <v>0</v>
      </c>
      <c r="FY126" s="1804">
        <v>0</v>
      </c>
      <c r="FZ126" s="1804">
        <v>0</v>
      </c>
      <c r="GA126" s="1804">
        <v>0</v>
      </c>
      <c r="GB126" s="1804">
        <v>0</v>
      </c>
      <c r="GC126" s="1804">
        <v>0</v>
      </c>
      <c r="GD126" s="1804">
        <v>0</v>
      </c>
      <c r="GE126" s="1804">
        <v>0</v>
      </c>
      <c r="GF126" s="1804">
        <v>0</v>
      </c>
      <c r="GG126" s="1804">
        <v>0</v>
      </c>
      <c r="GH126" s="1804">
        <v>0</v>
      </c>
      <c r="GI126" s="1804">
        <v>0</v>
      </c>
      <c r="GJ126" s="1804">
        <v>0</v>
      </c>
      <c r="GK126" s="1804">
        <v>0</v>
      </c>
      <c r="GL126" s="1804">
        <v>0</v>
      </c>
      <c r="GM126" s="1804">
        <v>0</v>
      </c>
      <c r="GN126" s="1804">
        <v>0</v>
      </c>
      <c r="GO126" s="1804">
        <v>0</v>
      </c>
      <c r="GP126" s="1804">
        <v>0</v>
      </c>
      <c r="GQ126" s="1804">
        <v>0</v>
      </c>
      <c r="GR126" s="1804">
        <v>0</v>
      </c>
      <c r="GS126" s="1804">
        <v>0</v>
      </c>
      <c r="GT126" s="1804">
        <v>0</v>
      </c>
      <c r="GU126" s="1804">
        <v>0</v>
      </c>
      <c r="GV126" s="1804">
        <v>0</v>
      </c>
      <c r="GW126" s="1804">
        <v>0</v>
      </c>
      <c r="GX126" s="1804">
        <v>0</v>
      </c>
      <c r="GY126" s="1804">
        <v>0</v>
      </c>
      <c r="GZ126" s="1804">
        <v>0</v>
      </c>
      <c r="HA126" s="1804">
        <v>0</v>
      </c>
      <c r="HB126" s="1804">
        <v>0</v>
      </c>
      <c r="HC126" s="1804">
        <v>0</v>
      </c>
      <c r="HD126" s="1804">
        <v>0</v>
      </c>
      <c r="HE126" s="1804">
        <v>0</v>
      </c>
    </row>
    <row r="127" spans="1:213" ht="62.45" customHeight="1" x14ac:dyDescent="0.2">
      <c r="A127" s="1979"/>
      <c r="B127" s="1989"/>
      <c r="C127" s="1818" t="s">
        <v>903</v>
      </c>
      <c r="D127" s="1883"/>
      <c r="E127" s="1984"/>
      <c r="F127" s="1838">
        <v>0</v>
      </c>
      <c r="G127" s="1804">
        <v>0</v>
      </c>
      <c r="H127" s="1804">
        <v>0</v>
      </c>
      <c r="I127" s="1804">
        <v>0</v>
      </c>
      <c r="J127" s="1804">
        <v>0</v>
      </c>
      <c r="K127" s="1804">
        <v>0</v>
      </c>
      <c r="L127" s="1804">
        <v>0</v>
      </c>
      <c r="M127" s="1804">
        <v>0</v>
      </c>
      <c r="N127" s="1804">
        <v>0</v>
      </c>
      <c r="O127" s="1804">
        <v>0</v>
      </c>
      <c r="P127" s="1804">
        <v>0</v>
      </c>
      <c r="Q127" s="1804">
        <v>0</v>
      </c>
      <c r="R127" s="1804">
        <v>0</v>
      </c>
      <c r="S127" s="1804">
        <v>0</v>
      </c>
      <c r="T127" s="1804">
        <v>0</v>
      </c>
      <c r="U127" s="1804">
        <v>0</v>
      </c>
      <c r="V127" s="1804">
        <v>0</v>
      </c>
      <c r="W127" s="1804">
        <v>0</v>
      </c>
      <c r="X127" s="1804">
        <v>0</v>
      </c>
      <c r="Y127" s="1804">
        <v>0</v>
      </c>
      <c r="Z127" s="1804">
        <v>0</v>
      </c>
      <c r="AA127" s="1804">
        <v>0</v>
      </c>
      <c r="AB127" s="1804">
        <v>0</v>
      </c>
      <c r="AC127" s="1804">
        <v>0</v>
      </c>
      <c r="AD127" s="1804">
        <v>0</v>
      </c>
      <c r="AE127" s="1804">
        <v>0</v>
      </c>
      <c r="AF127" s="1804">
        <v>0</v>
      </c>
      <c r="AG127" s="1804">
        <v>0</v>
      </c>
      <c r="AH127" s="1804">
        <v>0</v>
      </c>
      <c r="AI127" s="1804">
        <v>0</v>
      </c>
      <c r="AJ127" s="1804">
        <v>0</v>
      </c>
      <c r="AK127" s="1804">
        <v>0</v>
      </c>
      <c r="AL127" s="1804">
        <v>0</v>
      </c>
      <c r="AM127" s="1804">
        <v>0</v>
      </c>
      <c r="AN127" s="1804">
        <v>0</v>
      </c>
      <c r="AO127" s="1804">
        <v>0</v>
      </c>
      <c r="AP127" s="1804">
        <v>0</v>
      </c>
      <c r="AQ127" s="1804">
        <v>0</v>
      </c>
      <c r="AR127" s="1804">
        <v>0</v>
      </c>
      <c r="AS127" s="1804">
        <v>0</v>
      </c>
      <c r="AT127" s="1804">
        <v>0</v>
      </c>
      <c r="AU127" s="1804">
        <v>0</v>
      </c>
      <c r="AV127" s="1804">
        <v>0</v>
      </c>
      <c r="AW127" s="1804">
        <v>0</v>
      </c>
      <c r="AX127" s="1804">
        <v>0</v>
      </c>
      <c r="AY127" s="1804">
        <v>0</v>
      </c>
      <c r="AZ127" s="1804">
        <v>0</v>
      </c>
      <c r="BA127" s="1804">
        <v>0</v>
      </c>
      <c r="BB127" s="1804">
        <v>0</v>
      </c>
      <c r="BC127" s="1804">
        <v>0</v>
      </c>
      <c r="BD127" s="1804">
        <v>0</v>
      </c>
      <c r="BE127" s="1804">
        <v>0</v>
      </c>
      <c r="BF127" s="1804">
        <v>0</v>
      </c>
      <c r="BG127" s="1804">
        <v>0</v>
      </c>
      <c r="BH127" s="1804">
        <v>0</v>
      </c>
      <c r="BI127" s="1804">
        <v>0</v>
      </c>
      <c r="BJ127" s="1804">
        <v>0</v>
      </c>
      <c r="BK127" s="1804">
        <v>0</v>
      </c>
      <c r="BL127" s="1804">
        <v>0</v>
      </c>
      <c r="BM127" s="1804">
        <v>0</v>
      </c>
      <c r="BN127" s="1804">
        <v>0</v>
      </c>
      <c r="BO127" s="1804">
        <v>0</v>
      </c>
      <c r="BP127" s="1804">
        <v>0</v>
      </c>
      <c r="BQ127" s="1804">
        <v>0</v>
      </c>
      <c r="BR127" s="1804">
        <v>0</v>
      </c>
      <c r="BS127" s="1804">
        <v>0</v>
      </c>
      <c r="BT127" s="1804">
        <v>0</v>
      </c>
      <c r="BU127" s="1804">
        <v>0</v>
      </c>
      <c r="BV127" s="1804">
        <v>0</v>
      </c>
      <c r="BW127" s="1804">
        <v>0</v>
      </c>
      <c r="BX127" s="1804">
        <v>0</v>
      </c>
      <c r="BY127" s="1804">
        <v>0</v>
      </c>
      <c r="BZ127" s="1804">
        <v>0</v>
      </c>
      <c r="CA127" s="1804">
        <v>0</v>
      </c>
      <c r="CB127" s="1804">
        <v>0</v>
      </c>
      <c r="CC127" s="1804">
        <v>0</v>
      </c>
      <c r="CD127" s="1804">
        <v>0</v>
      </c>
      <c r="CE127" s="1804">
        <v>0</v>
      </c>
      <c r="CF127" s="1804">
        <v>0</v>
      </c>
      <c r="CG127" s="1804">
        <v>0</v>
      </c>
      <c r="CH127" s="1804">
        <v>0</v>
      </c>
      <c r="CI127" s="1804">
        <v>0</v>
      </c>
      <c r="CJ127" s="1804">
        <v>0</v>
      </c>
      <c r="CK127" s="1804">
        <v>0</v>
      </c>
      <c r="CL127" s="1804">
        <v>0</v>
      </c>
      <c r="CM127" s="1804">
        <v>0</v>
      </c>
      <c r="CN127" s="1804">
        <v>0</v>
      </c>
      <c r="CO127" s="1804">
        <v>0</v>
      </c>
      <c r="CP127" s="1804">
        <v>0</v>
      </c>
      <c r="CQ127" s="1804">
        <v>0</v>
      </c>
      <c r="CR127" s="1804">
        <v>0</v>
      </c>
      <c r="CS127" s="1804">
        <v>0</v>
      </c>
      <c r="CT127" s="1804">
        <v>0</v>
      </c>
      <c r="CU127" s="1804">
        <v>0</v>
      </c>
      <c r="CV127" s="1804">
        <v>0</v>
      </c>
      <c r="CW127" s="1804">
        <v>0</v>
      </c>
      <c r="CX127" s="1804">
        <v>0</v>
      </c>
      <c r="CY127" s="1804">
        <v>0</v>
      </c>
      <c r="CZ127" s="1804">
        <v>0</v>
      </c>
      <c r="DA127" s="1804">
        <v>0</v>
      </c>
      <c r="DB127" s="1804">
        <v>0</v>
      </c>
      <c r="DC127" s="1804">
        <v>0</v>
      </c>
      <c r="DD127" s="1804">
        <v>0</v>
      </c>
      <c r="DE127" s="1804">
        <v>0</v>
      </c>
      <c r="DF127" s="1804">
        <v>0</v>
      </c>
      <c r="DG127" s="1804">
        <v>0</v>
      </c>
      <c r="DH127" s="1804">
        <v>0</v>
      </c>
      <c r="DI127" s="1804">
        <v>0</v>
      </c>
      <c r="DJ127" s="1804">
        <v>0</v>
      </c>
      <c r="DK127" s="1804">
        <v>0</v>
      </c>
      <c r="DL127" s="1804">
        <v>0</v>
      </c>
      <c r="DM127" s="1804">
        <v>0</v>
      </c>
      <c r="DN127" s="1804">
        <v>0</v>
      </c>
      <c r="DO127" s="1804">
        <v>0</v>
      </c>
      <c r="DP127" s="1804">
        <v>0</v>
      </c>
      <c r="DQ127" s="1804">
        <v>0</v>
      </c>
      <c r="DR127" s="1804">
        <v>0</v>
      </c>
      <c r="DS127" s="1804">
        <v>0</v>
      </c>
      <c r="DT127" s="1804">
        <v>0</v>
      </c>
      <c r="DU127" s="1804">
        <v>0</v>
      </c>
      <c r="DV127" s="1804">
        <v>0</v>
      </c>
      <c r="DW127" s="1804">
        <v>0</v>
      </c>
      <c r="DX127" s="1804">
        <v>0</v>
      </c>
      <c r="DY127" s="1804">
        <v>0</v>
      </c>
      <c r="DZ127" s="1804">
        <v>0</v>
      </c>
      <c r="EA127" s="1804">
        <v>0</v>
      </c>
      <c r="EB127" s="1804">
        <v>0</v>
      </c>
      <c r="EC127" s="1804">
        <v>0</v>
      </c>
      <c r="ED127" s="1804">
        <v>0</v>
      </c>
      <c r="EE127" s="1804">
        <v>0</v>
      </c>
      <c r="EF127" s="1804">
        <v>0</v>
      </c>
      <c r="EG127" s="1804">
        <v>0</v>
      </c>
      <c r="EH127" s="1804">
        <v>0</v>
      </c>
      <c r="EI127" s="1804">
        <v>0</v>
      </c>
      <c r="EJ127" s="1804">
        <v>0</v>
      </c>
      <c r="EK127" s="1804">
        <v>0</v>
      </c>
      <c r="EL127" s="1804">
        <v>0</v>
      </c>
      <c r="EM127" s="1804">
        <v>0</v>
      </c>
      <c r="EN127" s="1804">
        <v>0</v>
      </c>
      <c r="EO127" s="1804">
        <v>0</v>
      </c>
      <c r="EP127" s="1804">
        <v>0</v>
      </c>
      <c r="EQ127" s="1804">
        <v>0</v>
      </c>
      <c r="ER127" s="1804">
        <v>0</v>
      </c>
      <c r="ES127" s="1804">
        <v>0</v>
      </c>
      <c r="ET127" s="1804">
        <v>0</v>
      </c>
      <c r="EU127" s="1804">
        <v>0</v>
      </c>
      <c r="EV127" s="1804">
        <v>0</v>
      </c>
      <c r="EW127" s="1804">
        <v>0</v>
      </c>
      <c r="EX127" s="1804">
        <v>0</v>
      </c>
      <c r="EY127" s="1804">
        <v>0</v>
      </c>
      <c r="EZ127" s="1804">
        <v>0</v>
      </c>
      <c r="FA127" s="1804">
        <v>0</v>
      </c>
      <c r="FB127" s="1804">
        <v>0</v>
      </c>
      <c r="FC127" s="1804">
        <v>0</v>
      </c>
      <c r="FD127" s="1804">
        <v>0</v>
      </c>
      <c r="FE127" s="1804">
        <v>0</v>
      </c>
      <c r="FF127" s="1804">
        <v>0</v>
      </c>
      <c r="FG127" s="1804">
        <v>0</v>
      </c>
      <c r="FH127" s="1804">
        <v>0</v>
      </c>
      <c r="FI127" s="1804">
        <v>0</v>
      </c>
      <c r="FJ127" s="1804">
        <v>0</v>
      </c>
      <c r="FK127" s="1804">
        <v>0</v>
      </c>
      <c r="FL127" s="1804">
        <v>0</v>
      </c>
      <c r="FM127" s="1804">
        <v>0</v>
      </c>
      <c r="FN127" s="1804">
        <v>0</v>
      </c>
      <c r="FO127" s="1804">
        <v>0</v>
      </c>
      <c r="FP127" s="1804">
        <v>0</v>
      </c>
      <c r="FQ127" s="1804">
        <v>0</v>
      </c>
      <c r="FR127" s="1804">
        <v>0</v>
      </c>
      <c r="FS127" s="1804">
        <v>0</v>
      </c>
      <c r="FT127" s="1804">
        <v>0</v>
      </c>
      <c r="FU127" s="1804">
        <v>0</v>
      </c>
      <c r="FV127" s="1804">
        <v>0</v>
      </c>
      <c r="FW127" s="1804">
        <v>0</v>
      </c>
      <c r="FX127" s="1804">
        <v>0</v>
      </c>
      <c r="FY127" s="1804">
        <v>0</v>
      </c>
      <c r="FZ127" s="1804">
        <v>0</v>
      </c>
      <c r="GA127" s="1804">
        <v>0</v>
      </c>
      <c r="GB127" s="1804">
        <v>0</v>
      </c>
      <c r="GC127" s="1804">
        <v>0</v>
      </c>
      <c r="GD127" s="1804">
        <v>0</v>
      </c>
      <c r="GE127" s="1804">
        <v>0</v>
      </c>
      <c r="GF127" s="1804">
        <v>0</v>
      </c>
      <c r="GG127" s="1804">
        <v>0</v>
      </c>
      <c r="GH127" s="1804">
        <v>0</v>
      </c>
      <c r="GI127" s="1804">
        <v>0</v>
      </c>
      <c r="GJ127" s="1804">
        <v>0</v>
      </c>
      <c r="GK127" s="1804">
        <v>0</v>
      </c>
      <c r="GL127" s="1804">
        <v>0</v>
      </c>
      <c r="GM127" s="1804">
        <v>0</v>
      </c>
      <c r="GN127" s="1804">
        <v>0</v>
      </c>
      <c r="GO127" s="1804">
        <v>0</v>
      </c>
      <c r="GP127" s="1804">
        <v>0</v>
      </c>
      <c r="GQ127" s="1804">
        <v>0</v>
      </c>
      <c r="GR127" s="1804">
        <v>0</v>
      </c>
      <c r="GS127" s="1804">
        <v>0</v>
      </c>
      <c r="GT127" s="1804">
        <v>0</v>
      </c>
      <c r="GU127" s="1804">
        <v>0</v>
      </c>
      <c r="GV127" s="1804">
        <v>0</v>
      </c>
      <c r="GW127" s="1804">
        <v>0</v>
      </c>
      <c r="GX127" s="1804">
        <v>0</v>
      </c>
      <c r="GY127" s="1804">
        <v>0</v>
      </c>
      <c r="GZ127" s="1804">
        <v>0</v>
      </c>
      <c r="HA127" s="1804">
        <v>0</v>
      </c>
      <c r="HB127" s="1804">
        <v>0</v>
      </c>
      <c r="HC127" s="1804">
        <v>0</v>
      </c>
      <c r="HD127" s="1804">
        <v>0</v>
      </c>
      <c r="HE127" s="1804">
        <v>0</v>
      </c>
    </row>
    <row r="128" spans="1:213" ht="15" customHeight="1" thickBot="1" x14ac:dyDescent="0.25">
      <c r="A128" s="1980"/>
      <c r="B128" s="1991"/>
      <c r="C128" s="1697" t="s">
        <v>859</v>
      </c>
      <c r="D128" s="1883"/>
      <c r="E128" s="1984"/>
      <c r="F128" s="1838">
        <v>0</v>
      </c>
      <c r="G128" s="1804">
        <v>0</v>
      </c>
      <c r="H128" s="1804">
        <v>0</v>
      </c>
      <c r="I128" s="1804">
        <v>0</v>
      </c>
      <c r="J128" s="1804">
        <v>0</v>
      </c>
      <c r="K128" s="1804">
        <v>0</v>
      </c>
      <c r="L128" s="1804">
        <v>0</v>
      </c>
      <c r="M128" s="1804">
        <v>0</v>
      </c>
      <c r="N128" s="1804">
        <v>0</v>
      </c>
      <c r="O128" s="1804">
        <v>0</v>
      </c>
      <c r="P128" s="1804">
        <v>0</v>
      </c>
      <c r="Q128" s="1804">
        <v>0</v>
      </c>
      <c r="R128" s="1804">
        <v>0</v>
      </c>
      <c r="S128" s="1804">
        <v>0</v>
      </c>
      <c r="T128" s="1804">
        <v>0</v>
      </c>
      <c r="U128" s="1804">
        <v>0</v>
      </c>
      <c r="V128" s="1804">
        <v>0</v>
      </c>
      <c r="W128" s="1804">
        <v>0</v>
      </c>
      <c r="X128" s="1804">
        <v>0</v>
      </c>
      <c r="Y128" s="1804">
        <v>0</v>
      </c>
      <c r="Z128" s="1804">
        <v>0</v>
      </c>
      <c r="AA128" s="1804">
        <v>0</v>
      </c>
      <c r="AB128" s="1804">
        <v>0</v>
      </c>
      <c r="AC128" s="1804">
        <v>0</v>
      </c>
      <c r="AD128" s="1804">
        <v>0</v>
      </c>
      <c r="AE128" s="1804">
        <v>0</v>
      </c>
      <c r="AF128" s="1804">
        <v>0</v>
      </c>
      <c r="AG128" s="1804">
        <v>0</v>
      </c>
      <c r="AH128" s="1804">
        <v>0</v>
      </c>
      <c r="AI128" s="1804">
        <v>0</v>
      </c>
      <c r="AJ128" s="1804">
        <v>0</v>
      </c>
      <c r="AK128" s="1804">
        <v>0</v>
      </c>
      <c r="AL128" s="1804">
        <v>0</v>
      </c>
      <c r="AM128" s="1804">
        <v>0</v>
      </c>
      <c r="AN128" s="1804">
        <v>0</v>
      </c>
      <c r="AO128" s="1804">
        <v>0</v>
      </c>
      <c r="AP128" s="1804">
        <v>0</v>
      </c>
      <c r="AQ128" s="1804">
        <v>0</v>
      </c>
      <c r="AR128" s="1804">
        <v>0</v>
      </c>
      <c r="AS128" s="1804">
        <v>0</v>
      </c>
      <c r="AT128" s="1804">
        <v>0</v>
      </c>
      <c r="AU128" s="1804">
        <v>0</v>
      </c>
      <c r="AV128" s="1804">
        <v>0</v>
      </c>
      <c r="AW128" s="1804">
        <v>0</v>
      </c>
      <c r="AX128" s="1804">
        <v>0</v>
      </c>
      <c r="AY128" s="1804">
        <v>0</v>
      </c>
      <c r="AZ128" s="1804">
        <v>0</v>
      </c>
      <c r="BA128" s="1804">
        <v>0</v>
      </c>
      <c r="BB128" s="1804">
        <v>0</v>
      </c>
      <c r="BC128" s="1804">
        <v>0</v>
      </c>
      <c r="BD128" s="1804">
        <v>0</v>
      </c>
      <c r="BE128" s="1804">
        <v>0</v>
      </c>
      <c r="BF128" s="1804">
        <v>0</v>
      </c>
      <c r="BG128" s="1804">
        <v>0</v>
      </c>
      <c r="BH128" s="1804">
        <v>0</v>
      </c>
      <c r="BI128" s="1804">
        <v>0</v>
      </c>
      <c r="BJ128" s="1804">
        <v>0</v>
      </c>
      <c r="BK128" s="1804">
        <v>0</v>
      </c>
      <c r="BL128" s="1804">
        <v>0</v>
      </c>
      <c r="BM128" s="1804">
        <v>0</v>
      </c>
      <c r="BN128" s="1804">
        <v>0</v>
      </c>
      <c r="BO128" s="1804">
        <v>0</v>
      </c>
      <c r="BP128" s="1804">
        <v>0</v>
      </c>
      <c r="BQ128" s="1804">
        <v>0</v>
      </c>
      <c r="BR128" s="1804">
        <v>0</v>
      </c>
      <c r="BS128" s="1804">
        <v>0</v>
      </c>
      <c r="BT128" s="1804">
        <v>0</v>
      </c>
      <c r="BU128" s="1804">
        <v>0</v>
      </c>
      <c r="BV128" s="1804">
        <v>0</v>
      </c>
      <c r="BW128" s="1804">
        <v>0</v>
      </c>
      <c r="BX128" s="1804">
        <v>0</v>
      </c>
      <c r="BY128" s="1804">
        <v>0</v>
      </c>
      <c r="BZ128" s="1804">
        <v>0</v>
      </c>
      <c r="CA128" s="1804">
        <v>0</v>
      </c>
      <c r="CB128" s="1804">
        <v>0</v>
      </c>
      <c r="CC128" s="1804">
        <v>0</v>
      </c>
      <c r="CD128" s="1804">
        <v>0</v>
      </c>
      <c r="CE128" s="1804">
        <v>0</v>
      </c>
      <c r="CF128" s="1804">
        <v>0</v>
      </c>
      <c r="CG128" s="1804">
        <v>0</v>
      </c>
      <c r="CH128" s="1804">
        <v>0</v>
      </c>
      <c r="CI128" s="1804">
        <v>0</v>
      </c>
      <c r="CJ128" s="1804">
        <v>0</v>
      </c>
      <c r="CK128" s="1804">
        <v>0</v>
      </c>
      <c r="CL128" s="1804">
        <v>0</v>
      </c>
      <c r="CM128" s="1804">
        <v>0</v>
      </c>
      <c r="CN128" s="1804">
        <v>0</v>
      </c>
      <c r="CO128" s="1804">
        <v>0</v>
      </c>
      <c r="CP128" s="1804">
        <v>0</v>
      </c>
      <c r="CQ128" s="1804">
        <v>0</v>
      </c>
      <c r="CR128" s="1804">
        <v>0</v>
      </c>
      <c r="CS128" s="1804">
        <v>0</v>
      </c>
      <c r="CT128" s="1804">
        <v>0</v>
      </c>
      <c r="CU128" s="1804">
        <v>0</v>
      </c>
      <c r="CV128" s="1804">
        <v>0</v>
      </c>
      <c r="CW128" s="1804">
        <v>0</v>
      </c>
      <c r="CX128" s="1804">
        <v>0</v>
      </c>
      <c r="CY128" s="1804">
        <v>0</v>
      </c>
      <c r="CZ128" s="1804">
        <v>0</v>
      </c>
      <c r="DA128" s="1804">
        <v>0</v>
      </c>
      <c r="DB128" s="1804">
        <v>0</v>
      </c>
      <c r="DC128" s="1804">
        <v>0</v>
      </c>
      <c r="DD128" s="1804">
        <v>0</v>
      </c>
      <c r="DE128" s="1804">
        <v>0</v>
      </c>
      <c r="DF128" s="1804">
        <v>0</v>
      </c>
      <c r="DG128" s="1804">
        <v>0</v>
      </c>
      <c r="DH128" s="1804">
        <v>0</v>
      </c>
      <c r="DI128" s="1804">
        <v>0</v>
      </c>
      <c r="DJ128" s="1804">
        <v>0</v>
      </c>
      <c r="DK128" s="1804">
        <v>0</v>
      </c>
      <c r="DL128" s="1804">
        <v>0</v>
      </c>
      <c r="DM128" s="1804">
        <v>0</v>
      </c>
      <c r="DN128" s="1804">
        <v>0</v>
      </c>
      <c r="DO128" s="1804">
        <v>0</v>
      </c>
      <c r="DP128" s="1804">
        <v>0</v>
      </c>
      <c r="DQ128" s="1804">
        <v>0</v>
      </c>
      <c r="DR128" s="1804">
        <v>0</v>
      </c>
      <c r="DS128" s="1804">
        <v>0</v>
      </c>
      <c r="DT128" s="1804">
        <v>0</v>
      </c>
      <c r="DU128" s="1804">
        <v>0</v>
      </c>
      <c r="DV128" s="1804">
        <v>0</v>
      </c>
      <c r="DW128" s="1804">
        <v>0</v>
      </c>
      <c r="DX128" s="1804">
        <v>0</v>
      </c>
      <c r="DY128" s="1804">
        <v>0</v>
      </c>
      <c r="DZ128" s="1804">
        <v>0</v>
      </c>
      <c r="EA128" s="1804">
        <v>0</v>
      </c>
      <c r="EB128" s="1804">
        <v>0</v>
      </c>
      <c r="EC128" s="1804">
        <v>0</v>
      </c>
      <c r="ED128" s="1804">
        <v>0</v>
      </c>
      <c r="EE128" s="1804">
        <v>0</v>
      </c>
      <c r="EF128" s="1804">
        <v>0</v>
      </c>
      <c r="EG128" s="1804">
        <v>0</v>
      </c>
      <c r="EH128" s="1804">
        <v>0</v>
      </c>
      <c r="EI128" s="1804">
        <v>0</v>
      </c>
      <c r="EJ128" s="1804">
        <v>0</v>
      </c>
      <c r="EK128" s="1804">
        <v>0</v>
      </c>
      <c r="EL128" s="1804">
        <v>0</v>
      </c>
      <c r="EM128" s="1804">
        <v>0</v>
      </c>
      <c r="EN128" s="1804">
        <v>0</v>
      </c>
      <c r="EO128" s="1804">
        <v>0</v>
      </c>
      <c r="EP128" s="1804">
        <v>0</v>
      </c>
      <c r="EQ128" s="1804">
        <v>0</v>
      </c>
      <c r="ER128" s="1804">
        <v>0</v>
      </c>
      <c r="ES128" s="1804">
        <v>0</v>
      </c>
      <c r="ET128" s="1804">
        <v>0</v>
      </c>
      <c r="EU128" s="1804">
        <v>0</v>
      </c>
      <c r="EV128" s="1804">
        <v>0</v>
      </c>
      <c r="EW128" s="1804">
        <v>0</v>
      </c>
      <c r="EX128" s="1804">
        <v>0</v>
      </c>
      <c r="EY128" s="1804">
        <v>0</v>
      </c>
      <c r="EZ128" s="1804">
        <v>0</v>
      </c>
      <c r="FA128" s="1804">
        <v>0</v>
      </c>
      <c r="FB128" s="1804">
        <v>0</v>
      </c>
      <c r="FC128" s="1804">
        <v>0</v>
      </c>
      <c r="FD128" s="1804">
        <v>0</v>
      </c>
      <c r="FE128" s="1804">
        <v>0</v>
      </c>
      <c r="FF128" s="1804">
        <v>0</v>
      </c>
      <c r="FG128" s="1804">
        <v>0</v>
      </c>
      <c r="FH128" s="1804">
        <v>0</v>
      </c>
      <c r="FI128" s="1804">
        <v>0</v>
      </c>
      <c r="FJ128" s="1804">
        <v>0</v>
      </c>
      <c r="FK128" s="1804">
        <v>0</v>
      </c>
      <c r="FL128" s="1804">
        <v>0</v>
      </c>
      <c r="FM128" s="1804">
        <v>0</v>
      </c>
      <c r="FN128" s="1804">
        <v>0</v>
      </c>
      <c r="FO128" s="1804">
        <v>0</v>
      </c>
      <c r="FP128" s="1804">
        <v>0</v>
      </c>
      <c r="FQ128" s="1804">
        <v>0</v>
      </c>
      <c r="FR128" s="1804">
        <v>0</v>
      </c>
      <c r="FS128" s="1804">
        <v>0</v>
      </c>
      <c r="FT128" s="1804">
        <v>0</v>
      </c>
      <c r="FU128" s="1804">
        <v>0</v>
      </c>
      <c r="FV128" s="1804">
        <v>0</v>
      </c>
      <c r="FW128" s="1804">
        <v>0</v>
      </c>
      <c r="FX128" s="1804">
        <v>0</v>
      </c>
      <c r="FY128" s="1804">
        <v>0</v>
      </c>
      <c r="FZ128" s="1804">
        <v>0</v>
      </c>
      <c r="GA128" s="1804">
        <v>0</v>
      </c>
      <c r="GB128" s="1804">
        <v>0</v>
      </c>
      <c r="GC128" s="1804">
        <v>0</v>
      </c>
      <c r="GD128" s="1804">
        <v>0</v>
      </c>
      <c r="GE128" s="1804">
        <v>0</v>
      </c>
      <c r="GF128" s="1804">
        <v>0</v>
      </c>
      <c r="GG128" s="1804">
        <v>0</v>
      </c>
      <c r="GH128" s="1804">
        <v>0</v>
      </c>
      <c r="GI128" s="1804">
        <v>0</v>
      </c>
      <c r="GJ128" s="1804">
        <v>0</v>
      </c>
      <c r="GK128" s="1804">
        <v>0</v>
      </c>
      <c r="GL128" s="1804">
        <v>0</v>
      </c>
      <c r="GM128" s="1804">
        <v>0</v>
      </c>
      <c r="GN128" s="1804">
        <v>0</v>
      </c>
      <c r="GO128" s="1804">
        <v>0</v>
      </c>
      <c r="GP128" s="1804">
        <v>0</v>
      </c>
      <c r="GQ128" s="1804">
        <v>0</v>
      </c>
      <c r="GR128" s="1804">
        <v>0</v>
      </c>
      <c r="GS128" s="1804">
        <v>0</v>
      </c>
      <c r="GT128" s="1804">
        <v>0</v>
      </c>
      <c r="GU128" s="1804">
        <v>0</v>
      </c>
      <c r="GV128" s="1804">
        <v>0</v>
      </c>
      <c r="GW128" s="1804">
        <v>0</v>
      </c>
      <c r="GX128" s="1804">
        <v>0</v>
      </c>
      <c r="GY128" s="1804">
        <v>0</v>
      </c>
      <c r="GZ128" s="1804">
        <v>0</v>
      </c>
      <c r="HA128" s="1804">
        <v>0</v>
      </c>
      <c r="HB128" s="1804">
        <v>0</v>
      </c>
      <c r="HC128" s="1804">
        <v>0</v>
      </c>
      <c r="HD128" s="1804">
        <v>0</v>
      </c>
      <c r="HE128" s="1804">
        <v>0</v>
      </c>
    </row>
    <row r="129" spans="1:213" ht="21" customHeight="1" thickBot="1" x14ac:dyDescent="0.25">
      <c r="A129" s="1963" t="s">
        <v>2354</v>
      </c>
      <c r="B129" s="1988" t="s">
        <v>8</v>
      </c>
      <c r="C129" s="1699" t="s">
        <v>638</v>
      </c>
      <c r="D129" s="1880"/>
      <c r="E129" s="1984"/>
      <c r="F129" s="1865"/>
      <c r="G129" s="1866"/>
      <c r="H129" s="1866"/>
      <c r="I129" s="1866"/>
      <c r="J129" s="1866"/>
      <c r="K129" s="1866"/>
      <c r="L129" s="1866"/>
      <c r="M129" s="1866"/>
      <c r="N129" s="1866"/>
      <c r="O129" s="1866"/>
      <c r="P129" s="1866"/>
      <c r="Q129" s="1866"/>
      <c r="R129" s="1866"/>
      <c r="S129" s="1866"/>
      <c r="T129" s="1866"/>
      <c r="U129" s="1866"/>
      <c r="V129" s="1866"/>
      <c r="W129" s="1866"/>
      <c r="X129" s="1866"/>
      <c r="Y129" s="1866"/>
      <c r="Z129" s="1866"/>
      <c r="AA129" s="1866"/>
      <c r="AB129" s="1866"/>
      <c r="AC129" s="1866"/>
      <c r="AD129" s="1866"/>
      <c r="AE129" s="1866"/>
      <c r="AF129" s="1866"/>
      <c r="AG129" s="1866"/>
      <c r="AH129" s="1866"/>
      <c r="AI129" s="1866"/>
      <c r="AJ129" s="1866"/>
      <c r="AK129" s="1866"/>
      <c r="AL129" s="1866"/>
      <c r="AM129" s="1866"/>
      <c r="AN129" s="1866"/>
      <c r="AO129" s="1866"/>
      <c r="AP129" s="1866"/>
      <c r="AQ129" s="1866"/>
      <c r="AR129" s="1866"/>
      <c r="AS129" s="1866"/>
      <c r="AT129" s="1866"/>
      <c r="AU129" s="1866"/>
      <c r="AV129" s="1866"/>
      <c r="AW129" s="1866"/>
      <c r="AX129" s="1866"/>
      <c r="AY129" s="1866"/>
      <c r="AZ129" s="1866"/>
      <c r="BA129" s="1866"/>
      <c r="BB129" s="1866"/>
      <c r="BC129" s="1866"/>
      <c r="BD129" s="1866"/>
      <c r="BE129" s="1866"/>
      <c r="BF129" s="1866"/>
      <c r="BG129" s="1866"/>
      <c r="BH129" s="1866"/>
      <c r="BI129" s="1866"/>
      <c r="BJ129" s="1866"/>
      <c r="BK129" s="1866"/>
      <c r="BL129" s="1866"/>
      <c r="BM129" s="1866"/>
      <c r="BN129" s="1866"/>
      <c r="BO129" s="1866"/>
      <c r="BP129" s="1866"/>
      <c r="BQ129" s="1866"/>
      <c r="BR129" s="1866"/>
      <c r="BS129" s="1866"/>
      <c r="BT129" s="1866"/>
      <c r="BU129" s="1866"/>
      <c r="BV129" s="1866"/>
      <c r="BW129" s="1866"/>
      <c r="BX129" s="1866"/>
      <c r="BY129" s="1866"/>
      <c r="BZ129" s="1866"/>
      <c r="CA129" s="1866"/>
      <c r="CB129" s="1866"/>
      <c r="CC129" s="1866"/>
      <c r="CD129" s="1866"/>
      <c r="CE129" s="1866"/>
      <c r="CF129" s="1866"/>
      <c r="CG129" s="1866"/>
      <c r="CH129" s="1866"/>
      <c r="CI129" s="1866"/>
      <c r="CJ129" s="1866"/>
      <c r="CK129" s="1866"/>
      <c r="CL129" s="1866"/>
      <c r="CM129" s="1866"/>
      <c r="CN129" s="1866"/>
      <c r="CO129" s="1866"/>
      <c r="CP129" s="1866"/>
      <c r="CQ129" s="1866"/>
      <c r="CR129" s="1866"/>
      <c r="CS129" s="1866"/>
      <c r="CT129" s="1866"/>
      <c r="CU129" s="1866"/>
      <c r="CV129" s="1866"/>
      <c r="CW129" s="1866"/>
      <c r="CX129" s="1866"/>
      <c r="CY129" s="1866"/>
      <c r="CZ129" s="1866"/>
      <c r="DA129" s="1866"/>
      <c r="DB129" s="1866"/>
      <c r="DC129" s="1866"/>
      <c r="DD129" s="1866"/>
      <c r="DE129" s="1866"/>
      <c r="DF129" s="1866"/>
      <c r="DG129" s="1866"/>
      <c r="DH129" s="1866"/>
      <c r="DI129" s="1866"/>
      <c r="DJ129" s="1866"/>
      <c r="DK129" s="1866"/>
      <c r="DL129" s="1866"/>
      <c r="DM129" s="1866"/>
      <c r="DN129" s="1866"/>
      <c r="DO129" s="1866"/>
      <c r="DP129" s="1866"/>
      <c r="DQ129" s="1866"/>
      <c r="DR129" s="1866"/>
      <c r="DS129" s="1866"/>
      <c r="DT129" s="1866"/>
      <c r="DU129" s="1866"/>
      <c r="DV129" s="1866"/>
      <c r="DW129" s="1866"/>
      <c r="DX129" s="1866"/>
      <c r="DY129" s="1866"/>
      <c r="DZ129" s="1866"/>
      <c r="EA129" s="1866"/>
      <c r="EB129" s="1866"/>
      <c r="EC129" s="1866"/>
      <c r="ED129" s="1866"/>
      <c r="EE129" s="1866"/>
      <c r="EF129" s="1866"/>
      <c r="EG129" s="1866"/>
      <c r="EH129" s="1866"/>
      <c r="EI129" s="1866"/>
      <c r="EJ129" s="1866"/>
      <c r="EK129" s="1866"/>
      <c r="EL129" s="1866"/>
      <c r="EM129" s="1866"/>
      <c r="EN129" s="1866"/>
      <c r="EO129" s="1866"/>
      <c r="EP129" s="1866"/>
      <c r="EQ129" s="1866"/>
      <c r="ER129" s="1866"/>
      <c r="ES129" s="1866"/>
      <c r="ET129" s="1866"/>
      <c r="EU129" s="1866"/>
      <c r="EV129" s="1866"/>
      <c r="EW129" s="1866"/>
      <c r="EX129" s="1866"/>
      <c r="EY129" s="1866"/>
      <c r="EZ129" s="1866"/>
      <c r="FA129" s="1866"/>
      <c r="FB129" s="1866"/>
      <c r="FC129" s="1866"/>
      <c r="FD129" s="1866"/>
      <c r="FE129" s="1866"/>
      <c r="FF129" s="1866"/>
      <c r="FG129" s="1866"/>
      <c r="FH129" s="1866"/>
      <c r="FI129" s="1866"/>
      <c r="FJ129" s="1866"/>
      <c r="FK129" s="1866"/>
      <c r="FL129" s="1866"/>
      <c r="FM129" s="1866"/>
      <c r="FN129" s="1866"/>
      <c r="FO129" s="1866"/>
      <c r="FP129" s="1866"/>
      <c r="FQ129" s="1866"/>
      <c r="FR129" s="1866"/>
      <c r="FS129" s="1866"/>
      <c r="FT129" s="1866"/>
      <c r="FU129" s="1866"/>
      <c r="FV129" s="1866"/>
      <c r="FW129" s="1866"/>
      <c r="FX129" s="1866"/>
      <c r="FY129" s="1866"/>
      <c r="FZ129" s="1866"/>
      <c r="GA129" s="1866"/>
      <c r="GB129" s="1866"/>
      <c r="GC129" s="1866"/>
      <c r="GD129" s="1866"/>
      <c r="GE129" s="1866"/>
      <c r="GF129" s="1866"/>
      <c r="GG129" s="1866"/>
      <c r="GH129" s="1866"/>
      <c r="GI129" s="1866"/>
      <c r="GJ129" s="1866"/>
      <c r="GK129" s="1866"/>
      <c r="GL129" s="1866"/>
      <c r="GM129" s="1866"/>
      <c r="GN129" s="1866"/>
      <c r="GO129" s="1866"/>
      <c r="GP129" s="1866"/>
      <c r="GQ129" s="1866"/>
      <c r="GR129" s="1866"/>
      <c r="GS129" s="1866"/>
      <c r="GT129" s="1866"/>
      <c r="GU129" s="1866"/>
      <c r="GV129" s="1866"/>
      <c r="GW129" s="1866"/>
      <c r="GX129" s="1866"/>
      <c r="GY129" s="1866"/>
      <c r="GZ129" s="1866"/>
      <c r="HA129" s="1866"/>
      <c r="HB129" s="1866"/>
      <c r="HC129" s="1866"/>
      <c r="HD129" s="1866"/>
      <c r="HE129" s="1866"/>
    </row>
    <row r="130" spans="1:213" ht="15" customHeight="1" x14ac:dyDescent="0.2">
      <c r="A130" s="1964"/>
      <c r="B130" s="1989"/>
      <c r="C130" s="1818" t="s">
        <v>860</v>
      </c>
      <c r="D130" s="1883"/>
      <c r="E130" s="1984"/>
      <c r="F130" s="1838">
        <v>0</v>
      </c>
      <c r="G130" s="1804">
        <v>0</v>
      </c>
      <c r="H130" s="1804">
        <v>0</v>
      </c>
      <c r="I130" s="1804">
        <v>0</v>
      </c>
      <c r="J130" s="1804">
        <v>0</v>
      </c>
      <c r="K130" s="1804">
        <v>0</v>
      </c>
      <c r="L130" s="1804">
        <v>0</v>
      </c>
      <c r="M130" s="1804">
        <v>0</v>
      </c>
      <c r="N130" s="1804">
        <v>0</v>
      </c>
      <c r="O130" s="1804">
        <v>0</v>
      </c>
      <c r="P130" s="1804">
        <v>0</v>
      </c>
      <c r="Q130" s="1804">
        <v>0</v>
      </c>
      <c r="R130" s="1804">
        <v>0</v>
      </c>
      <c r="S130" s="1804">
        <v>0</v>
      </c>
      <c r="T130" s="1804">
        <v>0</v>
      </c>
      <c r="U130" s="1804">
        <v>0</v>
      </c>
      <c r="V130" s="1804">
        <v>0</v>
      </c>
      <c r="W130" s="1804">
        <v>0</v>
      </c>
      <c r="X130" s="1804">
        <v>0</v>
      </c>
      <c r="Y130" s="1804">
        <v>0</v>
      </c>
      <c r="Z130" s="1804">
        <v>0</v>
      </c>
      <c r="AA130" s="1804">
        <v>0</v>
      </c>
      <c r="AB130" s="1804">
        <v>0</v>
      </c>
      <c r="AC130" s="1804">
        <v>0</v>
      </c>
      <c r="AD130" s="1804">
        <v>0</v>
      </c>
      <c r="AE130" s="1804">
        <v>0</v>
      </c>
      <c r="AF130" s="1804">
        <v>0</v>
      </c>
      <c r="AG130" s="1804">
        <v>0</v>
      </c>
      <c r="AH130" s="1804">
        <v>0</v>
      </c>
      <c r="AI130" s="1804">
        <v>0</v>
      </c>
      <c r="AJ130" s="1804">
        <v>0</v>
      </c>
      <c r="AK130" s="1804">
        <v>0</v>
      </c>
      <c r="AL130" s="1804">
        <v>0</v>
      </c>
      <c r="AM130" s="1804">
        <v>0</v>
      </c>
      <c r="AN130" s="1804">
        <v>0</v>
      </c>
      <c r="AO130" s="1804">
        <v>0</v>
      </c>
      <c r="AP130" s="1804">
        <v>0</v>
      </c>
      <c r="AQ130" s="1804">
        <v>0</v>
      </c>
      <c r="AR130" s="1804">
        <v>0</v>
      </c>
      <c r="AS130" s="1804">
        <v>0</v>
      </c>
      <c r="AT130" s="1804">
        <v>0</v>
      </c>
      <c r="AU130" s="1804">
        <v>0</v>
      </c>
      <c r="AV130" s="1804">
        <v>0</v>
      </c>
      <c r="AW130" s="1804">
        <v>0</v>
      </c>
      <c r="AX130" s="1804">
        <v>0</v>
      </c>
      <c r="AY130" s="1804">
        <v>0</v>
      </c>
      <c r="AZ130" s="1804">
        <v>0</v>
      </c>
      <c r="BA130" s="1804">
        <v>0</v>
      </c>
      <c r="BB130" s="1804">
        <v>0</v>
      </c>
      <c r="BC130" s="1804">
        <v>0</v>
      </c>
      <c r="BD130" s="1804">
        <v>0</v>
      </c>
      <c r="BE130" s="1804">
        <v>0</v>
      </c>
      <c r="BF130" s="1804">
        <v>0</v>
      </c>
      <c r="BG130" s="1804">
        <v>0</v>
      </c>
      <c r="BH130" s="1804">
        <v>0</v>
      </c>
      <c r="BI130" s="1804">
        <v>0</v>
      </c>
      <c r="BJ130" s="1804">
        <v>0</v>
      </c>
      <c r="BK130" s="1804">
        <v>0</v>
      </c>
      <c r="BL130" s="1804">
        <v>0</v>
      </c>
      <c r="BM130" s="1804">
        <v>0</v>
      </c>
      <c r="BN130" s="1804">
        <v>0</v>
      </c>
      <c r="BO130" s="1804">
        <v>0</v>
      </c>
      <c r="BP130" s="1804">
        <v>0</v>
      </c>
      <c r="BQ130" s="1804">
        <v>0</v>
      </c>
      <c r="BR130" s="1804">
        <v>0</v>
      </c>
      <c r="BS130" s="1804">
        <v>0</v>
      </c>
      <c r="BT130" s="1804">
        <v>0</v>
      </c>
      <c r="BU130" s="1804">
        <v>0</v>
      </c>
      <c r="BV130" s="1804">
        <v>0</v>
      </c>
      <c r="BW130" s="1804">
        <v>0</v>
      </c>
      <c r="BX130" s="1804">
        <v>0</v>
      </c>
      <c r="BY130" s="1804">
        <v>0</v>
      </c>
      <c r="BZ130" s="1804">
        <v>0</v>
      </c>
      <c r="CA130" s="1804">
        <v>0</v>
      </c>
      <c r="CB130" s="1804">
        <v>0</v>
      </c>
      <c r="CC130" s="1804">
        <v>0</v>
      </c>
      <c r="CD130" s="1804">
        <v>0</v>
      </c>
      <c r="CE130" s="1804">
        <v>0</v>
      </c>
      <c r="CF130" s="1804">
        <v>0</v>
      </c>
      <c r="CG130" s="1804">
        <v>0</v>
      </c>
      <c r="CH130" s="1804">
        <v>0</v>
      </c>
      <c r="CI130" s="1804">
        <v>0</v>
      </c>
      <c r="CJ130" s="1804">
        <v>0</v>
      </c>
      <c r="CK130" s="1804">
        <v>0</v>
      </c>
      <c r="CL130" s="1804">
        <v>0</v>
      </c>
      <c r="CM130" s="1804">
        <v>0</v>
      </c>
      <c r="CN130" s="1804">
        <v>0</v>
      </c>
      <c r="CO130" s="1804">
        <v>0</v>
      </c>
      <c r="CP130" s="1804">
        <v>0</v>
      </c>
      <c r="CQ130" s="1804">
        <v>0</v>
      </c>
      <c r="CR130" s="1804">
        <v>0</v>
      </c>
      <c r="CS130" s="1804">
        <v>0</v>
      </c>
      <c r="CT130" s="1804">
        <v>0</v>
      </c>
      <c r="CU130" s="1804">
        <v>0</v>
      </c>
      <c r="CV130" s="1804">
        <v>0</v>
      </c>
      <c r="CW130" s="1804">
        <v>0</v>
      </c>
      <c r="CX130" s="1804">
        <v>0</v>
      </c>
      <c r="CY130" s="1804">
        <v>0</v>
      </c>
      <c r="CZ130" s="1804">
        <v>0</v>
      </c>
      <c r="DA130" s="1804">
        <v>0</v>
      </c>
      <c r="DB130" s="1804">
        <v>0</v>
      </c>
      <c r="DC130" s="1804">
        <v>0</v>
      </c>
      <c r="DD130" s="1804">
        <v>0</v>
      </c>
      <c r="DE130" s="1804">
        <v>0</v>
      </c>
      <c r="DF130" s="1804">
        <v>0</v>
      </c>
      <c r="DG130" s="1804">
        <v>0</v>
      </c>
      <c r="DH130" s="1804">
        <v>0</v>
      </c>
      <c r="DI130" s="1804">
        <v>0</v>
      </c>
      <c r="DJ130" s="1804">
        <v>0</v>
      </c>
      <c r="DK130" s="1804">
        <v>0</v>
      </c>
      <c r="DL130" s="1804">
        <v>0</v>
      </c>
      <c r="DM130" s="1804">
        <v>0</v>
      </c>
      <c r="DN130" s="1804">
        <v>0</v>
      </c>
      <c r="DO130" s="1804">
        <v>0</v>
      </c>
      <c r="DP130" s="1804">
        <v>0</v>
      </c>
      <c r="DQ130" s="1804">
        <v>0</v>
      </c>
      <c r="DR130" s="1804">
        <v>0</v>
      </c>
      <c r="DS130" s="1804">
        <v>0</v>
      </c>
      <c r="DT130" s="1804">
        <v>0</v>
      </c>
      <c r="DU130" s="1804">
        <v>0</v>
      </c>
      <c r="DV130" s="1804">
        <v>0</v>
      </c>
      <c r="DW130" s="1804">
        <v>0</v>
      </c>
      <c r="DX130" s="1804">
        <v>0</v>
      </c>
      <c r="DY130" s="1804">
        <v>0</v>
      </c>
      <c r="DZ130" s="1804">
        <v>0</v>
      </c>
      <c r="EA130" s="1804">
        <v>0</v>
      </c>
      <c r="EB130" s="1804">
        <v>0</v>
      </c>
      <c r="EC130" s="1804">
        <v>0</v>
      </c>
      <c r="ED130" s="1804">
        <v>0</v>
      </c>
      <c r="EE130" s="1804">
        <v>0</v>
      </c>
      <c r="EF130" s="1804">
        <v>0</v>
      </c>
      <c r="EG130" s="1804">
        <v>0</v>
      </c>
      <c r="EH130" s="1804">
        <v>0</v>
      </c>
      <c r="EI130" s="1804">
        <v>0</v>
      </c>
      <c r="EJ130" s="1804">
        <v>0</v>
      </c>
      <c r="EK130" s="1804">
        <v>0</v>
      </c>
      <c r="EL130" s="1804">
        <v>0</v>
      </c>
      <c r="EM130" s="1804">
        <v>0</v>
      </c>
      <c r="EN130" s="1804">
        <v>0</v>
      </c>
      <c r="EO130" s="1804">
        <v>0</v>
      </c>
      <c r="EP130" s="1804">
        <v>0</v>
      </c>
      <c r="EQ130" s="1804">
        <v>0</v>
      </c>
      <c r="ER130" s="1804">
        <v>0</v>
      </c>
      <c r="ES130" s="1804">
        <v>0</v>
      </c>
      <c r="ET130" s="1804">
        <v>0</v>
      </c>
      <c r="EU130" s="1804">
        <v>0</v>
      </c>
      <c r="EV130" s="1804">
        <v>0</v>
      </c>
      <c r="EW130" s="1804">
        <v>0</v>
      </c>
      <c r="EX130" s="1804">
        <v>0</v>
      </c>
      <c r="EY130" s="1804">
        <v>0</v>
      </c>
      <c r="EZ130" s="1804">
        <v>0</v>
      </c>
      <c r="FA130" s="1804">
        <v>0</v>
      </c>
      <c r="FB130" s="1804">
        <v>0</v>
      </c>
      <c r="FC130" s="1804">
        <v>0</v>
      </c>
      <c r="FD130" s="1804">
        <v>0</v>
      </c>
      <c r="FE130" s="1804">
        <v>0</v>
      </c>
      <c r="FF130" s="1804">
        <v>0</v>
      </c>
      <c r="FG130" s="1804">
        <v>0</v>
      </c>
      <c r="FH130" s="1804">
        <v>0</v>
      </c>
      <c r="FI130" s="1804">
        <v>0</v>
      </c>
      <c r="FJ130" s="1804">
        <v>0</v>
      </c>
      <c r="FK130" s="1804">
        <v>0</v>
      </c>
      <c r="FL130" s="1804">
        <v>0</v>
      </c>
      <c r="FM130" s="1804">
        <v>0</v>
      </c>
      <c r="FN130" s="1804">
        <v>0</v>
      </c>
      <c r="FO130" s="1804">
        <v>0</v>
      </c>
      <c r="FP130" s="1804">
        <v>0</v>
      </c>
      <c r="FQ130" s="1804">
        <v>0</v>
      </c>
      <c r="FR130" s="1804">
        <v>0</v>
      </c>
      <c r="FS130" s="1804">
        <v>0</v>
      </c>
      <c r="FT130" s="1804">
        <v>0</v>
      </c>
      <c r="FU130" s="1804">
        <v>0</v>
      </c>
      <c r="FV130" s="1804">
        <v>0</v>
      </c>
      <c r="FW130" s="1804">
        <v>0</v>
      </c>
      <c r="FX130" s="1804">
        <v>0</v>
      </c>
      <c r="FY130" s="1804">
        <v>0</v>
      </c>
      <c r="FZ130" s="1804">
        <v>0</v>
      </c>
      <c r="GA130" s="1804">
        <v>0</v>
      </c>
      <c r="GB130" s="1804">
        <v>0</v>
      </c>
      <c r="GC130" s="1804">
        <v>0</v>
      </c>
      <c r="GD130" s="1804">
        <v>0</v>
      </c>
      <c r="GE130" s="1804">
        <v>0</v>
      </c>
      <c r="GF130" s="1804">
        <v>0</v>
      </c>
      <c r="GG130" s="1804">
        <v>0</v>
      </c>
      <c r="GH130" s="1804">
        <v>0</v>
      </c>
      <c r="GI130" s="1804">
        <v>0</v>
      </c>
      <c r="GJ130" s="1804">
        <v>0</v>
      </c>
      <c r="GK130" s="1804">
        <v>0</v>
      </c>
      <c r="GL130" s="1804">
        <v>0</v>
      </c>
      <c r="GM130" s="1804">
        <v>0</v>
      </c>
      <c r="GN130" s="1804">
        <v>0</v>
      </c>
      <c r="GO130" s="1804">
        <v>0</v>
      </c>
      <c r="GP130" s="1804">
        <v>0</v>
      </c>
      <c r="GQ130" s="1804">
        <v>0</v>
      </c>
      <c r="GR130" s="1804">
        <v>0</v>
      </c>
      <c r="GS130" s="1804">
        <v>0</v>
      </c>
      <c r="GT130" s="1804">
        <v>0</v>
      </c>
      <c r="GU130" s="1804">
        <v>0</v>
      </c>
      <c r="GV130" s="1804">
        <v>0</v>
      </c>
      <c r="GW130" s="1804">
        <v>0</v>
      </c>
      <c r="GX130" s="1804">
        <v>0</v>
      </c>
      <c r="GY130" s="1804">
        <v>0</v>
      </c>
      <c r="GZ130" s="1804">
        <v>0</v>
      </c>
      <c r="HA130" s="1804">
        <v>0</v>
      </c>
      <c r="HB130" s="1804">
        <v>0</v>
      </c>
      <c r="HC130" s="1804">
        <v>0</v>
      </c>
      <c r="HD130" s="1804">
        <v>0</v>
      </c>
      <c r="HE130" s="1804">
        <v>0</v>
      </c>
    </row>
    <row r="131" spans="1:213" ht="15" customHeight="1" x14ac:dyDescent="0.2">
      <c r="A131" s="1964"/>
      <c r="B131" s="1989"/>
      <c r="C131" s="1702" t="s">
        <v>293</v>
      </c>
      <c r="D131" s="1883"/>
      <c r="E131" s="1984"/>
      <c r="F131" s="1838">
        <v>0</v>
      </c>
      <c r="G131" s="1804">
        <v>0</v>
      </c>
      <c r="H131" s="1804">
        <v>0</v>
      </c>
      <c r="I131" s="1804">
        <v>0</v>
      </c>
      <c r="J131" s="1804">
        <v>0</v>
      </c>
      <c r="K131" s="1804">
        <v>0</v>
      </c>
      <c r="L131" s="1804">
        <v>0</v>
      </c>
      <c r="M131" s="1804">
        <v>0</v>
      </c>
      <c r="N131" s="1804">
        <v>0</v>
      </c>
      <c r="O131" s="1804">
        <v>0</v>
      </c>
      <c r="P131" s="1804">
        <v>0</v>
      </c>
      <c r="Q131" s="1804">
        <v>0</v>
      </c>
      <c r="R131" s="1804">
        <v>0</v>
      </c>
      <c r="S131" s="1804">
        <v>0</v>
      </c>
      <c r="T131" s="1804">
        <v>0</v>
      </c>
      <c r="U131" s="1804">
        <v>0</v>
      </c>
      <c r="V131" s="1804">
        <v>0</v>
      </c>
      <c r="W131" s="1804">
        <v>0</v>
      </c>
      <c r="X131" s="1804">
        <v>0</v>
      </c>
      <c r="Y131" s="1804">
        <v>0</v>
      </c>
      <c r="Z131" s="1804">
        <v>0</v>
      </c>
      <c r="AA131" s="1804">
        <v>0</v>
      </c>
      <c r="AB131" s="1804">
        <v>0</v>
      </c>
      <c r="AC131" s="1804">
        <v>0</v>
      </c>
      <c r="AD131" s="1804">
        <v>0</v>
      </c>
      <c r="AE131" s="1804">
        <v>0</v>
      </c>
      <c r="AF131" s="1804">
        <v>0</v>
      </c>
      <c r="AG131" s="1804">
        <v>0</v>
      </c>
      <c r="AH131" s="1804">
        <v>0</v>
      </c>
      <c r="AI131" s="1804">
        <v>0</v>
      </c>
      <c r="AJ131" s="1804">
        <v>0</v>
      </c>
      <c r="AK131" s="1804">
        <v>0</v>
      </c>
      <c r="AL131" s="1804">
        <v>0</v>
      </c>
      <c r="AM131" s="1804">
        <v>0</v>
      </c>
      <c r="AN131" s="1804">
        <v>0</v>
      </c>
      <c r="AO131" s="1804">
        <v>0</v>
      </c>
      <c r="AP131" s="1804">
        <v>0</v>
      </c>
      <c r="AQ131" s="1804">
        <v>0</v>
      </c>
      <c r="AR131" s="1804">
        <v>0</v>
      </c>
      <c r="AS131" s="1804">
        <v>0</v>
      </c>
      <c r="AT131" s="1804">
        <v>0</v>
      </c>
      <c r="AU131" s="1804">
        <v>0</v>
      </c>
      <c r="AV131" s="1804">
        <v>0</v>
      </c>
      <c r="AW131" s="1804">
        <v>0</v>
      </c>
      <c r="AX131" s="1804">
        <v>0</v>
      </c>
      <c r="AY131" s="1804">
        <v>0</v>
      </c>
      <c r="AZ131" s="1804">
        <v>0</v>
      </c>
      <c r="BA131" s="1804">
        <v>0</v>
      </c>
      <c r="BB131" s="1804">
        <v>0</v>
      </c>
      <c r="BC131" s="1804">
        <v>0</v>
      </c>
      <c r="BD131" s="1804">
        <v>0</v>
      </c>
      <c r="BE131" s="1804">
        <v>0</v>
      </c>
      <c r="BF131" s="1804">
        <v>0</v>
      </c>
      <c r="BG131" s="1804">
        <v>0</v>
      </c>
      <c r="BH131" s="1804">
        <v>0</v>
      </c>
      <c r="BI131" s="1804">
        <v>0</v>
      </c>
      <c r="BJ131" s="1804">
        <v>0</v>
      </c>
      <c r="BK131" s="1804">
        <v>0</v>
      </c>
      <c r="BL131" s="1804">
        <v>0</v>
      </c>
      <c r="BM131" s="1804">
        <v>0</v>
      </c>
      <c r="BN131" s="1804">
        <v>0</v>
      </c>
      <c r="BO131" s="1804">
        <v>0</v>
      </c>
      <c r="BP131" s="1804">
        <v>0</v>
      </c>
      <c r="BQ131" s="1804">
        <v>0</v>
      </c>
      <c r="BR131" s="1804">
        <v>0</v>
      </c>
      <c r="BS131" s="1804">
        <v>0</v>
      </c>
      <c r="BT131" s="1804">
        <v>0</v>
      </c>
      <c r="BU131" s="1804">
        <v>0</v>
      </c>
      <c r="BV131" s="1804">
        <v>0</v>
      </c>
      <c r="BW131" s="1804">
        <v>0</v>
      </c>
      <c r="BX131" s="1804">
        <v>0</v>
      </c>
      <c r="BY131" s="1804">
        <v>0</v>
      </c>
      <c r="BZ131" s="1804">
        <v>0</v>
      </c>
      <c r="CA131" s="1804">
        <v>0</v>
      </c>
      <c r="CB131" s="1804">
        <v>0</v>
      </c>
      <c r="CC131" s="1804">
        <v>0</v>
      </c>
      <c r="CD131" s="1804">
        <v>0</v>
      </c>
      <c r="CE131" s="1804">
        <v>0</v>
      </c>
      <c r="CF131" s="1804">
        <v>0</v>
      </c>
      <c r="CG131" s="1804">
        <v>0</v>
      </c>
      <c r="CH131" s="1804">
        <v>0</v>
      </c>
      <c r="CI131" s="1804">
        <v>0</v>
      </c>
      <c r="CJ131" s="1804">
        <v>0</v>
      </c>
      <c r="CK131" s="1804">
        <v>0</v>
      </c>
      <c r="CL131" s="1804">
        <v>0</v>
      </c>
      <c r="CM131" s="1804">
        <v>0</v>
      </c>
      <c r="CN131" s="1804">
        <v>0</v>
      </c>
      <c r="CO131" s="1804">
        <v>0</v>
      </c>
      <c r="CP131" s="1804">
        <v>0</v>
      </c>
      <c r="CQ131" s="1804">
        <v>0</v>
      </c>
      <c r="CR131" s="1804">
        <v>0</v>
      </c>
      <c r="CS131" s="1804">
        <v>0</v>
      </c>
      <c r="CT131" s="1804">
        <v>0</v>
      </c>
      <c r="CU131" s="1804">
        <v>0</v>
      </c>
      <c r="CV131" s="1804">
        <v>0</v>
      </c>
      <c r="CW131" s="1804">
        <v>0</v>
      </c>
      <c r="CX131" s="1804">
        <v>0</v>
      </c>
      <c r="CY131" s="1804">
        <v>0</v>
      </c>
      <c r="CZ131" s="1804">
        <v>0</v>
      </c>
      <c r="DA131" s="1804">
        <v>0</v>
      </c>
      <c r="DB131" s="1804">
        <v>0</v>
      </c>
      <c r="DC131" s="1804">
        <v>0</v>
      </c>
      <c r="DD131" s="1804">
        <v>0</v>
      </c>
      <c r="DE131" s="1804">
        <v>0</v>
      </c>
      <c r="DF131" s="1804">
        <v>0</v>
      </c>
      <c r="DG131" s="1804">
        <v>0</v>
      </c>
      <c r="DH131" s="1804">
        <v>0</v>
      </c>
      <c r="DI131" s="1804">
        <v>0</v>
      </c>
      <c r="DJ131" s="1804">
        <v>0</v>
      </c>
      <c r="DK131" s="1804">
        <v>0</v>
      </c>
      <c r="DL131" s="1804">
        <v>0</v>
      </c>
      <c r="DM131" s="1804">
        <v>0</v>
      </c>
      <c r="DN131" s="1804">
        <v>0</v>
      </c>
      <c r="DO131" s="1804">
        <v>0</v>
      </c>
      <c r="DP131" s="1804">
        <v>0</v>
      </c>
      <c r="DQ131" s="1804">
        <v>0</v>
      </c>
      <c r="DR131" s="1804">
        <v>0</v>
      </c>
      <c r="DS131" s="1804">
        <v>0</v>
      </c>
      <c r="DT131" s="1804">
        <v>0</v>
      </c>
      <c r="DU131" s="1804">
        <v>0</v>
      </c>
      <c r="DV131" s="1804">
        <v>0</v>
      </c>
      <c r="DW131" s="1804">
        <v>0</v>
      </c>
      <c r="DX131" s="1804">
        <v>0</v>
      </c>
      <c r="DY131" s="1804">
        <v>0</v>
      </c>
      <c r="DZ131" s="1804">
        <v>0</v>
      </c>
      <c r="EA131" s="1804">
        <v>0</v>
      </c>
      <c r="EB131" s="1804">
        <v>0</v>
      </c>
      <c r="EC131" s="1804">
        <v>0</v>
      </c>
      <c r="ED131" s="1804">
        <v>0</v>
      </c>
      <c r="EE131" s="1804">
        <v>0</v>
      </c>
      <c r="EF131" s="1804">
        <v>0</v>
      </c>
      <c r="EG131" s="1804">
        <v>0</v>
      </c>
      <c r="EH131" s="1804">
        <v>0</v>
      </c>
      <c r="EI131" s="1804">
        <v>0</v>
      </c>
      <c r="EJ131" s="1804">
        <v>0</v>
      </c>
      <c r="EK131" s="1804">
        <v>0</v>
      </c>
      <c r="EL131" s="1804">
        <v>0</v>
      </c>
      <c r="EM131" s="1804">
        <v>0</v>
      </c>
      <c r="EN131" s="1804">
        <v>0</v>
      </c>
      <c r="EO131" s="1804">
        <v>0</v>
      </c>
      <c r="EP131" s="1804">
        <v>0</v>
      </c>
      <c r="EQ131" s="1804">
        <v>0</v>
      </c>
      <c r="ER131" s="1804">
        <v>0</v>
      </c>
      <c r="ES131" s="1804">
        <v>0</v>
      </c>
      <c r="ET131" s="1804">
        <v>0</v>
      </c>
      <c r="EU131" s="1804">
        <v>0</v>
      </c>
      <c r="EV131" s="1804">
        <v>0</v>
      </c>
      <c r="EW131" s="1804">
        <v>0</v>
      </c>
      <c r="EX131" s="1804">
        <v>0</v>
      </c>
      <c r="EY131" s="1804">
        <v>0</v>
      </c>
      <c r="EZ131" s="1804">
        <v>0</v>
      </c>
      <c r="FA131" s="1804">
        <v>0</v>
      </c>
      <c r="FB131" s="1804">
        <v>0</v>
      </c>
      <c r="FC131" s="1804">
        <v>0</v>
      </c>
      <c r="FD131" s="1804">
        <v>0</v>
      </c>
      <c r="FE131" s="1804">
        <v>0</v>
      </c>
      <c r="FF131" s="1804">
        <v>0</v>
      </c>
      <c r="FG131" s="1804">
        <v>0</v>
      </c>
      <c r="FH131" s="1804">
        <v>0</v>
      </c>
      <c r="FI131" s="1804">
        <v>0</v>
      </c>
      <c r="FJ131" s="1804">
        <v>0</v>
      </c>
      <c r="FK131" s="1804">
        <v>0</v>
      </c>
      <c r="FL131" s="1804">
        <v>0</v>
      </c>
      <c r="FM131" s="1804">
        <v>0</v>
      </c>
      <c r="FN131" s="1804">
        <v>0</v>
      </c>
      <c r="FO131" s="1804">
        <v>0</v>
      </c>
      <c r="FP131" s="1804">
        <v>0</v>
      </c>
      <c r="FQ131" s="1804">
        <v>0</v>
      </c>
      <c r="FR131" s="1804">
        <v>0</v>
      </c>
      <c r="FS131" s="1804">
        <v>0</v>
      </c>
      <c r="FT131" s="1804">
        <v>0</v>
      </c>
      <c r="FU131" s="1804">
        <v>0</v>
      </c>
      <c r="FV131" s="1804">
        <v>0</v>
      </c>
      <c r="FW131" s="1804">
        <v>0</v>
      </c>
      <c r="FX131" s="1804">
        <v>0</v>
      </c>
      <c r="FY131" s="1804">
        <v>0</v>
      </c>
      <c r="FZ131" s="1804">
        <v>0</v>
      </c>
      <c r="GA131" s="1804">
        <v>0</v>
      </c>
      <c r="GB131" s="1804">
        <v>0</v>
      </c>
      <c r="GC131" s="1804">
        <v>0</v>
      </c>
      <c r="GD131" s="1804">
        <v>0</v>
      </c>
      <c r="GE131" s="1804">
        <v>0</v>
      </c>
      <c r="GF131" s="1804">
        <v>0</v>
      </c>
      <c r="GG131" s="1804">
        <v>0</v>
      </c>
      <c r="GH131" s="1804">
        <v>0</v>
      </c>
      <c r="GI131" s="1804">
        <v>0</v>
      </c>
      <c r="GJ131" s="1804">
        <v>0</v>
      </c>
      <c r="GK131" s="1804">
        <v>0</v>
      </c>
      <c r="GL131" s="1804">
        <v>0</v>
      </c>
      <c r="GM131" s="1804">
        <v>0</v>
      </c>
      <c r="GN131" s="1804">
        <v>0</v>
      </c>
      <c r="GO131" s="1804">
        <v>0</v>
      </c>
      <c r="GP131" s="1804">
        <v>0</v>
      </c>
      <c r="GQ131" s="1804">
        <v>0</v>
      </c>
      <c r="GR131" s="1804">
        <v>0</v>
      </c>
      <c r="GS131" s="1804">
        <v>0</v>
      </c>
      <c r="GT131" s="1804">
        <v>0</v>
      </c>
      <c r="GU131" s="1804">
        <v>0</v>
      </c>
      <c r="GV131" s="1804">
        <v>0</v>
      </c>
      <c r="GW131" s="1804">
        <v>0</v>
      </c>
      <c r="GX131" s="1804">
        <v>0</v>
      </c>
      <c r="GY131" s="1804">
        <v>0</v>
      </c>
      <c r="GZ131" s="1804">
        <v>0</v>
      </c>
      <c r="HA131" s="1804">
        <v>0</v>
      </c>
      <c r="HB131" s="1804">
        <v>0</v>
      </c>
      <c r="HC131" s="1804">
        <v>0</v>
      </c>
      <c r="HD131" s="1804">
        <v>0</v>
      </c>
      <c r="HE131" s="1804">
        <v>0</v>
      </c>
    </row>
    <row r="132" spans="1:213" ht="15" customHeight="1" x14ac:dyDescent="0.2">
      <c r="A132" s="1964"/>
      <c r="B132" s="1989"/>
      <c r="C132" s="1818" t="s">
        <v>77</v>
      </c>
      <c r="D132" s="1883"/>
      <c r="E132" s="1984"/>
      <c r="F132" s="1838">
        <v>0</v>
      </c>
      <c r="G132" s="1804">
        <v>0</v>
      </c>
      <c r="H132" s="1804">
        <v>0</v>
      </c>
      <c r="I132" s="1804">
        <v>0</v>
      </c>
      <c r="J132" s="1804">
        <v>0</v>
      </c>
      <c r="K132" s="1804">
        <v>0</v>
      </c>
      <c r="L132" s="1804">
        <v>0</v>
      </c>
      <c r="M132" s="1804">
        <v>0</v>
      </c>
      <c r="N132" s="1804">
        <v>0</v>
      </c>
      <c r="O132" s="1804">
        <v>0</v>
      </c>
      <c r="P132" s="1804">
        <v>0</v>
      </c>
      <c r="Q132" s="1804">
        <v>0</v>
      </c>
      <c r="R132" s="1804">
        <v>0</v>
      </c>
      <c r="S132" s="1804">
        <v>0</v>
      </c>
      <c r="T132" s="1804">
        <v>0</v>
      </c>
      <c r="U132" s="1804">
        <v>0</v>
      </c>
      <c r="V132" s="1804">
        <v>0</v>
      </c>
      <c r="W132" s="1804">
        <v>0</v>
      </c>
      <c r="X132" s="1804">
        <v>0</v>
      </c>
      <c r="Y132" s="1804">
        <v>0</v>
      </c>
      <c r="Z132" s="1804">
        <v>0</v>
      </c>
      <c r="AA132" s="1804">
        <v>0</v>
      </c>
      <c r="AB132" s="1804">
        <v>0</v>
      </c>
      <c r="AC132" s="1804">
        <v>0</v>
      </c>
      <c r="AD132" s="1804">
        <v>0</v>
      </c>
      <c r="AE132" s="1804">
        <v>0</v>
      </c>
      <c r="AF132" s="1804">
        <v>0</v>
      </c>
      <c r="AG132" s="1804">
        <v>0</v>
      </c>
      <c r="AH132" s="1804">
        <v>0</v>
      </c>
      <c r="AI132" s="1804">
        <v>0</v>
      </c>
      <c r="AJ132" s="1804">
        <v>0</v>
      </c>
      <c r="AK132" s="1804">
        <v>0</v>
      </c>
      <c r="AL132" s="1804">
        <v>0</v>
      </c>
      <c r="AM132" s="1804">
        <v>0</v>
      </c>
      <c r="AN132" s="1804">
        <v>0</v>
      </c>
      <c r="AO132" s="1804">
        <v>0</v>
      </c>
      <c r="AP132" s="1804">
        <v>0</v>
      </c>
      <c r="AQ132" s="1804">
        <v>0</v>
      </c>
      <c r="AR132" s="1804">
        <v>0</v>
      </c>
      <c r="AS132" s="1804">
        <v>0</v>
      </c>
      <c r="AT132" s="1804">
        <v>0</v>
      </c>
      <c r="AU132" s="1804">
        <v>0</v>
      </c>
      <c r="AV132" s="1804">
        <v>0</v>
      </c>
      <c r="AW132" s="1804">
        <v>0</v>
      </c>
      <c r="AX132" s="1804">
        <v>0</v>
      </c>
      <c r="AY132" s="1804">
        <v>0</v>
      </c>
      <c r="AZ132" s="1804">
        <v>0</v>
      </c>
      <c r="BA132" s="1804">
        <v>0</v>
      </c>
      <c r="BB132" s="1804">
        <v>0</v>
      </c>
      <c r="BC132" s="1804">
        <v>0</v>
      </c>
      <c r="BD132" s="1804">
        <v>0</v>
      </c>
      <c r="BE132" s="1804">
        <v>0</v>
      </c>
      <c r="BF132" s="1804">
        <v>0</v>
      </c>
      <c r="BG132" s="1804">
        <v>0</v>
      </c>
      <c r="BH132" s="1804">
        <v>0</v>
      </c>
      <c r="BI132" s="1804">
        <v>0</v>
      </c>
      <c r="BJ132" s="1804">
        <v>0</v>
      </c>
      <c r="BK132" s="1804">
        <v>0</v>
      </c>
      <c r="BL132" s="1804">
        <v>0</v>
      </c>
      <c r="BM132" s="1804">
        <v>0</v>
      </c>
      <c r="BN132" s="1804">
        <v>0</v>
      </c>
      <c r="BO132" s="1804">
        <v>0</v>
      </c>
      <c r="BP132" s="1804">
        <v>0</v>
      </c>
      <c r="BQ132" s="1804">
        <v>0</v>
      </c>
      <c r="BR132" s="1804">
        <v>0</v>
      </c>
      <c r="BS132" s="1804">
        <v>0</v>
      </c>
      <c r="BT132" s="1804">
        <v>0</v>
      </c>
      <c r="BU132" s="1804">
        <v>0</v>
      </c>
      <c r="BV132" s="1804">
        <v>0</v>
      </c>
      <c r="BW132" s="1804">
        <v>0</v>
      </c>
      <c r="BX132" s="1804">
        <v>0</v>
      </c>
      <c r="BY132" s="1804">
        <v>0</v>
      </c>
      <c r="BZ132" s="1804">
        <v>0</v>
      </c>
      <c r="CA132" s="1804">
        <v>0</v>
      </c>
      <c r="CB132" s="1804">
        <v>0</v>
      </c>
      <c r="CC132" s="1804">
        <v>0</v>
      </c>
      <c r="CD132" s="1804">
        <v>0</v>
      </c>
      <c r="CE132" s="1804">
        <v>0</v>
      </c>
      <c r="CF132" s="1804">
        <v>0</v>
      </c>
      <c r="CG132" s="1804">
        <v>0</v>
      </c>
      <c r="CH132" s="1804">
        <v>0</v>
      </c>
      <c r="CI132" s="1804">
        <v>0</v>
      </c>
      <c r="CJ132" s="1804">
        <v>0</v>
      </c>
      <c r="CK132" s="1804">
        <v>0</v>
      </c>
      <c r="CL132" s="1804">
        <v>0</v>
      </c>
      <c r="CM132" s="1804">
        <v>0</v>
      </c>
      <c r="CN132" s="1804">
        <v>0</v>
      </c>
      <c r="CO132" s="1804">
        <v>0</v>
      </c>
      <c r="CP132" s="1804">
        <v>0</v>
      </c>
      <c r="CQ132" s="1804">
        <v>0</v>
      </c>
      <c r="CR132" s="1804">
        <v>0</v>
      </c>
      <c r="CS132" s="1804">
        <v>0</v>
      </c>
      <c r="CT132" s="1804">
        <v>0</v>
      </c>
      <c r="CU132" s="1804">
        <v>0</v>
      </c>
      <c r="CV132" s="1804">
        <v>0</v>
      </c>
      <c r="CW132" s="1804">
        <v>0</v>
      </c>
      <c r="CX132" s="1804">
        <v>0</v>
      </c>
      <c r="CY132" s="1804">
        <v>0</v>
      </c>
      <c r="CZ132" s="1804">
        <v>0</v>
      </c>
      <c r="DA132" s="1804">
        <v>0</v>
      </c>
      <c r="DB132" s="1804">
        <v>0</v>
      </c>
      <c r="DC132" s="1804">
        <v>0</v>
      </c>
      <c r="DD132" s="1804">
        <v>0</v>
      </c>
      <c r="DE132" s="1804">
        <v>0</v>
      </c>
      <c r="DF132" s="1804">
        <v>0</v>
      </c>
      <c r="DG132" s="1804">
        <v>0</v>
      </c>
      <c r="DH132" s="1804">
        <v>0</v>
      </c>
      <c r="DI132" s="1804">
        <v>0</v>
      </c>
      <c r="DJ132" s="1804">
        <v>0</v>
      </c>
      <c r="DK132" s="1804">
        <v>0</v>
      </c>
      <c r="DL132" s="1804">
        <v>0</v>
      </c>
      <c r="DM132" s="1804">
        <v>0</v>
      </c>
      <c r="DN132" s="1804">
        <v>0</v>
      </c>
      <c r="DO132" s="1804">
        <v>0</v>
      </c>
      <c r="DP132" s="1804">
        <v>0</v>
      </c>
      <c r="DQ132" s="1804">
        <v>0</v>
      </c>
      <c r="DR132" s="1804">
        <v>0</v>
      </c>
      <c r="DS132" s="1804">
        <v>0</v>
      </c>
      <c r="DT132" s="1804">
        <v>0</v>
      </c>
      <c r="DU132" s="1804">
        <v>0</v>
      </c>
      <c r="DV132" s="1804">
        <v>0</v>
      </c>
      <c r="DW132" s="1804">
        <v>0</v>
      </c>
      <c r="DX132" s="1804">
        <v>0</v>
      </c>
      <c r="DY132" s="1804">
        <v>0</v>
      </c>
      <c r="DZ132" s="1804">
        <v>0</v>
      </c>
      <c r="EA132" s="1804">
        <v>0</v>
      </c>
      <c r="EB132" s="1804">
        <v>0</v>
      </c>
      <c r="EC132" s="1804">
        <v>0</v>
      </c>
      <c r="ED132" s="1804">
        <v>0</v>
      </c>
      <c r="EE132" s="1804">
        <v>0</v>
      </c>
      <c r="EF132" s="1804">
        <v>0</v>
      </c>
      <c r="EG132" s="1804">
        <v>0</v>
      </c>
      <c r="EH132" s="1804">
        <v>0</v>
      </c>
      <c r="EI132" s="1804">
        <v>0</v>
      </c>
      <c r="EJ132" s="1804">
        <v>0</v>
      </c>
      <c r="EK132" s="1804">
        <v>0</v>
      </c>
      <c r="EL132" s="1804">
        <v>0</v>
      </c>
      <c r="EM132" s="1804">
        <v>0</v>
      </c>
      <c r="EN132" s="1804">
        <v>0</v>
      </c>
      <c r="EO132" s="1804">
        <v>0</v>
      </c>
      <c r="EP132" s="1804">
        <v>0</v>
      </c>
      <c r="EQ132" s="1804">
        <v>0</v>
      </c>
      <c r="ER132" s="1804">
        <v>0</v>
      </c>
      <c r="ES132" s="1804">
        <v>0</v>
      </c>
      <c r="ET132" s="1804">
        <v>0</v>
      </c>
      <c r="EU132" s="1804">
        <v>0</v>
      </c>
      <c r="EV132" s="1804">
        <v>0</v>
      </c>
      <c r="EW132" s="1804">
        <v>0</v>
      </c>
      <c r="EX132" s="1804">
        <v>0</v>
      </c>
      <c r="EY132" s="1804">
        <v>0</v>
      </c>
      <c r="EZ132" s="1804">
        <v>0</v>
      </c>
      <c r="FA132" s="1804">
        <v>0</v>
      </c>
      <c r="FB132" s="1804">
        <v>0</v>
      </c>
      <c r="FC132" s="1804">
        <v>0</v>
      </c>
      <c r="FD132" s="1804">
        <v>0</v>
      </c>
      <c r="FE132" s="1804">
        <v>0</v>
      </c>
      <c r="FF132" s="1804">
        <v>0</v>
      </c>
      <c r="FG132" s="1804">
        <v>0</v>
      </c>
      <c r="FH132" s="1804">
        <v>0</v>
      </c>
      <c r="FI132" s="1804">
        <v>0</v>
      </c>
      <c r="FJ132" s="1804">
        <v>0</v>
      </c>
      <c r="FK132" s="1804">
        <v>0</v>
      </c>
      <c r="FL132" s="1804">
        <v>0</v>
      </c>
      <c r="FM132" s="1804">
        <v>0</v>
      </c>
      <c r="FN132" s="1804">
        <v>0</v>
      </c>
      <c r="FO132" s="1804">
        <v>0</v>
      </c>
      <c r="FP132" s="1804">
        <v>0</v>
      </c>
      <c r="FQ132" s="1804">
        <v>0</v>
      </c>
      <c r="FR132" s="1804">
        <v>0</v>
      </c>
      <c r="FS132" s="1804">
        <v>0</v>
      </c>
      <c r="FT132" s="1804">
        <v>0</v>
      </c>
      <c r="FU132" s="1804">
        <v>0</v>
      </c>
      <c r="FV132" s="1804">
        <v>0</v>
      </c>
      <c r="FW132" s="1804">
        <v>0</v>
      </c>
      <c r="FX132" s="1804">
        <v>0</v>
      </c>
      <c r="FY132" s="1804">
        <v>0</v>
      </c>
      <c r="FZ132" s="1804">
        <v>0</v>
      </c>
      <c r="GA132" s="1804">
        <v>0</v>
      </c>
      <c r="GB132" s="1804">
        <v>0</v>
      </c>
      <c r="GC132" s="1804">
        <v>0</v>
      </c>
      <c r="GD132" s="1804">
        <v>0</v>
      </c>
      <c r="GE132" s="1804">
        <v>0</v>
      </c>
      <c r="GF132" s="1804">
        <v>0</v>
      </c>
      <c r="GG132" s="1804">
        <v>0</v>
      </c>
      <c r="GH132" s="1804">
        <v>0</v>
      </c>
      <c r="GI132" s="1804">
        <v>0</v>
      </c>
      <c r="GJ132" s="1804">
        <v>0</v>
      </c>
      <c r="GK132" s="1804">
        <v>0</v>
      </c>
      <c r="GL132" s="1804">
        <v>0</v>
      </c>
      <c r="GM132" s="1804">
        <v>0</v>
      </c>
      <c r="GN132" s="1804">
        <v>0</v>
      </c>
      <c r="GO132" s="1804">
        <v>0</v>
      </c>
      <c r="GP132" s="1804">
        <v>0</v>
      </c>
      <c r="GQ132" s="1804">
        <v>0</v>
      </c>
      <c r="GR132" s="1804">
        <v>0</v>
      </c>
      <c r="GS132" s="1804">
        <v>0</v>
      </c>
      <c r="GT132" s="1804">
        <v>0</v>
      </c>
      <c r="GU132" s="1804">
        <v>0</v>
      </c>
      <c r="GV132" s="1804">
        <v>0</v>
      </c>
      <c r="GW132" s="1804">
        <v>0</v>
      </c>
      <c r="GX132" s="1804">
        <v>0</v>
      </c>
      <c r="GY132" s="1804">
        <v>0</v>
      </c>
      <c r="GZ132" s="1804">
        <v>0</v>
      </c>
      <c r="HA132" s="1804">
        <v>0</v>
      </c>
      <c r="HB132" s="1804">
        <v>0</v>
      </c>
      <c r="HC132" s="1804">
        <v>0</v>
      </c>
      <c r="HD132" s="1804">
        <v>0</v>
      </c>
      <c r="HE132" s="1804">
        <v>0</v>
      </c>
    </row>
    <row r="133" spans="1:213" ht="15" customHeight="1" thickBot="1" x14ac:dyDescent="0.25">
      <c r="A133" s="1965"/>
      <c r="B133" s="1991"/>
      <c r="C133" s="1697" t="s">
        <v>76</v>
      </c>
      <c r="D133" s="1883"/>
      <c r="E133" s="1984"/>
      <c r="F133" s="1838">
        <v>0</v>
      </c>
      <c r="G133" s="1804">
        <v>0</v>
      </c>
      <c r="H133" s="1804">
        <v>0</v>
      </c>
      <c r="I133" s="1804">
        <v>0</v>
      </c>
      <c r="J133" s="1804">
        <v>0</v>
      </c>
      <c r="K133" s="1804">
        <v>0</v>
      </c>
      <c r="L133" s="1804">
        <v>0</v>
      </c>
      <c r="M133" s="1804">
        <v>0</v>
      </c>
      <c r="N133" s="1804">
        <v>0</v>
      </c>
      <c r="O133" s="1804">
        <v>0</v>
      </c>
      <c r="P133" s="1804">
        <v>0</v>
      </c>
      <c r="Q133" s="1804">
        <v>0</v>
      </c>
      <c r="R133" s="1804">
        <v>0</v>
      </c>
      <c r="S133" s="1804">
        <v>0</v>
      </c>
      <c r="T133" s="1804">
        <v>0</v>
      </c>
      <c r="U133" s="1804">
        <v>0</v>
      </c>
      <c r="V133" s="1804">
        <v>0</v>
      </c>
      <c r="W133" s="1804">
        <v>0</v>
      </c>
      <c r="X133" s="1804">
        <v>0</v>
      </c>
      <c r="Y133" s="1804">
        <v>0</v>
      </c>
      <c r="Z133" s="1804">
        <v>0</v>
      </c>
      <c r="AA133" s="1804">
        <v>0</v>
      </c>
      <c r="AB133" s="1804">
        <v>0</v>
      </c>
      <c r="AC133" s="1804">
        <v>0</v>
      </c>
      <c r="AD133" s="1804">
        <v>0</v>
      </c>
      <c r="AE133" s="1804">
        <v>0</v>
      </c>
      <c r="AF133" s="1804">
        <v>0</v>
      </c>
      <c r="AG133" s="1804">
        <v>0</v>
      </c>
      <c r="AH133" s="1804">
        <v>0</v>
      </c>
      <c r="AI133" s="1804">
        <v>0</v>
      </c>
      <c r="AJ133" s="1804">
        <v>0</v>
      </c>
      <c r="AK133" s="1804">
        <v>0</v>
      </c>
      <c r="AL133" s="1804">
        <v>0</v>
      </c>
      <c r="AM133" s="1804">
        <v>0</v>
      </c>
      <c r="AN133" s="1804">
        <v>0</v>
      </c>
      <c r="AO133" s="1804">
        <v>0</v>
      </c>
      <c r="AP133" s="1804">
        <v>0</v>
      </c>
      <c r="AQ133" s="1804">
        <v>0</v>
      </c>
      <c r="AR133" s="1804">
        <v>0</v>
      </c>
      <c r="AS133" s="1804">
        <v>0</v>
      </c>
      <c r="AT133" s="1804">
        <v>0</v>
      </c>
      <c r="AU133" s="1804">
        <v>0</v>
      </c>
      <c r="AV133" s="1804">
        <v>0</v>
      </c>
      <c r="AW133" s="1804">
        <v>0</v>
      </c>
      <c r="AX133" s="1804">
        <v>0</v>
      </c>
      <c r="AY133" s="1804">
        <v>0</v>
      </c>
      <c r="AZ133" s="1804">
        <v>0</v>
      </c>
      <c r="BA133" s="1804">
        <v>0</v>
      </c>
      <c r="BB133" s="1804">
        <v>0</v>
      </c>
      <c r="BC133" s="1804">
        <v>0</v>
      </c>
      <c r="BD133" s="1804">
        <v>0</v>
      </c>
      <c r="BE133" s="1804">
        <v>0</v>
      </c>
      <c r="BF133" s="1804">
        <v>0</v>
      </c>
      <c r="BG133" s="1804">
        <v>0</v>
      </c>
      <c r="BH133" s="1804">
        <v>0</v>
      </c>
      <c r="BI133" s="1804">
        <v>0</v>
      </c>
      <c r="BJ133" s="1804">
        <v>0</v>
      </c>
      <c r="BK133" s="1804">
        <v>0</v>
      </c>
      <c r="BL133" s="1804">
        <v>0</v>
      </c>
      <c r="BM133" s="1804">
        <v>0</v>
      </c>
      <c r="BN133" s="1804">
        <v>0</v>
      </c>
      <c r="BO133" s="1804">
        <v>0</v>
      </c>
      <c r="BP133" s="1804">
        <v>0</v>
      </c>
      <c r="BQ133" s="1804">
        <v>0</v>
      </c>
      <c r="BR133" s="1804">
        <v>0</v>
      </c>
      <c r="BS133" s="1804">
        <v>0</v>
      </c>
      <c r="BT133" s="1804">
        <v>0</v>
      </c>
      <c r="BU133" s="1804">
        <v>0</v>
      </c>
      <c r="BV133" s="1804">
        <v>0</v>
      </c>
      <c r="BW133" s="1804">
        <v>0</v>
      </c>
      <c r="BX133" s="1804">
        <v>0</v>
      </c>
      <c r="BY133" s="1804">
        <v>0</v>
      </c>
      <c r="BZ133" s="1804">
        <v>0</v>
      </c>
      <c r="CA133" s="1804">
        <v>0</v>
      </c>
      <c r="CB133" s="1804">
        <v>0</v>
      </c>
      <c r="CC133" s="1804">
        <v>0</v>
      </c>
      <c r="CD133" s="1804">
        <v>0</v>
      </c>
      <c r="CE133" s="1804">
        <v>0</v>
      </c>
      <c r="CF133" s="1804">
        <v>0</v>
      </c>
      <c r="CG133" s="1804">
        <v>0</v>
      </c>
      <c r="CH133" s="1804">
        <v>0</v>
      </c>
      <c r="CI133" s="1804">
        <v>0</v>
      </c>
      <c r="CJ133" s="1804">
        <v>0</v>
      </c>
      <c r="CK133" s="1804">
        <v>0</v>
      </c>
      <c r="CL133" s="1804">
        <v>0</v>
      </c>
      <c r="CM133" s="1804">
        <v>0</v>
      </c>
      <c r="CN133" s="1804">
        <v>0</v>
      </c>
      <c r="CO133" s="1804">
        <v>0</v>
      </c>
      <c r="CP133" s="1804">
        <v>0</v>
      </c>
      <c r="CQ133" s="1804">
        <v>0</v>
      </c>
      <c r="CR133" s="1804">
        <v>0</v>
      </c>
      <c r="CS133" s="1804">
        <v>0</v>
      </c>
      <c r="CT133" s="1804">
        <v>0</v>
      </c>
      <c r="CU133" s="1804">
        <v>0</v>
      </c>
      <c r="CV133" s="1804">
        <v>0</v>
      </c>
      <c r="CW133" s="1804">
        <v>0</v>
      </c>
      <c r="CX133" s="1804">
        <v>0</v>
      </c>
      <c r="CY133" s="1804">
        <v>0</v>
      </c>
      <c r="CZ133" s="1804">
        <v>0</v>
      </c>
      <c r="DA133" s="1804">
        <v>0</v>
      </c>
      <c r="DB133" s="1804">
        <v>0</v>
      </c>
      <c r="DC133" s="1804">
        <v>0</v>
      </c>
      <c r="DD133" s="1804">
        <v>0</v>
      </c>
      <c r="DE133" s="1804">
        <v>0</v>
      </c>
      <c r="DF133" s="1804">
        <v>0</v>
      </c>
      <c r="DG133" s="1804">
        <v>0</v>
      </c>
      <c r="DH133" s="1804">
        <v>0</v>
      </c>
      <c r="DI133" s="1804">
        <v>0</v>
      </c>
      <c r="DJ133" s="1804">
        <v>0</v>
      </c>
      <c r="DK133" s="1804">
        <v>0</v>
      </c>
      <c r="DL133" s="1804">
        <v>0</v>
      </c>
      <c r="DM133" s="1804">
        <v>0</v>
      </c>
      <c r="DN133" s="1804">
        <v>0</v>
      </c>
      <c r="DO133" s="1804">
        <v>0</v>
      </c>
      <c r="DP133" s="1804">
        <v>0</v>
      </c>
      <c r="DQ133" s="1804">
        <v>0</v>
      </c>
      <c r="DR133" s="1804">
        <v>0</v>
      </c>
      <c r="DS133" s="1804">
        <v>0</v>
      </c>
      <c r="DT133" s="1804">
        <v>0</v>
      </c>
      <c r="DU133" s="1804">
        <v>0</v>
      </c>
      <c r="DV133" s="1804">
        <v>0</v>
      </c>
      <c r="DW133" s="1804">
        <v>0</v>
      </c>
      <c r="DX133" s="1804">
        <v>0</v>
      </c>
      <c r="DY133" s="1804">
        <v>0</v>
      </c>
      <c r="DZ133" s="1804">
        <v>0</v>
      </c>
      <c r="EA133" s="1804">
        <v>0</v>
      </c>
      <c r="EB133" s="1804">
        <v>0</v>
      </c>
      <c r="EC133" s="1804">
        <v>0</v>
      </c>
      <c r="ED133" s="1804">
        <v>0</v>
      </c>
      <c r="EE133" s="1804">
        <v>0</v>
      </c>
      <c r="EF133" s="1804">
        <v>0</v>
      </c>
      <c r="EG133" s="1804">
        <v>0</v>
      </c>
      <c r="EH133" s="1804">
        <v>0</v>
      </c>
      <c r="EI133" s="1804">
        <v>0</v>
      </c>
      <c r="EJ133" s="1804">
        <v>0</v>
      </c>
      <c r="EK133" s="1804">
        <v>0</v>
      </c>
      <c r="EL133" s="1804">
        <v>0</v>
      </c>
      <c r="EM133" s="1804">
        <v>0</v>
      </c>
      <c r="EN133" s="1804">
        <v>0</v>
      </c>
      <c r="EO133" s="1804">
        <v>0</v>
      </c>
      <c r="EP133" s="1804">
        <v>0</v>
      </c>
      <c r="EQ133" s="1804">
        <v>0</v>
      </c>
      <c r="ER133" s="1804">
        <v>0</v>
      </c>
      <c r="ES133" s="1804">
        <v>0</v>
      </c>
      <c r="ET133" s="1804">
        <v>0</v>
      </c>
      <c r="EU133" s="1804">
        <v>0</v>
      </c>
      <c r="EV133" s="1804">
        <v>0</v>
      </c>
      <c r="EW133" s="1804">
        <v>0</v>
      </c>
      <c r="EX133" s="1804">
        <v>0</v>
      </c>
      <c r="EY133" s="1804">
        <v>0</v>
      </c>
      <c r="EZ133" s="1804">
        <v>0</v>
      </c>
      <c r="FA133" s="1804">
        <v>0</v>
      </c>
      <c r="FB133" s="1804">
        <v>0</v>
      </c>
      <c r="FC133" s="1804">
        <v>0</v>
      </c>
      <c r="FD133" s="1804">
        <v>0</v>
      </c>
      <c r="FE133" s="1804">
        <v>0</v>
      </c>
      <c r="FF133" s="1804">
        <v>0</v>
      </c>
      <c r="FG133" s="1804">
        <v>0</v>
      </c>
      <c r="FH133" s="1804">
        <v>0</v>
      </c>
      <c r="FI133" s="1804">
        <v>0</v>
      </c>
      <c r="FJ133" s="1804">
        <v>0</v>
      </c>
      <c r="FK133" s="1804">
        <v>0</v>
      </c>
      <c r="FL133" s="1804">
        <v>0</v>
      </c>
      <c r="FM133" s="1804">
        <v>0</v>
      </c>
      <c r="FN133" s="1804">
        <v>0</v>
      </c>
      <c r="FO133" s="1804">
        <v>0</v>
      </c>
      <c r="FP133" s="1804">
        <v>0</v>
      </c>
      <c r="FQ133" s="1804">
        <v>0</v>
      </c>
      <c r="FR133" s="1804">
        <v>0</v>
      </c>
      <c r="FS133" s="1804">
        <v>0</v>
      </c>
      <c r="FT133" s="1804">
        <v>0</v>
      </c>
      <c r="FU133" s="1804">
        <v>0</v>
      </c>
      <c r="FV133" s="1804">
        <v>0</v>
      </c>
      <c r="FW133" s="1804">
        <v>0</v>
      </c>
      <c r="FX133" s="1804">
        <v>0</v>
      </c>
      <c r="FY133" s="1804">
        <v>0</v>
      </c>
      <c r="FZ133" s="1804">
        <v>0</v>
      </c>
      <c r="GA133" s="1804">
        <v>0</v>
      </c>
      <c r="GB133" s="1804">
        <v>0</v>
      </c>
      <c r="GC133" s="1804">
        <v>0</v>
      </c>
      <c r="GD133" s="1804">
        <v>0</v>
      </c>
      <c r="GE133" s="1804">
        <v>0</v>
      </c>
      <c r="GF133" s="1804">
        <v>0</v>
      </c>
      <c r="GG133" s="1804">
        <v>0</v>
      </c>
      <c r="GH133" s="1804">
        <v>0</v>
      </c>
      <c r="GI133" s="1804">
        <v>0</v>
      </c>
      <c r="GJ133" s="1804">
        <v>0</v>
      </c>
      <c r="GK133" s="1804">
        <v>0</v>
      </c>
      <c r="GL133" s="1804">
        <v>0</v>
      </c>
      <c r="GM133" s="1804">
        <v>0</v>
      </c>
      <c r="GN133" s="1804">
        <v>0</v>
      </c>
      <c r="GO133" s="1804">
        <v>0</v>
      </c>
      <c r="GP133" s="1804">
        <v>0</v>
      </c>
      <c r="GQ133" s="1804">
        <v>0</v>
      </c>
      <c r="GR133" s="1804">
        <v>0</v>
      </c>
      <c r="GS133" s="1804">
        <v>0</v>
      </c>
      <c r="GT133" s="1804">
        <v>0</v>
      </c>
      <c r="GU133" s="1804">
        <v>0</v>
      </c>
      <c r="GV133" s="1804">
        <v>0</v>
      </c>
      <c r="GW133" s="1804">
        <v>0</v>
      </c>
      <c r="GX133" s="1804">
        <v>0</v>
      </c>
      <c r="GY133" s="1804">
        <v>0</v>
      </c>
      <c r="GZ133" s="1804">
        <v>0</v>
      </c>
      <c r="HA133" s="1804">
        <v>0</v>
      </c>
      <c r="HB133" s="1804">
        <v>0</v>
      </c>
      <c r="HC133" s="1804">
        <v>0</v>
      </c>
      <c r="HD133" s="1804">
        <v>0</v>
      </c>
      <c r="HE133" s="1804">
        <v>0</v>
      </c>
    </row>
    <row r="134" spans="1:213" ht="21" customHeight="1" thickBot="1" x14ac:dyDescent="0.25">
      <c r="A134" s="1964" t="s">
        <v>2355</v>
      </c>
      <c r="B134" s="1989" t="s">
        <v>1008</v>
      </c>
      <c r="C134" s="1699" t="s">
        <v>809</v>
      </c>
      <c r="D134" s="1880"/>
      <c r="E134" s="1984"/>
      <c r="F134" s="1865"/>
      <c r="G134" s="1866"/>
      <c r="H134" s="1866"/>
      <c r="I134" s="1866"/>
      <c r="J134" s="1866"/>
      <c r="K134" s="1866"/>
      <c r="L134" s="1866"/>
      <c r="M134" s="1866"/>
      <c r="N134" s="1866"/>
      <c r="O134" s="1866"/>
      <c r="P134" s="1866"/>
      <c r="Q134" s="1866"/>
      <c r="R134" s="1866"/>
      <c r="S134" s="1866"/>
      <c r="T134" s="1866"/>
      <c r="U134" s="1866"/>
      <c r="V134" s="1866"/>
      <c r="W134" s="1866"/>
      <c r="X134" s="1866"/>
      <c r="Y134" s="1866"/>
      <c r="Z134" s="1866"/>
      <c r="AA134" s="1866"/>
      <c r="AB134" s="1866"/>
      <c r="AC134" s="1866"/>
      <c r="AD134" s="1866"/>
      <c r="AE134" s="1866"/>
      <c r="AF134" s="1866"/>
      <c r="AG134" s="1866"/>
      <c r="AH134" s="1866"/>
      <c r="AI134" s="1866"/>
      <c r="AJ134" s="1866"/>
      <c r="AK134" s="1866"/>
      <c r="AL134" s="1866"/>
      <c r="AM134" s="1866"/>
      <c r="AN134" s="1866"/>
      <c r="AO134" s="1866"/>
      <c r="AP134" s="1866"/>
      <c r="AQ134" s="1866"/>
      <c r="AR134" s="1866"/>
      <c r="AS134" s="1866"/>
      <c r="AT134" s="1866"/>
      <c r="AU134" s="1866"/>
      <c r="AV134" s="1866"/>
      <c r="AW134" s="1866"/>
      <c r="AX134" s="1866"/>
      <c r="AY134" s="1866"/>
      <c r="AZ134" s="1866"/>
      <c r="BA134" s="1866"/>
      <c r="BB134" s="1866"/>
      <c r="BC134" s="1866"/>
      <c r="BD134" s="1866"/>
      <c r="BE134" s="1866"/>
      <c r="BF134" s="1866"/>
      <c r="BG134" s="1866"/>
      <c r="BH134" s="1866"/>
      <c r="BI134" s="1866"/>
      <c r="BJ134" s="1866"/>
      <c r="BK134" s="1866"/>
      <c r="BL134" s="1866"/>
      <c r="BM134" s="1866"/>
      <c r="BN134" s="1866"/>
      <c r="BO134" s="1866"/>
      <c r="BP134" s="1866"/>
      <c r="BQ134" s="1866"/>
      <c r="BR134" s="1866"/>
      <c r="BS134" s="1866"/>
      <c r="BT134" s="1866"/>
      <c r="BU134" s="1866"/>
      <c r="BV134" s="1866"/>
      <c r="BW134" s="1866"/>
      <c r="BX134" s="1866"/>
      <c r="BY134" s="1866"/>
      <c r="BZ134" s="1866"/>
      <c r="CA134" s="1866"/>
      <c r="CB134" s="1866"/>
      <c r="CC134" s="1866"/>
      <c r="CD134" s="1866"/>
      <c r="CE134" s="1866"/>
      <c r="CF134" s="1866"/>
      <c r="CG134" s="1866"/>
      <c r="CH134" s="1866"/>
      <c r="CI134" s="1866"/>
      <c r="CJ134" s="1866"/>
      <c r="CK134" s="1866"/>
      <c r="CL134" s="1866"/>
      <c r="CM134" s="1866"/>
      <c r="CN134" s="1866"/>
      <c r="CO134" s="1866"/>
      <c r="CP134" s="1866"/>
      <c r="CQ134" s="1866"/>
      <c r="CR134" s="1866"/>
      <c r="CS134" s="1866"/>
      <c r="CT134" s="1866"/>
      <c r="CU134" s="1866"/>
      <c r="CV134" s="1866"/>
      <c r="CW134" s="1866"/>
      <c r="CX134" s="1866"/>
      <c r="CY134" s="1866"/>
      <c r="CZ134" s="1866"/>
      <c r="DA134" s="1866"/>
      <c r="DB134" s="1866"/>
      <c r="DC134" s="1866"/>
      <c r="DD134" s="1866"/>
      <c r="DE134" s="1866"/>
      <c r="DF134" s="1866"/>
      <c r="DG134" s="1866"/>
      <c r="DH134" s="1866"/>
      <c r="DI134" s="1866"/>
      <c r="DJ134" s="1866"/>
      <c r="DK134" s="1866"/>
      <c r="DL134" s="1866"/>
      <c r="DM134" s="1866"/>
      <c r="DN134" s="1866"/>
      <c r="DO134" s="1866"/>
      <c r="DP134" s="1866"/>
      <c r="DQ134" s="1866"/>
      <c r="DR134" s="1866"/>
      <c r="DS134" s="1866"/>
      <c r="DT134" s="1866"/>
      <c r="DU134" s="1866"/>
      <c r="DV134" s="1866"/>
      <c r="DW134" s="1866"/>
      <c r="DX134" s="1866"/>
      <c r="DY134" s="1866"/>
      <c r="DZ134" s="1866"/>
      <c r="EA134" s="1866"/>
      <c r="EB134" s="1866"/>
      <c r="EC134" s="1866"/>
      <c r="ED134" s="1866"/>
      <c r="EE134" s="1866"/>
      <c r="EF134" s="1866"/>
      <c r="EG134" s="1866"/>
      <c r="EH134" s="1866"/>
      <c r="EI134" s="1866"/>
      <c r="EJ134" s="1866"/>
      <c r="EK134" s="1866"/>
      <c r="EL134" s="1866"/>
      <c r="EM134" s="1866"/>
      <c r="EN134" s="1866"/>
      <c r="EO134" s="1866"/>
      <c r="EP134" s="1866"/>
      <c r="EQ134" s="1866"/>
      <c r="ER134" s="1866"/>
      <c r="ES134" s="1866"/>
      <c r="ET134" s="1866"/>
      <c r="EU134" s="1866"/>
      <c r="EV134" s="1866"/>
      <c r="EW134" s="1866"/>
      <c r="EX134" s="1866"/>
      <c r="EY134" s="1866"/>
      <c r="EZ134" s="1866"/>
      <c r="FA134" s="1866"/>
      <c r="FB134" s="1866"/>
      <c r="FC134" s="1866"/>
      <c r="FD134" s="1866"/>
      <c r="FE134" s="1866"/>
      <c r="FF134" s="1866"/>
      <c r="FG134" s="1866"/>
      <c r="FH134" s="1866"/>
      <c r="FI134" s="1866"/>
      <c r="FJ134" s="1866"/>
      <c r="FK134" s="1866"/>
      <c r="FL134" s="1866"/>
      <c r="FM134" s="1866"/>
      <c r="FN134" s="1866"/>
      <c r="FO134" s="1866"/>
      <c r="FP134" s="1866"/>
      <c r="FQ134" s="1866"/>
      <c r="FR134" s="1866"/>
      <c r="FS134" s="1866"/>
      <c r="FT134" s="1866"/>
      <c r="FU134" s="1866"/>
      <c r="FV134" s="1866"/>
      <c r="FW134" s="1866"/>
      <c r="FX134" s="1866"/>
      <c r="FY134" s="1866"/>
      <c r="FZ134" s="1866"/>
      <c r="GA134" s="1866"/>
      <c r="GB134" s="1866"/>
      <c r="GC134" s="1866"/>
      <c r="GD134" s="1866"/>
      <c r="GE134" s="1866"/>
      <c r="GF134" s="1866"/>
      <c r="GG134" s="1866"/>
      <c r="GH134" s="1866"/>
      <c r="GI134" s="1866"/>
      <c r="GJ134" s="1866"/>
      <c r="GK134" s="1866"/>
      <c r="GL134" s="1866"/>
      <c r="GM134" s="1866"/>
      <c r="GN134" s="1866"/>
      <c r="GO134" s="1866"/>
      <c r="GP134" s="1866"/>
      <c r="GQ134" s="1866"/>
      <c r="GR134" s="1866"/>
      <c r="GS134" s="1866"/>
      <c r="GT134" s="1866"/>
      <c r="GU134" s="1866"/>
      <c r="GV134" s="1866"/>
      <c r="GW134" s="1866"/>
      <c r="GX134" s="1866"/>
      <c r="GY134" s="1866"/>
      <c r="GZ134" s="1866"/>
      <c r="HA134" s="1866"/>
      <c r="HB134" s="1866"/>
      <c r="HC134" s="1866"/>
      <c r="HD134" s="1866"/>
      <c r="HE134" s="1866"/>
    </row>
    <row r="135" spans="1:213" ht="15" customHeight="1" x14ac:dyDescent="0.2">
      <c r="A135" s="1964"/>
      <c r="B135" s="1989"/>
      <c r="C135" s="1696" t="s">
        <v>1371</v>
      </c>
      <c r="D135" s="1885"/>
      <c r="E135" s="1984"/>
      <c r="F135" s="1838">
        <v>0</v>
      </c>
      <c r="G135" s="1804">
        <v>0</v>
      </c>
      <c r="H135" s="1804">
        <v>0</v>
      </c>
      <c r="I135" s="1804">
        <v>0</v>
      </c>
      <c r="J135" s="1804">
        <v>0</v>
      </c>
      <c r="K135" s="1804">
        <v>0</v>
      </c>
      <c r="L135" s="1804">
        <v>0</v>
      </c>
      <c r="M135" s="1804">
        <v>0</v>
      </c>
      <c r="N135" s="1804">
        <v>0</v>
      </c>
      <c r="O135" s="1804">
        <v>0</v>
      </c>
      <c r="P135" s="1804">
        <v>0</v>
      </c>
      <c r="Q135" s="1804">
        <v>0</v>
      </c>
      <c r="R135" s="1804">
        <v>0</v>
      </c>
      <c r="S135" s="1804">
        <v>0</v>
      </c>
      <c r="T135" s="1804">
        <v>0</v>
      </c>
      <c r="U135" s="1804">
        <v>0</v>
      </c>
      <c r="V135" s="1804">
        <v>0</v>
      </c>
      <c r="W135" s="1804">
        <v>0</v>
      </c>
      <c r="X135" s="1804">
        <v>0</v>
      </c>
      <c r="Y135" s="1804">
        <v>0</v>
      </c>
      <c r="Z135" s="1804">
        <v>0</v>
      </c>
      <c r="AA135" s="1804">
        <v>0</v>
      </c>
      <c r="AB135" s="1804">
        <v>0</v>
      </c>
      <c r="AC135" s="1804">
        <v>0</v>
      </c>
      <c r="AD135" s="1804">
        <v>0</v>
      </c>
      <c r="AE135" s="1804">
        <v>0</v>
      </c>
      <c r="AF135" s="1804">
        <v>0</v>
      </c>
      <c r="AG135" s="1804">
        <v>0</v>
      </c>
      <c r="AH135" s="1804">
        <v>0</v>
      </c>
      <c r="AI135" s="1804">
        <v>0</v>
      </c>
      <c r="AJ135" s="1804">
        <v>0</v>
      </c>
      <c r="AK135" s="1804">
        <v>0</v>
      </c>
      <c r="AL135" s="1804">
        <v>0</v>
      </c>
      <c r="AM135" s="1804">
        <v>0</v>
      </c>
      <c r="AN135" s="1804">
        <v>0</v>
      </c>
      <c r="AO135" s="1804">
        <v>0</v>
      </c>
      <c r="AP135" s="1804">
        <v>0</v>
      </c>
      <c r="AQ135" s="1804">
        <v>0</v>
      </c>
      <c r="AR135" s="1804">
        <v>0</v>
      </c>
      <c r="AS135" s="1804">
        <v>0</v>
      </c>
      <c r="AT135" s="1804">
        <v>0</v>
      </c>
      <c r="AU135" s="1804">
        <v>0</v>
      </c>
      <c r="AV135" s="1804">
        <v>0</v>
      </c>
      <c r="AW135" s="1804">
        <v>0</v>
      </c>
      <c r="AX135" s="1804">
        <v>0</v>
      </c>
      <c r="AY135" s="1804">
        <v>0</v>
      </c>
      <c r="AZ135" s="1804">
        <v>0</v>
      </c>
      <c r="BA135" s="1804">
        <v>0</v>
      </c>
      <c r="BB135" s="1804">
        <v>0</v>
      </c>
      <c r="BC135" s="1804">
        <v>0</v>
      </c>
      <c r="BD135" s="1804">
        <v>0</v>
      </c>
      <c r="BE135" s="1804">
        <v>0</v>
      </c>
      <c r="BF135" s="1804">
        <v>0</v>
      </c>
      <c r="BG135" s="1804">
        <v>0</v>
      </c>
      <c r="BH135" s="1804">
        <v>0</v>
      </c>
      <c r="BI135" s="1804">
        <v>0</v>
      </c>
      <c r="BJ135" s="1804">
        <v>0</v>
      </c>
      <c r="BK135" s="1804">
        <v>0</v>
      </c>
      <c r="BL135" s="1804">
        <v>0</v>
      </c>
      <c r="BM135" s="1804">
        <v>0</v>
      </c>
      <c r="BN135" s="1804">
        <v>0</v>
      </c>
      <c r="BO135" s="1804">
        <v>0</v>
      </c>
      <c r="BP135" s="1804">
        <v>0</v>
      </c>
      <c r="BQ135" s="1804">
        <v>0</v>
      </c>
      <c r="BR135" s="1804">
        <v>0</v>
      </c>
      <c r="BS135" s="1804">
        <v>0</v>
      </c>
      <c r="BT135" s="1804">
        <v>0</v>
      </c>
      <c r="BU135" s="1804">
        <v>0</v>
      </c>
      <c r="BV135" s="1804">
        <v>0</v>
      </c>
      <c r="BW135" s="1804">
        <v>0</v>
      </c>
      <c r="BX135" s="1804">
        <v>0</v>
      </c>
      <c r="BY135" s="1804">
        <v>0</v>
      </c>
      <c r="BZ135" s="1804">
        <v>0</v>
      </c>
      <c r="CA135" s="1804">
        <v>0</v>
      </c>
      <c r="CB135" s="1804">
        <v>0</v>
      </c>
      <c r="CC135" s="1804">
        <v>0</v>
      </c>
      <c r="CD135" s="1804">
        <v>0</v>
      </c>
      <c r="CE135" s="1804">
        <v>0</v>
      </c>
      <c r="CF135" s="1804">
        <v>0</v>
      </c>
      <c r="CG135" s="1804">
        <v>0</v>
      </c>
      <c r="CH135" s="1804">
        <v>0</v>
      </c>
      <c r="CI135" s="1804">
        <v>0</v>
      </c>
      <c r="CJ135" s="1804">
        <v>0</v>
      </c>
      <c r="CK135" s="1804">
        <v>0</v>
      </c>
      <c r="CL135" s="1804">
        <v>0</v>
      </c>
      <c r="CM135" s="1804">
        <v>0</v>
      </c>
      <c r="CN135" s="1804">
        <v>0</v>
      </c>
      <c r="CO135" s="1804">
        <v>0</v>
      </c>
      <c r="CP135" s="1804">
        <v>0</v>
      </c>
      <c r="CQ135" s="1804">
        <v>0</v>
      </c>
      <c r="CR135" s="1804">
        <v>0</v>
      </c>
      <c r="CS135" s="1804">
        <v>0</v>
      </c>
      <c r="CT135" s="1804">
        <v>0</v>
      </c>
      <c r="CU135" s="1804">
        <v>0</v>
      </c>
      <c r="CV135" s="1804">
        <v>0</v>
      </c>
      <c r="CW135" s="1804">
        <v>0</v>
      </c>
      <c r="CX135" s="1804">
        <v>0</v>
      </c>
      <c r="CY135" s="1804">
        <v>0</v>
      </c>
      <c r="CZ135" s="1804">
        <v>0</v>
      </c>
      <c r="DA135" s="1804">
        <v>0</v>
      </c>
      <c r="DB135" s="1804">
        <v>0</v>
      </c>
      <c r="DC135" s="1804">
        <v>0</v>
      </c>
      <c r="DD135" s="1804">
        <v>0</v>
      </c>
      <c r="DE135" s="1804">
        <v>0</v>
      </c>
      <c r="DF135" s="1804">
        <v>0</v>
      </c>
      <c r="DG135" s="1804">
        <v>0</v>
      </c>
      <c r="DH135" s="1804">
        <v>0</v>
      </c>
      <c r="DI135" s="1804">
        <v>0</v>
      </c>
      <c r="DJ135" s="1804">
        <v>0</v>
      </c>
      <c r="DK135" s="1804">
        <v>0</v>
      </c>
      <c r="DL135" s="1804">
        <v>0</v>
      </c>
      <c r="DM135" s="1804">
        <v>0</v>
      </c>
      <c r="DN135" s="1804">
        <v>0</v>
      </c>
      <c r="DO135" s="1804">
        <v>0</v>
      </c>
      <c r="DP135" s="1804">
        <v>0</v>
      </c>
      <c r="DQ135" s="1804">
        <v>0</v>
      </c>
      <c r="DR135" s="1804">
        <v>0</v>
      </c>
      <c r="DS135" s="1804">
        <v>0</v>
      </c>
      <c r="DT135" s="1804">
        <v>0</v>
      </c>
      <c r="DU135" s="1804">
        <v>0</v>
      </c>
      <c r="DV135" s="1804">
        <v>0</v>
      </c>
      <c r="DW135" s="1804">
        <v>0</v>
      </c>
      <c r="DX135" s="1804">
        <v>0</v>
      </c>
      <c r="DY135" s="1804">
        <v>0</v>
      </c>
      <c r="DZ135" s="1804">
        <v>0</v>
      </c>
      <c r="EA135" s="1804">
        <v>0</v>
      </c>
      <c r="EB135" s="1804">
        <v>0</v>
      </c>
      <c r="EC135" s="1804">
        <v>0</v>
      </c>
      <c r="ED135" s="1804">
        <v>0</v>
      </c>
      <c r="EE135" s="1804">
        <v>0</v>
      </c>
      <c r="EF135" s="1804">
        <v>0</v>
      </c>
      <c r="EG135" s="1804">
        <v>0</v>
      </c>
      <c r="EH135" s="1804">
        <v>0</v>
      </c>
      <c r="EI135" s="1804">
        <v>0</v>
      </c>
      <c r="EJ135" s="1804">
        <v>0</v>
      </c>
      <c r="EK135" s="1804">
        <v>0</v>
      </c>
      <c r="EL135" s="1804">
        <v>0</v>
      </c>
      <c r="EM135" s="1804">
        <v>0</v>
      </c>
      <c r="EN135" s="1804">
        <v>0</v>
      </c>
      <c r="EO135" s="1804">
        <v>0</v>
      </c>
      <c r="EP135" s="1804">
        <v>0</v>
      </c>
      <c r="EQ135" s="1804">
        <v>0</v>
      </c>
      <c r="ER135" s="1804">
        <v>0</v>
      </c>
      <c r="ES135" s="1804">
        <v>0</v>
      </c>
      <c r="ET135" s="1804">
        <v>0</v>
      </c>
      <c r="EU135" s="1804">
        <v>0</v>
      </c>
      <c r="EV135" s="1804">
        <v>0</v>
      </c>
      <c r="EW135" s="1804">
        <v>0</v>
      </c>
      <c r="EX135" s="1804">
        <v>0</v>
      </c>
      <c r="EY135" s="1804">
        <v>0</v>
      </c>
      <c r="EZ135" s="1804">
        <v>0</v>
      </c>
      <c r="FA135" s="1804">
        <v>0</v>
      </c>
      <c r="FB135" s="1804">
        <v>0</v>
      </c>
      <c r="FC135" s="1804">
        <v>0</v>
      </c>
      <c r="FD135" s="1804">
        <v>0</v>
      </c>
      <c r="FE135" s="1804">
        <v>0</v>
      </c>
      <c r="FF135" s="1804">
        <v>0</v>
      </c>
      <c r="FG135" s="1804">
        <v>0</v>
      </c>
      <c r="FH135" s="1804">
        <v>0</v>
      </c>
      <c r="FI135" s="1804">
        <v>0</v>
      </c>
      <c r="FJ135" s="1804">
        <v>0</v>
      </c>
      <c r="FK135" s="1804">
        <v>0</v>
      </c>
      <c r="FL135" s="1804">
        <v>0</v>
      </c>
      <c r="FM135" s="1804">
        <v>0</v>
      </c>
      <c r="FN135" s="1804">
        <v>0</v>
      </c>
      <c r="FO135" s="1804">
        <v>0</v>
      </c>
      <c r="FP135" s="1804">
        <v>0</v>
      </c>
      <c r="FQ135" s="1804">
        <v>0</v>
      </c>
      <c r="FR135" s="1804">
        <v>0</v>
      </c>
      <c r="FS135" s="1804">
        <v>0</v>
      </c>
      <c r="FT135" s="1804">
        <v>0</v>
      </c>
      <c r="FU135" s="1804">
        <v>0</v>
      </c>
      <c r="FV135" s="1804">
        <v>0</v>
      </c>
      <c r="FW135" s="1804">
        <v>0</v>
      </c>
      <c r="FX135" s="1804">
        <v>0</v>
      </c>
      <c r="FY135" s="1804">
        <v>0</v>
      </c>
      <c r="FZ135" s="1804">
        <v>0</v>
      </c>
      <c r="GA135" s="1804">
        <v>0</v>
      </c>
      <c r="GB135" s="1804">
        <v>0</v>
      </c>
      <c r="GC135" s="1804">
        <v>0</v>
      </c>
      <c r="GD135" s="1804">
        <v>0</v>
      </c>
      <c r="GE135" s="1804">
        <v>0</v>
      </c>
      <c r="GF135" s="1804">
        <v>0</v>
      </c>
      <c r="GG135" s="1804">
        <v>0</v>
      </c>
      <c r="GH135" s="1804">
        <v>0</v>
      </c>
      <c r="GI135" s="1804">
        <v>0</v>
      </c>
      <c r="GJ135" s="1804">
        <v>0</v>
      </c>
      <c r="GK135" s="1804">
        <v>0</v>
      </c>
      <c r="GL135" s="1804">
        <v>0</v>
      </c>
      <c r="GM135" s="1804">
        <v>0</v>
      </c>
      <c r="GN135" s="1804">
        <v>0</v>
      </c>
      <c r="GO135" s="1804">
        <v>0</v>
      </c>
      <c r="GP135" s="1804">
        <v>0</v>
      </c>
      <c r="GQ135" s="1804">
        <v>0</v>
      </c>
      <c r="GR135" s="1804">
        <v>0</v>
      </c>
      <c r="GS135" s="1804">
        <v>0</v>
      </c>
      <c r="GT135" s="1804">
        <v>0</v>
      </c>
      <c r="GU135" s="1804">
        <v>0</v>
      </c>
      <c r="GV135" s="1804">
        <v>0</v>
      </c>
      <c r="GW135" s="1804">
        <v>0</v>
      </c>
      <c r="GX135" s="1804">
        <v>0</v>
      </c>
      <c r="GY135" s="1804">
        <v>0</v>
      </c>
      <c r="GZ135" s="1804">
        <v>0</v>
      </c>
      <c r="HA135" s="1804">
        <v>0</v>
      </c>
      <c r="HB135" s="1804">
        <v>0</v>
      </c>
      <c r="HC135" s="1804">
        <v>0</v>
      </c>
      <c r="HD135" s="1804">
        <v>0</v>
      </c>
      <c r="HE135" s="1804">
        <v>0</v>
      </c>
    </row>
    <row r="136" spans="1:213" ht="15" customHeight="1" x14ac:dyDescent="0.2">
      <c r="A136" s="1964"/>
      <c r="B136" s="1989"/>
      <c r="C136" s="1818" t="s">
        <v>688</v>
      </c>
      <c r="D136" s="1885"/>
      <c r="E136" s="1984"/>
      <c r="F136" s="1838">
        <v>0</v>
      </c>
      <c r="G136" s="1804">
        <v>0</v>
      </c>
      <c r="H136" s="1804">
        <v>0</v>
      </c>
      <c r="I136" s="1804">
        <v>0</v>
      </c>
      <c r="J136" s="1804">
        <v>0</v>
      </c>
      <c r="K136" s="1804">
        <v>0</v>
      </c>
      <c r="L136" s="1804">
        <v>0</v>
      </c>
      <c r="M136" s="1804">
        <v>0</v>
      </c>
      <c r="N136" s="1804">
        <v>0</v>
      </c>
      <c r="O136" s="1804">
        <v>0</v>
      </c>
      <c r="P136" s="1804">
        <v>0</v>
      </c>
      <c r="Q136" s="1804">
        <v>0</v>
      </c>
      <c r="R136" s="1804">
        <v>0</v>
      </c>
      <c r="S136" s="1804">
        <v>0</v>
      </c>
      <c r="T136" s="1804">
        <v>0</v>
      </c>
      <c r="U136" s="1804">
        <v>0</v>
      </c>
      <c r="V136" s="1804">
        <v>0</v>
      </c>
      <c r="W136" s="1804">
        <v>0</v>
      </c>
      <c r="X136" s="1804">
        <v>0</v>
      </c>
      <c r="Y136" s="1804">
        <v>0</v>
      </c>
      <c r="Z136" s="1804">
        <v>0</v>
      </c>
      <c r="AA136" s="1804">
        <v>0</v>
      </c>
      <c r="AB136" s="1804">
        <v>0</v>
      </c>
      <c r="AC136" s="1804">
        <v>0</v>
      </c>
      <c r="AD136" s="1804">
        <v>0</v>
      </c>
      <c r="AE136" s="1804">
        <v>0</v>
      </c>
      <c r="AF136" s="1804">
        <v>0</v>
      </c>
      <c r="AG136" s="1804">
        <v>0</v>
      </c>
      <c r="AH136" s="1804">
        <v>0</v>
      </c>
      <c r="AI136" s="1804">
        <v>0</v>
      </c>
      <c r="AJ136" s="1804">
        <v>0</v>
      </c>
      <c r="AK136" s="1804">
        <v>0</v>
      </c>
      <c r="AL136" s="1804">
        <v>0</v>
      </c>
      <c r="AM136" s="1804">
        <v>0</v>
      </c>
      <c r="AN136" s="1804">
        <v>0</v>
      </c>
      <c r="AO136" s="1804">
        <v>0</v>
      </c>
      <c r="AP136" s="1804">
        <v>0</v>
      </c>
      <c r="AQ136" s="1804">
        <v>0</v>
      </c>
      <c r="AR136" s="1804">
        <v>0</v>
      </c>
      <c r="AS136" s="1804">
        <v>0</v>
      </c>
      <c r="AT136" s="1804">
        <v>0</v>
      </c>
      <c r="AU136" s="1804">
        <v>0</v>
      </c>
      <c r="AV136" s="1804">
        <v>0</v>
      </c>
      <c r="AW136" s="1804">
        <v>0</v>
      </c>
      <c r="AX136" s="1804">
        <v>0</v>
      </c>
      <c r="AY136" s="1804">
        <v>0</v>
      </c>
      <c r="AZ136" s="1804">
        <v>0</v>
      </c>
      <c r="BA136" s="1804">
        <v>0</v>
      </c>
      <c r="BB136" s="1804">
        <v>0</v>
      </c>
      <c r="BC136" s="1804">
        <v>0</v>
      </c>
      <c r="BD136" s="1804">
        <v>0</v>
      </c>
      <c r="BE136" s="1804">
        <v>0</v>
      </c>
      <c r="BF136" s="1804">
        <v>0</v>
      </c>
      <c r="BG136" s="1804">
        <v>0</v>
      </c>
      <c r="BH136" s="1804">
        <v>0</v>
      </c>
      <c r="BI136" s="1804">
        <v>0</v>
      </c>
      <c r="BJ136" s="1804">
        <v>0</v>
      </c>
      <c r="BK136" s="1804">
        <v>0</v>
      </c>
      <c r="BL136" s="1804">
        <v>0</v>
      </c>
      <c r="BM136" s="1804">
        <v>0</v>
      </c>
      <c r="BN136" s="1804">
        <v>0</v>
      </c>
      <c r="BO136" s="1804">
        <v>0</v>
      </c>
      <c r="BP136" s="1804">
        <v>0</v>
      </c>
      <c r="BQ136" s="1804">
        <v>0</v>
      </c>
      <c r="BR136" s="1804">
        <v>0</v>
      </c>
      <c r="BS136" s="1804">
        <v>0</v>
      </c>
      <c r="BT136" s="1804">
        <v>0</v>
      </c>
      <c r="BU136" s="1804">
        <v>0</v>
      </c>
      <c r="BV136" s="1804">
        <v>0</v>
      </c>
      <c r="BW136" s="1804">
        <v>0</v>
      </c>
      <c r="BX136" s="1804">
        <v>0</v>
      </c>
      <c r="BY136" s="1804">
        <v>0</v>
      </c>
      <c r="BZ136" s="1804">
        <v>0</v>
      </c>
      <c r="CA136" s="1804">
        <v>0</v>
      </c>
      <c r="CB136" s="1804">
        <v>0</v>
      </c>
      <c r="CC136" s="1804">
        <v>0</v>
      </c>
      <c r="CD136" s="1804">
        <v>0</v>
      </c>
      <c r="CE136" s="1804">
        <v>0</v>
      </c>
      <c r="CF136" s="1804">
        <v>0</v>
      </c>
      <c r="CG136" s="1804">
        <v>0</v>
      </c>
      <c r="CH136" s="1804">
        <v>0</v>
      </c>
      <c r="CI136" s="1804">
        <v>0</v>
      </c>
      <c r="CJ136" s="1804">
        <v>0</v>
      </c>
      <c r="CK136" s="1804">
        <v>0</v>
      </c>
      <c r="CL136" s="1804">
        <v>0</v>
      </c>
      <c r="CM136" s="1804">
        <v>0</v>
      </c>
      <c r="CN136" s="1804">
        <v>0</v>
      </c>
      <c r="CO136" s="1804">
        <v>0</v>
      </c>
      <c r="CP136" s="1804">
        <v>0</v>
      </c>
      <c r="CQ136" s="1804">
        <v>0</v>
      </c>
      <c r="CR136" s="1804">
        <v>0</v>
      </c>
      <c r="CS136" s="1804">
        <v>0</v>
      </c>
      <c r="CT136" s="1804">
        <v>0</v>
      </c>
      <c r="CU136" s="1804">
        <v>0</v>
      </c>
      <c r="CV136" s="1804">
        <v>0</v>
      </c>
      <c r="CW136" s="1804">
        <v>0</v>
      </c>
      <c r="CX136" s="1804">
        <v>0</v>
      </c>
      <c r="CY136" s="1804">
        <v>0</v>
      </c>
      <c r="CZ136" s="1804">
        <v>0</v>
      </c>
      <c r="DA136" s="1804">
        <v>0</v>
      </c>
      <c r="DB136" s="1804">
        <v>0</v>
      </c>
      <c r="DC136" s="1804">
        <v>0</v>
      </c>
      <c r="DD136" s="1804">
        <v>0</v>
      </c>
      <c r="DE136" s="1804">
        <v>0</v>
      </c>
      <c r="DF136" s="1804">
        <v>0</v>
      </c>
      <c r="DG136" s="1804">
        <v>0</v>
      </c>
      <c r="DH136" s="1804">
        <v>0</v>
      </c>
      <c r="DI136" s="1804">
        <v>0</v>
      </c>
      <c r="DJ136" s="1804">
        <v>0</v>
      </c>
      <c r="DK136" s="1804">
        <v>0</v>
      </c>
      <c r="DL136" s="1804">
        <v>0</v>
      </c>
      <c r="DM136" s="1804">
        <v>0</v>
      </c>
      <c r="DN136" s="1804">
        <v>0</v>
      </c>
      <c r="DO136" s="1804">
        <v>0</v>
      </c>
      <c r="DP136" s="1804">
        <v>0</v>
      </c>
      <c r="DQ136" s="1804">
        <v>0</v>
      </c>
      <c r="DR136" s="1804">
        <v>0</v>
      </c>
      <c r="DS136" s="1804">
        <v>0</v>
      </c>
      <c r="DT136" s="1804">
        <v>0</v>
      </c>
      <c r="DU136" s="1804">
        <v>0</v>
      </c>
      <c r="DV136" s="1804">
        <v>0</v>
      </c>
      <c r="DW136" s="1804">
        <v>0</v>
      </c>
      <c r="DX136" s="1804">
        <v>0</v>
      </c>
      <c r="DY136" s="1804">
        <v>0</v>
      </c>
      <c r="DZ136" s="1804">
        <v>0</v>
      </c>
      <c r="EA136" s="1804">
        <v>0</v>
      </c>
      <c r="EB136" s="1804">
        <v>0</v>
      </c>
      <c r="EC136" s="1804">
        <v>0</v>
      </c>
      <c r="ED136" s="1804">
        <v>0</v>
      </c>
      <c r="EE136" s="1804">
        <v>0</v>
      </c>
      <c r="EF136" s="1804">
        <v>0</v>
      </c>
      <c r="EG136" s="1804">
        <v>0</v>
      </c>
      <c r="EH136" s="1804">
        <v>0</v>
      </c>
      <c r="EI136" s="1804">
        <v>0</v>
      </c>
      <c r="EJ136" s="1804">
        <v>0</v>
      </c>
      <c r="EK136" s="1804">
        <v>0</v>
      </c>
      <c r="EL136" s="1804">
        <v>0</v>
      </c>
      <c r="EM136" s="1804">
        <v>0</v>
      </c>
      <c r="EN136" s="1804">
        <v>0</v>
      </c>
      <c r="EO136" s="1804">
        <v>0</v>
      </c>
      <c r="EP136" s="1804">
        <v>0</v>
      </c>
      <c r="EQ136" s="1804">
        <v>0</v>
      </c>
      <c r="ER136" s="1804">
        <v>0</v>
      </c>
      <c r="ES136" s="1804">
        <v>0</v>
      </c>
      <c r="ET136" s="1804">
        <v>0</v>
      </c>
      <c r="EU136" s="1804">
        <v>0</v>
      </c>
      <c r="EV136" s="1804">
        <v>0</v>
      </c>
      <c r="EW136" s="1804">
        <v>0</v>
      </c>
      <c r="EX136" s="1804">
        <v>0</v>
      </c>
      <c r="EY136" s="1804">
        <v>0</v>
      </c>
      <c r="EZ136" s="1804">
        <v>0</v>
      </c>
      <c r="FA136" s="1804">
        <v>0</v>
      </c>
      <c r="FB136" s="1804">
        <v>0</v>
      </c>
      <c r="FC136" s="1804">
        <v>0</v>
      </c>
      <c r="FD136" s="1804">
        <v>0</v>
      </c>
      <c r="FE136" s="1804">
        <v>0</v>
      </c>
      <c r="FF136" s="1804">
        <v>0</v>
      </c>
      <c r="FG136" s="1804">
        <v>0</v>
      </c>
      <c r="FH136" s="1804">
        <v>0</v>
      </c>
      <c r="FI136" s="1804">
        <v>0</v>
      </c>
      <c r="FJ136" s="1804">
        <v>0</v>
      </c>
      <c r="FK136" s="1804">
        <v>0</v>
      </c>
      <c r="FL136" s="1804">
        <v>0</v>
      </c>
      <c r="FM136" s="1804">
        <v>0</v>
      </c>
      <c r="FN136" s="1804">
        <v>0</v>
      </c>
      <c r="FO136" s="1804">
        <v>0</v>
      </c>
      <c r="FP136" s="1804">
        <v>0</v>
      </c>
      <c r="FQ136" s="1804">
        <v>0</v>
      </c>
      <c r="FR136" s="1804">
        <v>0</v>
      </c>
      <c r="FS136" s="1804">
        <v>0</v>
      </c>
      <c r="FT136" s="1804">
        <v>0</v>
      </c>
      <c r="FU136" s="1804">
        <v>0</v>
      </c>
      <c r="FV136" s="1804">
        <v>0</v>
      </c>
      <c r="FW136" s="1804">
        <v>0</v>
      </c>
      <c r="FX136" s="1804">
        <v>0</v>
      </c>
      <c r="FY136" s="1804">
        <v>0</v>
      </c>
      <c r="FZ136" s="1804">
        <v>0</v>
      </c>
      <c r="GA136" s="1804">
        <v>0</v>
      </c>
      <c r="GB136" s="1804">
        <v>0</v>
      </c>
      <c r="GC136" s="1804">
        <v>0</v>
      </c>
      <c r="GD136" s="1804">
        <v>0</v>
      </c>
      <c r="GE136" s="1804">
        <v>0</v>
      </c>
      <c r="GF136" s="1804">
        <v>0</v>
      </c>
      <c r="GG136" s="1804">
        <v>0</v>
      </c>
      <c r="GH136" s="1804">
        <v>0</v>
      </c>
      <c r="GI136" s="1804">
        <v>0</v>
      </c>
      <c r="GJ136" s="1804">
        <v>0</v>
      </c>
      <c r="GK136" s="1804">
        <v>0</v>
      </c>
      <c r="GL136" s="1804">
        <v>0</v>
      </c>
      <c r="GM136" s="1804">
        <v>0</v>
      </c>
      <c r="GN136" s="1804">
        <v>0</v>
      </c>
      <c r="GO136" s="1804">
        <v>0</v>
      </c>
      <c r="GP136" s="1804">
        <v>0</v>
      </c>
      <c r="GQ136" s="1804">
        <v>0</v>
      </c>
      <c r="GR136" s="1804">
        <v>0</v>
      </c>
      <c r="GS136" s="1804">
        <v>0</v>
      </c>
      <c r="GT136" s="1804">
        <v>0</v>
      </c>
      <c r="GU136" s="1804">
        <v>0</v>
      </c>
      <c r="GV136" s="1804">
        <v>0</v>
      </c>
      <c r="GW136" s="1804">
        <v>0</v>
      </c>
      <c r="GX136" s="1804">
        <v>0</v>
      </c>
      <c r="GY136" s="1804">
        <v>0</v>
      </c>
      <c r="GZ136" s="1804">
        <v>0</v>
      </c>
      <c r="HA136" s="1804">
        <v>0</v>
      </c>
      <c r="HB136" s="1804">
        <v>0</v>
      </c>
      <c r="HC136" s="1804">
        <v>0</v>
      </c>
      <c r="HD136" s="1804">
        <v>0</v>
      </c>
      <c r="HE136" s="1804">
        <v>0</v>
      </c>
    </row>
    <row r="137" spans="1:213" ht="15" customHeight="1" x14ac:dyDescent="0.2">
      <c r="A137" s="1964"/>
      <c r="B137" s="1989"/>
      <c r="C137" s="1818" t="s">
        <v>4</v>
      </c>
      <c r="D137" s="1885"/>
      <c r="E137" s="1984"/>
      <c r="F137" s="1838">
        <v>0</v>
      </c>
      <c r="G137" s="1804">
        <v>0</v>
      </c>
      <c r="H137" s="1804">
        <v>0</v>
      </c>
      <c r="I137" s="1804">
        <v>0</v>
      </c>
      <c r="J137" s="1804">
        <v>0</v>
      </c>
      <c r="K137" s="1804">
        <v>0</v>
      </c>
      <c r="L137" s="1804">
        <v>0</v>
      </c>
      <c r="M137" s="1804">
        <v>0</v>
      </c>
      <c r="N137" s="1804">
        <v>0</v>
      </c>
      <c r="O137" s="1804">
        <v>0</v>
      </c>
      <c r="P137" s="1804">
        <v>0</v>
      </c>
      <c r="Q137" s="1804">
        <v>0</v>
      </c>
      <c r="R137" s="1804">
        <v>0</v>
      </c>
      <c r="S137" s="1804">
        <v>0</v>
      </c>
      <c r="T137" s="1804">
        <v>0</v>
      </c>
      <c r="U137" s="1804">
        <v>0</v>
      </c>
      <c r="V137" s="1804">
        <v>0</v>
      </c>
      <c r="W137" s="1804">
        <v>0</v>
      </c>
      <c r="X137" s="1804">
        <v>0</v>
      </c>
      <c r="Y137" s="1804">
        <v>0</v>
      </c>
      <c r="Z137" s="1804">
        <v>0</v>
      </c>
      <c r="AA137" s="1804">
        <v>0</v>
      </c>
      <c r="AB137" s="1804">
        <v>0</v>
      </c>
      <c r="AC137" s="1804">
        <v>0</v>
      </c>
      <c r="AD137" s="1804">
        <v>0</v>
      </c>
      <c r="AE137" s="1804">
        <v>0</v>
      </c>
      <c r="AF137" s="1804">
        <v>0</v>
      </c>
      <c r="AG137" s="1804">
        <v>0</v>
      </c>
      <c r="AH137" s="1804">
        <v>0</v>
      </c>
      <c r="AI137" s="1804">
        <v>0</v>
      </c>
      <c r="AJ137" s="1804">
        <v>0</v>
      </c>
      <c r="AK137" s="1804">
        <v>0</v>
      </c>
      <c r="AL137" s="1804">
        <v>0</v>
      </c>
      <c r="AM137" s="1804">
        <v>0</v>
      </c>
      <c r="AN137" s="1804">
        <v>0</v>
      </c>
      <c r="AO137" s="1804">
        <v>0</v>
      </c>
      <c r="AP137" s="1804">
        <v>0</v>
      </c>
      <c r="AQ137" s="1804">
        <v>0</v>
      </c>
      <c r="AR137" s="1804">
        <v>0</v>
      </c>
      <c r="AS137" s="1804">
        <v>0</v>
      </c>
      <c r="AT137" s="1804">
        <v>0</v>
      </c>
      <c r="AU137" s="1804">
        <v>0</v>
      </c>
      <c r="AV137" s="1804">
        <v>0</v>
      </c>
      <c r="AW137" s="1804">
        <v>0</v>
      </c>
      <c r="AX137" s="1804">
        <v>0</v>
      </c>
      <c r="AY137" s="1804">
        <v>0</v>
      </c>
      <c r="AZ137" s="1804">
        <v>0</v>
      </c>
      <c r="BA137" s="1804">
        <v>0</v>
      </c>
      <c r="BB137" s="1804">
        <v>0</v>
      </c>
      <c r="BC137" s="1804">
        <v>0</v>
      </c>
      <c r="BD137" s="1804">
        <v>0</v>
      </c>
      <c r="BE137" s="1804">
        <v>0</v>
      </c>
      <c r="BF137" s="1804">
        <v>0</v>
      </c>
      <c r="BG137" s="1804">
        <v>0</v>
      </c>
      <c r="BH137" s="1804">
        <v>0</v>
      </c>
      <c r="BI137" s="1804">
        <v>0</v>
      </c>
      <c r="BJ137" s="1804">
        <v>0</v>
      </c>
      <c r="BK137" s="1804">
        <v>0</v>
      </c>
      <c r="BL137" s="1804">
        <v>0</v>
      </c>
      <c r="BM137" s="1804">
        <v>0</v>
      </c>
      <c r="BN137" s="1804">
        <v>0</v>
      </c>
      <c r="BO137" s="1804">
        <v>0</v>
      </c>
      <c r="BP137" s="1804">
        <v>0</v>
      </c>
      <c r="BQ137" s="1804">
        <v>0</v>
      </c>
      <c r="BR137" s="1804">
        <v>0</v>
      </c>
      <c r="BS137" s="1804">
        <v>0</v>
      </c>
      <c r="BT137" s="1804">
        <v>0</v>
      </c>
      <c r="BU137" s="1804">
        <v>0</v>
      </c>
      <c r="BV137" s="1804">
        <v>0</v>
      </c>
      <c r="BW137" s="1804">
        <v>0</v>
      </c>
      <c r="BX137" s="1804">
        <v>0</v>
      </c>
      <c r="BY137" s="1804">
        <v>0</v>
      </c>
      <c r="BZ137" s="1804">
        <v>0</v>
      </c>
      <c r="CA137" s="1804">
        <v>0</v>
      </c>
      <c r="CB137" s="1804">
        <v>0</v>
      </c>
      <c r="CC137" s="1804">
        <v>0</v>
      </c>
      <c r="CD137" s="1804">
        <v>0</v>
      </c>
      <c r="CE137" s="1804">
        <v>0</v>
      </c>
      <c r="CF137" s="1804">
        <v>0</v>
      </c>
      <c r="CG137" s="1804">
        <v>0</v>
      </c>
      <c r="CH137" s="1804">
        <v>0</v>
      </c>
      <c r="CI137" s="1804">
        <v>0</v>
      </c>
      <c r="CJ137" s="1804">
        <v>0</v>
      </c>
      <c r="CK137" s="1804">
        <v>0</v>
      </c>
      <c r="CL137" s="1804">
        <v>0</v>
      </c>
      <c r="CM137" s="1804">
        <v>0</v>
      </c>
      <c r="CN137" s="1804">
        <v>0</v>
      </c>
      <c r="CO137" s="1804">
        <v>0</v>
      </c>
      <c r="CP137" s="1804">
        <v>0</v>
      </c>
      <c r="CQ137" s="1804">
        <v>0</v>
      </c>
      <c r="CR137" s="1804">
        <v>0</v>
      </c>
      <c r="CS137" s="1804">
        <v>0</v>
      </c>
      <c r="CT137" s="1804">
        <v>0</v>
      </c>
      <c r="CU137" s="1804">
        <v>0</v>
      </c>
      <c r="CV137" s="1804">
        <v>0</v>
      </c>
      <c r="CW137" s="1804">
        <v>0</v>
      </c>
      <c r="CX137" s="1804">
        <v>0</v>
      </c>
      <c r="CY137" s="1804">
        <v>0</v>
      </c>
      <c r="CZ137" s="1804">
        <v>0</v>
      </c>
      <c r="DA137" s="1804">
        <v>0</v>
      </c>
      <c r="DB137" s="1804">
        <v>0</v>
      </c>
      <c r="DC137" s="1804">
        <v>0</v>
      </c>
      <c r="DD137" s="1804">
        <v>0</v>
      </c>
      <c r="DE137" s="1804">
        <v>0</v>
      </c>
      <c r="DF137" s="1804">
        <v>0</v>
      </c>
      <c r="DG137" s="1804">
        <v>0</v>
      </c>
      <c r="DH137" s="1804">
        <v>0</v>
      </c>
      <c r="DI137" s="1804">
        <v>0</v>
      </c>
      <c r="DJ137" s="1804">
        <v>0</v>
      </c>
      <c r="DK137" s="1804">
        <v>0</v>
      </c>
      <c r="DL137" s="1804">
        <v>0</v>
      </c>
      <c r="DM137" s="1804">
        <v>0</v>
      </c>
      <c r="DN137" s="1804">
        <v>0</v>
      </c>
      <c r="DO137" s="1804">
        <v>0</v>
      </c>
      <c r="DP137" s="1804">
        <v>0</v>
      </c>
      <c r="DQ137" s="1804">
        <v>0</v>
      </c>
      <c r="DR137" s="1804">
        <v>0</v>
      </c>
      <c r="DS137" s="1804">
        <v>0</v>
      </c>
      <c r="DT137" s="1804">
        <v>0</v>
      </c>
      <c r="DU137" s="1804">
        <v>0</v>
      </c>
      <c r="DV137" s="1804">
        <v>0</v>
      </c>
      <c r="DW137" s="1804">
        <v>0</v>
      </c>
      <c r="DX137" s="1804">
        <v>0</v>
      </c>
      <c r="DY137" s="1804">
        <v>0</v>
      </c>
      <c r="DZ137" s="1804">
        <v>0</v>
      </c>
      <c r="EA137" s="1804">
        <v>0</v>
      </c>
      <c r="EB137" s="1804">
        <v>0</v>
      </c>
      <c r="EC137" s="1804">
        <v>0</v>
      </c>
      <c r="ED137" s="1804">
        <v>0</v>
      </c>
      <c r="EE137" s="1804">
        <v>0</v>
      </c>
      <c r="EF137" s="1804">
        <v>0</v>
      </c>
      <c r="EG137" s="1804">
        <v>0</v>
      </c>
      <c r="EH137" s="1804">
        <v>0</v>
      </c>
      <c r="EI137" s="1804">
        <v>0</v>
      </c>
      <c r="EJ137" s="1804">
        <v>0</v>
      </c>
      <c r="EK137" s="1804">
        <v>0</v>
      </c>
      <c r="EL137" s="1804">
        <v>0</v>
      </c>
      <c r="EM137" s="1804">
        <v>0</v>
      </c>
      <c r="EN137" s="1804">
        <v>0</v>
      </c>
      <c r="EO137" s="1804">
        <v>0</v>
      </c>
      <c r="EP137" s="1804">
        <v>0</v>
      </c>
      <c r="EQ137" s="1804">
        <v>0</v>
      </c>
      <c r="ER137" s="1804">
        <v>0</v>
      </c>
      <c r="ES137" s="1804">
        <v>0</v>
      </c>
      <c r="ET137" s="1804">
        <v>0</v>
      </c>
      <c r="EU137" s="1804">
        <v>0</v>
      </c>
      <c r="EV137" s="1804">
        <v>0</v>
      </c>
      <c r="EW137" s="1804">
        <v>0</v>
      </c>
      <c r="EX137" s="1804">
        <v>0</v>
      </c>
      <c r="EY137" s="1804">
        <v>0</v>
      </c>
      <c r="EZ137" s="1804">
        <v>0</v>
      </c>
      <c r="FA137" s="1804">
        <v>0</v>
      </c>
      <c r="FB137" s="1804">
        <v>0</v>
      </c>
      <c r="FC137" s="1804">
        <v>0</v>
      </c>
      <c r="FD137" s="1804">
        <v>0</v>
      </c>
      <c r="FE137" s="1804">
        <v>0</v>
      </c>
      <c r="FF137" s="1804">
        <v>0</v>
      </c>
      <c r="FG137" s="1804">
        <v>0</v>
      </c>
      <c r="FH137" s="1804">
        <v>0</v>
      </c>
      <c r="FI137" s="1804">
        <v>0</v>
      </c>
      <c r="FJ137" s="1804">
        <v>0</v>
      </c>
      <c r="FK137" s="1804">
        <v>0</v>
      </c>
      <c r="FL137" s="1804">
        <v>0</v>
      </c>
      <c r="FM137" s="1804">
        <v>0</v>
      </c>
      <c r="FN137" s="1804">
        <v>0</v>
      </c>
      <c r="FO137" s="1804">
        <v>0</v>
      </c>
      <c r="FP137" s="1804">
        <v>0</v>
      </c>
      <c r="FQ137" s="1804">
        <v>0</v>
      </c>
      <c r="FR137" s="1804">
        <v>0</v>
      </c>
      <c r="FS137" s="1804">
        <v>0</v>
      </c>
      <c r="FT137" s="1804">
        <v>0</v>
      </c>
      <c r="FU137" s="1804">
        <v>0</v>
      </c>
      <c r="FV137" s="1804">
        <v>0</v>
      </c>
      <c r="FW137" s="1804">
        <v>0</v>
      </c>
      <c r="FX137" s="1804">
        <v>0</v>
      </c>
      <c r="FY137" s="1804">
        <v>0</v>
      </c>
      <c r="FZ137" s="1804">
        <v>0</v>
      </c>
      <c r="GA137" s="1804">
        <v>0</v>
      </c>
      <c r="GB137" s="1804">
        <v>0</v>
      </c>
      <c r="GC137" s="1804">
        <v>0</v>
      </c>
      <c r="GD137" s="1804">
        <v>0</v>
      </c>
      <c r="GE137" s="1804">
        <v>0</v>
      </c>
      <c r="GF137" s="1804">
        <v>0</v>
      </c>
      <c r="GG137" s="1804">
        <v>0</v>
      </c>
      <c r="GH137" s="1804">
        <v>0</v>
      </c>
      <c r="GI137" s="1804">
        <v>0</v>
      </c>
      <c r="GJ137" s="1804">
        <v>0</v>
      </c>
      <c r="GK137" s="1804">
        <v>0</v>
      </c>
      <c r="GL137" s="1804">
        <v>0</v>
      </c>
      <c r="GM137" s="1804">
        <v>0</v>
      </c>
      <c r="GN137" s="1804">
        <v>0</v>
      </c>
      <c r="GO137" s="1804">
        <v>0</v>
      </c>
      <c r="GP137" s="1804">
        <v>0</v>
      </c>
      <c r="GQ137" s="1804">
        <v>0</v>
      </c>
      <c r="GR137" s="1804">
        <v>0</v>
      </c>
      <c r="GS137" s="1804">
        <v>0</v>
      </c>
      <c r="GT137" s="1804">
        <v>0</v>
      </c>
      <c r="GU137" s="1804">
        <v>0</v>
      </c>
      <c r="GV137" s="1804">
        <v>0</v>
      </c>
      <c r="GW137" s="1804">
        <v>0</v>
      </c>
      <c r="GX137" s="1804">
        <v>0</v>
      </c>
      <c r="GY137" s="1804">
        <v>0</v>
      </c>
      <c r="GZ137" s="1804">
        <v>0</v>
      </c>
      <c r="HA137" s="1804">
        <v>0</v>
      </c>
      <c r="HB137" s="1804">
        <v>0</v>
      </c>
      <c r="HC137" s="1804">
        <v>0</v>
      </c>
      <c r="HD137" s="1804">
        <v>0</v>
      </c>
      <c r="HE137" s="1804">
        <v>0</v>
      </c>
    </row>
    <row r="138" spans="1:213" ht="15" customHeight="1" x14ac:dyDescent="0.2">
      <c r="A138" s="1964"/>
      <c r="B138" s="1989"/>
      <c r="C138" s="1818" t="s">
        <v>5</v>
      </c>
      <c r="D138" s="1885"/>
      <c r="E138" s="1984"/>
      <c r="F138" s="1838">
        <v>0</v>
      </c>
      <c r="G138" s="1804">
        <v>0</v>
      </c>
      <c r="H138" s="1804">
        <v>0</v>
      </c>
      <c r="I138" s="1804">
        <v>0</v>
      </c>
      <c r="J138" s="1804">
        <v>0</v>
      </c>
      <c r="K138" s="1804">
        <v>0</v>
      </c>
      <c r="L138" s="1804">
        <v>0</v>
      </c>
      <c r="M138" s="1804">
        <v>0</v>
      </c>
      <c r="N138" s="1804">
        <v>0</v>
      </c>
      <c r="O138" s="1804">
        <v>0</v>
      </c>
      <c r="P138" s="1804">
        <v>0</v>
      </c>
      <c r="Q138" s="1804">
        <v>0</v>
      </c>
      <c r="R138" s="1804">
        <v>0</v>
      </c>
      <c r="S138" s="1804">
        <v>0</v>
      </c>
      <c r="T138" s="1804">
        <v>0</v>
      </c>
      <c r="U138" s="1804">
        <v>0</v>
      </c>
      <c r="V138" s="1804">
        <v>0</v>
      </c>
      <c r="W138" s="1804">
        <v>0</v>
      </c>
      <c r="X138" s="1804">
        <v>0</v>
      </c>
      <c r="Y138" s="1804">
        <v>0</v>
      </c>
      <c r="Z138" s="1804">
        <v>0</v>
      </c>
      <c r="AA138" s="1804">
        <v>0</v>
      </c>
      <c r="AB138" s="1804">
        <v>0</v>
      </c>
      <c r="AC138" s="1804">
        <v>0</v>
      </c>
      <c r="AD138" s="1804">
        <v>0</v>
      </c>
      <c r="AE138" s="1804">
        <v>0</v>
      </c>
      <c r="AF138" s="1804">
        <v>0</v>
      </c>
      <c r="AG138" s="1804">
        <v>0</v>
      </c>
      <c r="AH138" s="1804">
        <v>0</v>
      </c>
      <c r="AI138" s="1804">
        <v>0</v>
      </c>
      <c r="AJ138" s="1804">
        <v>0</v>
      </c>
      <c r="AK138" s="1804">
        <v>0</v>
      </c>
      <c r="AL138" s="1804">
        <v>0</v>
      </c>
      <c r="AM138" s="1804">
        <v>0</v>
      </c>
      <c r="AN138" s="1804">
        <v>0</v>
      </c>
      <c r="AO138" s="1804">
        <v>0</v>
      </c>
      <c r="AP138" s="1804">
        <v>0</v>
      </c>
      <c r="AQ138" s="1804">
        <v>0</v>
      </c>
      <c r="AR138" s="1804">
        <v>0</v>
      </c>
      <c r="AS138" s="1804">
        <v>0</v>
      </c>
      <c r="AT138" s="1804">
        <v>0</v>
      </c>
      <c r="AU138" s="1804">
        <v>0</v>
      </c>
      <c r="AV138" s="1804">
        <v>0</v>
      </c>
      <c r="AW138" s="1804">
        <v>0</v>
      </c>
      <c r="AX138" s="1804">
        <v>0</v>
      </c>
      <c r="AY138" s="1804">
        <v>0</v>
      </c>
      <c r="AZ138" s="1804">
        <v>0</v>
      </c>
      <c r="BA138" s="1804">
        <v>0</v>
      </c>
      <c r="BB138" s="1804">
        <v>0</v>
      </c>
      <c r="BC138" s="1804">
        <v>0</v>
      </c>
      <c r="BD138" s="1804">
        <v>0</v>
      </c>
      <c r="BE138" s="1804">
        <v>0</v>
      </c>
      <c r="BF138" s="1804">
        <v>0</v>
      </c>
      <c r="BG138" s="1804">
        <v>0</v>
      </c>
      <c r="BH138" s="1804">
        <v>0</v>
      </c>
      <c r="BI138" s="1804">
        <v>0</v>
      </c>
      <c r="BJ138" s="1804">
        <v>0</v>
      </c>
      <c r="BK138" s="1804">
        <v>0</v>
      </c>
      <c r="BL138" s="1804">
        <v>0</v>
      </c>
      <c r="BM138" s="1804">
        <v>0</v>
      </c>
      <c r="BN138" s="1804">
        <v>0</v>
      </c>
      <c r="BO138" s="1804">
        <v>0</v>
      </c>
      <c r="BP138" s="1804">
        <v>0</v>
      </c>
      <c r="BQ138" s="1804">
        <v>0</v>
      </c>
      <c r="BR138" s="1804">
        <v>0</v>
      </c>
      <c r="BS138" s="1804">
        <v>0</v>
      </c>
      <c r="BT138" s="1804">
        <v>0</v>
      </c>
      <c r="BU138" s="1804">
        <v>0</v>
      </c>
      <c r="BV138" s="1804">
        <v>0</v>
      </c>
      <c r="BW138" s="1804">
        <v>0</v>
      </c>
      <c r="BX138" s="1804">
        <v>0</v>
      </c>
      <c r="BY138" s="1804">
        <v>0</v>
      </c>
      <c r="BZ138" s="1804">
        <v>0</v>
      </c>
      <c r="CA138" s="1804">
        <v>0</v>
      </c>
      <c r="CB138" s="1804">
        <v>0</v>
      </c>
      <c r="CC138" s="1804">
        <v>0</v>
      </c>
      <c r="CD138" s="1804">
        <v>0</v>
      </c>
      <c r="CE138" s="1804">
        <v>0</v>
      </c>
      <c r="CF138" s="1804">
        <v>0</v>
      </c>
      <c r="CG138" s="1804">
        <v>0</v>
      </c>
      <c r="CH138" s="1804">
        <v>0</v>
      </c>
      <c r="CI138" s="1804">
        <v>0</v>
      </c>
      <c r="CJ138" s="1804">
        <v>0</v>
      </c>
      <c r="CK138" s="1804">
        <v>0</v>
      </c>
      <c r="CL138" s="1804">
        <v>0</v>
      </c>
      <c r="CM138" s="1804">
        <v>0</v>
      </c>
      <c r="CN138" s="1804">
        <v>0</v>
      </c>
      <c r="CO138" s="1804">
        <v>0</v>
      </c>
      <c r="CP138" s="1804">
        <v>0</v>
      </c>
      <c r="CQ138" s="1804">
        <v>0</v>
      </c>
      <c r="CR138" s="1804">
        <v>0</v>
      </c>
      <c r="CS138" s="1804">
        <v>0</v>
      </c>
      <c r="CT138" s="1804">
        <v>0</v>
      </c>
      <c r="CU138" s="1804">
        <v>0</v>
      </c>
      <c r="CV138" s="1804">
        <v>0</v>
      </c>
      <c r="CW138" s="1804">
        <v>0</v>
      </c>
      <c r="CX138" s="1804">
        <v>0</v>
      </c>
      <c r="CY138" s="1804">
        <v>0</v>
      </c>
      <c r="CZ138" s="1804">
        <v>0</v>
      </c>
      <c r="DA138" s="1804">
        <v>0</v>
      </c>
      <c r="DB138" s="1804">
        <v>0</v>
      </c>
      <c r="DC138" s="1804">
        <v>0</v>
      </c>
      <c r="DD138" s="1804">
        <v>0</v>
      </c>
      <c r="DE138" s="1804">
        <v>0</v>
      </c>
      <c r="DF138" s="1804">
        <v>0</v>
      </c>
      <c r="DG138" s="1804">
        <v>0</v>
      </c>
      <c r="DH138" s="1804">
        <v>0</v>
      </c>
      <c r="DI138" s="1804">
        <v>0</v>
      </c>
      <c r="DJ138" s="1804">
        <v>0</v>
      </c>
      <c r="DK138" s="1804">
        <v>0</v>
      </c>
      <c r="DL138" s="1804">
        <v>0</v>
      </c>
      <c r="DM138" s="1804">
        <v>0</v>
      </c>
      <c r="DN138" s="1804">
        <v>0</v>
      </c>
      <c r="DO138" s="1804">
        <v>0</v>
      </c>
      <c r="DP138" s="1804">
        <v>0</v>
      </c>
      <c r="DQ138" s="1804">
        <v>0</v>
      </c>
      <c r="DR138" s="1804">
        <v>0</v>
      </c>
      <c r="DS138" s="1804">
        <v>0</v>
      </c>
      <c r="DT138" s="1804">
        <v>0</v>
      </c>
      <c r="DU138" s="1804">
        <v>0</v>
      </c>
      <c r="DV138" s="1804">
        <v>0</v>
      </c>
      <c r="DW138" s="1804">
        <v>0</v>
      </c>
      <c r="DX138" s="1804">
        <v>0</v>
      </c>
      <c r="DY138" s="1804">
        <v>0</v>
      </c>
      <c r="DZ138" s="1804">
        <v>0</v>
      </c>
      <c r="EA138" s="1804">
        <v>0</v>
      </c>
      <c r="EB138" s="1804">
        <v>0</v>
      </c>
      <c r="EC138" s="1804">
        <v>0</v>
      </c>
      <c r="ED138" s="1804">
        <v>0</v>
      </c>
      <c r="EE138" s="1804">
        <v>0</v>
      </c>
      <c r="EF138" s="1804">
        <v>0</v>
      </c>
      <c r="EG138" s="1804">
        <v>0</v>
      </c>
      <c r="EH138" s="1804">
        <v>0</v>
      </c>
      <c r="EI138" s="1804">
        <v>0</v>
      </c>
      <c r="EJ138" s="1804">
        <v>0</v>
      </c>
      <c r="EK138" s="1804">
        <v>0</v>
      </c>
      <c r="EL138" s="1804">
        <v>0</v>
      </c>
      <c r="EM138" s="1804">
        <v>0</v>
      </c>
      <c r="EN138" s="1804">
        <v>0</v>
      </c>
      <c r="EO138" s="1804">
        <v>0</v>
      </c>
      <c r="EP138" s="1804">
        <v>0</v>
      </c>
      <c r="EQ138" s="1804">
        <v>0</v>
      </c>
      <c r="ER138" s="1804">
        <v>0</v>
      </c>
      <c r="ES138" s="1804">
        <v>0</v>
      </c>
      <c r="ET138" s="1804">
        <v>0</v>
      </c>
      <c r="EU138" s="1804">
        <v>0</v>
      </c>
      <c r="EV138" s="1804">
        <v>0</v>
      </c>
      <c r="EW138" s="1804">
        <v>0</v>
      </c>
      <c r="EX138" s="1804">
        <v>0</v>
      </c>
      <c r="EY138" s="1804">
        <v>0</v>
      </c>
      <c r="EZ138" s="1804">
        <v>0</v>
      </c>
      <c r="FA138" s="1804">
        <v>0</v>
      </c>
      <c r="FB138" s="1804">
        <v>0</v>
      </c>
      <c r="FC138" s="1804">
        <v>0</v>
      </c>
      <c r="FD138" s="1804">
        <v>0</v>
      </c>
      <c r="FE138" s="1804">
        <v>0</v>
      </c>
      <c r="FF138" s="1804">
        <v>0</v>
      </c>
      <c r="FG138" s="1804">
        <v>0</v>
      </c>
      <c r="FH138" s="1804">
        <v>0</v>
      </c>
      <c r="FI138" s="1804">
        <v>0</v>
      </c>
      <c r="FJ138" s="1804">
        <v>0</v>
      </c>
      <c r="FK138" s="1804">
        <v>0</v>
      </c>
      <c r="FL138" s="1804">
        <v>0</v>
      </c>
      <c r="FM138" s="1804">
        <v>0</v>
      </c>
      <c r="FN138" s="1804">
        <v>0</v>
      </c>
      <c r="FO138" s="1804">
        <v>0</v>
      </c>
      <c r="FP138" s="1804">
        <v>0</v>
      </c>
      <c r="FQ138" s="1804">
        <v>0</v>
      </c>
      <c r="FR138" s="1804">
        <v>0</v>
      </c>
      <c r="FS138" s="1804">
        <v>0</v>
      </c>
      <c r="FT138" s="1804">
        <v>0</v>
      </c>
      <c r="FU138" s="1804">
        <v>0</v>
      </c>
      <c r="FV138" s="1804">
        <v>0</v>
      </c>
      <c r="FW138" s="1804">
        <v>0</v>
      </c>
      <c r="FX138" s="1804">
        <v>0</v>
      </c>
      <c r="FY138" s="1804">
        <v>0</v>
      </c>
      <c r="FZ138" s="1804">
        <v>0</v>
      </c>
      <c r="GA138" s="1804">
        <v>0</v>
      </c>
      <c r="GB138" s="1804">
        <v>0</v>
      </c>
      <c r="GC138" s="1804">
        <v>0</v>
      </c>
      <c r="GD138" s="1804">
        <v>0</v>
      </c>
      <c r="GE138" s="1804">
        <v>0</v>
      </c>
      <c r="GF138" s="1804">
        <v>0</v>
      </c>
      <c r="GG138" s="1804">
        <v>0</v>
      </c>
      <c r="GH138" s="1804">
        <v>0</v>
      </c>
      <c r="GI138" s="1804">
        <v>0</v>
      </c>
      <c r="GJ138" s="1804">
        <v>0</v>
      </c>
      <c r="GK138" s="1804">
        <v>0</v>
      </c>
      <c r="GL138" s="1804">
        <v>0</v>
      </c>
      <c r="GM138" s="1804">
        <v>0</v>
      </c>
      <c r="GN138" s="1804">
        <v>0</v>
      </c>
      <c r="GO138" s="1804">
        <v>0</v>
      </c>
      <c r="GP138" s="1804">
        <v>0</v>
      </c>
      <c r="GQ138" s="1804">
        <v>0</v>
      </c>
      <c r="GR138" s="1804">
        <v>0</v>
      </c>
      <c r="GS138" s="1804">
        <v>0</v>
      </c>
      <c r="GT138" s="1804">
        <v>0</v>
      </c>
      <c r="GU138" s="1804">
        <v>0</v>
      </c>
      <c r="GV138" s="1804">
        <v>0</v>
      </c>
      <c r="GW138" s="1804">
        <v>0</v>
      </c>
      <c r="GX138" s="1804">
        <v>0</v>
      </c>
      <c r="GY138" s="1804">
        <v>0</v>
      </c>
      <c r="GZ138" s="1804">
        <v>0</v>
      </c>
      <c r="HA138" s="1804">
        <v>0</v>
      </c>
      <c r="HB138" s="1804">
        <v>0</v>
      </c>
      <c r="HC138" s="1804">
        <v>0</v>
      </c>
      <c r="HD138" s="1804">
        <v>0</v>
      </c>
      <c r="HE138" s="1804">
        <v>0</v>
      </c>
    </row>
    <row r="139" spans="1:213" ht="15" customHeight="1" thickBot="1" x14ac:dyDescent="0.25">
      <c r="A139" s="1964"/>
      <c r="B139" s="1989"/>
      <c r="C139" s="1822" t="s">
        <v>6</v>
      </c>
      <c r="D139" s="1885"/>
      <c r="E139" s="1984"/>
      <c r="F139" s="1838">
        <v>0</v>
      </c>
      <c r="G139" s="1804">
        <v>0</v>
      </c>
      <c r="H139" s="1804">
        <v>0</v>
      </c>
      <c r="I139" s="1804">
        <v>0</v>
      </c>
      <c r="J139" s="1804">
        <v>0</v>
      </c>
      <c r="K139" s="1804">
        <v>0</v>
      </c>
      <c r="L139" s="1804">
        <v>0</v>
      </c>
      <c r="M139" s="1804">
        <v>0</v>
      </c>
      <c r="N139" s="1804">
        <v>0</v>
      </c>
      <c r="O139" s="1804">
        <v>0</v>
      </c>
      <c r="P139" s="1804">
        <v>0</v>
      </c>
      <c r="Q139" s="1804">
        <v>0</v>
      </c>
      <c r="R139" s="1804">
        <v>0</v>
      </c>
      <c r="S139" s="1804">
        <v>0</v>
      </c>
      <c r="T139" s="1804">
        <v>0</v>
      </c>
      <c r="U139" s="1804">
        <v>0</v>
      </c>
      <c r="V139" s="1804">
        <v>0</v>
      </c>
      <c r="W139" s="1804">
        <v>0</v>
      </c>
      <c r="X139" s="1804">
        <v>0</v>
      </c>
      <c r="Y139" s="1804">
        <v>0</v>
      </c>
      <c r="Z139" s="1804">
        <v>0</v>
      </c>
      <c r="AA139" s="1804">
        <v>0</v>
      </c>
      <c r="AB139" s="1804">
        <v>0</v>
      </c>
      <c r="AC139" s="1804">
        <v>0</v>
      </c>
      <c r="AD139" s="1804">
        <v>0</v>
      </c>
      <c r="AE139" s="1804">
        <v>0</v>
      </c>
      <c r="AF139" s="1804">
        <v>0</v>
      </c>
      <c r="AG139" s="1804">
        <v>0</v>
      </c>
      <c r="AH139" s="1804">
        <v>0</v>
      </c>
      <c r="AI139" s="1804">
        <v>0</v>
      </c>
      <c r="AJ139" s="1804">
        <v>0</v>
      </c>
      <c r="AK139" s="1804">
        <v>0</v>
      </c>
      <c r="AL139" s="1804">
        <v>0</v>
      </c>
      <c r="AM139" s="1804">
        <v>0</v>
      </c>
      <c r="AN139" s="1804">
        <v>0</v>
      </c>
      <c r="AO139" s="1804">
        <v>0</v>
      </c>
      <c r="AP139" s="1804">
        <v>0</v>
      </c>
      <c r="AQ139" s="1804">
        <v>0</v>
      </c>
      <c r="AR139" s="1804">
        <v>0</v>
      </c>
      <c r="AS139" s="1804">
        <v>0</v>
      </c>
      <c r="AT139" s="1804">
        <v>0</v>
      </c>
      <c r="AU139" s="1804">
        <v>0</v>
      </c>
      <c r="AV139" s="1804">
        <v>0</v>
      </c>
      <c r="AW139" s="1804">
        <v>0</v>
      </c>
      <c r="AX139" s="1804">
        <v>0</v>
      </c>
      <c r="AY139" s="1804">
        <v>0</v>
      </c>
      <c r="AZ139" s="1804">
        <v>0</v>
      </c>
      <c r="BA139" s="1804">
        <v>0</v>
      </c>
      <c r="BB139" s="1804">
        <v>0</v>
      </c>
      <c r="BC139" s="1804">
        <v>0</v>
      </c>
      <c r="BD139" s="1804">
        <v>0</v>
      </c>
      <c r="BE139" s="1804">
        <v>0</v>
      </c>
      <c r="BF139" s="1804">
        <v>0</v>
      </c>
      <c r="BG139" s="1804">
        <v>0</v>
      </c>
      <c r="BH139" s="1804">
        <v>0</v>
      </c>
      <c r="BI139" s="1804">
        <v>0</v>
      </c>
      <c r="BJ139" s="1804">
        <v>0</v>
      </c>
      <c r="BK139" s="1804">
        <v>0</v>
      </c>
      <c r="BL139" s="1804">
        <v>0</v>
      </c>
      <c r="BM139" s="1804">
        <v>0</v>
      </c>
      <c r="BN139" s="1804">
        <v>0</v>
      </c>
      <c r="BO139" s="1804">
        <v>0</v>
      </c>
      <c r="BP139" s="1804">
        <v>0</v>
      </c>
      <c r="BQ139" s="1804">
        <v>0</v>
      </c>
      <c r="BR139" s="1804">
        <v>0</v>
      </c>
      <c r="BS139" s="1804">
        <v>0</v>
      </c>
      <c r="BT139" s="1804">
        <v>0</v>
      </c>
      <c r="BU139" s="1804">
        <v>0</v>
      </c>
      <c r="BV139" s="1804">
        <v>0</v>
      </c>
      <c r="BW139" s="1804">
        <v>0</v>
      </c>
      <c r="BX139" s="1804">
        <v>0</v>
      </c>
      <c r="BY139" s="1804">
        <v>0</v>
      </c>
      <c r="BZ139" s="1804">
        <v>0</v>
      </c>
      <c r="CA139" s="1804">
        <v>0</v>
      </c>
      <c r="CB139" s="1804">
        <v>0</v>
      </c>
      <c r="CC139" s="1804">
        <v>0</v>
      </c>
      <c r="CD139" s="1804">
        <v>0</v>
      </c>
      <c r="CE139" s="1804">
        <v>0</v>
      </c>
      <c r="CF139" s="1804">
        <v>0</v>
      </c>
      <c r="CG139" s="1804">
        <v>0</v>
      </c>
      <c r="CH139" s="1804">
        <v>0</v>
      </c>
      <c r="CI139" s="1804">
        <v>0</v>
      </c>
      <c r="CJ139" s="1804">
        <v>0</v>
      </c>
      <c r="CK139" s="1804">
        <v>0</v>
      </c>
      <c r="CL139" s="1804">
        <v>0</v>
      </c>
      <c r="CM139" s="1804">
        <v>0</v>
      </c>
      <c r="CN139" s="1804">
        <v>0</v>
      </c>
      <c r="CO139" s="1804">
        <v>0</v>
      </c>
      <c r="CP139" s="1804">
        <v>0</v>
      </c>
      <c r="CQ139" s="1804">
        <v>0</v>
      </c>
      <c r="CR139" s="1804">
        <v>0</v>
      </c>
      <c r="CS139" s="1804">
        <v>0</v>
      </c>
      <c r="CT139" s="1804">
        <v>0</v>
      </c>
      <c r="CU139" s="1804">
        <v>0</v>
      </c>
      <c r="CV139" s="1804">
        <v>0</v>
      </c>
      <c r="CW139" s="1804">
        <v>0</v>
      </c>
      <c r="CX139" s="1804">
        <v>0</v>
      </c>
      <c r="CY139" s="1804">
        <v>0</v>
      </c>
      <c r="CZ139" s="1804">
        <v>0</v>
      </c>
      <c r="DA139" s="1804">
        <v>0</v>
      </c>
      <c r="DB139" s="1804">
        <v>0</v>
      </c>
      <c r="DC139" s="1804">
        <v>0</v>
      </c>
      <c r="DD139" s="1804">
        <v>0</v>
      </c>
      <c r="DE139" s="1804">
        <v>0</v>
      </c>
      <c r="DF139" s="1804">
        <v>0</v>
      </c>
      <c r="DG139" s="1804">
        <v>0</v>
      </c>
      <c r="DH139" s="1804">
        <v>0</v>
      </c>
      <c r="DI139" s="1804">
        <v>0</v>
      </c>
      <c r="DJ139" s="1804">
        <v>0</v>
      </c>
      <c r="DK139" s="1804">
        <v>0</v>
      </c>
      <c r="DL139" s="1804">
        <v>0</v>
      </c>
      <c r="DM139" s="1804">
        <v>0</v>
      </c>
      <c r="DN139" s="1804">
        <v>0</v>
      </c>
      <c r="DO139" s="1804">
        <v>0</v>
      </c>
      <c r="DP139" s="1804">
        <v>0</v>
      </c>
      <c r="DQ139" s="1804">
        <v>0</v>
      </c>
      <c r="DR139" s="1804">
        <v>0</v>
      </c>
      <c r="DS139" s="1804">
        <v>0</v>
      </c>
      <c r="DT139" s="1804">
        <v>0</v>
      </c>
      <c r="DU139" s="1804">
        <v>0</v>
      </c>
      <c r="DV139" s="1804">
        <v>0</v>
      </c>
      <c r="DW139" s="1804">
        <v>0</v>
      </c>
      <c r="DX139" s="1804">
        <v>0</v>
      </c>
      <c r="DY139" s="1804">
        <v>0</v>
      </c>
      <c r="DZ139" s="1804">
        <v>0</v>
      </c>
      <c r="EA139" s="1804">
        <v>0</v>
      </c>
      <c r="EB139" s="1804">
        <v>0</v>
      </c>
      <c r="EC139" s="1804">
        <v>0</v>
      </c>
      <c r="ED139" s="1804">
        <v>0</v>
      </c>
      <c r="EE139" s="1804">
        <v>0</v>
      </c>
      <c r="EF139" s="1804">
        <v>0</v>
      </c>
      <c r="EG139" s="1804">
        <v>0</v>
      </c>
      <c r="EH139" s="1804">
        <v>0</v>
      </c>
      <c r="EI139" s="1804">
        <v>0</v>
      </c>
      <c r="EJ139" s="1804">
        <v>0</v>
      </c>
      <c r="EK139" s="1804">
        <v>0</v>
      </c>
      <c r="EL139" s="1804">
        <v>0</v>
      </c>
      <c r="EM139" s="1804">
        <v>0</v>
      </c>
      <c r="EN139" s="1804">
        <v>0</v>
      </c>
      <c r="EO139" s="1804">
        <v>0</v>
      </c>
      <c r="EP139" s="1804">
        <v>0</v>
      </c>
      <c r="EQ139" s="1804">
        <v>0</v>
      </c>
      <c r="ER139" s="1804">
        <v>0</v>
      </c>
      <c r="ES139" s="1804">
        <v>0</v>
      </c>
      <c r="ET139" s="1804">
        <v>0</v>
      </c>
      <c r="EU139" s="1804">
        <v>0</v>
      </c>
      <c r="EV139" s="1804">
        <v>0</v>
      </c>
      <c r="EW139" s="1804">
        <v>0</v>
      </c>
      <c r="EX139" s="1804">
        <v>0</v>
      </c>
      <c r="EY139" s="1804">
        <v>0</v>
      </c>
      <c r="EZ139" s="1804">
        <v>0</v>
      </c>
      <c r="FA139" s="1804">
        <v>0</v>
      </c>
      <c r="FB139" s="1804">
        <v>0</v>
      </c>
      <c r="FC139" s="1804">
        <v>0</v>
      </c>
      <c r="FD139" s="1804">
        <v>0</v>
      </c>
      <c r="FE139" s="1804">
        <v>0</v>
      </c>
      <c r="FF139" s="1804">
        <v>0</v>
      </c>
      <c r="FG139" s="1804">
        <v>0</v>
      </c>
      <c r="FH139" s="1804">
        <v>0</v>
      </c>
      <c r="FI139" s="1804">
        <v>0</v>
      </c>
      <c r="FJ139" s="1804">
        <v>0</v>
      </c>
      <c r="FK139" s="1804">
        <v>0</v>
      </c>
      <c r="FL139" s="1804">
        <v>0</v>
      </c>
      <c r="FM139" s="1804">
        <v>0</v>
      </c>
      <c r="FN139" s="1804">
        <v>0</v>
      </c>
      <c r="FO139" s="1804">
        <v>0</v>
      </c>
      <c r="FP139" s="1804">
        <v>0</v>
      </c>
      <c r="FQ139" s="1804">
        <v>0</v>
      </c>
      <c r="FR139" s="1804">
        <v>0</v>
      </c>
      <c r="FS139" s="1804">
        <v>0</v>
      </c>
      <c r="FT139" s="1804">
        <v>0</v>
      </c>
      <c r="FU139" s="1804">
        <v>0</v>
      </c>
      <c r="FV139" s="1804">
        <v>0</v>
      </c>
      <c r="FW139" s="1804">
        <v>0</v>
      </c>
      <c r="FX139" s="1804">
        <v>0</v>
      </c>
      <c r="FY139" s="1804">
        <v>0</v>
      </c>
      <c r="FZ139" s="1804">
        <v>0</v>
      </c>
      <c r="GA139" s="1804">
        <v>0</v>
      </c>
      <c r="GB139" s="1804">
        <v>0</v>
      </c>
      <c r="GC139" s="1804">
        <v>0</v>
      </c>
      <c r="GD139" s="1804">
        <v>0</v>
      </c>
      <c r="GE139" s="1804">
        <v>0</v>
      </c>
      <c r="GF139" s="1804">
        <v>0</v>
      </c>
      <c r="GG139" s="1804">
        <v>0</v>
      </c>
      <c r="GH139" s="1804">
        <v>0</v>
      </c>
      <c r="GI139" s="1804">
        <v>0</v>
      </c>
      <c r="GJ139" s="1804">
        <v>0</v>
      </c>
      <c r="GK139" s="1804">
        <v>0</v>
      </c>
      <c r="GL139" s="1804">
        <v>0</v>
      </c>
      <c r="GM139" s="1804">
        <v>0</v>
      </c>
      <c r="GN139" s="1804">
        <v>0</v>
      </c>
      <c r="GO139" s="1804">
        <v>0</v>
      </c>
      <c r="GP139" s="1804">
        <v>0</v>
      </c>
      <c r="GQ139" s="1804">
        <v>0</v>
      </c>
      <c r="GR139" s="1804">
        <v>0</v>
      </c>
      <c r="GS139" s="1804">
        <v>0</v>
      </c>
      <c r="GT139" s="1804">
        <v>0</v>
      </c>
      <c r="GU139" s="1804">
        <v>0</v>
      </c>
      <c r="GV139" s="1804">
        <v>0</v>
      </c>
      <c r="GW139" s="1804">
        <v>0</v>
      </c>
      <c r="GX139" s="1804">
        <v>0</v>
      </c>
      <c r="GY139" s="1804">
        <v>0</v>
      </c>
      <c r="GZ139" s="1804">
        <v>0</v>
      </c>
      <c r="HA139" s="1804">
        <v>0</v>
      </c>
      <c r="HB139" s="1804">
        <v>0</v>
      </c>
      <c r="HC139" s="1804">
        <v>0</v>
      </c>
      <c r="HD139" s="1804">
        <v>0</v>
      </c>
      <c r="HE139" s="1804">
        <v>0</v>
      </c>
    </row>
    <row r="140" spans="1:213" ht="21" customHeight="1" thickBot="1" x14ac:dyDescent="0.25">
      <c r="A140" s="1968" t="s">
        <v>2356</v>
      </c>
      <c r="B140" s="1988" t="s">
        <v>962</v>
      </c>
      <c r="C140" s="1699" t="s">
        <v>754</v>
      </c>
      <c r="D140" s="1880"/>
      <c r="E140" s="1984"/>
      <c r="F140" s="1865"/>
      <c r="G140" s="1866"/>
      <c r="H140" s="1866"/>
      <c r="I140" s="1866"/>
      <c r="J140" s="1866"/>
      <c r="K140" s="1866"/>
      <c r="L140" s="1866"/>
      <c r="M140" s="1866"/>
      <c r="N140" s="1866"/>
      <c r="O140" s="1866"/>
      <c r="P140" s="1866"/>
      <c r="Q140" s="1866"/>
      <c r="R140" s="1866"/>
      <c r="S140" s="1866"/>
      <c r="T140" s="1866"/>
      <c r="U140" s="1866"/>
      <c r="V140" s="1866"/>
      <c r="W140" s="1866"/>
      <c r="X140" s="1866"/>
      <c r="Y140" s="1866"/>
      <c r="Z140" s="1866"/>
      <c r="AA140" s="1866"/>
      <c r="AB140" s="1866"/>
      <c r="AC140" s="1866"/>
      <c r="AD140" s="1866"/>
      <c r="AE140" s="1866"/>
      <c r="AF140" s="1866"/>
      <c r="AG140" s="1866"/>
      <c r="AH140" s="1866"/>
      <c r="AI140" s="1866"/>
      <c r="AJ140" s="1866"/>
      <c r="AK140" s="1866"/>
      <c r="AL140" s="1866"/>
      <c r="AM140" s="1866"/>
      <c r="AN140" s="1866"/>
      <c r="AO140" s="1866"/>
      <c r="AP140" s="1866"/>
      <c r="AQ140" s="1866"/>
      <c r="AR140" s="1866"/>
      <c r="AS140" s="1866"/>
      <c r="AT140" s="1866"/>
      <c r="AU140" s="1866"/>
      <c r="AV140" s="1866"/>
      <c r="AW140" s="1866"/>
      <c r="AX140" s="1866"/>
      <c r="AY140" s="1866"/>
      <c r="AZ140" s="1866"/>
      <c r="BA140" s="1866"/>
      <c r="BB140" s="1866"/>
      <c r="BC140" s="1866"/>
      <c r="BD140" s="1866"/>
      <c r="BE140" s="1866"/>
      <c r="BF140" s="1866"/>
      <c r="BG140" s="1866"/>
      <c r="BH140" s="1866"/>
      <c r="BI140" s="1866"/>
      <c r="BJ140" s="1866"/>
      <c r="BK140" s="1866"/>
      <c r="BL140" s="1866"/>
      <c r="BM140" s="1866"/>
      <c r="BN140" s="1866"/>
      <c r="BO140" s="1866"/>
      <c r="BP140" s="1866"/>
      <c r="BQ140" s="1866"/>
      <c r="BR140" s="1866"/>
      <c r="BS140" s="1866"/>
      <c r="BT140" s="1866"/>
      <c r="BU140" s="1866"/>
      <c r="BV140" s="1866"/>
      <c r="BW140" s="1866"/>
      <c r="BX140" s="1866"/>
      <c r="BY140" s="1866"/>
      <c r="BZ140" s="1866"/>
      <c r="CA140" s="1866"/>
      <c r="CB140" s="1866"/>
      <c r="CC140" s="1866"/>
      <c r="CD140" s="1866"/>
      <c r="CE140" s="1866"/>
      <c r="CF140" s="1866"/>
      <c r="CG140" s="1866"/>
      <c r="CH140" s="1866"/>
      <c r="CI140" s="1866"/>
      <c r="CJ140" s="1866"/>
      <c r="CK140" s="1866"/>
      <c r="CL140" s="1866"/>
      <c r="CM140" s="1866"/>
      <c r="CN140" s="1866"/>
      <c r="CO140" s="1866"/>
      <c r="CP140" s="1866"/>
      <c r="CQ140" s="1866"/>
      <c r="CR140" s="1866"/>
      <c r="CS140" s="1866"/>
      <c r="CT140" s="1866"/>
      <c r="CU140" s="1866"/>
      <c r="CV140" s="1866"/>
      <c r="CW140" s="1866"/>
      <c r="CX140" s="1866"/>
      <c r="CY140" s="1866"/>
      <c r="CZ140" s="1866"/>
      <c r="DA140" s="1866"/>
      <c r="DB140" s="1866"/>
      <c r="DC140" s="1866"/>
      <c r="DD140" s="1866"/>
      <c r="DE140" s="1866"/>
      <c r="DF140" s="1866"/>
      <c r="DG140" s="1866"/>
      <c r="DH140" s="1866"/>
      <c r="DI140" s="1866"/>
      <c r="DJ140" s="1866"/>
      <c r="DK140" s="1866"/>
      <c r="DL140" s="1866"/>
      <c r="DM140" s="1866"/>
      <c r="DN140" s="1866"/>
      <c r="DO140" s="1866"/>
      <c r="DP140" s="1866"/>
      <c r="DQ140" s="1866"/>
      <c r="DR140" s="1866"/>
      <c r="DS140" s="1866"/>
      <c r="DT140" s="1866"/>
      <c r="DU140" s="1866"/>
      <c r="DV140" s="1866"/>
      <c r="DW140" s="1866"/>
      <c r="DX140" s="1866"/>
      <c r="DY140" s="1866"/>
      <c r="DZ140" s="1866"/>
      <c r="EA140" s="1866"/>
      <c r="EB140" s="1866"/>
      <c r="EC140" s="1866"/>
      <c r="ED140" s="1866"/>
      <c r="EE140" s="1866"/>
      <c r="EF140" s="1866"/>
      <c r="EG140" s="1866"/>
      <c r="EH140" s="1866"/>
      <c r="EI140" s="1866"/>
      <c r="EJ140" s="1866"/>
      <c r="EK140" s="1866"/>
      <c r="EL140" s="1866"/>
      <c r="EM140" s="1866"/>
      <c r="EN140" s="1866"/>
      <c r="EO140" s="1866"/>
      <c r="EP140" s="1866"/>
      <c r="EQ140" s="1866"/>
      <c r="ER140" s="1866"/>
      <c r="ES140" s="1866"/>
      <c r="ET140" s="1866"/>
      <c r="EU140" s="1866"/>
      <c r="EV140" s="1866"/>
      <c r="EW140" s="1866"/>
      <c r="EX140" s="1866"/>
      <c r="EY140" s="1866"/>
      <c r="EZ140" s="1866"/>
      <c r="FA140" s="1866"/>
      <c r="FB140" s="1866"/>
      <c r="FC140" s="1866"/>
      <c r="FD140" s="1866"/>
      <c r="FE140" s="1866"/>
      <c r="FF140" s="1866"/>
      <c r="FG140" s="1866"/>
      <c r="FH140" s="1866"/>
      <c r="FI140" s="1866"/>
      <c r="FJ140" s="1866"/>
      <c r="FK140" s="1866"/>
      <c r="FL140" s="1866"/>
      <c r="FM140" s="1866"/>
      <c r="FN140" s="1866"/>
      <c r="FO140" s="1866"/>
      <c r="FP140" s="1866"/>
      <c r="FQ140" s="1866"/>
      <c r="FR140" s="1866"/>
      <c r="FS140" s="1866"/>
      <c r="FT140" s="1866"/>
      <c r="FU140" s="1866"/>
      <c r="FV140" s="1866"/>
      <c r="FW140" s="1866"/>
      <c r="FX140" s="1866"/>
      <c r="FY140" s="1866"/>
      <c r="FZ140" s="1866"/>
      <c r="GA140" s="1866"/>
      <c r="GB140" s="1866"/>
      <c r="GC140" s="1866"/>
      <c r="GD140" s="1866"/>
      <c r="GE140" s="1866"/>
      <c r="GF140" s="1866"/>
      <c r="GG140" s="1866"/>
      <c r="GH140" s="1866"/>
      <c r="GI140" s="1866"/>
      <c r="GJ140" s="1866"/>
      <c r="GK140" s="1866"/>
      <c r="GL140" s="1866"/>
      <c r="GM140" s="1866"/>
      <c r="GN140" s="1866"/>
      <c r="GO140" s="1866"/>
      <c r="GP140" s="1866"/>
      <c r="GQ140" s="1866"/>
      <c r="GR140" s="1866"/>
      <c r="GS140" s="1866"/>
      <c r="GT140" s="1866"/>
      <c r="GU140" s="1866"/>
      <c r="GV140" s="1866"/>
      <c r="GW140" s="1866"/>
      <c r="GX140" s="1866"/>
      <c r="GY140" s="1866"/>
      <c r="GZ140" s="1866"/>
      <c r="HA140" s="1866"/>
      <c r="HB140" s="1866"/>
      <c r="HC140" s="1866"/>
      <c r="HD140" s="1866"/>
      <c r="HE140" s="1866"/>
    </row>
    <row r="141" spans="1:213" ht="27" customHeight="1" x14ac:dyDescent="0.2">
      <c r="A141" s="1966"/>
      <c r="B141" s="1989"/>
      <c r="C141" s="1696" t="s">
        <v>2010</v>
      </c>
      <c r="D141" s="1882"/>
      <c r="E141" s="1984"/>
      <c r="F141" s="1838">
        <v>0</v>
      </c>
      <c r="G141" s="1804">
        <v>0</v>
      </c>
      <c r="H141" s="1804">
        <v>0</v>
      </c>
      <c r="I141" s="1804">
        <v>0</v>
      </c>
      <c r="J141" s="1804">
        <v>0</v>
      </c>
      <c r="K141" s="1804">
        <v>0</v>
      </c>
      <c r="L141" s="1804">
        <v>0</v>
      </c>
      <c r="M141" s="1804">
        <v>0</v>
      </c>
      <c r="N141" s="1804">
        <v>0</v>
      </c>
      <c r="O141" s="1804">
        <v>0</v>
      </c>
      <c r="P141" s="1804">
        <v>0</v>
      </c>
      <c r="Q141" s="1804">
        <v>0</v>
      </c>
      <c r="R141" s="1804">
        <v>0</v>
      </c>
      <c r="S141" s="1804">
        <v>0</v>
      </c>
      <c r="T141" s="1804">
        <v>0</v>
      </c>
      <c r="U141" s="1804">
        <v>0</v>
      </c>
      <c r="V141" s="1804">
        <v>0</v>
      </c>
      <c r="W141" s="1804">
        <v>0</v>
      </c>
      <c r="X141" s="1804">
        <v>0</v>
      </c>
      <c r="Y141" s="1804">
        <v>0</v>
      </c>
      <c r="Z141" s="1804">
        <v>0</v>
      </c>
      <c r="AA141" s="1804">
        <v>0</v>
      </c>
      <c r="AB141" s="1804">
        <v>0</v>
      </c>
      <c r="AC141" s="1804">
        <v>0</v>
      </c>
      <c r="AD141" s="1804">
        <v>0</v>
      </c>
      <c r="AE141" s="1804">
        <v>0</v>
      </c>
      <c r="AF141" s="1804">
        <v>0</v>
      </c>
      <c r="AG141" s="1804">
        <v>0</v>
      </c>
      <c r="AH141" s="1804">
        <v>0</v>
      </c>
      <c r="AI141" s="1804">
        <v>0</v>
      </c>
      <c r="AJ141" s="1804">
        <v>0</v>
      </c>
      <c r="AK141" s="1804">
        <v>0</v>
      </c>
      <c r="AL141" s="1804">
        <v>0</v>
      </c>
      <c r="AM141" s="1804">
        <v>0</v>
      </c>
      <c r="AN141" s="1804">
        <v>0</v>
      </c>
      <c r="AO141" s="1804">
        <v>0</v>
      </c>
      <c r="AP141" s="1804">
        <v>0</v>
      </c>
      <c r="AQ141" s="1804">
        <v>0</v>
      </c>
      <c r="AR141" s="1804">
        <v>0</v>
      </c>
      <c r="AS141" s="1804">
        <v>0</v>
      </c>
      <c r="AT141" s="1804">
        <v>0</v>
      </c>
      <c r="AU141" s="1804">
        <v>0</v>
      </c>
      <c r="AV141" s="1804">
        <v>0</v>
      </c>
      <c r="AW141" s="1804">
        <v>0</v>
      </c>
      <c r="AX141" s="1804">
        <v>0</v>
      </c>
      <c r="AY141" s="1804">
        <v>0</v>
      </c>
      <c r="AZ141" s="1804">
        <v>0</v>
      </c>
      <c r="BA141" s="1804">
        <v>0</v>
      </c>
      <c r="BB141" s="1804">
        <v>0</v>
      </c>
      <c r="BC141" s="1804">
        <v>0</v>
      </c>
      <c r="BD141" s="1804">
        <v>0</v>
      </c>
      <c r="BE141" s="1804">
        <v>0</v>
      </c>
      <c r="BF141" s="1804">
        <v>0</v>
      </c>
      <c r="BG141" s="1804">
        <v>0</v>
      </c>
      <c r="BH141" s="1804">
        <v>0</v>
      </c>
      <c r="BI141" s="1804">
        <v>0</v>
      </c>
      <c r="BJ141" s="1804">
        <v>0</v>
      </c>
      <c r="BK141" s="1804">
        <v>0</v>
      </c>
      <c r="BL141" s="1804">
        <v>0</v>
      </c>
      <c r="BM141" s="1804">
        <v>0</v>
      </c>
      <c r="BN141" s="1804">
        <v>0</v>
      </c>
      <c r="BO141" s="1804">
        <v>0</v>
      </c>
      <c r="BP141" s="1804">
        <v>0</v>
      </c>
      <c r="BQ141" s="1804">
        <v>0</v>
      </c>
      <c r="BR141" s="1804">
        <v>0</v>
      </c>
      <c r="BS141" s="1804">
        <v>0</v>
      </c>
      <c r="BT141" s="1804">
        <v>0</v>
      </c>
      <c r="BU141" s="1804">
        <v>0</v>
      </c>
      <c r="BV141" s="1804">
        <v>0</v>
      </c>
      <c r="BW141" s="1804">
        <v>0</v>
      </c>
      <c r="BX141" s="1804">
        <v>0</v>
      </c>
      <c r="BY141" s="1804">
        <v>0</v>
      </c>
      <c r="BZ141" s="1804">
        <v>0</v>
      </c>
      <c r="CA141" s="1804">
        <v>0</v>
      </c>
      <c r="CB141" s="1804">
        <v>0</v>
      </c>
      <c r="CC141" s="1804">
        <v>0</v>
      </c>
      <c r="CD141" s="1804">
        <v>0</v>
      </c>
      <c r="CE141" s="1804">
        <v>0</v>
      </c>
      <c r="CF141" s="1804">
        <v>0</v>
      </c>
      <c r="CG141" s="1804">
        <v>0</v>
      </c>
      <c r="CH141" s="1804">
        <v>0</v>
      </c>
      <c r="CI141" s="1804">
        <v>0</v>
      </c>
      <c r="CJ141" s="1804">
        <v>0</v>
      </c>
      <c r="CK141" s="1804">
        <v>0</v>
      </c>
      <c r="CL141" s="1804">
        <v>0</v>
      </c>
      <c r="CM141" s="1804">
        <v>0</v>
      </c>
      <c r="CN141" s="1804">
        <v>0</v>
      </c>
      <c r="CO141" s="1804">
        <v>0</v>
      </c>
      <c r="CP141" s="1804">
        <v>0</v>
      </c>
      <c r="CQ141" s="1804">
        <v>0</v>
      </c>
      <c r="CR141" s="1804">
        <v>0</v>
      </c>
      <c r="CS141" s="1804">
        <v>0</v>
      </c>
      <c r="CT141" s="1804">
        <v>0</v>
      </c>
      <c r="CU141" s="1804">
        <v>0</v>
      </c>
      <c r="CV141" s="1804">
        <v>0</v>
      </c>
      <c r="CW141" s="1804">
        <v>0</v>
      </c>
      <c r="CX141" s="1804">
        <v>0</v>
      </c>
      <c r="CY141" s="1804">
        <v>0</v>
      </c>
      <c r="CZ141" s="1804">
        <v>0</v>
      </c>
      <c r="DA141" s="1804">
        <v>0</v>
      </c>
      <c r="DB141" s="1804">
        <v>0</v>
      </c>
      <c r="DC141" s="1804">
        <v>0</v>
      </c>
      <c r="DD141" s="1804">
        <v>0</v>
      </c>
      <c r="DE141" s="1804">
        <v>0</v>
      </c>
      <c r="DF141" s="1804">
        <v>0</v>
      </c>
      <c r="DG141" s="1804">
        <v>0</v>
      </c>
      <c r="DH141" s="1804">
        <v>0</v>
      </c>
      <c r="DI141" s="1804">
        <v>0</v>
      </c>
      <c r="DJ141" s="1804">
        <v>0</v>
      </c>
      <c r="DK141" s="1804">
        <v>0</v>
      </c>
      <c r="DL141" s="1804">
        <v>0</v>
      </c>
      <c r="DM141" s="1804">
        <v>0</v>
      </c>
      <c r="DN141" s="1804">
        <v>0</v>
      </c>
      <c r="DO141" s="1804">
        <v>0</v>
      </c>
      <c r="DP141" s="1804">
        <v>0</v>
      </c>
      <c r="DQ141" s="1804">
        <v>0</v>
      </c>
      <c r="DR141" s="1804">
        <v>0</v>
      </c>
      <c r="DS141" s="1804">
        <v>0</v>
      </c>
      <c r="DT141" s="1804">
        <v>0</v>
      </c>
      <c r="DU141" s="1804">
        <v>0</v>
      </c>
      <c r="DV141" s="1804">
        <v>0</v>
      </c>
      <c r="DW141" s="1804">
        <v>0</v>
      </c>
      <c r="DX141" s="1804">
        <v>0</v>
      </c>
      <c r="DY141" s="1804">
        <v>0</v>
      </c>
      <c r="DZ141" s="1804">
        <v>0</v>
      </c>
      <c r="EA141" s="1804">
        <v>0</v>
      </c>
      <c r="EB141" s="1804">
        <v>0</v>
      </c>
      <c r="EC141" s="1804">
        <v>0</v>
      </c>
      <c r="ED141" s="1804">
        <v>0</v>
      </c>
      <c r="EE141" s="1804">
        <v>0</v>
      </c>
      <c r="EF141" s="1804">
        <v>0</v>
      </c>
      <c r="EG141" s="1804">
        <v>0</v>
      </c>
      <c r="EH141" s="1804">
        <v>0</v>
      </c>
      <c r="EI141" s="1804">
        <v>0</v>
      </c>
      <c r="EJ141" s="1804">
        <v>0</v>
      </c>
      <c r="EK141" s="1804">
        <v>0</v>
      </c>
      <c r="EL141" s="1804">
        <v>0</v>
      </c>
      <c r="EM141" s="1804">
        <v>0</v>
      </c>
      <c r="EN141" s="1804">
        <v>0</v>
      </c>
      <c r="EO141" s="1804">
        <v>0</v>
      </c>
      <c r="EP141" s="1804">
        <v>0</v>
      </c>
      <c r="EQ141" s="1804">
        <v>0</v>
      </c>
      <c r="ER141" s="1804">
        <v>0</v>
      </c>
      <c r="ES141" s="1804">
        <v>0</v>
      </c>
      <c r="ET141" s="1804">
        <v>0</v>
      </c>
      <c r="EU141" s="1804">
        <v>0</v>
      </c>
      <c r="EV141" s="1804">
        <v>0</v>
      </c>
      <c r="EW141" s="1804">
        <v>0</v>
      </c>
      <c r="EX141" s="1804">
        <v>0</v>
      </c>
      <c r="EY141" s="1804">
        <v>0</v>
      </c>
      <c r="EZ141" s="1804">
        <v>0</v>
      </c>
      <c r="FA141" s="1804">
        <v>0</v>
      </c>
      <c r="FB141" s="1804">
        <v>0</v>
      </c>
      <c r="FC141" s="1804">
        <v>0</v>
      </c>
      <c r="FD141" s="1804">
        <v>0</v>
      </c>
      <c r="FE141" s="1804">
        <v>0</v>
      </c>
      <c r="FF141" s="1804">
        <v>0</v>
      </c>
      <c r="FG141" s="1804">
        <v>0</v>
      </c>
      <c r="FH141" s="1804">
        <v>0</v>
      </c>
      <c r="FI141" s="1804">
        <v>0</v>
      </c>
      <c r="FJ141" s="1804">
        <v>0</v>
      </c>
      <c r="FK141" s="1804">
        <v>0</v>
      </c>
      <c r="FL141" s="1804">
        <v>0</v>
      </c>
      <c r="FM141" s="1804">
        <v>0</v>
      </c>
      <c r="FN141" s="1804">
        <v>0</v>
      </c>
      <c r="FO141" s="1804">
        <v>0</v>
      </c>
      <c r="FP141" s="1804">
        <v>0</v>
      </c>
      <c r="FQ141" s="1804">
        <v>0</v>
      </c>
      <c r="FR141" s="1804">
        <v>0</v>
      </c>
      <c r="FS141" s="1804">
        <v>0</v>
      </c>
      <c r="FT141" s="1804">
        <v>0</v>
      </c>
      <c r="FU141" s="1804">
        <v>0</v>
      </c>
      <c r="FV141" s="1804">
        <v>0</v>
      </c>
      <c r="FW141" s="1804">
        <v>0</v>
      </c>
      <c r="FX141" s="1804">
        <v>0</v>
      </c>
      <c r="FY141" s="1804">
        <v>0</v>
      </c>
      <c r="FZ141" s="1804">
        <v>0</v>
      </c>
      <c r="GA141" s="1804">
        <v>0</v>
      </c>
      <c r="GB141" s="1804">
        <v>0</v>
      </c>
      <c r="GC141" s="1804">
        <v>0</v>
      </c>
      <c r="GD141" s="1804">
        <v>0</v>
      </c>
      <c r="GE141" s="1804">
        <v>0</v>
      </c>
      <c r="GF141" s="1804">
        <v>0</v>
      </c>
      <c r="GG141" s="1804">
        <v>0</v>
      </c>
      <c r="GH141" s="1804">
        <v>0</v>
      </c>
      <c r="GI141" s="1804">
        <v>0</v>
      </c>
      <c r="GJ141" s="1804">
        <v>0</v>
      </c>
      <c r="GK141" s="1804">
        <v>0</v>
      </c>
      <c r="GL141" s="1804">
        <v>0</v>
      </c>
      <c r="GM141" s="1804">
        <v>0</v>
      </c>
      <c r="GN141" s="1804">
        <v>0</v>
      </c>
      <c r="GO141" s="1804">
        <v>0</v>
      </c>
      <c r="GP141" s="1804">
        <v>0</v>
      </c>
      <c r="GQ141" s="1804">
        <v>0</v>
      </c>
      <c r="GR141" s="1804">
        <v>0</v>
      </c>
      <c r="GS141" s="1804">
        <v>0</v>
      </c>
      <c r="GT141" s="1804">
        <v>0</v>
      </c>
      <c r="GU141" s="1804">
        <v>0</v>
      </c>
      <c r="GV141" s="1804">
        <v>0</v>
      </c>
      <c r="GW141" s="1804">
        <v>0</v>
      </c>
      <c r="GX141" s="1804">
        <v>0</v>
      </c>
      <c r="GY141" s="1804">
        <v>0</v>
      </c>
      <c r="GZ141" s="1804">
        <v>0</v>
      </c>
      <c r="HA141" s="1804">
        <v>0</v>
      </c>
      <c r="HB141" s="1804">
        <v>0</v>
      </c>
      <c r="HC141" s="1804">
        <v>0</v>
      </c>
      <c r="HD141" s="1804">
        <v>0</v>
      </c>
      <c r="HE141" s="1804">
        <v>0</v>
      </c>
    </row>
    <row r="142" spans="1:213" ht="27" customHeight="1" x14ac:dyDescent="0.2">
      <c r="A142" s="1966"/>
      <c r="B142" s="1989"/>
      <c r="C142" s="1818" t="s">
        <v>2011</v>
      </c>
      <c r="D142" s="1883"/>
      <c r="E142" s="1984"/>
      <c r="F142" s="1838">
        <v>0</v>
      </c>
      <c r="G142" s="1804">
        <v>0</v>
      </c>
      <c r="H142" s="1804">
        <v>0</v>
      </c>
      <c r="I142" s="1804">
        <v>0</v>
      </c>
      <c r="J142" s="1804">
        <v>0</v>
      </c>
      <c r="K142" s="1804">
        <v>0</v>
      </c>
      <c r="L142" s="1804">
        <v>0</v>
      </c>
      <c r="M142" s="1804">
        <v>0</v>
      </c>
      <c r="N142" s="1804">
        <v>0</v>
      </c>
      <c r="O142" s="1804">
        <v>0</v>
      </c>
      <c r="P142" s="1804">
        <v>0</v>
      </c>
      <c r="Q142" s="1804">
        <v>0</v>
      </c>
      <c r="R142" s="1804">
        <v>0</v>
      </c>
      <c r="S142" s="1804">
        <v>0</v>
      </c>
      <c r="T142" s="1804">
        <v>0</v>
      </c>
      <c r="U142" s="1804">
        <v>0</v>
      </c>
      <c r="V142" s="1804">
        <v>0</v>
      </c>
      <c r="W142" s="1804">
        <v>0</v>
      </c>
      <c r="X142" s="1804">
        <v>0</v>
      </c>
      <c r="Y142" s="1804">
        <v>0</v>
      </c>
      <c r="Z142" s="1804">
        <v>0</v>
      </c>
      <c r="AA142" s="1804">
        <v>0</v>
      </c>
      <c r="AB142" s="1804">
        <v>0</v>
      </c>
      <c r="AC142" s="1804">
        <v>0</v>
      </c>
      <c r="AD142" s="1804">
        <v>0</v>
      </c>
      <c r="AE142" s="1804">
        <v>0</v>
      </c>
      <c r="AF142" s="1804">
        <v>0</v>
      </c>
      <c r="AG142" s="1804">
        <v>0</v>
      </c>
      <c r="AH142" s="1804">
        <v>0</v>
      </c>
      <c r="AI142" s="1804">
        <v>0</v>
      </c>
      <c r="AJ142" s="1804">
        <v>0</v>
      </c>
      <c r="AK142" s="1804">
        <v>0</v>
      </c>
      <c r="AL142" s="1804">
        <v>0</v>
      </c>
      <c r="AM142" s="1804">
        <v>0</v>
      </c>
      <c r="AN142" s="1804">
        <v>0</v>
      </c>
      <c r="AO142" s="1804">
        <v>0</v>
      </c>
      <c r="AP142" s="1804">
        <v>0</v>
      </c>
      <c r="AQ142" s="1804">
        <v>0</v>
      </c>
      <c r="AR142" s="1804">
        <v>0</v>
      </c>
      <c r="AS142" s="1804">
        <v>0</v>
      </c>
      <c r="AT142" s="1804">
        <v>0</v>
      </c>
      <c r="AU142" s="1804">
        <v>0</v>
      </c>
      <c r="AV142" s="1804">
        <v>0</v>
      </c>
      <c r="AW142" s="1804">
        <v>0</v>
      </c>
      <c r="AX142" s="1804">
        <v>0</v>
      </c>
      <c r="AY142" s="1804">
        <v>0</v>
      </c>
      <c r="AZ142" s="1804">
        <v>0</v>
      </c>
      <c r="BA142" s="1804">
        <v>0</v>
      </c>
      <c r="BB142" s="1804">
        <v>0</v>
      </c>
      <c r="BC142" s="1804">
        <v>0</v>
      </c>
      <c r="BD142" s="1804">
        <v>0</v>
      </c>
      <c r="BE142" s="1804">
        <v>0</v>
      </c>
      <c r="BF142" s="1804">
        <v>0</v>
      </c>
      <c r="BG142" s="1804">
        <v>0</v>
      </c>
      <c r="BH142" s="1804">
        <v>0</v>
      </c>
      <c r="BI142" s="1804">
        <v>0</v>
      </c>
      <c r="BJ142" s="1804">
        <v>0</v>
      </c>
      <c r="BK142" s="1804">
        <v>0</v>
      </c>
      <c r="BL142" s="1804">
        <v>0</v>
      </c>
      <c r="BM142" s="1804">
        <v>0</v>
      </c>
      <c r="BN142" s="1804">
        <v>0</v>
      </c>
      <c r="BO142" s="1804">
        <v>0</v>
      </c>
      <c r="BP142" s="1804">
        <v>0</v>
      </c>
      <c r="BQ142" s="1804">
        <v>0</v>
      </c>
      <c r="BR142" s="1804">
        <v>0</v>
      </c>
      <c r="BS142" s="1804">
        <v>0</v>
      </c>
      <c r="BT142" s="1804">
        <v>0</v>
      </c>
      <c r="BU142" s="1804">
        <v>0</v>
      </c>
      <c r="BV142" s="1804">
        <v>0</v>
      </c>
      <c r="BW142" s="1804">
        <v>0</v>
      </c>
      <c r="BX142" s="1804">
        <v>0</v>
      </c>
      <c r="BY142" s="1804">
        <v>0</v>
      </c>
      <c r="BZ142" s="1804">
        <v>0</v>
      </c>
      <c r="CA142" s="1804">
        <v>0</v>
      </c>
      <c r="CB142" s="1804">
        <v>0</v>
      </c>
      <c r="CC142" s="1804">
        <v>0</v>
      </c>
      <c r="CD142" s="1804">
        <v>0</v>
      </c>
      <c r="CE142" s="1804">
        <v>0</v>
      </c>
      <c r="CF142" s="1804">
        <v>0</v>
      </c>
      <c r="CG142" s="1804">
        <v>0</v>
      </c>
      <c r="CH142" s="1804">
        <v>0</v>
      </c>
      <c r="CI142" s="1804">
        <v>0</v>
      </c>
      <c r="CJ142" s="1804">
        <v>0</v>
      </c>
      <c r="CK142" s="1804">
        <v>0</v>
      </c>
      <c r="CL142" s="1804">
        <v>0</v>
      </c>
      <c r="CM142" s="1804">
        <v>0</v>
      </c>
      <c r="CN142" s="1804">
        <v>0</v>
      </c>
      <c r="CO142" s="1804">
        <v>0</v>
      </c>
      <c r="CP142" s="1804">
        <v>0</v>
      </c>
      <c r="CQ142" s="1804">
        <v>0</v>
      </c>
      <c r="CR142" s="1804">
        <v>0</v>
      </c>
      <c r="CS142" s="1804">
        <v>0</v>
      </c>
      <c r="CT142" s="1804">
        <v>0</v>
      </c>
      <c r="CU142" s="1804">
        <v>0</v>
      </c>
      <c r="CV142" s="1804">
        <v>0</v>
      </c>
      <c r="CW142" s="1804">
        <v>0</v>
      </c>
      <c r="CX142" s="1804">
        <v>0</v>
      </c>
      <c r="CY142" s="1804">
        <v>0</v>
      </c>
      <c r="CZ142" s="1804">
        <v>0</v>
      </c>
      <c r="DA142" s="1804">
        <v>0</v>
      </c>
      <c r="DB142" s="1804">
        <v>0</v>
      </c>
      <c r="DC142" s="1804">
        <v>0</v>
      </c>
      <c r="DD142" s="1804">
        <v>0</v>
      </c>
      <c r="DE142" s="1804">
        <v>0</v>
      </c>
      <c r="DF142" s="1804">
        <v>0</v>
      </c>
      <c r="DG142" s="1804">
        <v>0</v>
      </c>
      <c r="DH142" s="1804">
        <v>0</v>
      </c>
      <c r="DI142" s="1804">
        <v>0</v>
      </c>
      <c r="DJ142" s="1804">
        <v>0</v>
      </c>
      <c r="DK142" s="1804">
        <v>0</v>
      </c>
      <c r="DL142" s="1804">
        <v>0</v>
      </c>
      <c r="DM142" s="1804">
        <v>0</v>
      </c>
      <c r="DN142" s="1804">
        <v>0</v>
      </c>
      <c r="DO142" s="1804">
        <v>0</v>
      </c>
      <c r="DP142" s="1804">
        <v>0</v>
      </c>
      <c r="DQ142" s="1804">
        <v>0</v>
      </c>
      <c r="DR142" s="1804">
        <v>0</v>
      </c>
      <c r="DS142" s="1804">
        <v>0</v>
      </c>
      <c r="DT142" s="1804">
        <v>0</v>
      </c>
      <c r="DU142" s="1804">
        <v>0</v>
      </c>
      <c r="DV142" s="1804">
        <v>0</v>
      </c>
      <c r="DW142" s="1804">
        <v>0</v>
      </c>
      <c r="DX142" s="1804">
        <v>0</v>
      </c>
      <c r="DY142" s="1804">
        <v>0</v>
      </c>
      <c r="DZ142" s="1804">
        <v>0</v>
      </c>
      <c r="EA142" s="1804">
        <v>0</v>
      </c>
      <c r="EB142" s="1804">
        <v>0</v>
      </c>
      <c r="EC142" s="1804">
        <v>0</v>
      </c>
      <c r="ED142" s="1804">
        <v>0</v>
      </c>
      <c r="EE142" s="1804">
        <v>0</v>
      </c>
      <c r="EF142" s="1804">
        <v>0</v>
      </c>
      <c r="EG142" s="1804">
        <v>0</v>
      </c>
      <c r="EH142" s="1804">
        <v>0</v>
      </c>
      <c r="EI142" s="1804">
        <v>0</v>
      </c>
      <c r="EJ142" s="1804">
        <v>0</v>
      </c>
      <c r="EK142" s="1804">
        <v>0</v>
      </c>
      <c r="EL142" s="1804">
        <v>0</v>
      </c>
      <c r="EM142" s="1804">
        <v>0</v>
      </c>
      <c r="EN142" s="1804">
        <v>0</v>
      </c>
      <c r="EO142" s="1804">
        <v>0</v>
      </c>
      <c r="EP142" s="1804">
        <v>0</v>
      </c>
      <c r="EQ142" s="1804">
        <v>0</v>
      </c>
      <c r="ER142" s="1804">
        <v>0</v>
      </c>
      <c r="ES142" s="1804">
        <v>0</v>
      </c>
      <c r="ET142" s="1804">
        <v>0</v>
      </c>
      <c r="EU142" s="1804">
        <v>0</v>
      </c>
      <c r="EV142" s="1804">
        <v>0</v>
      </c>
      <c r="EW142" s="1804">
        <v>0</v>
      </c>
      <c r="EX142" s="1804">
        <v>0</v>
      </c>
      <c r="EY142" s="1804">
        <v>0</v>
      </c>
      <c r="EZ142" s="1804">
        <v>0</v>
      </c>
      <c r="FA142" s="1804">
        <v>0</v>
      </c>
      <c r="FB142" s="1804">
        <v>0</v>
      </c>
      <c r="FC142" s="1804">
        <v>0</v>
      </c>
      <c r="FD142" s="1804">
        <v>0</v>
      </c>
      <c r="FE142" s="1804">
        <v>0</v>
      </c>
      <c r="FF142" s="1804">
        <v>0</v>
      </c>
      <c r="FG142" s="1804">
        <v>0</v>
      </c>
      <c r="FH142" s="1804">
        <v>0</v>
      </c>
      <c r="FI142" s="1804">
        <v>0</v>
      </c>
      <c r="FJ142" s="1804">
        <v>0</v>
      </c>
      <c r="FK142" s="1804">
        <v>0</v>
      </c>
      <c r="FL142" s="1804">
        <v>0</v>
      </c>
      <c r="FM142" s="1804">
        <v>0</v>
      </c>
      <c r="FN142" s="1804">
        <v>0</v>
      </c>
      <c r="FO142" s="1804">
        <v>0</v>
      </c>
      <c r="FP142" s="1804">
        <v>0</v>
      </c>
      <c r="FQ142" s="1804">
        <v>0</v>
      </c>
      <c r="FR142" s="1804">
        <v>0</v>
      </c>
      <c r="FS142" s="1804">
        <v>0</v>
      </c>
      <c r="FT142" s="1804">
        <v>0</v>
      </c>
      <c r="FU142" s="1804">
        <v>0</v>
      </c>
      <c r="FV142" s="1804">
        <v>0</v>
      </c>
      <c r="FW142" s="1804">
        <v>0</v>
      </c>
      <c r="FX142" s="1804">
        <v>0</v>
      </c>
      <c r="FY142" s="1804">
        <v>0</v>
      </c>
      <c r="FZ142" s="1804">
        <v>0</v>
      </c>
      <c r="GA142" s="1804">
        <v>0</v>
      </c>
      <c r="GB142" s="1804">
        <v>0</v>
      </c>
      <c r="GC142" s="1804">
        <v>0</v>
      </c>
      <c r="GD142" s="1804">
        <v>0</v>
      </c>
      <c r="GE142" s="1804">
        <v>0</v>
      </c>
      <c r="GF142" s="1804">
        <v>0</v>
      </c>
      <c r="GG142" s="1804">
        <v>0</v>
      </c>
      <c r="GH142" s="1804">
        <v>0</v>
      </c>
      <c r="GI142" s="1804">
        <v>0</v>
      </c>
      <c r="GJ142" s="1804">
        <v>0</v>
      </c>
      <c r="GK142" s="1804">
        <v>0</v>
      </c>
      <c r="GL142" s="1804">
        <v>0</v>
      </c>
      <c r="GM142" s="1804">
        <v>0</v>
      </c>
      <c r="GN142" s="1804">
        <v>0</v>
      </c>
      <c r="GO142" s="1804">
        <v>0</v>
      </c>
      <c r="GP142" s="1804">
        <v>0</v>
      </c>
      <c r="GQ142" s="1804">
        <v>0</v>
      </c>
      <c r="GR142" s="1804">
        <v>0</v>
      </c>
      <c r="GS142" s="1804">
        <v>0</v>
      </c>
      <c r="GT142" s="1804">
        <v>0</v>
      </c>
      <c r="GU142" s="1804">
        <v>0</v>
      </c>
      <c r="GV142" s="1804">
        <v>0</v>
      </c>
      <c r="GW142" s="1804">
        <v>0</v>
      </c>
      <c r="GX142" s="1804">
        <v>0</v>
      </c>
      <c r="GY142" s="1804">
        <v>0</v>
      </c>
      <c r="GZ142" s="1804">
        <v>0</v>
      </c>
      <c r="HA142" s="1804">
        <v>0</v>
      </c>
      <c r="HB142" s="1804">
        <v>0</v>
      </c>
      <c r="HC142" s="1804">
        <v>0</v>
      </c>
      <c r="HD142" s="1804">
        <v>0</v>
      </c>
      <c r="HE142" s="1804">
        <v>0</v>
      </c>
    </row>
    <row r="143" spans="1:213" ht="15" customHeight="1" x14ac:dyDescent="0.2">
      <c r="A143" s="1966"/>
      <c r="B143" s="1989"/>
      <c r="C143" s="1696" t="s">
        <v>2012</v>
      </c>
      <c r="D143" s="1883"/>
      <c r="E143" s="1984"/>
      <c r="F143" s="1838">
        <v>0</v>
      </c>
      <c r="G143" s="1804">
        <v>0</v>
      </c>
      <c r="H143" s="1804">
        <v>0</v>
      </c>
      <c r="I143" s="1804">
        <v>0</v>
      </c>
      <c r="J143" s="1804">
        <v>0</v>
      </c>
      <c r="K143" s="1804">
        <v>0</v>
      </c>
      <c r="L143" s="1804">
        <v>0</v>
      </c>
      <c r="M143" s="1804">
        <v>0</v>
      </c>
      <c r="N143" s="1804">
        <v>0</v>
      </c>
      <c r="O143" s="1804">
        <v>0</v>
      </c>
      <c r="P143" s="1804">
        <v>0</v>
      </c>
      <c r="Q143" s="1804">
        <v>0</v>
      </c>
      <c r="R143" s="1804">
        <v>0</v>
      </c>
      <c r="S143" s="1804">
        <v>0</v>
      </c>
      <c r="T143" s="1804">
        <v>0</v>
      </c>
      <c r="U143" s="1804">
        <v>0</v>
      </c>
      <c r="V143" s="1804">
        <v>0</v>
      </c>
      <c r="W143" s="1804">
        <v>0</v>
      </c>
      <c r="X143" s="1804">
        <v>0</v>
      </c>
      <c r="Y143" s="1804">
        <v>0</v>
      </c>
      <c r="Z143" s="1804">
        <v>0</v>
      </c>
      <c r="AA143" s="1804">
        <v>0</v>
      </c>
      <c r="AB143" s="1804">
        <v>0</v>
      </c>
      <c r="AC143" s="1804">
        <v>0</v>
      </c>
      <c r="AD143" s="1804">
        <v>0</v>
      </c>
      <c r="AE143" s="1804">
        <v>0</v>
      </c>
      <c r="AF143" s="1804">
        <v>0</v>
      </c>
      <c r="AG143" s="1804">
        <v>0</v>
      </c>
      <c r="AH143" s="1804">
        <v>0</v>
      </c>
      <c r="AI143" s="1804">
        <v>0</v>
      </c>
      <c r="AJ143" s="1804">
        <v>0</v>
      </c>
      <c r="AK143" s="1804">
        <v>0</v>
      </c>
      <c r="AL143" s="1804">
        <v>0</v>
      </c>
      <c r="AM143" s="1804">
        <v>0</v>
      </c>
      <c r="AN143" s="1804">
        <v>0</v>
      </c>
      <c r="AO143" s="1804">
        <v>0</v>
      </c>
      <c r="AP143" s="1804">
        <v>0</v>
      </c>
      <c r="AQ143" s="1804">
        <v>0</v>
      </c>
      <c r="AR143" s="1804">
        <v>0</v>
      </c>
      <c r="AS143" s="1804">
        <v>0</v>
      </c>
      <c r="AT143" s="1804">
        <v>0</v>
      </c>
      <c r="AU143" s="1804">
        <v>0</v>
      </c>
      <c r="AV143" s="1804">
        <v>0</v>
      </c>
      <c r="AW143" s="1804">
        <v>0</v>
      </c>
      <c r="AX143" s="1804">
        <v>0</v>
      </c>
      <c r="AY143" s="1804">
        <v>0</v>
      </c>
      <c r="AZ143" s="1804">
        <v>0</v>
      </c>
      <c r="BA143" s="1804">
        <v>0</v>
      </c>
      <c r="BB143" s="1804">
        <v>0</v>
      </c>
      <c r="BC143" s="1804">
        <v>0</v>
      </c>
      <c r="BD143" s="1804">
        <v>0</v>
      </c>
      <c r="BE143" s="1804">
        <v>0</v>
      </c>
      <c r="BF143" s="1804">
        <v>0</v>
      </c>
      <c r="BG143" s="1804">
        <v>0</v>
      </c>
      <c r="BH143" s="1804">
        <v>0</v>
      </c>
      <c r="BI143" s="1804">
        <v>0</v>
      </c>
      <c r="BJ143" s="1804">
        <v>0</v>
      </c>
      <c r="BK143" s="1804">
        <v>0</v>
      </c>
      <c r="BL143" s="1804">
        <v>0</v>
      </c>
      <c r="BM143" s="1804">
        <v>0</v>
      </c>
      <c r="BN143" s="1804">
        <v>0</v>
      </c>
      <c r="BO143" s="1804">
        <v>0</v>
      </c>
      <c r="BP143" s="1804">
        <v>0</v>
      </c>
      <c r="BQ143" s="1804">
        <v>0</v>
      </c>
      <c r="BR143" s="1804">
        <v>0</v>
      </c>
      <c r="BS143" s="1804">
        <v>0</v>
      </c>
      <c r="BT143" s="1804">
        <v>0</v>
      </c>
      <c r="BU143" s="1804">
        <v>0</v>
      </c>
      <c r="BV143" s="1804">
        <v>0</v>
      </c>
      <c r="BW143" s="1804">
        <v>0</v>
      </c>
      <c r="BX143" s="1804">
        <v>0</v>
      </c>
      <c r="BY143" s="1804">
        <v>0</v>
      </c>
      <c r="BZ143" s="1804">
        <v>0</v>
      </c>
      <c r="CA143" s="1804">
        <v>0</v>
      </c>
      <c r="CB143" s="1804">
        <v>0</v>
      </c>
      <c r="CC143" s="1804">
        <v>0</v>
      </c>
      <c r="CD143" s="1804">
        <v>0</v>
      </c>
      <c r="CE143" s="1804">
        <v>0</v>
      </c>
      <c r="CF143" s="1804">
        <v>0</v>
      </c>
      <c r="CG143" s="1804">
        <v>0</v>
      </c>
      <c r="CH143" s="1804">
        <v>0</v>
      </c>
      <c r="CI143" s="1804">
        <v>0</v>
      </c>
      <c r="CJ143" s="1804">
        <v>0</v>
      </c>
      <c r="CK143" s="1804">
        <v>0</v>
      </c>
      <c r="CL143" s="1804">
        <v>0</v>
      </c>
      <c r="CM143" s="1804">
        <v>0</v>
      </c>
      <c r="CN143" s="1804">
        <v>0</v>
      </c>
      <c r="CO143" s="1804">
        <v>0</v>
      </c>
      <c r="CP143" s="1804">
        <v>0</v>
      </c>
      <c r="CQ143" s="1804">
        <v>0</v>
      </c>
      <c r="CR143" s="1804">
        <v>0</v>
      </c>
      <c r="CS143" s="1804">
        <v>0</v>
      </c>
      <c r="CT143" s="1804">
        <v>0</v>
      </c>
      <c r="CU143" s="1804">
        <v>0</v>
      </c>
      <c r="CV143" s="1804">
        <v>0</v>
      </c>
      <c r="CW143" s="1804">
        <v>0</v>
      </c>
      <c r="CX143" s="1804">
        <v>0</v>
      </c>
      <c r="CY143" s="1804">
        <v>0</v>
      </c>
      <c r="CZ143" s="1804">
        <v>0</v>
      </c>
      <c r="DA143" s="1804">
        <v>0</v>
      </c>
      <c r="DB143" s="1804">
        <v>0</v>
      </c>
      <c r="DC143" s="1804">
        <v>0</v>
      </c>
      <c r="DD143" s="1804">
        <v>0</v>
      </c>
      <c r="DE143" s="1804">
        <v>0</v>
      </c>
      <c r="DF143" s="1804">
        <v>0</v>
      </c>
      <c r="DG143" s="1804">
        <v>0</v>
      </c>
      <c r="DH143" s="1804">
        <v>0</v>
      </c>
      <c r="DI143" s="1804">
        <v>0</v>
      </c>
      <c r="DJ143" s="1804">
        <v>0</v>
      </c>
      <c r="DK143" s="1804">
        <v>0</v>
      </c>
      <c r="DL143" s="1804">
        <v>0</v>
      </c>
      <c r="DM143" s="1804">
        <v>0</v>
      </c>
      <c r="DN143" s="1804">
        <v>0</v>
      </c>
      <c r="DO143" s="1804">
        <v>0</v>
      </c>
      <c r="DP143" s="1804">
        <v>0</v>
      </c>
      <c r="DQ143" s="1804">
        <v>0</v>
      </c>
      <c r="DR143" s="1804">
        <v>0</v>
      </c>
      <c r="DS143" s="1804">
        <v>0</v>
      </c>
      <c r="DT143" s="1804">
        <v>0</v>
      </c>
      <c r="DU143" s="1804">
        <v>0</v>
      </c>
      <c r="DV143" s="1804">
        <v>0</v>
      </c>
      <c r="DW143" s="1804">
        <v>0</v>
      </c>
      <c r="DX143" s="1804">
        <v>0</v>
      </c>
      <c r="DY143" s="1804">
        <v>0</v>
      </c>
      <c r="DZ143" s="1804">
        <v>0</v>
      </c>
      <c r="EA143" s="1804">
        <v>0</v>
      </c>
      <c r="EB143" s="1804">
        <v>0</v>
      </c>
      <c r="EC143" s="1804">
        <v>0</v>
      </c>
      <c r="ED143" s="1804">
        <v>0</v>
      </c>
      <c r="EE143" s="1804">
        <v>0</v>
      </c>
      <c r="EF143" s="1804">
        <v>0</v>
      </c>
      <c r="EG143" s="1804">
        <v>0</v>
      </c>
      <c r="EH143" s="1804">
        <v>0</v>
      </c>
      <c r="EI143" s="1804">
        <v>0</v>
      </c>
      <c r="EJ143" s="1804">
        <v>0</v>
      </c>
      <c r="EK143" s="1804">
        <v>0</v>
      </c>
      <c r="EL143" s="1804">
        <v>0</v>
      </c>
      <c r="EM143" s="1804">
        <v>0</v>
      </c>
      <c r="EN143" s="1804">
        <v>0</v>
      </c>
      <c r="EO143" s="1804">
        <v>0</v>
      </c>
      <c r="EP143" s="1804">
        <v>0</v>
      </c>
      <c r="EQ143" s="1804">
        <v>0</v>
      </c>
      <c r="ER143" s="1804">
        <v>0</v>
      </c>
      <c r="ES143" s="1804">
        <v>0</v>
      </c>
      <c r="ET143" s="1804">
        <v>0</v>
      </c>
      <c r="EU143" s="1804">
        <v>0</v>
      </c>
      <c r="EV143" s="1804">
        <v>0</v>
      </c>
      <c r="EW143" s="1804">
        <v>0</v>
      </c>
      <c r="EX143" s="1804">
        <v>0</v>
      </c>
      <c r="EY143" s="1804">
        <v>0</v>
      </c>
      <c r="EZ143" s="1804">
        <v>0</v>
      </c>
      <c r="FA143" s="1804">
        <v>0</v>
      </c>
      <c r="FB143" s="1804">
        <v>0</v>
      </c>
      <c r="FC143" s="1804">
        <v>0</v>
      </c>
      <c r="FD143" s="1804">
        <v>0</v>
      </c>
      <c r="FE143" s="1804">
        <v>0</v>
      </c>
      <c r="FF143" s="1804">
        <v>0</v>
      </c>
      <c r="FG143" s="1804">
        <v>0</v>
      </c>
      <c r="FH143" s="1804">
        <v>0</v>
      </c>
      <c r="FI143" s="1804">
        <v>0</v>
      </c>
      <c r="FJ143" s="1804">
        <v>0</v>
      </c>
      <c r="FK143" s="1804">
        <v>0</v>
      </c>
      <c r="FL143" s="1804">
        <v>0</v>
      </c>
      <c r="FM143" s="1804">
        <v>0</v>
      </c>
      <c r="FN143" s="1804">
        <v>0</v>
      </c>
      <c r="FO143" s="1804">
        <v>0</v>
      </c>
      <c r="FP143" s="1804">
        <v>0</v>
      </c>
      <c r="FQ143" s="1804">
        <v>0</v>
      </c>
      <c r="FR143" s="1804">
        <v>0</v>
      </c>
      <c r="FS143" s="1804">
        <v>0</v>
      </c>
      <c r="FT143" s="1804">
        <v>0</v>
      </c>
      <c r="FU143" s="1804">
        <v>0</v>
      </c>
      <c r="FV143" s="1804">
        <v>0</v>
      </c>
      <c r="FW143" s="1804">
        <v>0</v>
      </c>
      <c r="FX143" s="1804">
        <v>0</v>
      </c>
      <c r="FY143" s="1804">
        <v>0</v>
      </c>
      <c r="FZ143" s="1804">
        <v>0</v>
      </c>
      <c r="GA143" s="1804">
        <v>0</v>
      </c>
      <c r="GB143" s="1804">
        <v>0</v>
      </c>
      <c r="GC143" s="1804">
        <v>0</v>
      </c>
      <c r="GD143" s="1804">
        <v>0</v>
      </c>
      <c r="GE143" s="1804">
        <v>0</v>
      </c>
      <c r="GF143" s="1804">
        <v>0</v>
      </c>
      <c r="GG143" s="1804">
        <v>0</v>
      </c>
      <c r="GH143" s="1804">
        <v>0</v>
      </c>
      <c r="GI143" s="1804">
        <v>0</v>
      </c>
      <c r="GJ143" s="1804">
        <v>0</v>
      </c>
      <c r="GK143" s="1804">
        <v>0</v>
      </c>
      <c r="GL143" s="1804">
        <v>0</v>
      </c>
      <c r="GM143" s="1804">
        <v>0</v>
      </c>
      <c r="GN143" s="1804">
        <v>0</v>
      </c>
      <c r="GO143" s="1804">
        <v>0</v>
      </c>
      <c r="GP143" s="1804">
        <v>0</v>
      </c>
      <c r="GQ143" s="1804">
        <v>0</v>
      </c>
      <c r="GR143" s="1804">
        <v>0</v>
      </c>
      <c r="GS143" s="1804">
        <v>0</v>
      </c>
      <c r="GT143" s="1804">
        <v>0</v>
      </c>
      <c r="GU143" s="1804">
        <v>0</v>
      </c>
      <c r="GV143" s="1804">
        <v>0</v>
      </c>
      <c r="GW143" s="1804">
        <v>0</v>
      </c>
      <c r="GX143" s="1804">
        <v>0</v>
      </c>
      <c r="GY143" s="1804">
        <v>0</v>
      </c>
      <c r="GZ143" s="1804">
        <v>0</v>
      </c>
      <c r="HA143" s="1804">
        <v>0</v>
      </c>
      <c r="HB143" s="1804">
        <v>0</v>
      </c>
      <c r="HC143" s="1804">
        <v>0</v>
      </c>
      <c r="HD143" s="1804">
        <v>0</v>
      </c>
      <c r="HE143" s="1804">
        <v>0</v>
      </c>
    </row>
    <row r="144" spans="1:213" ht="27" customHeight="1" thickBot="1" x14ac:dyDescent="0.25">
      <c r="A144" s="1967"/>
      <c r="B144" s="1991"/>
      <c r="C144" s="1704" t="s">
        <v>899</v>
      </c>
      <c r="D144" s="1883"/>
      <c r="E144" s="1984"/>
      <c r="F144" s="1838">
        <v>0</v>
      </c>
      <c r="G144" s="1804">
        <v>0</v>
      </c>
      <c r="H144" s="1804">
        <v>0</v>
      </c>
      <c r="I144" s="1804">
        <v>0</v>
      </c>
      <c r="J144" s="1804">
        <v>0</v>
      </c>
      <c r="K144" s="1804">
        <v>0</v>
      </c>
      <c r="L144" s="1804">
        <v>0</v>
      </c>
      <c r="M144" s="1804">
        <v>0</v>
      </c>
      <c r="N144" s="1804">
        <v>0</v>
      </c>
      <c r="O144" s="1804">
        <v>0</v>
      </c>
      <c r="P144" s="1804">
        <v>0</v>
      </c>
      <c r="Q144" s="1804">
        <v>0</v>
      </c>
      <c r="R144" s="1804">
        <v>0</v>
      </c>
      <c r="S144" s="1804">
        <v>0</v>
      </c>
      <c r="T144" s="1804">
        <v>0</v>
      </c>
      <c r="U144" s="1804">
        <v>0</v>
      </c>
      <c r="V144" s="1804">
        <v>0</v>
      </c>
      <c r="W144" s="1804">
        <v>0</v>
      </c>
      <c r="X144" s="1804">
        <v>0</v>
      </c>
      <c r="Y144" s="1804">
        <v>0</v>
      </c>
      <c r="Z144" s="1804">
        <v>0</v>
      </c>
      <c r="AA144" s="1804">
        <v>0</v>
      </c>
      <c r="AB144" s="1804">
        <v>0</v>
      </c>
      <c r="AC144" s="1804">
        <v>0</v>
      </c>
      <c r="AD144" s="1804">
        <v>0</v>
      </c>
      <c r="AE144" s="1804">
        <v>0</v>
      </c>
      <c r="AF144" s="1804">
        <v>0</v>
      </c>
      <c r="AG144" s="1804">
        <v>0</v>
      </c>
      <c r="AH144" s="1804">
        <v>0</v>
      </c>
      <c r="AI144" s="1804">
        <v>0</v>
      </c>
      <c r="AJ144" s="1804">
        <v>0</v>
      </c>
      <c r="AK144" s="1804">
        <v>0</v>
      </c>
      <c r="AL144" s="1804">
        <v>0</v>
      </c>
      <c r="AM144" s="1804">
        <v>0</v>
      </c>
      <c r="AN144" s="1804">
        <v>0</v>
      </c>
      <c r="AO144" s="1804">
        <v>0</v>
      </c>
      <c r="AP144" s="1804">
        <v>0</v>
      </c>
      <c r="AQ144" s="1804">
        <v>0</v>
      </c>
      <c r="AR144" s="1804">
        <v>0</v>
      </c>
      <c r="AS144" s="1804">
        <v>0</v>
      </c>
      <c r="AT144" s="1804">
        <v>0</v>
      </c>
      <c r="AU144" s="1804">
        <v>0</v>
      </c>
      <c r="AV144" s="1804">
        <v>0</v>
      </c>
      <c r="AW144" s="1804">
        <v>0</v>
      </c>
      <c r="AX144" s="1804">
        <v>0</v>
      </c>
      <c r="AY144" s="1804">
        <v>0</v>
      </c>
      <c r="AZ144" s="1804">
        <v>0</v>
      </c>
      <c r="BA144" s="1804">
        <v>0</v>
      </c>
      <c r="BB144" s="1804">
        <v>0</v>
      </c>
      <c r="BC144" s="1804">
        <v>0</v>
      </c>
      <c r="BD144" s="1804">
        <v>0</v>
      </c>
      <c r="BE144" s="1804">
        <v>0</v>
      </c>
      <c r="BF144" s="1804">
        <v>0</v>
      </c>
      <c r="BG144" s="1804">
        <v>0</v>
      </c>
      <c r="BH144" s="1804">
        <v>0</v>
      </c>
      <c r="BI144" s="1804">
        <v>0</v>
      </c>
      <c r="BJ144" s="1804">
        <v>0</v>
      </c>
      <c r="BK144" s="1804">
        <v>0</v>
      </c>
      <c r="BL144" s="1804">
        <v>0</v>
      </c>
      <c r="BM144" s="1804">
        <v>0</v>
      </c>
      <c r="BN144" s="1804">
        <v>0</v>
      </c>
      <c r="BO144" s="1804">
        <v>0</v>
      </c>
      <c r="BP144" s="1804">
        <v>0</v>
      </c>
      <c r="BQ144" s="1804">
        <v>0</v>
      </c>
      <c r="BR144" s="1804">
        <v>0</v>
      </c>
      <c r="BS144" s="1804">
        <v>0</v>
      </c>
      <c r="BT144" s="1804">
        <v>0</v>
      </c>
      <c r="BU144" s="1804">
        <v>0</v>
      </c>
      <c r="BV144" s="1804">
        <v>0</v>
      </c>
      <c r="BW144" s="1804">
        <v>0</v>
      </c>
      <c r="BX144" s="1804">
        <v>0</v>
      </c>
      <c r="BY144" s="1804">
        <v>0</v>
      </c>
      <c r="BZ144" s="1804">
        <v>0</v>
      </c>
      <c r="CA144" s="1804">
        <v>0</v>
      </c>
      <c r="CB144" s="1804">
        <v>0</v>
      </c>
      <c r="CC144" s="1804">
        <v>0</v>
      </c>
      <c r="CD144" s="1804">
        <v>0</v>
      </c>
      <c r="CE144" s="1804">
        <v>0</v>
      </c>
      <c r="CF144" s="1804">
        <v>0</v>
      </c>
      <c r="CG144" s="1804">
        <v>0</v>
      </c>
      <c r="CH144" s="1804">
        <v>0</v>
      </c>
      <c r="CI144" s="1804">
        <v>0</v>
      </c>
      <c r="CJ144" s="1804">
        <v>0</v>
      </c>
      <c r="CK144" s="1804">
        <v>0</v>
      </c>
      <c r="CL144" s="1804">
        <v>0</v>
      </c>
      <c r="CM144" s="1804">
        <v>0</v>
      </c>
      <c r="CN144" s="1804">
        <v>0</v>
      </c>
      <c r="CO144" s="1804">
        <v>0</v>
      </c>
      <c r="CP144" s="1804">
        <v>0</v>
      </c>
      <c r="CQ144" s="1804">
        <v>0</v>
      </c>
      <c r="CR144" s="1804">
        <v>0</v>
      </c>
      <c r="CS144" s="1804">
        <v>0</v>
      </c>
      <c r="CT144" s="1804">
        <v>0</v>
      </c>
      <c r="CU144" s="1804">
        <v>0</v>
      </c>
      <c r="CV144" s="1804">
        <v>0</v>
      </c>
      <c r="CW144" s="1804">
        <v>0</v>
      </c>
      <c r="CX144" s="1804">
        <v>0</v>
      </c>
      <c r="CY144" s="1804">
        <v>0</v>
      </c>
      <c r="CZ144" s="1804">
        <v>0</v>
      </c>
      <c r="DA144" s="1804">
        <v>0</v>
      </c>
      <c r="DB144" s="1804">
        <v>0</v>
      </c>
      <c r="DC144" s="1804">
        <v>0</v>
      </c>
      <c r="DD144" s="1804">
        <v>0</v>
      </c>
      <c r="DE144" s="1804">
        <v>0</v>
      </c>
      <c r="DF144" s="1804">
        <v>0</v>
      </c>
      <c r="DG144" s="1804">
        <v>0</v>
      </c>
      <c r="DH144" s="1804">
        <v>0</v>
      </c>
      <c r="DI144" s="1804">
        <v>0</v>
      </c>
      <c r="DJ144" s="1804">
        <v>0</v>
      </c>
      <c r="DK144" s="1804">
        <v>0</v>
      </c>
      <c r="DL144" s="1804">
        <v>0</v>
      </c>
      <c r="DM144" s="1804">
        <v>0</v>
      </c>
      <c r="DN144" s="1804">
        <v>0</v>
      </c>
      <c r="DO144" s="1804">
        <v>0</v>
      </c>
      <c r="DP144" s="1804">
        <v>0</v>
      </c>
      <c r="DQ144" s="1804">
        <v>0</v>
      </c>
      <c r="DR144" s="1804">
        <v>0</v>
      </c>
      <c r="DS144" s="1804">
        <v>0</v>
      </c>
      <c r="DT144" s="1804">
        <v>0</v>
      </c>
      <c r="DU144" s="1804">
        <v>0</v>
      </c>
      <c r="DV144" s="1804">
        <v>0</v>
      </c>
      <c r="DW144" s="1804">
        <v>0</v>
      </c>
      <c r="DX144" s="1804">
        <v>0</v>
      </c>
      <c r="DY144" s="1804">
        <v>0</v>
      </c>
      <c r="DZ144" s="1804">
        <v>0</v>
      </c>
      <c r="EA144" s="1804">
        <v>0</v>
      </c>
      <c r="EB144" s="1804">
        <v>0</v>
      </c>
      <c r="EC144" s="1804">
        <v>0</v>
      </c>
      <c r="ED144" s="1804">
        <v>0</v>
      </c>
      <c r="EE144" s="1804">
        <v>0</v>
      </c>
      <c r="EF144" s="1804">
        <v>0</v>
      </c>
      <c r="EG144" s="1804">
        <v>0</v>
      </c>
      <c r="EH144" s="1804">
        <v>0</v>
      </c>
      <c r="EI144" s="1804">
        <v>0</v>
      </c>
      <c r="EJ144" s="1804">
        <v>0</v>
      </c>
      <c r="EK144" s="1804">
        <v>0</v>
      </c>
      <c r="EL144" s="1804">
        <v>0</v>
      </c>
      <c r="EM144" s="1804">
        <v>0</v>
      </c>
      <c r="EN144" s="1804">
        <v>0</v>
      </c>
      <c r="EO144" s="1804">
        <v>0</v>
      </c>
      <c r="EP144" s="1804">
        <v>0</v>
      </c>
      <c r="EQ144" s="1804">
        <v>0</v>
      </c>
      <c r="ER144" s="1804">
        <v>0</v>
      </c>
      <c r="ES144" s="1804">
        <v>0</v>
      </c>
      <c r="ET144" s="1804">
        <v>0</v>
      </c>
      <c r="EU144" s="1804">
        <v>0</v>
      </c>
      <c r="EV144" s="1804">
        <v>0</v>
      </c>
      <c r="EW144" s="1804">
        <v>0</v>
      </c>
      <c r="EX144" s="1804">
        <v>0</v>
      </c>
      <c r="EY144" s="1804">
        <v>0</v>
      </c>
      <c r="EZ144" s="1804">
        <v>0</v>
      </c>
      <c r="FA144" s="1804">
        <v>0</v>
      </c>
      <c r="FB144" s="1804">
        <v>0</v>
      </c>
      <c r="FC144" s="1804">
        <v>0</v>
      </c>
      <c r="FD144" s="1804">
        <v>0</v>
      </c>
      <c r="FE144" s="1804">
        <v>0</v>
      </c>
      <c r="FF144" s="1804">
        <v>0</v>
      </c>
      <c r="FG144" s="1804">
        <v>0</v>
      </c>
      <c r="FH144" s="1804">
        <v>0</v>
      </c>
      <c r="FI144" s="1804">
        <v>0</v>
      </c>
      <c r="FJ144" s="1804">
        <v>0</v>
      </c>
      <c r="FK144" s="1804">
        <v>0</v>
      </c>
      <c r="FL144" s="1804">
        <v>0</v>
      </c>
      <c r="FM144" s="1804">
        <v>0</v>
      </c>
      <c r="FN144" s="1804">
        <v>0</v>
      </c>
      <c r="FO144" s="1804">
        <v>0</v>
      </c>
      <c r="FP144" s="1804">
        <v>0</v>
      </c>
      <c r="FQ144" s="1804">
        <v>0</v>
      </c>
      <c r="FR144" s="1804">
        <v>0</v>
      </c>
      <c r="FS144" s="1804">
        <v>0</v>
      </c>
      <c r="FT144" s="1804">
        <v>0</v>
      </c>
      <c r="FU144" s="1804">
        <v>0</v>
      </c>
      <c r="FV144" s="1804">
        <v>0</v>
      </c>
      <c r="FW144" s="1804">
        <v>0</v>
      </c>
      <c r="FX144" s="1804">
        <v>0</v>
      </c>
      <c r="FY144" s="1804">
        <v>0</v>
      </c>
      <c r="FZ144" s="1804">
        <v>0</v>
      </c>
      <c r="GA144" s="1804">
        <v>0</v>
      </c>
      <c r="GB144" s="1804">
        <v>0</v>
      </c>
      <c r="GC144" s="1804">
        <v>0</v>
      </c>
      <c r="GD144" s="1804">
        <v>0</v>
      </c>
      <c r="GE144" s="1804">
        <v>0</v>
      </c>
      <c r="GF144" s="1804">
        <v>0</v>
      </c>
      <c r="GG144" s="1804">
        <v>0</v>
      </c>
      <c r="GH144" s="1804">
        <v>0</v>
      </c>
      <c r="GI144" s="1804">
        <v>0</v>
      </c>
      <c r="GJ144" s="1804">
        <v>0</v>
      </c>
      <c r="GK144" s="1804">
        <v>0</v>
      </c>
      <c r="GL144" s="1804">
        <v>0</v>
      </c>
      <c r="GM144" s="1804">
        <v>0</v>
      </c>
      <c r="GN144" s="1804">
        <v>0</v>
      </c>
      <c r="GO144" s="1804">
        <v>0</v>
      </c>
      <c r="GP144" s="1804">
        <v>0</v>
      </c>
      <c r="GQ144" s="1804">
        <v>0</v>
      </c>
      <c r="GR144" s="1804">
        <v>0</v>
      </c>
      <c r="GS144" s="1804">
        <v>0</v>
      </c>
      <c r="GT144" s="1804">
        <v>0</v>
      </c>
      <c r="GU144" s="1804">
        <v>0</v>
      </c>
      <c r="GV144" s="1804">
        <v>0</v>
      </c>
      <c r="GW144" s="1804">
        <v>0</v>
      </c>
      <c r="GX144" s="1804">
        <v>0</v>
      </c>
      <c r="GY144" s="1804">
        <v>0</v>
      </c>
      <c r="GZ144" s="1804">
        <v>0</v>
      </c>
      <c r="HA144" s="1804">
        <v>0</v>
      </c>
      <c r="HB144" s="1804">
        <v>0</v>
      </c>
      <c r="HC144" s="1804">
        <v>0</v>
      </c>
      <c r="HD144" s="1804">
        <v>0</v>
      </c>
      <c r="HE144" s="1804">
        <v>0</v>
      </c>
    </row>
    <row r="145" spans="1:213" ht="21" customHeight="1" thickBot="1" x14ac:dyDescent="0.25">
      <c r="A145" s="1963" t="s">
        <v>2357</v>
      </c>
      <c r="B145" s="1998" t="s">
        <v>1007</v>
      </c>
      <c r="C145" s="1699" t="s">
        <v>904</v>
      </c>
      <c r="D145" s="1880"/>
      <c r="E145" s="1984"/>
      <c r="F145" s="1865"/>
      <c r="G145" s="1866"/>
      <c r="H145" s="1866"/>
      <c r="I145" s="1866"/>
      <c r="J145" s="1866"/>
      <c r="K145" s="1866"/>
      <c r="L145" s="1866"/>
      <c r="M145" s="1866"/>
      <c r="N145" s="1866"/>
      <c r="O145" s="1866"/>
      <c r="P145" s="1866"/>
      <c r="Q145" s="1866"/>
      <c r="R145" s="1866"/>
      <c r="S145" s="1866"/>
      <c r="T145" s="1866"/>
      <c r="U145" s="1866"/>
      <c r="V145" s="1866"/>
      <c r="W145" s="1866"/>
      <c r="X145" s="1866"/>
      <c r="Y145" s="1866"/>
      <c r="Z145" s="1866"/>
      <c r="AA145" s="1866"/>
      <c r="AB145" s="1866"/>
      <c r="AC145" s="1866"/>
      <c r="AD145" s="1866"/>
      <c r="AE145" s="1866"/>
      <c r="AF145" s="1866"/>
      <c r="AG145" s="1866"/>
      <c r="AH145" s="1866"/>
      <c r="AI145" s="1866"/>
      <c r="AJ145" s="1866"/>
      <c r="AK145" s="1866"/>
      <c r="AL145" s="1866"/>
      <c r="AM145" s="1866"/>
      <c r="AN145" s="1866"/>
      <c r="AO145" s="1866"/>
      <c r="AP145" s="1866"/>
      <c r="AQ145" s="1866"/>
      <c r="AR145" s="1866"/>
      <c r="AS145" s="1866"/>
      <c r="AT145" s="1866"/>
      <c r="AU145" s="1866"/>
      <c r="AV145" s="1866"/>
      <c r="AW145" s="1866"/>
      <c r="AX145" s="1866"/>
      <c r="AY145" s="1866"/>
      <c r="AZ145" s="1866"/>
      <c r="BA145" s="1866"/>
      <c r="BB145" s="1866"/>
      <c r="BC145" s="1866"/>
      <c r="BD145" s="1866"/>
      <c r="BE145" s="1866"/>
      <c r="BF145" s="1866"/>
      <c r="BG145" s="1866"/>
      <c r="BH145" s="1866"/>
      <c r="BI145" s="1866"/>
      <c r="BJ145" s="1866"/>
      <c r="BK145" s="1866"/>
      <c r="BL145" s="1866"/>
      <c r="BM145" s="1866"/>
      <c r="BN145" s="1866"/>
      <c r="BO145" s="1866"/>
      <c r="BP145" s="1866"/>
      <c r="BQ145" s="1866"/>
      <c r="BR145" s="1866"/>
      <c r="BS145" s="1866"/>
      <c r="BT145" s="1866"/>
      <c r="BU145" s="1866"/>
      <c r="BV145" s="1866"/>
      <c r="BW145" s="1866"/>
      <c r="BX145" s="1866"/>
      <c r="BY145" s="1866"/>
      <c r="BZ145" s="1866"/>
      <c r="CA145" s="1866"/>
      <c r="CB145" s="1866"/>
      <c r="CC145" s="1866"/>
      <c r="CD145" s="1866"/>
      <c r="CE145" s="1866"/>
      <c r="CF145" s="1866"/>
      <c r="CG145" s="1866"/>
      <c r="CH145" s="1866"/>
      <c r="CI145" s="1866"/>
      <c r="CJ145" s="1866"/>
      <c r="CK145" s="1866"/>
      <c r="CL145" s="1866"/>
      <c r="CM145" s="1866"/>
      <c r="CN145" s="1866"/>
      <c r="CO145" s="1866"/>
      <c r="CP145" s="1866"/>
      <c r="CQ145" s="1866"/>
      <c r="CR145" s="1866"/>
      <c r="CS145" s="1866"/>
      <c r="CT145" s="1866"/>
      <c r="CU145" s="1866"/>
      <c r="CV145" s="1866"/>
      <c r="CW145" s="1866"/>
      <c r="CX145" s="1866"/>
      <c r="CY145" s="1866"/>
      <c r="CZ145" s="1866"/>
      <c r="DA145" s="1866"/>
      <c r="DB145" s="1866"/>
      <c r="DC145" s="1866"/>
      <c r="DD145" s="1866"/>
      <c r="DE145" s="1866"/>
      <c r="DF145" s="1866"/>
      <c r="DG145" s="1866"/>
      <c r="DH145" s="1866"/>
      <c r="DI145" s="1866"/>
      <c r="DJ145" s="1866"/>
      <c r="DK145" s="1866"/>
      <c r="DL145" s="1866"/>
      <c r="DM145" s="1866"/>
      <c r="DN145" s="1866"/>
      <c r="DO145" s="1866"/>
      <c r="DP145" s="1866"/>
      <c r="DQ145" s="1866"/>
      <c r="DR145" s="1866"/>
      <c r="DS145" s="1866"/>
      <c r="DT145" s="1866"/>
      <c r="DU145" s="1866"/>
      <c r="DV145" s="1866"/>
      <c r="DW145" s="1866"/>
      <c r="DX145" s="1866"/>
      <c r="DY145" s="1866"/>
      <c r="DZ145" s="1866"/>
      <c r="EA145" s="1866"/>
      <c r="EB145" s="1866"/>
      <c r="EC145" s="1866"/>
      <c r="ED145" s="1866"/>
      <c r="EE145" s="1866"/>
      <c r="EF145" s="1866"/>
      <c r="EG145" s="1866"/>
      <c r="EH145" s="1866"/>
      <c r="EI145" s="1866"/>
      <c r="EJ145" s="1866"/>
      <c r="EK145" s="1866"/>
      <c r="EL145" s="1866"/>
      <c r="EM145" s="1866"/>
      <c r="EN145" s="1866"/>
      <c r="EO145" s="1866"/>
      <c r="EP145" s="1866"/>
      <c r="EQ145" s="1866"/>
      <c r="ER145" s="1866"/>
      <c r="ES145" s="1866"/>
      <c r="ET145" s="1866"/>
      <c r="EU145" s="1866"/>
      <c r="EV145" s="1866"/>
      <c r="EW145" s="1866"/>
      <c r="EX145" s="1866"/>
      <c r="EY145" s="1866"/>
      <c r="EZ145" s="1866"/>
      <c r="FA145" s="1866"/>
      <c r="FB145" s="1866"/>
      <c r="FC145" s="1866"/>
      <c r="FD145" s="1866"/>
      <c r="FE145" s="1866"/>
      <c r="FF145" s="1866"/>
      <c r="FG145" s="1866"/>
      <c r="FH145" s="1866"/>
      <c r="FI145" s="1866"/>
      <c r="FJ145" s="1866"/>
      <c r="FK145" s="1866"/>
      <c r="FL145" s="1866"/>
      <c r="FM145" s="1866"/>
      <c r="FN145" s="1866"/>
      <c r="FO145" s="1866"/>
      <c r="FP145" s="1866"/>
      <c r="FQ145" s="1866"/>
      <c r="FR145" s="1866"/>
      <c r="FS145" s="1866"/>
      <c r="FT145" s="1866"/>
      <c r="FU145" s="1866"/>
      <c r="FV145" s="1866"/>
      <c r="FW145" s="1866"/>
      <c r="FX145" s="1866"/>
      <c r="FY145" s="1866"/>
      <c r="FZ145" s="1866"/>
      <c r="GA145" s="1866"/>
      <c r="GB145" s="1866"/>
      <c r="GC145" s="1866"/>
      <c r="GD145" s="1866"/>
      <c r="GE145" s="1866"/>
      <c r="GF145" s="1866"/>
      <c r="GG145" s="1866"/>
      <c r="GH145" s="1866"/>
      <c r="GI145" s="1866"/>
      <c r="GJ145" s="1866"/>
      <c r="GK145" s="1866"/>
      <c r="GL145" s="1866"/>
      <c r="GM145" s="1866"/>
      <c r="GN145" s="1866"/>
      <c r="GO145" s="1866"/>
      <c r="GP145" s="1866"/>
      <c r="GQ145" s="1866"/>
      <c r="GR145" s="1866"/>
      <c r="GS145" s="1866"/>
      <c r="GT145" s="1866"/>
      <c r="GU145" s="1866"/>
      <c r="GV145" s="1866"/>
      <c r="GW145" s="1866"/>
      <c r="GX145" s="1866"/>
      <c r="GY145" s="1866"/>
      <c r="GZ145" s="1866"/>
      <c r="HA145" s="1866"/>
      <c r="HB145" s="1866"/>
      <c r="HC145" s="1866"/>
      <c r="HD145" s="1866"/>
      <c r="HE145" s="1866"/>
    </row>
    <row r="146" spans="1:213" ht="15" customHeight="1" x14ac:dyDescent="0.2">
      <c r="A146" s="1964"/>
      <c r="B146" s="1999"/>
      <c r="C146" s="1696" t="s">
        <v>1372</v>
      </c>
      <c r="D146" s="1883"/>
      <c r="E146" s="1984"/>
      <c r="F146" s="1838">
        <v>0</v>
      </c>
      <c r="G146" s="1804">
        <v>0</v>
      </c>
      <c r="H146" s="1804">
        <v>0</v>
      </c>
      <c r="I146" s="1804">
        <v>0</v>
      </c>
      <c r="J146" s="1804">
        <v>0</v>
      </c>
      <c r="K146" s="1804">
        <v>0</v>
      </c>
      <c r="L146" s="1804">
        <v>0</v>
      </c>
      <c r="M146" s="1804">
        <v>0</v>
      </c>
      <c r="N146" s="1804">
        <v>0</v>
      </c>
      <c r="O146" s="1804">
        <v>0</v>
      </c>
      <c r="P146" s="1804">
        <v>0</v>
      </c>
      <c r="Q146" s="1804">
        <v>0</v>
      </c>
      <c r="R146" s="1804">
        <v>0</v>
      </c>
      <c r="S146" s="1804">
        <v>0</v>
      </c>
      <c r="T146" s="1804">
        <v>0</v>
      </c>
      <c r="U146" s="1804">
        <v>0</v>
      </c>
      <c r="V146" s="1804">
        <v>0</v>
      </c>
      <c r="W146" s="1804">
        <v>0</v>
      </c>
      <c r="X146" s="1804">
        <v>0</v>
      </c>
      <c r="Y146" s="1804">
        <v>0</v>
      </c>
      <c r="Z146" s="1804">
        <v>0</v>
      </c>
      <c r="AA146" s="1804">
        <v>0</v>
      </c>
      <c r="AB146" s="1804">
        <v>0</v>
      </c>
      <c r="AC146" s="1804">
        <v>0</v>
      </c>
      <c r="AD146" s="1804">
        <v>0</v>
      </c>
      <c r="AE146" s="1804">
        <v>0</v>
      </c>
      <c r="AF146" s="1804">
        <v>0</v>
      </c>
      <c r="AG146" s="1804">
        <v>0</v>
      </c>
      <c r="AH146" s="1804">
        <v>0</v>
      </c>
      <c r="AI146" s="1804">
        <v>0</v>
      </c>
      <c r="AJ146" s="1804">
        <v>0</v>
      </c>
      <c r="AK146" s="1804">
        <v>0</v>
      </c>
      <c r="AL146" s="1804">
        <v>0</v>
      </c>
      <c r="AM146" s="1804">
        <v>0</v>
      </c>
      <c r="AN146" s="1804">
        <v>0</v>
      </c>
      <c r="AO146" s="1804">
        <v>0</v>
      </c>
      <c r="AP146" s="1804">
        <v>0</v>
      </c>
      <c r="AQ146" s="1804">
        <v>0</v>
      </c>
      <c r="AR146" s="1804">
        <v>0</v>
      </c>
      <c r="AS146" s="1804">
        <v>0</v>
      </c>
      <c r="AT146" s="1804">
        <v>0</v>
      </c>
      <c r="AU146" s="1804">
        <v>0</v>
      </c>
      <c r="AV146" s="1804">
        <v>0</v>
      </c>
      <c r="AW146" s="1804">
        <v>0</v>
      </c>
      <c r="AX146" s="1804">
        <v>0</v>
      </c>
      <c r="AY146" s="1804">
        <v>0</v>
      </c>
      <c r="AZ146" s="1804">
        <v>0</v>
      </c>
      <c r="BA146" s="1804">
        <v>0</v>
      </c>
      <c r="BB146" s="1804">
        <v>0</v>
      </c>
      <c r="BC146" s="1804">
        <v>0</v>
      </c>
      <c r="BD146" s="1804">
        <v>0</v>
      </c>
      <c r="BE146" s="1804">
        <v>0</v>
      </c>
      <c r="BF146" s="1804">
        <v>0</v>
      </c>
      <c r="BG146" s="1804">
        <v>0</v>
      </c>
      <c r="BH146" s="1804">
        <v>0</v>
      </c>
      <c r="BI146" s="1804">
        <v>0</v>
      </c>
      <c r="BJ146" s="1804">
        <v>0</v>
      </c>
      <c r="BK146" s="1804">
        <v>0</v>
      </c>
      <c r="BL146" s="1804">
        <v>0</v>
      </c>
      <c r="BM146" s="1804">
        <v>0</v>
      </c>
      <c r="BN146" s="1804">
        <v>0</v>
      </c>
      <c r="BO146" s="1804">
        <v>0</v>
      </c>
      <c r="BP146" s="1804">
        <v>0</v>
      </c>
      <c r="BQ146" s="1804">
        <v>0</v>
      </c>
      <c r="BR146" s="1804">
        <v>0</v>
      </c>
      <c r="BS146" s="1804">
        <v>0</v>
      </c>
      <c r="BT146" s="1804">
        <v>0</v>
      </c>
      <c r="BU146" s="1804">
        <v>0</v>
      </c>
      <c r="BV146" s="1804">
        <v>0</v>
      </c>
      <c r="BW146" s="1804">
        <v>0</v>
      </c>
      <c r="BX146" s="1804">
        <v>0</v>
      </c>
      <c r="BY146" s="1804">
        <v>0</v>
      </c>
      <c r="BZ146" s="1804">
        <v>0</v>
      </c>
      <c r="CA146" s="1804">
        <v>0</v>
      </c>
      <c r="CB146" s="1804">
        <v>0</v>
      </c>
      <c r="CC146" s="1804">
        <v>0</v>
      </c>
      <c r="CD146" s="1804">
        <v>0</v>
      </c>
      <c r="CE146" s="1804">
        <v>0</v>
      </c>
      <c r="CF146" s="1804">
        <v>0</v>
      </c>
      <c r="CG146" s="1804">
        <v>0</v>
      </c>
      <c r="CH146" s="1804">
        <v>0</v>
      </c>
      <c r="CI146" s="1804">
        <v>0</v>
      </c>
      <c r="CJ146" s="1804">
        <v>0</v>
      </c>
      <c r="CK146" s="1804">
        <v>0</v>
      </c>
      <c r="CL146" s="1804">
        <v>0</v>
      </c>
      <c r="CM146" s="1804">
        <v>0</v>
      </c>
      <c r="CN146" s="1804">
        <v>0</v>
      </c>
      <c r="CO146" s="1804">
        <v>0</v>
      </c>
      <c r="CP146" s="1804">
        <v>0</v>
      </c>
      <c r="CQ146" s="1804">
        <v>0</v>
      </c>
      <c r="CR146" s="1804">
        <v>0</v>
      </c>
      <c r="CS146" s="1804">
        <v>0</v>
      </c>
      <c r="CT146" s="1804">
        <v>0</v>
      </c>
      <c r="CU146" s="1804">
        <v>0</v>
      </c>
      <c r="CV146" s="1804">
        <v>0</v>
      </c>
      <c r="CW146" s="1804">
        <v>0</v>
      </c>
      <c r="CX146" s="1804">
        <v>0</v>
      </c>
      <c r="CY146" s="1804">
        <v>0</v>
      </c>
      <c r="CZ146" s="1804">
        <v>0</v>
      </c>
      <c r="DA146" s="1804">
        <v>0</v>
      </c>
      <c r="DB146" s="1804">
        <v>0</v>
      </c>
      <c r="DC146" s="1804">
        <v>0</v>
      </c>
      <c r="DD146" s="1804">
        <v>0</v>
      </c>
      <c r="DE146" s="1804">
        <v>0</v>
      </c>
      <c r="DF146" s="1804">
        <v>0</v>
      </c>
      <c r="DG146" s="1804">
        <v>0</v>
      </c>
      <c r="DH146" s="1804">
        <v>0</v>
      </c>
      <c r="DI146" s="1804">
        <v>0</v>
      </c>
      <c r="DJ146" s="1804">
        <v>0</v>
      </c>
      <c r="DK146" s="1804">
        <v>0</v>
      </c>
      <c r="DL146" s="1804">
        <v>0</v>
      </c>
      <c r="DM146" s="1804">
        <v>0</v>
      </c>
      <c r="DN146" s="1804">
        <v>0</v>
      </c>
      <c r="DO146" s="1804">
        <v>0</v>
      </c>
      <c r="DP146" s="1804">
        <v>0</v>
      </c>
      <c r="DQ146" s="1804">
        <v>0</v>
      </c>
      <c r="DR146" s="1804">
        <v>0</v>
      </c>
      <c r="DS146" s="1804">
        <v>0</v>
      </c>
      <c r="DT146" s="1804">
        <v>0</v>
      </c>
      <c r="DU146" s="1804">
        <v>0</v>
      </c>
      <c r="DV146" s="1804">
        <v>0</v>
      </c>
      <c r="DW146" s="1804">
        <v>0</v>
      </c>
      <c r="DX146" s="1804">
        <v>0</v>
      </c>
      <c r="DY146" s="1804">
        <v>0</v>
      </c>
      <c r="DZ146" s="1804">
        <v>0</v>
      </c>
      <c r="EA146" s="1804">
        <v>0</v>
      </c>
      <c r="EB146" s="1804">
        <v>0</v>
      </c>
      <c r="EC146" s="1804">
        <v>0</v>
      </c>
      <c r="ED146" s="1804">
        <v>0</v>
      </c>
      <c r="EE146" s="1804">
        <v>0</v>
      </c>
      <c r="EF146" s="1804">
        <v>0</v>
      </c>
      <c r="EG146" s="1804">
        <v>0</v>
      </c>
      <c r="EH146" s="1804">
        <v>0</v>
      </c>
      <c r="EI146" s="1804">
        <v>0</v>
      </c>
      <c r="EJ146" s="1804">
        <v>0</v>
      </c>
      <c r="EK146" s="1804">
        <v>0</v>
      </c>
      <c r="EL146" s="1804">
        <v>0</v>
      </c>
      <c r="EM146" s="1804">
        <v>0</v>
      </c>
      <c r="EN146" s="1804">
        <v>0</v>
      </c>
      <c r="EO146" s="1804">
        <v>0</v>
      </c>
      <c r="EP146" s="1804">
        <v>0</v>
      </c>
      <c r="EQ146" s="1804">
        <v>0</v>
      </c>
      <c r="ER146" s="1804">
        <v>0</v>
      </c>
      <c r="ES146" s="1804">
        <v>0</v>
      </c>
      <c r="ET146" s="1804">
        <v>0</v>
      </c>
      <c r="EU146" s="1804">
        <v>0</v>
      </c>
      <c r="EV146" s="1804">
        <v>0</v>
      </c>
      <c r="EW146" s="1804">
        <v>0</v>
      </c>
      <c r="EX146" s="1804">
        <v>0</v>
      </c>
      <c r="EY146" s="1804">
        <v>0</v>
      </c>
      <c r="EZ146" s="1804">
        <v>0</v>
      </c>
      <c r="FA146" s="1804">
        <v>0</v>
      </c>
      <c r="FB146" s="1804">
        <v>0</v>
      </c>
      <c r="FC146" s="1804">
        <v>0</v>
      </c>
      <c r="FD146" s="1804">
        <v>0</v>
      </c>
      <c r="FE146" s="1804">
        <v>0</v>
      </c>
      <c r="FF146" s="1804">
        <v>0</v>
      </c>
      <c r="FG146" s="1804">
        <v>0</v>
      </c>
      <c r="FH146" s="1804">
        <v>0</v>
      </c>
      <c r="FI146" s="1804">
        <v>0</v>
      </c>
      <c r="FJ146" s="1804">
        <v>0</v>
      </c>
      <c r="FK146" s="1804">
        <v>0</v>
      </c>
      <c r="FL146" s="1804">
        <v>0</v>
      </c>
      <c r="FM146" s="1804">
        <v>0</v>
      </c>
      <c r="FN146" s="1804">
        <v>0</v>
      </c>
      <c r="FO146" s="1804">
        <v>0</v>
      </c>
      <c r="FP146" s="1804">
        <v>0</v>
      </c>
      <c r="FQ146" s="1804">
        <v>0</v>
      </c>
      <c r="FR146" s="1804">
        <v>0</v>
      </c>
      <c r="FS146" s="1804">
        <v>0</v>
      </c>
      <c r="FT146" s="1804">
        <v>0</v>
      </c>
      <c r="FU146" s="1804">
        <v>0</v>
      </c>
      <c r="FV146" s="1804">
        <v>0</v>
      </c>
      <c r="FW146" s="1804">
        <v>0</v>
      </c>
      <c r="FX146" s="1804">
        <v>0</v>
      </c>
      <c r="FY146" s="1804">
        <v>0</v>
      </c>
      <c r="FZ146" s="1804">
        <v>0</v>
      </c>
      <c r="GA146" s="1804">
        <v>0</v>
      </c>
      <c r="GB146" s="1804">
        <v>0</v>
      </c>
      <c r="GC146" s="1804">
        <v>0</v>
      </c>
      <c r="GD146" s="1804">
        <v>0</v>
      </c>
      <c r="GE146" s="1804">
        <v>0</v>
      </c>
      <c r="GF146" s="1804">
        <v>0</v>
      </c>
      <c r="GG146" s="1804">
        <v>0</v>
      </c>
      <c r="GH146" s="1804">
        <v>0</v>
      </c>
      <c r="GI146" s="1804">
        <v>0</v>
      </c>
      <c r="GJ146" s="1804">
        <v>0</v>
      </c>
      <c r="GK146" s="1804">
        <v>0</v>
      </c>
      <c r="GL146" s="1804">
        <v>0</v>
      </c>
      <c r="GM146" s="1804">
        <v>0</v>
      </c>
      <c r="GN146" s="1804">
        <v>0</v>
      </c>
      <c r="GO146" s="1804">
        <v>0</v>
      </c>
      <c r="GP146" s="1804">
        <v>0</v>
      </c>
      <c r="GQ146" s="1804">
        <v>0</v>
      </c>
      <c r="GR146" s="1804">
        <v>0</v>
      </c>
      <c r="GS146" s="1804">
        <v>0</v>
      </c>
      <c r="GT146" s="1804">
        <v>0</v>
      </c>
      <c r="GU146" s="1804">
        <v>0</v>
      </c>
      <c r="GV146" s="1804">
        <v>0</v>
      </c>
      <c r="GW146" s="1804">
        <v>0</v>
      </c>
      <c r="GX146" s="1804">
        <v>0</v>
      </c>
      <c r="GY146" s="1804">
        <v>0</v>
      </c>
      <c r="GZ146" s="1804">
        <v>0</v>
      </c>
      <c r="HA146" s="1804">
        <v>0</v>
      </c>
      <c r="HB146" s="1804">
        <v>0</v>
      </c>
      <c r="HC146" s="1804">
        <v>0</v>
      </c>
      <c r="HD146" s="1804">
        <v>0</v>
      </c>
      <c r="HE146" s="1804">
        <v>0</v>
      </c>
    </row>
    <row r="147" spans="1:213" ht="15" customHeight="1" x14ac:dyDescent="0.2">
      <c r="A147" s="1964"/>
      <c r="B147" s="1999"/>
      <c r="C147" s="1818" t="s">
        <v>687</v>
      </c>
      <c r="D147" s="1883"/>
      <c r="E147" s="1984"/>
      <c r="F147" s="1838">
        <v>0</v>
      </c>
      <c r="G147" s="1804">
        <v>0</v>
      </c>
      <c r="H147" s="1804">
        <v>0</v>
      </c>
      <c r="I147" s="1804">
        <v>0</v>
      </c>
      <c r="J147" s="1804">
        <v>0</v>
      </c>
      <c r="K147" s="1804">
        <v>0</v>
      </c>
      <c r="L147" s="1804">
        <v>0</v>
      </c>
      <c r="M147" s="1804">
        <v>0</v>
      </c>
      <c r="N147" s="1804">
        <v>0</v>
      </c>
      <c r="O147" s="1804">
        <v>0</v>
      </c>
      <c r="P147" s="1804">
        <v>0</v>
      </c>
      <c r="Q147" s="1804">
        <v>0</v>
      </c>
      <c r="R147" s="1804">
        <v>0</v>
      </c>
      <c r="S147" s="1804">
        <v>0</v>
      </c>
      <c r="T147" s="1804">
        <v>0</v>
      </c>
      <c r="U147" s="1804">
        <v>0</v>
      </c>
      <c r="V147" s="1804">
        <v>0</v>
      </c>
      <c r="W147" s="1804">
        <v>0</v>
      </c>
      <c r="X147" s="1804">
        <v>0</v>
      </c>
      <c r="Y147" s="1804">
        <v>0</v>
      </c>
      <c r="Z147" s="1804">
        <v>0</v>
      </c>
      <c r="AA147" s="1804">
        <v>0</v>
      </c>
      <c r="AB147" s="1804">
        <v>0</v>
      </c>
      <c r="AC147" s="1804">
        <v>0</v>
      </c>
      <c r="AD147" s="1804">
        <v>0</v>
      </c>
      <c r="AE147" s="1804">
        <v>0</v>
      </c>
      <c r="AF147" s="1804">
        <v>0</v>
      </c>
      <c r="AG147" s="1804">
        <v>0</v>
      </c>
      <c r="AH147" s="1804">
        <v>0</v>
      </c>
      <c r="AI147" s="1804">
        <v>0</v>
      </c>
      <c r="AJ147" s="1804">
        <v>0</v>
      </c>
      <c r="AK147" s="1804">
        <v>0</v>
      </c>
      <c r="AL147" s="1804">
        <v>0</v>
      </c>
      <c r="AM147" s="1804">
        <v>0</v>
      </c>
      <c r="AN147" s="1804">
        <v>0</v>
      </c>
      <c r="AO147" s="1804">
        <v>0</v>
      </c>
      <c r="AP147" s="1804">
        <v>0</v>
      </c>
      <c r="AQ147" s="1804">
        <v>0</v>
      </c>
      <c r="AR147" s="1804">
        <v>0</v>
      </c>
      <c r="AS147" s="1804">
        <v>0</v>
      </c>
      <c r="AT147" s="1804">
        <v>0</v>
      </c>
      <c r="AU147" s="1804">
        <v>0</v>
      </c>
      <c r="AV147" s="1804">
        <v>0</v>
      </c>
      <c r="AW147" s="1804">
        <v>0</v>
      </c>
      <c r="AX147" s="1804">
        <v>0</v>
      </c>
      <c r="AY147" s="1804">
        <v>0</v>
      </c>
      <c r="AZ147" s="1804">
        <v>0</v>
      </c>
      <c r="BA147" s="1804">
        <v>0</v>
      </c>
      <c r="BB147" s="1804">
        <v>0</v>
      </c>
      <c r="BC147" s="1804">
        <v>0</v>
      </c>
      <c r="BD147" s="1804">
        <v>0</v>
      </c>
      <c r="BE147" s="1804">
        <v>0</v>
      </c>
      <c r="BF147" s="1804">
        <v>0</v>
      </c>
      <c r="BG147" s="1804">
        <v>0</v>
      </c>
      <c r="BH147" s="1804">
        <v>0</v>
      </c>
      <c r="BI147" s="1804">
        <v>0</v>
      </c>
      <c r="BJ147" s="1804">
        <v>0</v>
      </c>
      <c r="BK147" s="1804">
        <v>0</v>
      </c>
      <c r="BL147" s="1804">
        <v>0</v>
      </c>
      <c r="BM147" s="1804">
        <v>0</v>
      </c>
      <c r="BN147" s="1804">
        <v>0</v>
      </c>
      <c r="BO147" s="1804">
        <v>0</v>
      </c>
      <c r="BP147" s="1804">
        <v>0</v>
      </c>
      <c r="BQ147" s="1804">
        <v>0</v>
      </c>
      <c r="BR147" s="1804">
        <v>0</v>
      </c>
      <c r="BS147" s="1804">
        <v>0</v>
      </c>
      <c r="BT147" s="1804">
        <v>0</v>
      </c>
      <c r="BU147" s="1804">
        <v>0</v>
      </c>
      <c r="BV147" s="1804">
        <v>0</v>
      </c>
      <c r="BW147" s="1804">
        <v>0</v>
      </c>
      <c r="BX147" s="1804">
        <v>0</v>
      </c>
      <c r="BY147" s="1804">
        <v>0</v>
      </c>
      <c r="BZ147" s="1804">
        <v>0</v>
      </c>
      <c r="CA147" s="1804">
        <v>0</v>
      </c>
      <c r="CB147" s="1804">
        <v>0</v>
      </c>
      <c r="CC147" s="1804">
        <v>0</v>
      </c>
      <c r="CD147" s="1804">
        <v>0</v>
      </c>
      <c r="CE147" s="1804">
        <v>0</v>
      </c>
      <c r="CF147" s="1804">
        <v>0</v>
      </c>
      <c r="CG147" s="1804">
        <v>0</v>
      </c>
      <c r="CH147" s="1804">
        <v>0</v>
      </c>
      <c r="CI147" s="1804">
        <v>0</v>
      </c>
      <c r="CJ147" s="1804">
        <v>0</v>
      </c>
      <c r="CK147" s="1804">
        <v>0</v>
      </c>
      <c r="CL147" s="1804">
        <v>0</v>
      </c>
      <c r="CM147" s="1804">
        <v>0</v>
      </c>
      <c r="CN147" s="1804">
        <v>0</v>
      </c>
      <c r="CO147" s="1804">
        <v>0</v>
      </c>
      <c r="CP147" s="1804">
        <v>0</v>
      </c>
      <c r="CQ147" s="1804">
        <v>0</v>
      </c>
      <c r="CR147" s="1804">
        <v>0</v>
      </c>
      <c r="CS147" s="1804">
        <v>0</v>
      </c>
      <c r="CT147" s="1804">
        <v>0</v>
      </c>
      <c r="CU147" s="1804">
        <v>0</v>
      </c>
      <c r="CV147" s="1804">
        <v>0</v>
      </c>
      <c r="CW147" s="1804">
        <v>0</v>
      </c>
      <c r="CX147" s="1804">
        <v>0</v>
      </c>
      <c r="CY147" s="1804">
        <v>0</v>
      </c>
      <c r="CZ147" s="1804">
        <v>0</v>
      </c>
      <c r="DA147" s="1804">
        <v>0</v>
      </c>
      <c r="DB147" s="1804">
        <v>0</v>
      </c>
      <c r="DC147" s="1804">
        <v>0</v>
      </c>
      <c r="DD147" s="1804">
        <v>0</v>
      </c>
      <c r="DE147" s="1804">
        <v>0</v>
      </c>
      <c r="DF147" s="1804">
        <v>0</v>
      </c>
      <c r="DG147" s="1804">
        <v>0</v>
      </c>
      <c r="DH147" s="1804">
        <v>0</v>
      </c>
      <c r="DI147" s="1804">
        <v>0</v>
      </c>
      <c r="DJ147" s="1804">
        <v>0</v>
      </c>
      <c r="DK147" s="1804">
        <v>0</v>
      </c>
      <c r="DL147" s="1804">
        <v>0</v>
      </c>
      <c r="DM147" s="1804">
        <v>0</v>
      </c>
      <c r="DN147" s="1804">
        <v>0</v>
      </c>
      <c r="DO147" s="1804">
        <v>0</v>
      </c>
      <c r="DP147" s="1804">
        <v>0</v>
      </c>
      <c r="DQ147" s="1804">
        <v>0</v>
      </c>
      <c r="DR147" s="1804">
        <v>0</v>
      </c>
      <c r="DS147" s="1804">
        <v>0</v>
      </c>
      <c r="DT147" s="1804">
        <v>0</v>
      </c>
      <c r="DU147" s="1804">
        <v>0</v>
      </c>
      <c r="DV147" s="1804">
        <v>0</v>
      </c>
      <c r="DW147" s="1804">
        <v>0</v>
      </c>
      <c r="DX147" s="1804">
        <v>0</v>
      </c>
      <c r="DY147" s="1804">
        <v>0</v>
      </c>
      <c r="DZ147" s="1804">
        <v>0</v>
      </c>
      <c r="EA147" s="1804">
        <v>0</v>
      </c>
      <c r="EB147" s="1804">
        <v>0</v>
      </c>
      <c r="EC147" s="1804">
        <v>0</v>
      </c>
      <c r="ED147" s="1804">
        <v>0</v>
      </c>
      <c r="EE147" s="1804">
        <v>0</v>
      </c>
      <c r="EF147" s="1804">
        <v>0</v>
      </c>
      <c r="EG147" s="1804">
        <v>0</v>
      </c>
      <c r="EH147" s="1804">
        <v>0</v>
      </c>
      <c r="EI147" s="1804">
        <v>0</v>
      </c>
      <c r="EJ147" s="1804">
        <v>0</v>
      </c>
      <c r="EK147" s="1804">
        <v>0</v>
      </c>
      <c r="EL147" s="1804">
        <v>0</v>
      </c>
      <c r="EM147" s="1804">
        <v>0</v>
      </c>
      <c r="EN147" s="1804">
        <v>0</v>
      </c>
      <c r="EO147" s="1804">
        <v>0</v>
      </c>
      <c r="EP147" s="1804">
        <v>0</v>
      </c>
      <c r="EQ147" s="1804">
        <v>0</v>
      </c>
      <c r="ER147" s="1804">
        <v>0</v>
      </c>
      <c r="ES147" s="1804">
        <v>0</v>
      </c>
      <c r="ET147" s="1804">
        <v>0</v>
      </c>
      <c r="EU147" s="1804">
        <v>0</v>
      </c>
      <c r="EV147" s="1804">
        <v>0</v>
      </c>
      <c r="EW147" s="1804">
        <v>0</v>
      </c>
      <c r="EX147" s="1804">
        <v>0</v>
      </c>
      <c r="EY147" s="1804">
        <v>0</v>
      </c>
      <c r="EZ147" s="1804">
        <v>0</v>
      </c>
      <c r="FA147" s="1804">
        <v>0</v>
      </c>
      <c r="FB147" s="1804">
        <v>0</v>
      </c>
      <c r="FC147" s="1804">
        <v>0</v>
      </c>
      <c r="FD147" s="1804">
        <v>0</v>
      </c>
      <c r="FE147" s="1804">
        <v>0</v>
      </c>
      <c r="FF147" s="1804">
        <v>0</v>
      </c>
      <c r="FG147" s="1804">
        <v>0</v>
      </c>
      <c r="FH147" s="1804">
        <v>0</v>
      </c>
      <c r="FI147" s="1804">
        <v>0</v>
      </c>
      <c r="FJ147" s="1804">
        <v>0</v>
      </c>
      <c r="FK147" s="1804">
        <v>0</v>
      </c>
      <c r="FL147" s="1804">
        <v>0</v>
      </c>
      <c r="FM147" s="1804">
        <v>0</v>
      </c>
      <c r="FN147" s="1804">
        <v>0</v>
      </c>
      <c r="FO147" s="1804">
        <v>0</v>
      </c>
      <c r="FP147" s="1804">
        <v>0</v>
      </c>
      <c r="FQ147" s="1804">
        <v>0</v>
      </c>
      <c r="FR147" s="1804">
        <v>0</v>
      </c>
      <c r="FS147" s="1804">
        <v>0</v>
      </c>
      <c r="FT147" s="1804">
        <v>0</v>
      </c>
      <c r="FU147" s="1804">
        <v>0</v>
      </c>
      <c r="FV147" s="1804">
        <v>0</v>
      </c>
      <c r="FW147" s="1804">
        <v>0</v>
      </c>
      <c r="FX147" s="1804">
        <v>0</v>
      </c>
      <c r="FY147" s="1804">
        <v>0</v>
      </c>
      <c r="FZ147" s="1804">
        <v>0</v>
      </c>
      <c r="GA147" s="1804">
        <v>0</v>
      </c>
      <c r="GB147" s="1804">
        <v>0</v>
      </c>
      <c r="GC147" s="1804">
        <v>0</v>
      </c>
      <c r="GD147" s="1804">
        <v>0</v>
      </c>
      <c r="GE147" s="1804">
        <v>0</v>
      </c>
      <c r="GF147" s="1804">
        <v>0</v>
      </c>
      <c r="GG147" s="1804">
        <v>0</v>
      </c>
      <c r="GH147" s="1804">
        <v>0</v>
      </c>
      <c r="GI147" s="1804">
        <v>0</v>
      </c>
      <c r="GJ147" s="1804">
        <v>0</v>
      </c>
      <c r="GK147" s="1804">
        <v>0</v>
      </c>
      <c r="GL147" s="1804">
        <v>0</v>
      </c>
      <c r="GM147" s="1804">
        <v>0</v>
      </c>
      <c r="GN147" s="1804">
        <v>0</v>
      </c>
      <c r="GO147" s="1804">
        <v>0</v>
      </c>
      <c r="GP147" s="1804">
        <v>0</v>
      </c>
      <c r="GQ147" s="1804">
        <v>0</v>
      </c>
      <c r="GR147" s="1804">
        <v>0</v>
      </c>
      <c r="GS147" s="1804">
        <v>0</v>
      </c>
      <c r="GT147" s="1804">
        <v>0</v>
      </c>
      <c r="GU147" s="1804">
        <v>0</v>
      </c>
      <c r="GV147" s="1804">
        <v>0</v>
      </c>
      <c r="GW147" s="1804">
        <v>0</v>
      </c>
      <c r="GX147" s="1804">
        <v>0</v>
      </c>
      <c r="GY147" s="1804">
        <v>0</v>
      </c>
      <c r="GZ147" s="1804">
        <v>0</v>
      </c>
      <c r="HA147" s="1804">
        <v>0</v>
      </c>
      <c r="HB147" s="1804">
        <v>0</v>
      </c>
      <c r="HC147" s="1804">
        <v>0</v>
      </c>
      <c r="HD147" s="1804">
        <v>0</v>
      </c>
      <c r="HE147" s="1804">
        <v>0</v>
      </c>
    </row>
    <row r="148" spans="1:213" ht="15" customHeight="1" x14ac:dyDescent="0.2">
      <c r="A148" s="1964"/>
      <c r="B148" s="1999"/>
      <c r="C148" s="1818" t="s">
        <v>635</v>
      </c>
      <c r="D148" s="1883"/>
      <c r="E148" s="1984"/>
      <c r="F148" s="1838">
        <v>0</v>
      </c>
      <c r="G148" s="1804">
        <v>0</v>
      </c>
      <c r="H148" s="1804">
        <v>0</v>
      </c>
      <c r="I148" s="1804">
        <v>0</v>
      </c>
      <c r="J148" s="1804">
        <v>0</v>
      </c>
      <c r="K148" s="1804">
        <v>0</v>
      </c>
      <c r="L148" s="1804">
        <v>0</v>
      </c>
      <c r="M148" s="1804">
        <v>0</v>
      </c>
      <c r="N148" s="1804">
        <v>0</v>
      </c>
      <c r="O148" s="1804">
        <v>0</v>
      </c>
      <c r="P148" s="1804">
        <v>0</v>
      </c>
      <c r="Q148" s="1804">
        <v>0</v>
      </c>
      <c r="R148" s="1804">
        <v>0</v>
      </c>
      <c r="S148" s="1804">
        <v>0</v>
      </c>
      <c r="T148" s="1804">
        <v>0</v>
      </c>
      <c r="U148" s="1804">
        <v>0</v>
      </c>
      <c r="V148" s="1804">
        <v>0</v>
      </c>
      <c r="W148" s="1804">
        <v>0</v>
      </c>
      <c r="X148" s="1804">
        <v>0</v>
      </c>
      <c r="Y148" s="1804">
        <v>0</v>
      </c>
      <c r="Z148" s="1804">
        <v>0</v>
      </c>
      <c r="AA148" s="1804">
        <v>0</v>
      </c>
      <c r="AB148" s="1804">
        <v>0</v>
      </c>
      <c r="AC148" s="1804">
        <v>0</v>
      </c>
      <c r="AD148" s="1804">
        <v>0</v>
      </c>
      <c r="AE148" s="1804">
        <v>0</v>
      </c>
      <c r="AF148" s="1804">
        <v>0</v>
      </c>
      <c r="AG148" s="1804">
        <v>0</v>
      </c>
      <c r="AH148" s="1804">
        <v>0</v>
      </c>
      <c r="AI148" s="1804">
        <v>0</v>
      </c>
      <c r="AJ148" s="1804">
        <v>0</v>
      </c>
      <c r="AK148" s="1804">
        <v>0</v>
      </c>
      <c r="AL148" s="1804">
        <v>0</v>
      </c>
      <c r="AM148" s="1804">
        <v>0</v>
      </c>
      <c r="AN148" s="1804">
        <v>0</v>
      </c>
      <c r="AO148" s="1804">
        <v>0</v>
      </c>
      <c r="AP148" s="1804">
        <v>0</v>
      </c>
      <c r="AQ148" s="1804">
        <v>0</v>
      </c>
      <c r="AR148" s="1804">
        <v>0</v>
      </c>
      <c r="AS148" s="1804">
        <v>0</v>
      </c>
      <c r="AT148" s="1804">
        <v>0</v>
      </c>
      <c r="AU148" s="1804">
        <v>0</v>
      </c>
      <c r="AV148" s="1804">
        <v>0</v>
      </c>
      <c r="AW148" s="1804">
        <v>0</v>
      </c>
      <c r="AX148" s="1804">
        <v>0</v>
      </c>
      <c r="AY148" s="1804">
        <v>0</v>
      </c>
      <c r="AZ148" s="1804">
        <v>0</v>
      </c>
      <c r="BA148" s="1804">
        <v>0</v>
      </c>
      <c r="BB148" s="1804">
        <v>0</v>
      </c>
      <c r="BC148" s="1804">
        <v>0</v>
      </c>
      <c r="BD148" s="1804">
        <v>0</v>
      </c>
      <c r="BE148" s="1804">
        <v>0</v>
      </c>
      <c r="BF148" s="1804">
        <v>0</v>
      </c>
      <c r="BG148" s="1804">
        <v>0</v>
      </c>
      <c r="BH148" s="1804">
        <v>0</v>
      </c>
      <c r="BI148" s="1804">
        <v>0</v>
      </c>
      <c r="BJ148" s="1804">
        <v>0</v>
      </c>
      <c r="BK148" s="1804">
        <v>0</v>
      </c>
      <c r="BL148" s="1804">
        <v>0</v>
      </c>
      <c r="BM148" s="1804">
        <v>0</v>
      </c>
      <c r="BN148" s="1804">
        <v>0</v>
      </c>
      <c r="BO148" s="1804">
        <v>0</v>
      </c>
      <c r="BP148" s="1804">
        <v>0</v>
      </c>
      <c r="BQ148" s="1804">
        <v>0</v>
      </c>
      <c r="BR148" s="1804">
        <v>0</v>
      </c>
      <c r="BS148" s="1804">
        <v>0</v>
      </c>
      <c r="BT148" s="1804">
        <v>0</v>
      </c>
      <c r="BU148" s="1804">
        <v>0</v>
      </c>
      <c r="BV148" s="1804">
        <v>0</v>
      </c>
      <c r="BW148" s="1804">
        <v>0</v>
      </c>
      <c r="BX148" s="1804">
        <v>0</v>
      </c>
      <c r="BY148" s="1804">
        <v>0</v>
      </c>
      <c r="BZ148" s="1804">
        <v>0</v>
      </c>
      <c r="CA148" s="1804">
        <v>0</v>
      </c>
      <c r="CB148" s="1804">
        <v>0</v>
      </c>
      <c r="CC148" s="1804">
        <v>0</v>
      </c>
      <c r="CD148" s="1804">
        <v>0</v>
      </c>
      <c r="CE148" s="1804">
        <v>0</v>
      </c>
      <c r="CF148" s="1804">
        <v>0</v>
      </c>
      <c r="CG148" s="1804">
        <v>0</v>
      </c>
      <c r="CH148" s="1804">
        <v>0</v>
      </c>
      <c r="CI148" s="1804">
        <v>0</v>
      </c>
      <c r="CJ148" s="1804">
        <v>0</v>
      </c>
      <c r="CK148" s="1804">
        <v>0</v>
      </c>
      <c r="CL148" s="1804">
        <v>0</v>
      </c>
      <c r="CM148" s="1804">
        <v>0</v>
      </c>
      <c r="CN148" s="1804">
        <v>0</v>
      </c>
      <c r="CO148" s="1804">
        <v>0</v>
      </c>
      <c r="CP148" s="1804">
        <v>0</v>
      </c>
      <c r="CQ148" s="1804">
        <v>0</v>
      </c>
      <c r="CR148" s="1804">
        <v>0</v>
      </c>
      <c r="CS148" s="1804">
        <v>0</v>
      </c>
      <c r="CT148" s="1804">
        <v>0</v>
      </c>
      <c r="CU148" s="1804">
        <v>0</v>
      </c>
      <c r="CV148" s="1804">
        <v>0</v>
      </c>
      <c r="CW148" s="1804">
        <v>0</v>
      </c>
      <c r="CX148" s="1804">
        <v>0</v>
      </c>
      <c r="CY148" s="1804">
        <v>0</v>
      </c>
      <c r="CZ148" s="1804">
        <v>0</v>
      </c>
      <c r="DA148" s="1804">
        <v>0</v>
      </c>
      <c r="DB148" s="1804">
        <v>0</v>
      </c>
      <c r="DC148" s="1804">
        <v>0</v>
      </c>
      <c r="DD148" s="1804">
        <v>0</v>
      </c>
      <c r="DE148" s="1804">
        <v>0</v>
      </c>
      <c r="DF148" s="1804">
        <v>0</v>
      </c>
      <c r="DG148" s="1804">
        <v>0</v>
      </c>
      <c r="DH148" s="1804">
        <v>0</v>
      </c>
      <c r="DI148" s="1804">
        <v>0</v>
      </c>
      <c r="DJ148" s="1804">
        <v>0</v>
      </c>
      <c r="DK148" s="1804">
        <v>0</v>
      </c>
      <c r="DL148" s="1804">
        <v>0</v>
      </c>
      <c r="DM148" s="1804">
        <v>0</v>
      </c>
      <c r="DN148" s="1804">
        <v>0</v>
      </c>
      <c r="DO148" s="1804">
        <v>0</v>
      </c>
      <c r="DP148" s="1804">
        <v>0</v>
      </c>
      <c r="DQ148" s="1804">
        <v>0</v>
      </c>
      <c r="DR148" s="1804">
        <v>0</v>
      </c>
      <c r="DS148" s="1804">
        <v>0</v>
      </c>
      <c r="DT148" s="1804">
        <v>0</v>
      </c>
      <c r="DU148" s="1804">
        <v>0</v>
      </c>
      <c r="DV148" s="1804">
        <v>0</v>
      </c>
      <c r="DW148" s="1804">
        <v>0</v>
      </c>
      <c r="DX148" s="1804">
        <v>0</v>
      </c>
      <c r="DY148" s="1804">
        <v>0</v>
      </c>
      <c r="DZ148" s="1804">
        <v>0</v>
      </c>
      <c r="EA148" s="1804">
        <v>0</v>
      </c>
      <c r="EB148" s="1804">
        <v>0</v>
      </c>
      <c r="EC148" s="1804">
        <v>0</v>
      </c>
      <c r="ED148" s="1804">
        <v>0</v>
      </c>
      <c r="EE148" s="1804">
        <v>0</v>
      </c>
      <c r="EF148" s="1804">
        <v>0</v>
      </c>
      <c r="EG148" s="1804">
        <v>0</v>
      </c>
      <c r="EH148" s="1804">
        <v>0</v>
      </c>
      <c r="EI148" s="1804">
        <v>0</v>
      </c>
      <c r="EJ148" s="1804">
        <v>0</v>
      </c>
      <c r="EK148" s="1804">
        <v>0</v>
      </c>
      <c r="EL148" s="1804">
        <v>0</v>
      </c>
      <c r="EM148" s="1804">
        <v>0</v>
      </c>
      <c r="EN148" s="1804">
        <v>0</v>
      </c>
      <c r="EO148" s="1804">
        <v>0</v>
      </c>
      <c r="EP148" s="1804">
        <v>0</v>
      </c>
      <c r="EQ148" s="1804">
        <v>0</v>
      </c>
      <c r="ER148" s="1804">
        <v>0</v>
      </c>
      <c r="ES148" s="1804">
        <v>0</v>
      </c>
      <c r="ET148" s="1804">
        <v>0</v>
      </c>
      <c r="EU148" s="1804">
        <v>0</v>
      </c>
      <c r="EV148" s="1804">
        <v>0</v>
      </c>
      <c r="EW148" s="1804">
        <v>0</v>
      </c>
      <c r="EX148" s="1804">
        <v>0</v>
      </c>
      <c r="EY148" s="1804">
        <v>0</v>
      </c>
      <c r="EZ148" s="1804">
        <v>0</v>
      </c>
      <c r="FA148" s="1804">
        <v>0</v>
      </c>
      <c r="FB148" s="1804">
        <v>0</v>
      </c>
      <c r="FC148" s="1804">
        <v>0</v>
      </c>
      <c r="FD148" s="1804">
        <v>0</v>
      </c>
      <c r="FE148" s="1804">
        <v>0</v>
      </c>
      <c r="FF148" s="1804">
        <v>0</v>
      </c>
      <c r="FG148" s="1804">
        <v>0</v>
      </c>
      <c r="FH148" s="1804">
        <v>0</v>
      </c>
      <c r="FI148" s="1804">
        <v>0</v>
      </c>
      <c r="FJ148" s="1804">
        <v>0</v>
      </c>
      <c r="FK148" s="1804">
        <v>0</v>
      </c>
      <c r="FL148" s="1804">
        <v>0</v>
      </c>
      <c r="FM148" s="1804">
        <v>0</v>
      </c>
      <c r="FN148" s="1804">
        <v>0</v>
      </c>
      <c r="FO148" s="1804">
        <v>0</v>
      </c>
      <c r="FP148" s="1804">
        <v>0</v>
      </c>
      <c r="FQ148" s="1804">
        <v>0</v>
      </c>
      <c r="FR148" s="1804">
        <v>0</v>
      </c>
      <c r="FS148" s="1804">
        <v>0</v>
      </c>
      <c r="FT148" s="1804">
        <v>0</v>
      </c>
      <c r="FU148" s="1804">
        <v>0</v>
      </c>
      <c r="FV148" s="1804">
        <v>0</v>
      </c>
      <c r="FW148" s="1804">
        <v>0</v>
      </c>
      <c r="FX148" s="1804">
        <v>0</v>
      </c>
      <c r="FY148" s="1804">
        <v>0</v>
      </c>
      <c r="FZ148" s="1804">
        <v>0</v>
      </c>
      <c r="GA148" s="1804">
        <v>0</v>
      </c>
      <c r="GB148" s="1804">
        <v>0</v>
      </c>
      <c r="GC148" s="1804">
        <v>0</v>
      </c>
      <c r="GD148" s="1804">
        <v>0</v>
      </c>
      <c r="GE148" s="1804">
        <v>0</v>
      </c>
      <c r="GF148" s="1804">
        <v>0</v>
      </c>
      <c r="GG148" s="1804">
        <v>0</v>
      </c>
      <c r="GH148" s="1804">
        <v>0</v>
      </c>
      <c r="GI148" s="1804">
        <v>0</v>
      </c>
      <c r="GJ148" s="1804">
        <v>0</v>
      </c>
      <c r="GK148" s="1804">
        <v>0</v>
      </c>
      <c r="GL148" s="1804">
        <v>0</v>
      </c>
      <c r="GM148" s="1804">
        <v>0</v>
      </c>
      <c r="GN148" s="1804">
        <v>0</v>
      </c>
      <c r="GO148" s="1804">
        <v>0</v>
      </c>
      <c r="GP148" s="1804">
        <v>0</v>
      </c>
      <c r="GQ148" s="1804">
        <v>0</v>
      </c>
      <c r="GR148" s="1804">
        <v>0</v>
      </c>
      <c r="GS148" s="1804">
        <v>0</v>
      </c>
      <c r="GT148" s="1804">
        <v>0</v>
      </c>
      <c r="GU148" s="1804">
        <v>0</v>
      </c>
      <c r="GV148" s="1804">
        <v>0</v>
      </c>
      <c r="GW148" s="1804">
        <v>0</v>
      </c>
      <c r="GX148" s="1804">
        <v>0</v>
      </c>
      <c r="GY148" s="1804">
        <v>0</v>
      </c>
      <c r="GZ148" s="1804">
        <v>0</v>
      </c>
      <c r="HA148" s="1804">
        <v>0</v>
      </c>
      <c r="HB148" s="1804">
        <v>0</v>
      </c>
      <c r="HC148" s="1804">
        <v>0</v>
      </c>
      <c r="HD148" s="1804">
        <v>0</v>
      </c>
      <c r="HE148" s="1804">
        <v>0</v>
      </c>
    </row>
    <row r="149" spans="1:213" ht="15" customHeight="1" x14ac:dyDescent="0.2">
      <c r="A149" s="1964"/>
      <c r="B149" s="1999"/>
      <c r="C149" s="1818" t="s">
        <v>636</v>
      </c>
      <c r="D149" s="1883"/>
      <c r="E149" s="1984"/>
      <c r="F149" s="1838">
        <v>0</v>
      </c>
      <c r="G149" s="1804">
        <v>0</v>
      </c>
      <c r="H149" s="1804">
        <v>0</v>
      </c>
      <c r="I149" s="1804">
        <v>0</v>
      </c>
      <c r="J149" s="1804">
        <v>0</v>
      </c>
      <c r="K149" s="1804">
        <v>0</v>
      </c>
      <c r="L149" s="1804">
        <v>0</v>
      </c>
      <c r="M149" s="1804">
        <v>0</v>
      </c>
      <c r="N149" s="1804">
        <v>0</v>
      </c>
      <c r="O149" s="1804">
        <v>0</v>
      </c>
      <c r="P149" s="1804">
        <v>0</v>
      </c>
      <c r="Q149" s="1804">
        <v>0</v>
      </c>
      <c r="R149" s="1804">
        <v>0</v>
      </c>
      <c r="S149" s="1804">
        <v>0</v>
      </c>
      <c r="T149" s="1804">
        <v>0</v>
      </c>
      <c r="U149" s="1804">
        <v>0</v>
      </c>
      <c r="V149" s="1804">
        <v>0</v>
      </c>
      <c r="W149" s="1804">
        <v>0</v>
      </c>
      <c r="X149" s="1804">
        <v>0</v>
      </c>
      <c r="Y149" s="1804">
        <v>0</v>
      </c>
      <c r="Z149" s="1804">
        <v>0</v>
      </c>
      <c r="AA149" s="1804">
        <v>0</v>
      </c>
      <c r="AB149" s="1804">
        <v>0</v>
      </c>
      <c r="AC149" s="1804">
        <v>0</v>
      </c>
      <c r="AD149" s="1804">
        <v>0</v>
      </c>
      <c r="AE149" s="1804">
        <v>0</v>
      </c>
      <c r="AF149" s="1804">
        <v>0</v>
      </c>
      <c r="AG149" s="1804">
        <v>0</v>
      </c>
      <c r="AH149" s="1804">
        <v>0</v>
      </c>
      <c r="AI149" s="1804">
        <v>0</v>
      </c>
      <c r="AJ149" s="1804">
        <v>0</v>
      </c>
      <c r="AK149" s="1804">
        <v>0</v>
      </c>
      <c r="AL149" s="1804">
        <v>0</v>
      </c>
      <c r="AM149" s="1804">
        <v>0</v>
      </c>
      <c r="AN149" s="1804">
        <v>0</v>
      </c>
      <c r="AO149" s="1804">
        <v>0</v>
      </c>
      <c r="AP149" s="1804">
        <v>0</v>
      </c>
      <c r="AQ149" s="1804">
        <v>0</v>
      </c>
      <c r="AR149" s="1804">
        <v>0</v>
      </c>
      <c r="AS149" s="1804">
        <v>0</v>
      </c>
      <c r="AT149" s="1804">
        <v>0</v>
      </c>
      <c r="AU149" s="1804">
        <v>0</v>
      </c>
      <c r="AV149" s="1804">
        <v>0</v>
      </c>
      <c r="AW149" s="1804">
        <v>0</v>
      </c>
      <c r="AX149" s="1804">
        <v>0</v>
      </c>
      <c r="AY149" s="1804">
        <v>0</v>
      </c>
      <c r="AZ149" s="1804">
        <v>0</v>
      </c>
      <c r="BA149" s="1804">
        <v>0</v>
      </c>
      <c r="BB149" s="1804">
        <v>0</v>
      </c>
      <c r="BC149" s="1804">
        <v>0</v>
      </c>
      <c r="BD149" s="1804">
        <v>0</v>
      </c>
      <c r="BE149" s="1804">
        <v>0</v>
      </c>
      <c r="BF149" s="1804">
        <v>0</v>
      </c>
      <c r="BG149" s="1804">
        <v>0</v>
      </c>
      <c r="BH149" s="1804">
        <v>0</v>
      </c>
      <c r="BI149" s="1804">
        <v>0</v>
      </c>
      <c r="BJ149" s="1804">
        <v>0</v>
      </c>
      <c r="BK149" s="1804">
        <v>0</v>
      </c>
      <c r="BL149" s="1804">
        <v>0</v>
      </c>
      <c r="BM149" s="1804">
        <v>0</v>
      </c>
      <c r="BN149" s="1804">
        <v>0</v>
      </c>
      <c r="BO149" s="1804">
        <v>0</v>
      </c>
      <c r="BP149" s="1804">
        <v>0</v>
      </c>
      <c r="BQ149" s="1804">
        <v>0</v>
      </c>
      <c r="BR149" s="1804">
        <v>0</v>
      </c>
      <c r="BS149" s="1804">
        <v>0</v>
      </c>
      <c r="BT149" s="1804">
        <v>0</v>
      </c>
      <c r="BU149" s="1804">
        <v>0</v>
      </c>
      <c r="BV149" s="1804">
        <v>0</v>
      </c>
      <c r="BW149" s="1804">
        <v>0</v>
      </c>
      <c r="BX149" s="1804">
        <v>0</v>
      </c>
      <c r="BY149" s="1804">
        <v>0</v>
      </c>
      <c r="BZ149" s="1804">
        <v>0</v>
      </c>
      <c r="CA149" s="1804">
        <v>0</v>
      </c>
      <c r="CB149" s="1804">
        <v>0</v>
      </c>
      <c r="CC149" s="1804">
        <v>0</v>
      </c>
      <c r="CD149" s="1804">
        <v>0</v>
      </c>
      <c r="CE149" s="1804">
        <v>0</v>
      </c>
      <c r="CF149" s="1804">
        <v>0</v>
      </c>
      <c r="CG149" s="1804">
        <v>0</v>
      </c>
      <c r="CH149" s="1804">
        <v>0</v>
      </c>
      <c r="CI149" s="1804">
        <v>0</v>
      </c>
      <c r="CJ149" s="1804">
        <v>0</v>
      </c>
      <c r="CK149" s="1804">
        <v>0</v>
      </c>
      <c r="CL149" s="1804">
        <v>0</v>
      </c>
      <c r="CM149" s="1804">
        <v>0</v>
      </c>
      <c r="CN149" s="1804">
        <v>0</v>
      </c>
      <c r="CO149" s="1804">
        <v>0</v>
      </c>
      <c r="CP149" s="1804">
        <v>0</v>
      </c>
      <c r="CQ149" s="1804">
        <v>0</v>
      </c>
      <c r="CR149" s="1804">
        <v>0</v>
      </c>
      <c r="CS149" s="1804">
        <v>0</v>
      </c>
      <c r="CT149" s="1804">
        <v>0</v>
      </c>
      <c r="CU149" s="1804">
        <v>0</v>
      </c>
      <c r="CV149" s="1804">
        <v>0</v>
      </c>
      <c r="CW149" s="1804">
        <v>0</v>
      </c>
      <c r="CX149" s="1804">
        <v>0</v>
      </c>
      <c r="CY149" s="1804">
        <v>0</v>
      </c>
      <c r="CZ149" s="1804">
        <v>0</v>
      </c>
      <c r="DA149" s="1804">
        <v>0</v>
      </c>
      <c r="DB149" s="1804">
        <v>0</v>
      </c>
      <c r="DC149" s="1804">
        <v>0</v>
      </c>
      <c r="DD149" s="1804">
        <v>0</v>
      </c>
      <c r="DE149" s="1804">
        <v>0</v>
      </c>
      <c r="DF149" s="1804">
        <v>0</v>
      </c>
      <c r="DG149" s="1804">
        <v>0</v>
      </c>
      <c r="DH149" s="1804">
        <v>0</v>
      </c>
      <c r="DI149" s="1804">
        <v>0</v>
      </c>
      <c r="DJ149" s="1804">
        <v>0</v>
      </c>
      <c r="DK149" s="1804">
        <v>0</v>
      </c>
      <c r="DL149" s="1804">
        <v>0</v>
      </c>
      <c r="DM149" s="1804">
        <v>0</v>
      </c>
      <c r="DN149" s="1804">
        <v>0</v>
      </c>
      <c r="DO149" s="1804">
        <v>0</v>
      </c>
      <c r="DP149" s="1804">
        <v>0</v>
      </c>
      <c r="DQ149" s="1804">
        <v>0</v>
      </c>
      <c r="DR149" s="1804">
        <v>0</v>
      </c>
      <c r="DS149" s="1804">
        <v>0</v>
      </c>
      <c r="DT149" s="1804">
        <v>0</v>
      </c>
      <c r="DU149" s="1804">
        <v>0</v>
      </c>
      <c r="DV149" s="1804">
        <v>0</v>
      </c>
      <c r="DW149" s="1804">
        <v>0</v>
      </c>
      <c r="DX149" s="1804">
        <v>0</v>
      </c>
      <c r="DY149" s="1804">
        <v>0</v>
      </c>
      <c r="DZ149" s="1804">
        <v>0</v>
      </c>
      <c r="EA149" s="1804">
        <v>0</v>
      </c>
      <c r="EB149" s="1804">
        <v>0</v>
      </c>
      <c r="EC149" s="1804">
        <v>0</v>
      </c>
      <c r="ED149" s="1804">
        <v>0</v>
      </c>
      <c r="EE149" s="1804">
        <v>0</v>
      </c>
      <c r="EF149" s="1804">
        <v>0</v>
      </c>
      <c r="EG149" s="1804">
        <v>0</v>
      </c>
      <c r="EH149" s="1804">
        <v>0</v>
      </c>
      <c r="EI149" s="1804">
        <v>0</v>
      </c>
      <c r="EJ149" s="1804">
        <v>0</v>
      </c>
      <c r="EK149" s="1804">
        <v>0</v>
      </c>
      <c r="EL149" s="1804">
        <v>0</v>
      </c>
      <c r="EM149" s="1804">
        <v>0</v>
      </c>
      <c r="EN149" s="1804">
        <v>0</v>
      </c>
      <c r="EO149" s="1804">
        <v>0</v>
      </c>
      <c r="EP149" s="1804">
        <v>0</v>
      </c>
      <c r="EQ149" s="1804">
        <v>0</v>
      </c>
      <c r="ER149" s="1804">
        <v>0</v>
      </c>
      <c r="ES149" s="1804">
        <v>0</v>
      </c>
      <c r="ET149" s="1804">
        <v>0</v>
      </c>
      <c r="EU149" s="1804">
        <v>0</v>
      </c>
      <c r="EV149" s="1804">
        <v>0</v>
      </c>
      <c r="EW149" s="1804">
        <v>0</v>
      </c>
      <c r="EX149" s="1804">
        <v>0</v>
      </c>
      <c r="EY149" s="1804">
        <v>0</v>
      </c>
      <c r="EZ149" s="1804">
        <v>0</v>
      </c>
      <c r="FA149" s="1804">
        <v>0</v>
      </c>
      <c r="FB149" s="1804">
        <v>0</v>
      </c>
      <c r="FC149" s="1804">
        <v>0</v>
      </c>
      <c r="FD149" s="1804">
        <v>0</v>
      </c>
      <c r="FE149" s="1804">
        <v>0</v>
      </c>
      <c r="FF149" s="1804">
        <v>0</v>
      </c>
      <c r="FG149" s="1804">
        <v>0</v>
      </c>
      <c r="FH149" s="1804">
        <v>0</v>
      </c>
      <c r="FI149" s="1804">
        <v>0</v>
      </c>
      <c r="FJ149" s="1804">
        <v>0</v>
      </c>
      <c r="FK149" s="1804">
        <v>0</v>
      </c>
      <c r="FL149" s="1804">
        <v>0</v>
      </c>
      <c r="FM149" s="1804">
        <v>0</v>
      </c>
      <c r="FN149" s="1804">
        <v>0</v>
      </c>
      <c r="FO149" s="1804">
        <v>0</v>
      </c>
      <c r="FP149" s="1804">
        <v>0</v>
      </c>
      <c r="FQ149" s="1804">
        <v>0</v>
      </c>
      <c r="FR149" s="1804">
        <v>0</v>
      </c>
      <c r="FS149" s="1804">
        <v>0</v>
      </c>
      <c r="FT149" s="1804">
        <v>0</v>
      </c>
      <c r="FU149" s="1804">
        <v>0</v>
      </c>
      <c r="FV149" s="1804">
        <v>0</v>
      </c>
      <c r="FW149" s="1804">
        <v>0</v>
      </c>
      <c r="FX149" s="1804">
        <v>0</v>
      </c>
      <c r="FY149" s="1804">
        <v>0</v>
      </c>
      <c r="FZ149" s="1804">
        <v>0</v>
      </c>
      <c r="GA149" s="1804">
        <v>0</v>
      </c>
      <c r="GB149" s="1804">
        <v>0</v>
      </c>
      <c r="GC149" s="1804">
        <v>0</v>
      </c>
      <c r="GD149" s="1804">
        <v>0</v>
      </c>
      <c r="GE149" s="1804">
        <v>0</v>
      </c>
      <c r="GF149" s="1804">
        <v>0</v>
      </c>
      <c r="GG149" s="1804">
        <v>0</v>
      </c>
      <c r="GH149" s="1804">
        <v>0</v>
      </c>
      <c r="GI149" s="1804">
        <v>0</v>
      </c>
      <c r="GJ149" s="1804">
        <v>0</v>
      </c>
      <c r="GK149" s="1804">
        <v>0</v>
      </c>
      <c r="GL149" s="1804">
        <v>0</v>
      </c>
      <c r="GM149" s="1804">
        <v>0</v>
      </c>
      <c r="GN149" s="1804">
        <v>0</v>
      </c>
      <c r="GO149" s="1804">
        <v>0</v>
      </c>
      <c r="GP149" s="1804">
        <v>0</v>
      </c>
      <c r="GQ149" s="1804">
        <v>0</v>
      </c>
      <c r="GR149" s="1804">
        <v>0</v>
      </c>
      <c r="GS149" s="1804">
        <v>0</v>
      </c>
      <c r="GT149" s="1804">
        <v>0</v>
      </c>
      <c r="GU149" s="1804">
        <v>0</v>
      </c>
      <c r="GV149" s="1804">
        <v>0</v>
      </c>
      <c r="GW149" s="1804">
        <v>0</v>
      </c>
      <c r="GX149" s="1804">
        <v>0</v>
      </c>
      <c r="GY149" s="1804">
        <v>0</v>
      </c>
      <c r="GZ149" s="1804">
        <v>0</v>
      </c>
      <c r="HA149" s="1804">
        <v>0</v>
      </c>
      <c r="HB149" s="1804">
        <v>0</v>
      </c>
      <c r="HC149" s="1804">
        <v>0</v>
      </c>
      <c r="HD149" s="1804">
        <v>0</v>
      </c>
      <c r="HE149" s="1804">
        <v>0</v>
      </c>
    </row>
    <row r="150" spans="1:213" ht="15" customHeight="1" thickBot="1" x14ac:dyDescent="0.25">
      <c r="A150" s="1964"/>
      <c r="B150" s="2002"/>
      <c r="C150" s="1703" t="s">
        <v>637</v>
      </c>
      <c r="D150" s="1883"/>
      <c r="E150" s="1984"/>
      <c r="F150" s="1838">
        <v>0</v>
      </c>
      <c r="G150" s="1804">
        <v>0</v>
      </c>
      <c r="H150" s="1804">
        <v>0</v>
      </c>
      <c r="I150" s="1804">
        <v>0</v>
      </c>
      <c r="J150" s="1804">
        <v>0</v>
      </c>
      <c r="K150" s="1804">
        <v>0</v>
      </c>
      <c r="L150" s="1804">
        <v>0</v>
      </c>
      <c r="M150" s="1804">
        <v>0</v>
      </c>
      <c r="N150" s="1804">
        <v>0</v>
      </c>
      <c r="O150" s="1804">
        <v>0</v>
      </c>
      <c r="P150" s="1804">
        <v>0</v>
      </c>
      <c r="Q150" s="1804">
        <v>0</v>
      </c>
      <c r="R150" s="1804">
        <v>0</v>
      </c>
      <c r="S150" s="1804">
        <v>0</v>
      </c>
      <c r="T150" s="1804">
        <v>0</v>
      </c>
      <c r="U150" s="1804">
        <v>0</v>
      </c>
      <c r="V150" s="1804">
        <v>0</v>
      </c>
      <c r="W150" s="1804">
        <v>0</v>
      </c>
      <c r="X150" s="1804">
        <v>0</v>
      </c>
      <c r="Y150" s="1804">
        <v>0</v>
      </c>
      <c r="Z150" s="1804">
        <v>0</v>
      </c>
      <c r="AA150" s="1804">
        <v>0</v>
      </c>
      <c r="AB150" s="1804">
        <v>0</v>
      </c>
      <c r="AC150" s="1804">
        <v>0</v>
      </c>
      <c r="AD150" s="1804">
        <v>0</v>
      </c>
      <c r="AE150" s="1804">
        <v>0</v>
      </c>
      <c r="AF150" s="1804">
        <v>0</v>
      </c>
      <c r="AG150" s="1804">
        <v>0</v>
      </c>
      <c r="AH150" s="1804">
        <v>0</v>
      </c>
      <c r="AI150" s="1804">
        <v>0</v>
      </c>
      <c r="AJ150" s="1804">
        <v>0</v>
      </c>
      <c r="AK150" s="1804">
        <v>0</v>
      </c>
      <c r="AL150" s="1804">
        <v>0</v>
      </c>
      <c r="AM150" s="1804">
        <v>0</v>
      </c>
      <c r="AN150" s="1804">
        <v>0</v>
      </c>
      <c r="AO150" s="1804">
        <v>0</v>
      </c>
      <c r="AP150" s="1804">
        <v>0</v>
      </c>
      <c r="AQ150" s="1804">
        <v>0</v>
      </c>
      <c r="AR150" s="1804">
        <v>0</v>
      </c>
      <c r="AS150" s="1804">
        <v>0</v>
      </c>
      <c r="AT150" s="1804">
        <v>0</v>
      </c>
      <c r="AU150" s="1804">
        <v>0</v>
      </c>
      <c r="AV150" s="1804">
        <v>0</v>
      </c>
      <c r="AW150" s="1804">
        <v>0</v>
      </c>
      <c r="AX150" s="1804">
        <v>0</v>
      </c>
      <c r="AY150" s="1804">
        <v>0</v>
      </c>
      <c r="AZ150" s="1804">
        <v>0</v>
      </c>
      <c r="BA150" s="1804">
        <v>0</v>
      </c>
      <c r="BB150" s="1804">
        <v>0</v>
      </c>
      <c r="BC150" s="1804">
        <v>0</v>
      </c>
      <c r="BD150" s="1804">
        <v>0</v>
      </c>
      <c r="BE150" s="1804">
        <v>0</v>
      </c>
      <c r="BF150" s="1804">
        <v>0</v>
      </c>
      <c r="BG150" s="1804">
        <v>0</v>
      </c>
      <c r="BH150" s="1804">
        <v>0</v>
      </c>
      <c r="BI150" s="1804">
        <v>0</v>
      </c>
      <c r="BJ150" s="1804">
        <v>0</v>
      </c>
      <c r="BK150" s="1804">
        <v>0</v>
      </c>
      <c r="BL150" s="1804">
        <v>0</v>
      </c>
      <c r="BM150" s="1804">
        <v>0</v>
      </c>
      <c r="BN150" s="1804">
        <v>0</v>
      </c>
      <c r="BO150" s="1804">
        <v>0</v>
      </c>
      <c r="BP150" s="1804">
        <v>0</v>
      </c>
      <c r="BQ150" s="1804">
        <v>0</v>
      </c>
      <c r="BR150" s="1804">
        <v>0</v>
      </c>
      <c r="BS150" s="1804">
        <v>0</v>
      </c>
      <c r="BT150" s="1804">
        <v>0</v>
      </c>
      <c r="BU150" s="1804">
        <v>0</v>
      </c>
      <c r="BV150" s="1804">
        <v>0</v>
      </c>
      <c r="BW150" s="1804">
        <v>0</v>
      </c>
      <c r="BX150" s="1804">
        <v>0</v>
      </c>
      <c r="BY150" s="1804">
        <v>0</v>
      </c>
      <c r="BZ150" s="1804">
        <v>0</v>
      </c>
      <c r="CA150" s="1804">
        <v>0</v>
      </c>
      <c r="CB150" s="1804">
        <v>0</v>
      </c>
      <c r="CC150" s="1804">
        <v>0</v>
      </c>
      <c r="CD150" s="1804">
        <v>0</v>
      </c>
      <c r="CE150" s="1804">
        <v>0</v>
      </c>
      <c r="CF150" s="1804">
        <v>0</v>
      </c>
      <c r="CG150" s="1804">
        <v>0</v>
      </c>
      <c r="CH150" s="1804">
        <v>0</v>
      </c>
      <c r="CI150" s="1804">
        <v>0</v>
      </c>
      <c r="CJ150" s="1804">
        <v>0</v>
      </c>
      <c r="CK150" s="1804">
        <v>0</v>
      </c>
      <c r="CL150" s="1804">
        <v>0</v>
      </c>
      <c r="CM150" s="1804">
        <v>0</v>
      </c>
      <c r="CN150" s="1804">
        <v>0</v>
      </c>
      <c r="CO150" s="1804">
        <v>0</v>
      </c>
      <c r="CP150" s="1804">
        <v>0</v>
      </c>
      <c r="CQ150" s="1804">
        <v>0</v>
      </c>
      <c r="CR150" s="1804">
        <v>0</v>
      </c>
      <c r="CS150" s="1804">
        <v>0</v>
      </c>
      <c r="CT150" s="1804">
        <v>0</v>
      </c>
      <c r="CU150" s="1804">
        <v>0</v>
      </c>
      <c r="CV150" s="1804">
        <v>0</v>
      </c>
      <c r="CW150" s="1804">
        <v>0</v>
      </c>
      <c r="CX150" s="1804">
        <v>0</v>
      </c>
      <c r="CY150" s="1804">
        <v>0</v>
      </c>
      <c r="CZ150" s="1804">
        <v>0</v>
      </c>
      <c r="DA150" s="1804">
        <v>0</v>
      </c>
      <c r="DB150" s="1804">
        <v>0</v>
      </c>
      <c r="DC150" s="1804">
        <v>0</v>
      </c>
      <c r="DD150" s="1804">
        <v>0</v>
      </c>
      <c r="DE150" s="1804">
        <v>0</v>
      </c>
      <c r="DF150" s="1804">
        <v>0</v>
      </c>
      <c r="DG150" s="1804">
        <v>0</v>
      </c>
      <c r="DH150" s="1804">
        <v>0</v>
      </c>
      <c r="DI150" s="1804">
        <v>0</v>
      </c>
      <c r="DJ150" s="1804">
        <v>0</v>
      </c>
      <c r="DK150" s="1804">
        <v>0</v>
      </c>
      <c r="DL150" s="1804">
        <v>0</v>
      </c>
      <c r="DM150" s="1804">
        <v>0</v>
      </c>
      <c r="DN150" s="1804">
        <v>0</v>
      </c>
      <c r="DO150" s="1804">
        <v>0</v>
      </c>
      <c r="DP150" s="1804">
        <v>0</v>
      </c>
      <c r="DQ150" s="1804">
        <v>0</v>
      </c>
      <c r="DR150" s="1804">
        <v>0</v>
      </c>
      <c r="DS150" s="1804">
        <v>0</v>
      </c>
      <c r="DT150" s="1804">
        <v>0</v>
      </c>
      <c r="DU150" s="1804">
        <v>0</v>
      </c>
      <c r="DV150" s="1804">
        <v>0</v>
      </c>
      <c r="DW150" s="1804">
        <v>0</v>
      </c>
      <c r="DX150" s="1804">
        <v>0</v>
      </c>
      <c r="DY150" s="1804">
        <v>0</v>
      </c>
      <c r="DZ150" s="1804">
        <v>0</v>
      </c>
      <c r="EA150" s="1804">
        <v>0</v>
      </c>
      <c r="EB150" s="1804">
        <v>0</v>
      </c>
      <c r="EC150" s="1804">
        <v>0</v>
      </c>
      <c r="ED150" s="1804">
        <v>0</v>
      </c>
      <c r="EE150" s="1804">
        <v>0</v>
      </c>
      <c r="EF150" s="1804">
        <v>0</v>
      </c>
      <c r="EG150" s="1804">
        <v>0</v>
      </c>
      <c r="EH150" s="1804">
        <v>0</v>
      </c>
      <c r="EI150" s="1804">
        <v>0</v>
      </c>
      <c r="EJ150" s="1804">
        <v>0</v>
      </c>
      <c r="EK150" s="1804">
        <v>0</v>
      </c>
      <c r="EL150" s="1804">
        <v>0</v>
      </c>
      <c r="EM150" s="1804">
        <v>0</v>
      </c>
      <c r="EN150" s="1804">
        <v>0</v>
      </c>
      <c r="EO150" s="1804">
        <v>0</v>
      </c>
      <c r="EP150" s="1804">
        <v>0</v>
      </c>
      <c r="EQ150" s="1804">
        <v>0</v>
      </c>
      <c r="ER150" s="1804">
        <v>0</v>
      </c>
      <c r="ES150" s="1804">
        <v>0</v>
      </c>
      <c r="ET150" s="1804">
        <v>0</v>
      </c>
      <c r="EU150" s="1804">
        <v>0</v>
      </c>
      <c r="EV150" s="1804">
        <v>0</v>
      </c>
      <c r="EW150" s="1804">
        <v>0</v>
      </c>
      <c r="EX150" s="1804">
        <v>0</v>
      </c>
      <c r="EY150" s="1804">
        <v>0</v>
      </c>
      <c r="EZ150" s="1804">
        <v>0</v>
      </c>
      <c r="FA150" s="1804">
        <v>0</v>
      </c>
      <c r="FB150" s="1804">
        <v>0</v>
      </c>
      <c r="FC150" s="1804">
        <v>0</v>
      </c>
      <c r="FD150" s="1804">
        <v>0</v>
      </c>
      <c r="FE150" s="1804">
        <v>0</v>
      </c>
      <c r="FF150" s="1804">
        <v>0</v>
      </c>
      <c r="FG150" s="1804">
        <v>0</v>
      </c>
      <c r="FH150" s="1804">
        <v>0</v>
      </c>
      <c r="FI150" s="1804">
        <v>0</v>
      </c>
      <c r="FJ150" s="1804">
        <v>0</v>
      </c>
      <c r="FK150" s="1804">
        <v>0</v>
      </c>
      <c r="FL150" s="1804">
        <v>0</v>
      </c>
      <c r="FM150" s="1804">
        <v>0</v>
      </c>
      <c r="FN150" s="1804">
        <v>0</v>
      </c>
      <c r="FO150" s="1804">
        <v>0</v>
      </c>
      <c r="FP150" s="1804">
        <v>0</v>
      </c>
      <c r="FQ150" s="1804">
        <v>0</v>
      </c>
      <c r="FR150" s="1804">
        <v>0</v>
      </c>
      <c r="FS150" s="1804">
        <v>0</v>
      </c>
      <c r="FT150" s="1804">
        <v>0</v>
      </c>
      <c r="FU150" s="1804">
        <v>0</v>
      </c>
      <c r="FV150" s="1804">
        <v>0</v>
      </c>
      <c r="FW150" s="1804">
        <v>0</v>
      </c>
      <c r="FX150" s="1804">
        <v>0</v>
      </c>
      <c r="FY150" s="1804">
        <v>0</v>
      </c>
      <c r="FZ150" s="1804">
        <v>0</v>
      </c>
      <c r="GA150" s="1804">
        <v>0</v>
      </c>
      <c r="GB150" s="1804">
        <v>0</v>
      </c>
      <c r="GC150" s="1804">
        <v>0</v>
      </c>
      <c r="GD150" s="1804">
        <v>0</v>
      </c>
      <c r="GE150" s="1804">
        <v>0</v>
      </c>
      <c r="GF150" s="1804">
        <v>0</v>
      </c>
      <c r="GG150" s="1804">
        <v>0</v>
      </c>
      <c r="GH150" s="1804">
        <v>0</v>
      </c>
      <c r="GI150" s="1804">
        <v>0</v>
      </c>
      <c r="GJ150" s="1804">
        <v>0</v>
      </c>
      <c r="GK150" s="1804">
        <v>0</v>
      </c>
      <c r="GL150" s="1804">
        <v>0</v>
      </c>
      <c r="GM150" s="1804">
        <v>0</v>
      </c>
      <c r="GN150" s="1804">
        <v>0</v>
      </c>
      <c r="GO150" s="1804">
        <v>0</v>
      </c>
      <c r="GP150" s="1804">
        <v>0</v>
      </c>
      <c r="GQ150" s="1804">
        <v>0</v>
      </c>
      <c r="GR150" s="1804">
        <v>0</v>
      </c>
      <c r="GS150" s="1804">
        <v>0</v>
      </c>
      <c r="GT150" s="1804">
        <v>0</v>
      </c>
      <c r="GU150" s="1804">
        <v>0</v>
      </c>
      <c r="GV150" s="1804">
        <v>0</v>
      </c>
      <c r="GW150" s="1804">
        <v>0</v>
      </c>
      <c r="GX150" s="1804">
        <v>0</v>
      </c>
      <c r="GY150" s="1804">
        <v>0</v>
      </c>
      <c r="GZ150" s="1804">
        <v>0</v>
      </c>
      <c r="HA150" s="1804">
        <v>0</v>
      </c>
      <c r="HB150" s="1804">
        <v>0</v>
      </c>
      <c r="HC150" s="1804">
        <v>0</v>
      </c>
      <c r="HD150" s="1804">
        <v>0</v>
      </c>
      <c r="HE150" s="1804">
        <v>0</v>
      </c>
    </row>
    <row r="151" spans="1:213" ht="21" customHeight="1" thickBot="1" x14ac:dyDescent="0.25">
      <c r="A151" s="1963" t="s">
        <v>2358</v>
      </c>
      <c r="B151" s="1998" t="s">
        <v>295</v>
      </c>
      <c r="C151" s="1699" t="s">
        <v>755</v>
      </c>
      <c r="D151" s="1880"/>
      <c r="E151" s="1984"/>
      <c r="F151" s="1865"/>
      <c r="G151" s="1866"/>
      <c r="H151" s="1866"/>
      <c r="I151" s="1866"/>
      <c r="J151" s="1866"/>
      <c r="K151" s="1866"/>
      <c r="L151" s="1866"/>
      <c r="M151" s="1866"/>
      <c r="N151" s="1866"/>
      <c r="O151" s="1866"/>
      <c r="P151" s="1866"/>
      <c r="Q151" s="1866"/>
      <c r="R151" s="1866"/>
      <c r="S151" s="1866"/>
      <c r="T151" s="1866"/>
      <c r="U151" s="1866"/>
      <c r="V151" s="1866"/>
      <c r="W151" s="1866"/>
      <c r="X151" s="1866"/>
      <c r="Y151" s="1866"/>
      <c r="Z151" s="1866"/>
      <c r="AA151" s="1866"/>
      <c r="AB151" s="1866"/>
      <c r="AC151" s="1866"/>
      <c r="AD151" s="1866"/>
      <c r="AE151" s="1866"/>
      <c r="AF151" s="1866"/>
      <c r="AG151" s="1866"/>
      <c r="AH151" s="1866"/>
      <c r="AI151" s="1866"/>
      <c r="AJ151" s="1866"/>
      <c r="AK151" s="1866"/>
      <c r="AL151" s="1866"/>
      <c r="AM151" s="1866"/>
      <c r="AN151" s="1866"/>
      <c r="AO151" s="1866"/>
      <c r="AP151" s="1866"/>
      <c r="AQ151" s="1866"/>
      <c r="AR151" s="1866"/>
      <c r="AS151" s="1866"/>
      <c r="AT151" s="1866"/>
      <c r="AU151" s="1866"/>
      <c r="AV151" s="1866"/>
      <c r="AW151" s="1866"/>
      <c r="AX151" s="1866"/>
      <c r="AY151" s="1866"/>
      <c r="AZ151" s="1866"/>
      <c r="BA151" s="1866"/>
      <c r="BB151" s="1866"/>
      <c r="BC151" s="1866"/>
      <c r="BD151" s="1866"/>
      <c r="BE151" s="1866"/>
      <c r="BF151" s="1866"/>
      <c r="BG151" s="1866"/>
      <c r="BH151" s="1866"/>
      <c r="BI151" s="1866"/>
      <c r="BJ151" s="1866"/>
      <c r="BK151" s="1866"/>
      <c r="BL151" s="1866"/>
      <c r="BM151" s="1866"/>
      <c r="BN151" s="1866"/>
      <c r="BO151" s="1866"/>
      <c r="BP151" s="1866"/>
      <c r="BQ151" s="1866"/>
      <c r="BR151" s="1866"/>
      <c r="BS151" s="1866"/>
      <c r="BT151" s="1866"/>
      <c r="BU151" s="1866"/>
      <c r="BV151" s="1866"/>
      <c r="BW151" s="1866"/>
      <c r="BX151" s="1866"/>
      <c r="BY151" s="1866"/>
      <c r="BZ151" s="1866"/>
      <c r="CA151" s="1866"/>
      <c r="CB151" s="1866"/>
      <c r="CC151" s="1866"/>
      <c r="CD151" s="1866"/>
      <c r="CE151" s="1866"/>
      <c r="CF151" s="1866"/>
      <c r="CG151" s="1866"/>
      <c r="CH151" s="1866"/>
      <c r="CI151" s="1866"/>
      <c r="CJ151" s="1866"/>
      <c r="CK151" s="1866"/>
      <c r="CL151" s="1866"/>
      <c r="CM151" s="1866"/>
      <c r="CN151" s="1866"/>
      <c r="CO151" s="1866"/>
      <c r="CP151" s="1866"/>
      <c r="CQ151" s="1866"/>
      <c r="CR151" s="1866"/>
      <c r="CS151" s="1866"/>
      <c r="CT151" s="1866"/>
      <c r="CU151" s="1866"/>
      <c r="CV151" s="1866"/>
      <c r="CW151" s="1866"/>
      <c r="CX151" s="1866"/>
      <c r="CY151" s="1866"/>
      <c r="CZ151" s="1866"/>
      <c r="DA151" s="1866"/>
      <c r="DB151" s="1866"/>
      <c r="DC151" s="1866"/>
      <c r="DD151" s="1866"/>
      <c r="DE151" s="1866"/>
      <c r="DF151" s="1866"/>
      <c r="DG151" s="1866"/>
      <c r="DH151" s="1866"/>
      <c r="DI151" s="1866"/>
      <c r="DJ151" s="1866"/>
      <c r="DK151" s="1866"/>
      <c r="DL151" s="1866"/>
      <c r="DM151" s="1866"/>
      <c r="DN151" s="1866"/>
      <c r="DO151" s="1866"/>
      <c r="DP151" s="1866"/>
      <c r="DQ151" s="1866"/>
      <c r="DR151" s="1866"/>
      <c r="DS151" s="1866"/>
      <c r="DT151" s="1866"/>
      <c r="DU151" s="1866"/>
      <c r="DV151" s="1866"/>
      <c r="DW151" s="1866"/>
      <c r="DX151" s="1866"/>
      <c r="DY151" s="1866"/>
      <c r="DZ151" s="1866"/>
      <c r="EA151" s="1866"/>
      <c r="EB151" s="1866"/>
      <c r="EC151" s="1866"/>
      <c r="ED151" s="1866"/>
      <c r="EE151" s="1866"/>
      <c r="EF151" s="1866"/>
      <c r="EG151" s="1866"/>
      <c r="EH151" s="1866"/>
      <c r="EI151" s="1866"/>
      <c r="EJ151" s="1866"/>
      <c r="EK151" s="1866"/>
      <c r="EL151" s="1866"/>
      <c r="EM151" s="1866"/>
      <c r="EN151" s="1866"/>
      <c r="EO151" s="1866"/>
      <c r="EP151" s="1866"/>
      <c r="EQ151" s="1866"/>
      <c r="ER151" s="1866"/>
      <c r="ES151" s="1866"/>
      <c r="ET151" s="1866"/>
      <c r="EU151" s="1866"/>
      <c r="EV151" s="1866"/>
      <c r="EW151" s="1866"/>
      <c r="EX151" s="1866"/>
      <c r="EY151" s="1866"/>
      <c r="EZ151" s="1866"/>
      <c r="FA151" s="1866"/>
      <c r="FB151" s="1866"/>
      <c r="FC151" s="1866"/>
      <c r="FD151" s="1866"/>
      <c r="FE151" s="1866"/>
      <c r="FF151" s="1866"/>
      <c r="FG151" s="1866"/>
      <c r="FH151" s="1866"/>
      <c r="FI151" s="1866"/>
      <c r="FJ151" s="1866"/>
      <c r="FK151" s="1866"/>
      <c r="FL151" s="1866"/>
      <c r="FM151" s="1866"/>
      <c r="FN151" s="1866"/>
      <c r="FO151" s="1866"/>
      <c r="FP151" s="1866"/>
      <c r="FQ151" s="1866"/>
      <c r="FR151" s="1866"/>
      <c r="FS151" s="1866"/>
      <c r="FT151" s="1866"/>
      <c r="FU151" s="1866"/>
      <c r="FV151" s="1866"/>
      <c r="FW151" s="1866"/>
      <c r="FX151" s="1866"/>
      <c r="FY151" s="1866"/>
      <c r="FZ151" s="1866"/>
      <c r="GA151" s="1866"/>
      <c r="GB151" s="1866"/>
      <c r="GC151" s="1866"/>
      <c r="GD151" s="1866"/>
      <c r="GE151" s="1866"/>
      <c r="GF151" s="1866"/>
      <c r="GG151" s="1866"/>
      <c r="GH151" s="1866"/>
      <c r="GI151" s="1866"/>
      <c r="GJ151" s="1866"/>
      <c r="GK151" s="1866"/>
      <c r="GL151" s="1866"/>
      <c r="GM151" s="1866"/>
      <c r="GN151" s="1866"/>
      <c r="GO151" s="1866"/>
      <c r="GP151" s="1866"/>
      <c r="GQ151" s="1866"/>
      <c r="GR151" s="1866"/>
      <c r="GS151" s="1866"/>
      <c r="GT151" s="1866"/>
      <c r="GU151" s="1866"/>
      <c r="GV151" s="1866"/>
      <c r="GW151" s="1866"/>
      <c r="GX151" s="1866"/>
      <c r="GY151" s="1866"/>
      <c r="GZ151" s="1866"/>
      <c r="HA151" s="1866"/>
      <c r="HB151" s="1866"/>
      <c r="HC151" s="1866"/>
      <c r="HD151" s="1866"/>
      <c r="HE151" s="1866"/>
    </row>
    <row r="152" spans="1:213" ht="15" customHeight="1" x14ac:dyDescent="0.2">
      <c r="A152" s="1964"/>
      <c r="B152" s="1999"/>
      <c r="C152" s="1818" t="s">
        <v>861</v>
      </c>
      <c r="D152" s="1883"/>
      <c r="E152" s="1984"/>
      <c r="F152" s="1838">
        <v>0</v>
      </c>
      <c r="G152" s="1804">
        <v>0</v>
      </c>
      <c r="H152" s="1804">
        <v>0</v>
      </c>
      <c r="I152" s="1804">
        <v>0</v>
      </c>
      <c r="J152" s="1804">
        <v>0</v>
      </c>
      <c r="K152" s="1804">
        <v>0</v>
      </c>
      <c r="L152" s="1804">
        <v>0</v>
      </c>
      <c r="M152" s="1804">
        <v>0</v>
      </c>
      <c r="N152" s="1804">
        <v>0</v>
      </c>
      <c r="O152" s="1804">
        <v>0</v>
      </c>
      <c r="P152" s="1804">
        <v>0</v>
      </c>
      <c r="Q152" s="1804">
        <v>0</v>
      </c>
      <c r="R152" s="1804">
        <v>0</v>
      </c>
      <c r="S152" s="1804">
        <v>0</v>
      </c>
      <c r="T152" s="1804">
        <v>0</v>
      </c>
      <c r="U152" s="1804">
        <v>0</v>
      </c>
      <c r="V152" s="1804">
        <v>0</v>
      </c>
      <c r="W152" s="1804">
        <v>0</v>
      </c>
      <c r="X152" s="1804">
        <v>0</v>
      </c>
      <c r="Y152" s="1804">
        <v>0</v>
      </c>
      <c r="Z152" s="1804">
        <v>0</v>
      </c>
      <c r="AA152" s="1804">
        <v>0</v>
      </c>
      <c r="AB152" s="1804">
        <v>0</v>
      </c>
      <c r="AC152" s="1804">
        <v>0</v>
      </c>
      <c r="AD152" s="1804">
        <v>0</v>
      </c>
      <c r="AE152" s="1804">
        <v>0</v>
      </c>
      <c r="AF152" s="1804">
        <v>0</v>
      </c>
      <c r="AG152" s="1804">
        <v>0</v>
      </c>
      <c r="AH152" s="1804">
        <v>0</v>
      </c>
      <c r="AI152" s="1804">
        <v>0</v>
      </c>
      <c r="AJ152" s="1804">
        <v>0</v>
      </c>
      <c r="AK152" s="1804">
        <v>0</v>
      </c>
      <c r="AL152" s="1804">
        <v>0</v>
      </c>
      <c r="AM152" s="1804">
        <v>0</v>
      </c>
      <c r="AN152" s="1804">
        <v>0</v>
      </c>
      <c r="AO152" s="1804">
        <v>0</v>
      </c>
      <c r="AP152" s="1804">
        <v>0</v>
      </c>
      <c r="AQ152" s="1804">
        <v>0</v>
      </c>
      <c r="AR152" s="1804">
        <v>0</v>
      </c>
      <c r="AS152" s="1804">
        <v>0</v>
      </c>
      <c r="AT152" s="1804">
        <v>0</v>
      </c>
      <c r="AU152" s="1804">
        <v>0</v>
      </c>
      <c r="AV152" s="1804">
        <v>0</v>
      </c>
      <c r="AW152" s="1804">
        <v>0</v>
      </c>
      <c r="AX152" s="1804">
        <v>0</v>
      </c>
      <c r="AY152" s="1804">
        <v>0</v>
      </c>
      <c r="AZ152" s="1804">
        <v>0</v>
      </c>
      <c r="BA152" s="1804">
        <v>0</v>
      </c>
      <c r="BB152" s="1804">
        <v>0</v>
      </c>
      <c r="BC152" s="1804">
        <v>0</v>
      </c>
      <c r="BD152" s="1804">
        <v>0</v>
      </c>
      <c r="BE152" s="1804">
        <v>0</v>
      </c>
      <c r="BF152" s="1804">
        <v>0</v>
      </c>
      <c r="BG152" s="1804">
        <v>0</v>
      </c>
      <c r="BH152" s="1804">
        <v>0</v>
      </c>
      <c r="BI152" s="1804">
        <v>0</v>
      </c>
      <c r="BJ152" s="1804">
        <v>0</v>
      </c>
      <c r="BK152" s="1804">
        <v>0</v>
      </c>
      <c r="BL152" s="1804">
        <v>0</v>
      </c>
      <c r="BM152" s="1804">
        <v>0</v>
      </c>
      <c r="BN152" s="1804">
        <v>0</v>
      </c>
      <c r="BO152" s="1804">
        <v>0</v>
      </c>
      <c r="BP152" s="1804">
        <v>0</v>
      </c>
      <c r="BQ152" s="1804">
        <v>0</v>
      </c>
      <c r="BR152" s="1804">
        <v>0</v>
      </c>
      <c r="BS152" s="1804">
        <v>0</v>
      </c>
      <c r="BT152" s="1804">
        <v>0</v>
      </c>
      <c r="BU152" s="1804">
        <v>0</v>
      </c>
      <c r="BV152" s="1804">
        <v>0</v>
      </c>
      <c r="BW152" s="1804">
        <v>0</v>
      </c>
      <c r="BX152" s="1804">
        <v>0</v>
      </c>
      <c r="BY152" s="1804">
        <v>0</v>
      </c>
      <c r="BZ152" s="1804">
        <v>0</v>
      </c>
      <c r="CA152" s="1804">
        <v>0</v>
      </c>
      <c r="CB152" s="1804">
        <v>0</v>
      </c>
      <c r="CC152" s="1804">
        <v>0</v>
      </c>
      <c r="CD152" s="1804">
        <v>0</v>
      </c>
      <c r="CE152" s="1804">
        <v>0</v>
      </c>
      <c r="CF152" s="1804">
        <v>0</v>
      </c>
      <c r="CG152" s="1804">
        <v>0</v>
      </c>
      <c r="CH152" s="1804">
        <v>0</v>
      </c>
      <c r="CI152" s="1804">
        <v>0</v>
      </c>
      <c r="CJ152" s="1804">
        <v>0</v>
      </c>
      <c r="CK152" s="1804">
        <v>0</v>
      </c>
      <c r="CL152" s="1804">
        <v>0</v>
      </c>
      <c r="CM152" s="1804">
        <v>0</v>
      </c>
      <c r="CN152" s="1804">
        <v>0</v>
      </c>
      <c r="CO152" s="1804">
        <v>0</v>
      </c>
      <c r="CP152" s="1804">
        <v>0</v>
      </c>
      <c r="CQ152" s="1804">
        <v>0</v>
      </c>
      <c r="CR152" s="1804">
        <v>0</v>
      </c>
      <c r="CS152" s="1804">
        <v>0</v>
      </c>
      <c r="CT152" s="1804">
        <v>0</v>
      </c>
      <c r="CU152" s="1804">
        <v>0</v>
      </c>
      <c r="CV152" s="1804">
        <v>0</v>
      </c>
      <c r="CW152" s="1804">
        <v>0</v>
      </c>
      <c r="CX152" s="1804">
        <v>0</v>
      </c>
      <c r="CY152" s="1804">
        <v>0</v>
      </c>
      <c r="CZ152" s="1804">
        <v>0</v>
      </c>
      <c r="DA152" s="1804">
        <v>0</v>
      </c>
      <c r="DB152" s="1804">
        <v>0</v>
      </c>
      <c r="DC152" s="1804">
        <v>0</v>
      </c>
      <c r="DD152" s="1804">
        <v>0</v>
      </c>
      <c r="DE152" s="1804">
        <v>0</v>
      </c>
      <c r="DF152" s="1804">
        <v>0</v>
      </c>
      <c r="DG152" s="1804">
        <v>0</v>
      </c>
      <c r="DH152" s="1804">
        <v>0</v>
      </c>
      <c r="DI152" s="1804">
        <v>0</v>
      </c>
      <c r="DJ152" s="1804">
        <v>0</v>
      </c>
      <c r="DK152" s="1804">
        <v>0</v>
      </c>
      <c r="DL152" s="1804">
        <v>0</v>
      </c>
      <c r="DM152" s="1804">
        <v>0</v>
      </c>
      <c r="DN152" s="1804">
        <v>0</v>
      </c>
      <c r="DO152" s="1804">
        <v>0</v>
      </c>
      <c r="DP152" s="1804">
        <v>0</v>
      </c>
      <c r="DQ152" s="1804">
        <v>0</v>
      </c>
      <c r="DR152" s="1804">
        <v>0</v>
      </c>
      <c r="DS152" s="1804">
        <v>0</v>
      </c>
      <c r="DT152" s="1804">
        <v>0</v>
      </c>
      <c r="DU152" s="1804">
        <v>0</v>
      </c>
      <c r="DV152" s="1804">
        <v>0</v>
      </c>
      <c r="DW152" s="1804">
        <v>0</v>
      </c>
      <c r="DX152" s="1804">
        <v>0</v>
      </c>
      <c r="DY152" s="1804">
        <v>0</v>
      </c>
      <c r="DZ152" s="1804">
        <v>0</v>
      </c>
      <c r="EA152" s="1804">
        <v>0</v>
      </c>
      <c r="EB152" s="1804">
        <v>0</v>
      </c>
      <c r="EC152" s="1804">
        <v>0</v>
      </c>
      <c r="ED152" s="1804">
        <v>0</v>
      </c>
      <c r="EE152" s="1804">
        <v>0</v>
      </c>
      <c r="EF152" s="1804">
        <v>0</v>
      </c>
      <c r="EG152" s="1804">
        <v>0</v>
      </c>
      <c r="EH152" s="1804">
        <v>0</v>
      </c>
      <c r="EI152" s="1804">
        <v>0</v>
      </c>
      <c r="EJ152" s="1804">
        <v>0</v>
      </c>
      <c r="EK152" s="1804">
        <v>0</v>
      </c>
      <c r="EL152" s="1804">
        <v>0</v>
      </c>
      <c r="EM152" s="1804">
        <v>0</v>
      </c>
      <c r="EN152" s="1804">
        <v>0</v>
      </c>
      <c r="EO152" s="1804">
        <v>0</v>
      </c>
      <c r="EP152" s="1804">
        <v>0</v>
      </c>
      <c r="EQ152" s="1804">
        <v>0</v>
      </c>
      <c r="ER152" s="1804">
        <v>0</v>
      </c>
      <c r="ES152" s="1804">
        <v>0</v>
      </c>
      <c r="ET152" s="1804">
        <v>0</v>
      </c>
      <c r="EU152" s="1804">
        <v>0</v>
      </c>
      <c r="EV152" s="1804">
        <v>0</v>
      </c>
      <c r="EW152" s="1804">
        <v>0</v>
      </c>
      <c r="EX152" s="1804">
        <v>0</v>
      </c>
      <c r="EY152" s="1804">
        <v>0</v>
      </c>
      <c r="EZ152" s="1804">
        <v>0</v>
      </c>
      <c r="FA152" s="1804">
        <v>0</v>
      </c>
      <c r="FB152" s="1804">
        <v>0</v>
      </c>
      <c r="FC152" s="1804">
        <v>0</v>
      </c>
      <c r="FD152" s="1804">
        <v>0</v>
      </c>
      <c r="FE152" s="1804">
        <v>0</v>
      </c>
      <c r="FF152" s="1804">
        <v>0</v>
      </c>
      <c r="FG152" s="1804">
        <v>0</v>
      </c>
      <c r="FH152" s="1804">
        <v>0</v>
      </c>
      <c r="FI152" s="1804">
        <v>0</v>
      </c>
      <c r="FJ152" s="1804">
        <v>0</v>
      </c>
      <c r="FK152" s="1804">
        <v>0</v>
      </c>
      <c r="FL152" s="1804">
        <v>0</v>
      </c>
      <c r="FM152" s="1804">
        <v>0</v>
      </c>
      <c r="FN152" s="1804">
        <v>0</v>
      </c>
      <c r="FO152" s="1804">
        <v>0</v>
      </c>
      <c r="FP152" s="1804">
        <v>0</v>
      </c>
      <c r="FQ152" s="1804">
        <v>0</v>
      </c>
      <c r="FR152" s="1804">
        <v>0</v>
      </c>
      <c r="FS152" s="1804">
        <v>0</v>
      </c>
      <c r="FT152" s="1804">
        <v>0</v>
      </c>
      <c r="FU152" s="1804">
        <v>0</v>
      </c>
      <c r="FV152" s="1804">
        <v>0</v>
      </c>
      <c r="FW152" s="1804">
        <v>0</v>
      </c>
      <c r="FX152" s="1804">
        <v>0</v>
      </c>
      <c r="FY152" s="1804">
        <v>0</v>
      </c>
      <c r="FZ152" s="1804">
        <v>0</v>
      </c>
      <c r="GA152" s="1804">
        <v>0</v>
      </c>
      <c r="GB152" s="1804">
        <v>0</v>
      </c>
      <c r="GC152" s="1804">
        <v>0</v>
      </c>
      <c r="GD152" s="1804">
        <v>0</v>
      </c>
      <c r="GE152" s="1804">
        <v>0</v>
      </c>
      <c r="GF152" s="1804">
        <v>0</v>
      </c>
      <c r="GG152" s="1804">
        <v>0</v>
      </c>
      <c r="GH152" s="1804">
        <v>0</v>
      </c>
      <c r="GI152" s="1804">
        <v>0</v>
      </c>
      <c r="GJ152" s="1804">
        <v>0</v>
      </c>
      <c r="GK152" s="1804">
        <v>0</v>
      </c>
      <c r="GL152" s="1804">
        <v>0</v>
      </c>
      <c r="GM152" s="1804">
        <v>0</v>
      </c>
      <c r="GN152" s="1804">
        <v>0</v>
      </c>
      <c r="GO152" s="1804">
        <v>0</v>
      </c>
      <c r="GP152" s="1804">
        <v>0</v>
      </c>
      <c r="GQ152" s="1804">
        <v>0</v>
      </c>
      <c r="GR152" s="1804">
        <v>0</v>
      </c>
      <c r="GS152" s="1804">
        <v>0</v>
      </c>
      <c r="GT152" s="1804">
        <v>0</v>
      </c>
      <c r="GU152" s="1804">
        <v>0</v>
      </c>
      <c r="GV152" s="1804">
        <v>0</v>
      </c>
      <c r="GW152" s="1804">
        <v>0</v>
      </c>
      <c r="GX152" s="1804">
        <v>0</v>
      </c>
      <c r="GY152" s="1804">
        <v>0</v>
      </c>
      <c r="GZ152" s="1804">
        <v>0</v>
      </c>
      <c r="HA152" s="1804">
        <v>0</v>
      </c>
      <c r="HB152" s="1804">
        <v>0</v>
      </c>
      <c r="HC152" s="1804">
        <v>0</v>
      </c>
      <c r="HD152" s="1804">
        <v>0</v>
      </c>
      <c r="HE152" s="1804">
        <v>0</v>
      </c>
    </row>
    <row r="153" spans="1:213" ht="15" customHeight="1" x14ac:dyDescent="0.2">
      <c r="A153" s="1964"/>
      <c r="B153" s="1999"/>
      <c r="C153" s="1696" t="s">
        <v>810</v>
      </c>
      <c r="D153" s="1883"/>
      <c r="E153" s="1984"/>
      <c r="F153" s="1838">
        <v>0</v>
      </c>
      <c r="G153" s="1804">
        <v>0</v>
      </c>
      <c r="H153" s="1804">
        <v>0</v>
      </c>
      <c r="I153" s="1804">
        <v>0</v>
      </c>
      <c r="J153" s="1804">
        <v>0</v>
      </c>
      <c r="K153" s="1804">
        <v>0</v>
      </c>
      <c r="L153" s="1804">
        <v>0</v>
      </c>
      <c r="M153" s="1804">
        <v>0</v>
      </c>
      <c r="N153" s="1804">
        <v>0</v>
      </c>
      <c r="O153" s="1804">
        <v>0</v>
      </c>
      <c r="P153" s="1804">
        <v>0</v>
      </c>
      <c r="Q153" s="1804">
        <v>0</v>
      </c>
      <c r="R153" s="1804">
        <v>0</v>
      </c>
      <c r="S153" s="1804">
        <v>0</v>
      </c>
      <c r="T153" s="1804">
        <v>0</v>
      </c>
      <c r="U153" s="1804">
        <v>0</v>
      </c>
      <c r="V153" s="1804">
        <v>0</v>
      </c>
      <c r="W153" s="1804">
        <v>0</v>
      </c>
      <c r="X153" s="1804">
        <v>0</v>
      </c>
      <c r="Y153" s="1804">
        <v>0</v>
      </c>
      <c r="Z153" s="1804">
        <v>0</v>
      </c>
      <c r="AA153" s="1804">
        <v>0</v>
      </c>
      <c r="AB153" s="1804">
        <v>0</v>
      </c>
      <c r="AC153" s="1804">
        <v>0</v>
      </c>
      <c r="AD153" s="1804">
        <v>0</v>
      </c>
      <c r="AE153" s="1804">
        <v>0</v>
      </c>
      <c r="AF153" s="1804">
        <v>0</v>
      </c>
      <c r="AG153" s="1804">
        <v>0</v>
      </c>
      <c r="AH153" s="1804">
        <v>0</v>
      </c>
      <c r="AI153" s="1804">
        <v>0</v>
      </c>
      <c r="AJ153" s="1804">
        <v>0</v>
      </c>
      <c r="AK153" s="1804">
        <v>0</v>
      </c>
      <c r="AL153" s="1804">
        <v>0</v>
      </c>
      <c r="AM153" s="1804">
        <v>0</v>
      </c>
      <c r="AN153" s="1804">
        <v>0</v>
      </c>
      <c r="AO153" s="1804">
        <v>0</v>
      </c>
      <c r="AP153" s="1804">
        <v>0</v>
      </c>
      <c r="AQ153" s="1804">
        <v>0</v>
      </c>
      <c r="AR153" s="1804">
        <v>0</v>
      </c>
      <c r="AS153" s="1804">
        <v>0</v>
      </c>
      <c r="AT153" s="1804">
        <v>0</v>
      </c>
      <c r="AU153" s="1804">
        <v>0</v>
      </c>
      <c r="AV153" s="1804">
        <v>0</v>
      </c>
      <c r="AW153" s="1804">
        <v>0</v>
      </c>
      <c r="AX153" s="1804">
        <v>0</v>
      </c>
      <c r="AY153" s="1804">
        <v>0</v>
      </c>
      <c r="AZ153" s="1804">
        <v>0</v>
      </c>
      <c r="BA153" s="1804">
        <v>0</v>
      </c>
      <c r="BB153" s="1804">
        <v>0</v>
      </c>
      <c r="BC153" s="1804">
        <v>0</v>
      </c>
      <c r="BD153" s="1804">
        <v>0</v>
      </c>
      <c r="BE153" s="1804">
        <v>0</v>
      </c>
      <c r="BF153" s="1804">
        <v>0</v>
      </c>
      <c r="BG153" s="1804">
        <v>0</v>
      </c>
      <c r="BH153" s="1804">
        <v>0</v>
      </c>
      <c r="BI153" s="1804">
        <v>0</v>
      </c>
      <c r="BJ153" s="1804">
        <v>0</v>
      </c>
      <c r="BK153" s="1804">
        <v>0</v>
      </c>
      <c r="BL153" s="1804">
        <v>0</v>
      </c>
      <c r="BM153" s="1804">
        <v>0</v>
      </c>
      <c r="BN153" s="1804">
        <v>0</v>
      </c>
      <c r="BO153" s="1804">
        <v>0</v>
      </c>
      <c r="BP153" s="1804">
        <v>0</v>
      </c>
      <c r="BQ153" s="1804">
        <v>0</v>
      </c>
      <c r="BR153" s="1804">
        <v>0</v>
      </c>
      <c r="BS153" s="1804">
        <v>0</v>
      </c>
      <c r="BT153" s="1804">
        <v>0</v>
      </c>
      <c r="BU153" s="1804">
        <v>0</v>
      </c>
      <c r="BV153" s="1804">
        <v>0</v>
      </c>
      <c r="BW153" s="1804">
        <v>0</v>
      </c>
      <c r="BX153" s="1804">
        <v>0</v>
      </c>
      <c r="BY153" s="1804">
        <v>0</v>
      </c>
      <c r="BZ153" s="1804">
        <v>0</v>
      </c>
      <c r="CA153" s="1804">
        <v>0</v>
      </c>
      <c r="CB153" s="1804">
        <v>0</v>
      </c>
      <c r="CC153" s="1804">
        <v>0</v>
      </c>
      <c r="CD153" s="1804">
        <v>0</v>
      </c>
      <c r="CE153" s="1804">
        <v>0</v>
      </c>
      <c r="CF153" s="1804">
        <v>0</v>
      </c>
      <c r="CG153" s="1804">
        <v>0</v>
      </c>
      <c r="CH153" s="1804">
        <v>0</v>
      </c>
      <c r="CI153" s="1804">
        <v>0</v>
      </c>
      <c r="CJ153" s="1804">
        <v>0</v>
      </c>
      <c r="CK153" s="1804">
        <v>0</v>
      </c>
      <c r="CL153" s="1804">
        <v>0</v>
      </c>
      <c r="CM153" s="1804">
        <v>0</v>
      </c>
      <c r="CN153" s="1804">
        <v>0</v>
      </c>
      <c r="CO153" s="1804">
        <v>0</v>
      </c>
      <c r="CP153" s="1804">
        <v>0</v>
      </c>
      <c r="CQ153" s="1804">
        <v>0</v>
      </c>
      <c r="CR153" s="1804">
        <v>0</v>
      </c>
      <c r="CS153" s="1804">
        <v>0</v>
      </c>
      <c r="CT153" s="1804">
        <v>0</v>
      </c>
      <c r="CU153" s="1804">
        <v>0</v>
      </c>
      <c r="CV153" s="1804">
        <v>0</v>
      </c>
      <c r="CW153" s="1804">
        <v>0</v>
      </c>
      <c r="CX153" s="1804">
        <v>0</v>
      </c>
      <c r="CY153" s="1804">
        <v>0</v>
      </c>
      <c r="CZ153" s="1804">
        <v>0</v>
      </c>
      <c r="DA153" s="1804">
        <v>0</v>
      </c>
      <c r="DB153" s="1804">
        <v>0</v>
      </c>
      <c r="DC153" s="1804">
        <v>0</v>
      </c>
      <c r="DD153" s="1804">
        <v>0</v>
      </c>
      <c r="DE153" s="1804">
        <v>0</v>
      </c>
      <c r="DF153" s="1804">
        <v>0</v>
      </c>
      <c r="DG153" s="1804">
        <v>0</v>
      </c>
      <c r="DH153" s="1804">
        <v>0</v>
      </c>
      <c r="DI153" s="1804">
        <v>0</v>
      </c>
      <c r="DJ153" s="1804">
        <v>0</v>
      </c>
      <c r="DK153" s="1804">
        <v>0</v>
      </c>
      <c r="DL153" s="1804">
        <v>0</v>
      </c>
      <c r="DM153" s="1804">
        <v>0</v>
      </c>
      <c r="DN153" s="1804">
        <v>0</v>
      </c>
      <c r="DO153" s="1804">
        <v>0</v>
      </c>
      <c r="DP153" s="1804">
        <v>0</v>
      </c>
      <c r="DQ153" s="1804">
        <v>0</v>
      </c>
      <c r="DR153" s="1804">
        <v>0</v>
      </c>
      <c r="DS153" s="1804">
        <v>0</v>
      </c>
      <c r="DT153" s="1804">
        <v>0</v>
      </c>
      <c r="DU153" s="1804">
        <v>0</v>
      </c>
      <c r="DV153" s="1804">
        <v>0</v>
      </c>
      <c r="DW153" s="1804">
        <v>0</v>
      </c>
      <c r="DX153" s="1804">
        <v>0</v>
      </c>
      <c r="DY153" s="1804">
        <v>0</v>
      </c>
      <c r="DZ153" s="1804">
        <v>0</v>
      </c>
      <c r="EA153" s="1804">
        <v>0</v>
      </c>
      <c r="EB153" s="1804">
        <v>0</v>
      </c>
      <c r="EC153" s="1804">
        <v>0</v>
      </c>
      <c r="ED153" s="1804">
        <v>0</v>
      </c>
      <c r="EE153" s="1804">
        <v>0</v>
      </c>
      <c r="EF153" s="1804">
        <v>0</v>
      </c>
      <c r="EG153" s="1804">
        <v>0</v>
      </c>
      <c r="EH153" s="1804">
        <v>0</v>
      </c>
      <c r="EI153" s="1804">
        <v>0</v>
      </c>
      <c r="EJ153" s="1804">
        <v>0</v>
      </c>
      <c r="EK153" s="1804">
        <v>0</v>
      </c>
      <c r="EL153" s="1804">
        <v>0</v>
      </c>
      <c r="EM153" s="1804">
        <v>0</v>
      </c>
      <c r="EN153" s="1804">
        <v>0</v>
      </c>
      <c r="EO153" s="1804">
        <v>0</v>
      </c>
      <c r="EP153" s="1804">
        <v>0</v>
      </c>
      <c r="EQ153" s="1804">
        <v>0</v>
      </c>
      <c r="ER153" s="1804">
        <v>0</v>
      </c>
      <c r="ES153" s="1804">
        <v>0</v>
      </c>
      <c r="ET153" s="1804">
        <v>0</v>
      </c>
      <c r="EU153" s="1804">
        <v>0</v>
      </c>
      <c r="EV153" s="1804">
        <v>0</v>
      </c>
      <c r="EW153" s="1804">
        <v>0</v>
      </c>
      <c r="EX153" s="1804">
        <v>0</v>
      </c>
      <c r="EY153" s="1804">
        <v>0</v>
      </c>
      <c r="EZ153" s="1804">
        <v>0</v>
      </c>
      <c r="FA153" s="1804">
        <v>0</v>
      </c>
      <c r="FB153" s="1804">
        <v>0</v>
      </c>
      <c r="FC153" s="1804">
        <v>0</v>
      </c>
      <c r="FD153" s="1804">
        <v>0</v>
      </c>
      <c r="FE153" s="1804">
        <v>0</v>
      </c>
      <c r="FF153" s="1804">
        <v>0</v>
      </c>
      <c r="FG153" s="1804">
        <v>0</v>
      </c>
      <c r="FH153" s="1804">
        <v>0</v>
      </c>
      <c r="FI153" s="1804">
        <v>0</v>
      </c>
      <c r="FJ153" s="1804">
        <v>0</v>
      </c>
      <c r="FK153" s="1804">
        <v>0</v>
      </c>
      <c r="FL153" s="1804">
        <v>0</v>
      </c>
      <c r="FM153" s="1804">
        <v>0</v>
      </c>
      <c r="FN153" s="1804">
        <v>0</v>
      </c>
      <c r="FO153" s="1804">
        <v>0</v>
      </c>
      <c r="FP153" s="1804">
        <v>0</v>
      </c>
      <c r="FQ153" s="1804">
        <v>0</v>
      </c>
      <c r="FR153" s="1804">
        <v>0</v>
      </c>
      <c r="FS153" s="1804">
        <v>0</v>
      </c>
      <c r="FT153" s="1804">
        <v>0</v>
      </c>
      <c r="FU153" s="1804">
        <v>0</v>
      </c>
      <c r="FV153" s="1804">
        <v>0</v>
      </c>
      <c r="FW153" s="1804">
        <v>0</v>
      </c>
      <c r="FX153" s="1804">
        <v>0</v>
      </c>
      <c r="FY153" s="1804">
        <v>0</v>
      </c>
      <c r="FZ153" s="1804">
        <v>0</v>
      </c>
      <c r="GA153" s="1804">
        <v>0</v>
      </c>
      <c r="GB153" s="1804">
        <v>0</v>
      </c>
      <c r="GC153" s="1804">
        <v>0</v>
      </c>
      <c r="GD153" s="1804">
        <v>0</v>
      </c>
      <c r="GE153" s="1804">
        <v>0</v>
      </c>
      <c r="GF153" s="1804">
        <v>0</v>
      </c>
      <c r="GG153" s="1804">
        <v>0</v>
      </c>
      <c r="GH153" s="1804">
        <v>0</v>
      </c>
      <c r="GI153" s="1804">
        <v>0</v>
      </c>
      <c r="GJ153" s="1804">
        <v>0</v>
      </c>
      <c r="GK153" s="1804">
        <v>0</v>
      </c>
      <c r="GL153" s="1804">
        <v>0</v>
      </c>
      <c r="GM153" s="1804">
        <v>0</v>
      </c>
      <c r="GN153" s="1804">
        <v>0</v>
      </c>
      <c r="GO153" s="1804">
        <v>0</v>
      </c>
      <c r="GP153" s="1804">
        <v>0</v>
      </c>
      <c r="GQ153" s="1804">
        <v>0</v>
      </c>
      <c r="GR153" s="1804">
        <v>0</v>
      </c>
      <c r="GS153" s="1804">
        <v>0</v>
      </c>
      <c r="GT153" s="1804">
        <v>0</v>
      </c>
      <c r="GU153" s="1804">
        <v>0</v>
      </c>
      <c r="GV153" s="1804">
        <v>0</v>
      </c>
      <c r="GW153" s="1804">
        <v>0</v>
      </c>
      <c r="GX153" s="1804">
        <v>0</v>
      </c>
      <c r="GY153" s="1804">
        <v>0</v>
      </c>
      <c r="GZ153" s="1804">
        <v>0</v>
      </c>
      <c r="HA153" s="1804">
        <v>0</v>
      </c>
      <c r="HB153" s="1804">
        <v>0</v>
      </c>
      <c r="HC153" s="1804">
        <v>0</v>
      </c>
      <c r="HD153" s="1804">
        <v>0</v>
      </c>
      <c r="HE153" s="1804">
        <v>0</v>
      </c>
    </row>
    <row r="154" spans="1:213" ht="15" customHeight="1" x14ac:dyDescent="0.2">
      <c r="A154" s="1964"/>
      <c r="B154" s="1999"/>
      <c r="C154" s="1818" t="s">
        <v>862</v>
      </c>
      <c r="D154" s="1883"/>
      <c r="E154" s="1984"/>
      <c r="F154" s="1838">
        <v>0</v>
      </c>
      <c r="G154" s="1804">
        <v>0</v>
      </c>
      <c r="H154" s="1804">
        <v>0</v>
      </c>
      <c r="I154" s="1804">
        <v>0</v>
      </c>
      <c r="J154" s="1804">
        <v>0</v>
      </c>
      <c r="K154" s="1804">
        <v>0</v>
      </c>
      <c r="L154" s="1804">
        <v>0</v>
      </c>
      <c r="M154" s="1804">
        <v>0</v>
      </c>
      <c r="N154" s="1804">
        <v>0</v>
      </c>
      <c r="O154" s="1804">
        <v>0</v>
      </c>
      <c r="P154" s="1804">
        <v>0</v>
      </c>
      <c r="Q154" s="1804">
        <v>0</v>
      </c>
      <c r="R154" s="1804">
        <v>0</v>
      </c>
      <c r="S154" s="1804">
        <v>0</v>
      </c>
      <c r="T154" s="1804">
        <v>0</v>
      </c>
      <c r="U154" s="1804">
        <v>0</v>
      </c>
      <c r="V154" s="1804">
        <v>0</v>
      </c>
      <c r="W154" s="1804">
        <v>0</v>
      </c>
      <c r="X154" s="1804">
        <v>0</v>
      </c>
      <c r="Y154" s="1804">
        <v>0</v>
      </c>
      <c r="Z154" s="1804">
        <v>0</v>
      </c>
      <c r="AA154" s="1804">
        <v>0</v>
      </c>
      <c r="AB154" s="1804">
        <v>0</v>
      </c>
      <c r="AC154" s="1804">
        <v>0</v>
      </c>
      <c r="AD154" s="1804">
        <v>0</v>
      </c>
      <c r="AE154" s="1804">
        <v>0</v>
      </c>
      <c r="AF154" s="1804">
        <v>0</v>
      </c>
      <c r="AG154" s="1804">
        <v>0</v>
      </c>
      <c r="AH154" s="1804">
        <v>0</v>
      </c>
      <c r="AI154" s="1804">
        <v>0</v>
      </c>
      <c r="AJ154" s="1804">
        <v>0</v>
      </c>
      <c r="AK154" s="1804">
        <v>0</v>
      </c>
      <c r="AL154" s="1804">
        <v>0</v>
      </c>
      <c r="AM154" s="1804">
        <v>0</v>
      </c>
      <c r="AN154" s="1804">
        <v>0</v>
      </c>
      <c r="AO154" s="1804">
        <v>0</v>
      </c>
      <c r="AP154" s="1804">
        <v>0</v>
      </c>
      <c r="AQ154" s="1804">
        <v>0</v>
      </c>
      <c r="AR154" s="1804">
        <v>0</v>
      </c>
      <c r="AS154" s="1804">
        <v>0</v>
      </c>
      <c r="AT154" s="1804">
        <v>0</v>
      </c>
      <c r="AU154" s="1804">
        <v>0</v>
      </c>
      <c r="AV154" s="1804">
        <v>0</v>
      </c>
      <c r="AW154" s="1804">
        <v>0</v>
      </c>
      <c r="AX154" s="1804">
        <v>0</v>
      </c>
      <c r="AY154" s="1804">
        <v>0</v>
      </c>
      <c r="AZ154" s="1804">
        <v>0</v>
      </c>
      <c r="BA154" s="1804">
        <v>0</v>
      </c>
      <c r="BB154" s="1804">
        <v>0</v>
      </c>
      <c r="BC154" s="1804">
        <v>0</v>
      </c>
      <c r="BD154" s="1804">
        <v>0</v>
      </c>
      <c r="BE154" s="1804">
        <v>0</v>
      </c>
      <c r="BF154" s="1804">
        <v>0</v>
      </c>
      <c r="BG154" s="1804">
        <v>0</v>
      </c>
      <c r="BH154" s="1804">
        <v>0</v>
      </c>
      <c r="BI154" s="1804">
        <v>0</v>
      </c>
      <c r="BJ154" s="1804">
        <v>0</v>
      </c>
      <c r="BK154" s="1804">
        <v>0</v>
      </c>
      <c r="BL154" s="1804">
        <v>0</v>
      </c>
      <c r="BM154" s="1804">
        <v>0</v>
      </c>
      <c r="BN154" s="1804">
        <v>0</v>
      </c>
      <c r="BO154" s="1804">
        <v>0</v>
      </c>
      <c r="BP154" s="1804">
        <v>0</v>
      </c>
      <c r="BQ154" s="1804">
        <v>0</v>
      </c>
      <c r="BR154" s="1804">
        <v>0</v>
      </c>
      <c r="BS154" s="1804">
        <v>0</v>
      </c>
      <c r="BT154" s="1804">
        <v>0</v>
      </c>
      <c r="BU154" s="1804">
        <v>0</v>
      </c>
      <c r="BV154" s="1804">
        <v>0</v>
      </c>
      <c r="BW154" s="1804">
        <v>0</v>
      </c>
      <c r="BX154" s="1804">
        <v>0</v>
      </c>
      <c r="BY154" s="1804">
        <v>0</v>
      </c>
      <c r="BZ154" s="1804">
        <v>0</v>
      </c>
      <c r="CA154" s="1804">
        <v>0</v>
      </c>
      <c r="CB154" s="1804">
        <v>0</v>
      </c>
      <c r="CC154" s="1804">
        <v>0</v>
      </c>
      <c r="CD154" s="1804">
        <v>0</v>
      </c>
      <c r="CE154" s="1804">
        <v>0</v>
      </c>
      <c r="CF154" s="1804">
        <v>0</v>
      </c>
      <c r="CG154" s="1804">
        <v>0</v>
      </c>
      <c r="CH154" s="1804">
        <v>0</v>
      </c>
      <c r="CI154" s="1804">
        <v>0</v>
      </c>
      <c r="CJ154" s="1804">
        <v>0</v>
      </c>
      <c r="CK154" s="1804">
        <v>0</v>
      </c>
      <c r="CL154" s="1804">
        <v>0</v>
      </c>
      <c r="CM154" s="1804">
        <v>0</v>
      </c>
      <c r="CN154" s="1804">
        <v>0</v>
      </c>
      <c r="CO154" s="1804">
        <v>0</v>
      </c>
      <c r="CP154" s="1804">
        <v>0</v>
      </c>
      <c r="CQ154" s="1804">
        <v>0</v>
      </c>
      <c r="CR154" s="1804">
        <v>0</v>
      </c>
      <c r="CS154" s="1804">
        <v>0</v>
      </c>
      <c r="CT154" s="1804">
        <v>0</v>
      </c>
      <c r="CU154" s="1804">
        <v>0</v>
      </c>
      <c r="CV154" s="1804">
        <v>0</v>
      </c>
      <c r="CW154" s="1804">
        <v>0</v>
      </c>
      <c r="CX154" s="1804">
        <v>0</v>
      </c>
      <c r="CY154" s="1804">
        <v>0</v>
      </c>
      <c r="CZ154" s="1804">
        <v>0</v>
      </c>
      <c r="DA154" s="1804">
        <v>0</v>
      </c>
      <c r="DB154" s="1804">
        <v>0</v>
      </c>
      <c r="DC154" s="1804">
        <v>0</v>
      </c>
      <c r="DD154" s="1804">
        <v>0</v>
      </c>
      <c r="DE154" s="1804">
        <v>0</v>
      </c>
      <c r="DF154" s="1804">
        <v>0</v>
      </c>
      <c r="DG154" s="1804">
        <v>0</v>
      </c>
      <c r="DH154" s="1804">
        <v>0</v>
      </c>
      <c r="DI154" s="1804">
        <v>0</v>
      </c>
      <c r="DJ154" s="1804">
        <v>0</v>
      </c>
      <c r="DK154" s="1804">
        <v>0</v>
      </c>
      <c r="DL154" s="1804">
        <v>0</v>
      </c>
      <c r="DM154" s="1804">
        <v>0</v>
      </c>
      <c r="DN154" s="1804">
        <v>0</v>
      </c>
      <c r="DO154" s="1804">
        <v>0</v>
      </c>
      <c r="DP154" s="1804">
        <v>0</v>
      </c>
      <c r="DQ154" s="1804">
        <v>0</v>
      </c>
      <c r="DR154" s="1804">
        <v>0</v>
      </c>
      <c r="DS154" s="1804">
        <v>0</v>
      </c>
      <c r="DT154" s="1804">
        <v>0</v>
      </c>
      <c r="DU154" s="1804">
        <v>0</v>
      </c>
      <c r="DV154" s="1804">
        <v>0</v>
      </c>
      <c r="DW154" s="1804">
        <v>0</v>
      </c>
      <c r="DX154" s="1804">
        <v>0</v>
      </c>
      <c r="DY154" s="1804">
        <v>0</v>
      </c>
      <c r="DZ154" s="1804">
        <v>0</v>
      </c>
      <c r="EA154" s="1804">
        <v>0</v>
      </c>
      <c r="EB154" s="1804">
        <v>0</v>
      </c>
      <c r="EC154" s="1804">
        <v>0</v>
      </c>
      <c r="ED154" s="1804">
        <v>0</v>
      </c>
      <c r="EE154" s="1804">
        <v>0</v>
      </c>
      <c r="EF154" s="1804">
        <v>0</v>
      </c>
      <c r="EG154" s="1804">
        <v>0</v>
      </c>
      <c r="EH154" s="1804">
        <v>0</v>
      </c>
      <c r="EI154" s="1804">
        <v>0</v>
      </c>
      <c r="EJ154" s="1804">
        <v>0</v>
      </c>
      <c r="EK154" s="1804">
        <v>0</v>
      </c>
      <c r="EL154" s="1804">
        <v>0</v>
      </c>
      <c r="EM154" s="1804">
        <v>0</v>
      </c>
      <c r="EN154" s="1804">
        <v>0</v>
      </c>
      <c r="EO154" s="1804">
        <v>0</v>
      </c>
      <c r="EP154" s="1804">
        <v>0</v>
      </c>
      <c r="EQ154" s="1804">
        <v>0</v>
      </c>
      <c r="ER154" s="1804">
        <v>0</v>
      </c>
      <c r="ES154" s="1804">
        <v>0</v>
      </c>
      <c r="ET154" s="1804">
        <v>0</v>
      </c>
      <c r="EU154" s="1804">
        <v>0</v>
      </c>
      <c r="EV154" s="1804">
        <v>0</v>
      </c>
      <c r="EW154" s="1804">
        <v>0</v>
      </c>
      <c r="EX154" s="1804">
        <v>0</v>
      </c>
      <c r="EY154" s="1804">
        <v>0</v>
      </c>
      <c r="EZ154" s="1804">
        <v>0</v>
      </c>
      <c r="FA154" s="1804">
        <v>0</v>
      </c>
      <c r="FB154" s="1804">
        <v>0</v>
      </c>
      <c r="FC154" s="1804">
        <v>0</v>
      </c>
      <c r="FD154" s="1804">
        <v>0</v>
      </c>
      <c r="FE154" s="1804">
        <v>0</v>
      </c>
      <c r="FF154" s="1804">
        <v>0</v>
      </c>
      <c r="FG154" s="1804">
        <v>0</v>
      </c>
      <c r="FH154" s="1804">
        <v>0</v>
      </c>
      <c r="FI154" s="1804">
        <v>0</v>
      </c>
      <c r="FJ154" s="1804">
        <v>0</v>
      </c>
      <c r="FK154" s="1804">
        <v>0</v>
      </c>
      <c r="FL154" s="1804">
        <v>0</v>
      </c>
      <c r="FM154" s="1804">
        <v>0</v>
      </c>
      <c r="FN154" s="1804">
        <v>0</v>
      </c>
      <c r="FO154" s="1804">
        <v>0</v>
      </c>
      <c r="FP154" s="1804">
        <v>0</v>
      </c>
      <c r="FQ154" s="1804">
        <v>0</v>
      </c>
      <c r="FR154" s="1804">
        <v>0</v>
      </c>
      <c r="FS154" s="1804">
        <v>0</v>
      </c>
      <c r="FT154" s="1804">
        <v>0</v>
      </c>
      <c r="FU154" s="1804">
        <v>0</v>
      </c>
      <c r="FV154" s="1804">
        <v>0</v>
      </c>
      <c r="FW154" s="1804">
        <v>0</v>
      </c>
      <c r="FX154" s="1804">
        <v>0</v>
      </c>
      <c r="FY154" s="1804">
        <v>0</v>
      </c>
      <c r="FZ154" s="1804">
        <v>0</v>
      </c>
      <c r="GA154" s="1804">
        <v>0</v>
      </c>
      <c r="GB154" s="1804">
        <v>0</v>
      </c>
      <c r="GC154" s="1804">
        <v>0</v>
      </c>
      <c r="GD154" s="1804">
        <v>0</v>
      </c>
      <c r="GE154" s="1804">
        <v>0</v>
      </c>
      <c r="GF154" s="1804">
        <v>0</v>
      </c>
      <c r="GG154" s="1804">
        <v>0</v>
      </c>
      <c r="GH154" s="1804">
        <v>0</v>
      </c>
      <c r="GI154" s="1804">
        <v>0</v>
      </c>
      <c r="GJ154" s="1804">
        <v>0</v>
      </c>
      <c r="GK154" s="1804">
        <v>0</v>
      </c>
      <c r="GL154" s="1804">
        <v>0</v>
      </c>
      <c r="GM154" s="1804">
        <v>0</v>
      </c>
      <c r="GN154" s="1804">
        <v>0</v>
      </c>
      <c r="GO154" s="1804">
        <v>0</v>
      </c>
      <c r="GP154" s="1804">
        <v>0</v>
      </c>
      <c r="GQ154" s="1804">
        <v>0</v>
      </c>
      <c r="GR154" s="1804">
        <v>0</v>
      </c>
      <c r="GS154" s="1804">
        <v>0</v>
      </c>
      <c r="GT154" s="1804">
        <v>0</v>
      </c>
      <c r="GU154" s="1804">
        <v>0</v>
      </c>
      <c r="GV154" s="1804">
        <v>0</v>
      </c>
      <c r="GW154" s="1804">
        <v>0</v>
      </c>
      <c r="GX154" s="1804">
        <v>0</v>
      </c>
      <c r="GY154" s="1804">
        <v>0</v>
      </c>
      <c r="GZ154" s="1804">
        <v>0</v>
      </c>
      <c r="HA154" s="1804">
        <v>0</v>
      </c>
      <c r="HB154" s="1804">
        <v>0</v>
      </c>
      <c r="HC154" s="1804">
        <v>0</v>
      </c>
      <c r="HD154" s="1804">
        <v>0</v>
      </c>
      <c r="HE154" s="1804">
        <v>0</v>
      </c>
    </row>
    <row r="155" spans="1:213" ht="15" customHeight="1" x14ac:dyDescent="0.2">
      <c r="A155" s="1964"/>
      <c r="B155" s="1999"/>
      <c r="C155" s="1818" t="s">
        <v>811</v>
      </c>
      <c r="D155" s="1883"/>
      <c r="E155" s="1984"/>
      <c r="F155" s="1838">
        <v>0</v>
      </c>
      <c r="G155" s="1804">
        <v>0</v>
      </c>
      <c r="H155" s="1804">
        <v>0</v>
      </c>
      <c r="I155" s="1804">
        <v>0</v>
      </c>
      <c r="J155" s="1804">
        <v>0</v>
      </c>
      <c r="K155" s="1804">
        <v>0</v>
      </c>
      <c r="L155" s="1804">
        <v>0</v>
      </c>
      <c r="M155" s="1804">
        <v>0</v>
      </c>
      <c r="N155" s="1804">
        <v>0</v>
      </c>
      <c r="O155" s="1804">
        <v>0</v>
      </c>
      <c r="P155" s="1804">
        <v>0</v>
      </c>
      <c r="Q155" s="1804">
        <v>0</v>
      </c>
      <c r="R155" s="1804">
        <v>0</v>
      </c>
      <c r="S155" s="1804">
        <v>0</v>
      </c>
      <c r="T155" s="1804">
        <v>0</v>
      </c>
      <c r="U155" s="1804">
        <v>0</v>
      </c>
      <c r="V155" s="1804">
        <v>0</v>
      </c>
      <c r="W155" s="1804">
        <v>0</v>
      </c>
      <c r="X155" s="1804">
        <v>0</v>
      </c>
      <c r="Y155" s="1804">
        <v>0</v>
      </c>
      <c r="Z155" s="1804">
        <v>0</v>
      </c>
      <c r="AA155" s="1804">
        <v>0</v>
      </c>
      <c r="AB155" s="1804">
        <v>0</v>
      </c>
      <c r="AC155" s="1804">
        <v>0</v>
      </c>
      <c r="AD155" s="1804">
        <v>0</v>
      </c>
      <c r="AE155" s="1804">
        <v>0</v>
      </c>
      <c r="AF155" s="1804">
        <v>0</v>
      </c>
      <c r="AG155" s="1804">
        <v>0</v>
      </c>
      <c r="AH155" s="1804">
        <v>0</v>
      </c>
      <c r="AI155" s="1804">
        <v>0</v>
      </c>
      <c r="AJ155" s="1804">
        <v>0</v>
      </c>
      <c r="AK155" s="1804">
        <v>0</v>
      </c>
      <c r="AL155" s="1804">
        <v>0</v>
      </c>
      <c r="AM155" s="1804">
        <v>0</v>
      </c>
      <c r="AN155" s="1804">
        <v>0</v>
      </c>
      <c r="AO155" s="1804">
        <v>0</v>
      </c>
      <c r="AP155" s="1804">
        <v>0</v>
      </c>
      <c r="AQ155" s="1804">
        <v>0</v>
      </c>
      <c r="AR155" s="1804">
        <v>0</v>
      </c>
      <c r="AS155" s="1804">
        <v>0</v>
      </c>
      <c r="AT155" s="1804">
        <v>0</v>
      </c>
      <c r="AU155" s="1804">
        <v>0</v>
      </c>
      <c r="AV155" s="1804">
        <v>0</v>
      </c>
      <c r="AW155" s="1804">
        <v>0</v>
      </c>
      <c r="AX155" s="1804">
        <v>0</v>
      </c>
      <c r="AY155" s="1804">
        <v>0</v>
      </c>
      <c r="AZ155" s="1804">
        <v>0</v>
      </c>
      <c r="BA155" s="1804">
        <v>0</v>
      </c>
      <c r="BB155" s="1804">
        <v>0</v>
      </c>
      <c r="BC155" s="1804">
        <v>0</v>
      </c>
      <c r="BD155" s="1804">
        <v>0</v>
      </c>
      <c r="BE155" s="1804">
        <v>0</v>
      </c>
      <c r="BF155" s="1804">
        <v>0</v>
      </c>
      <c r="BG155" s="1804">
        <v>0</v>
      </c>
      <c r="BH155" s="1804">
        <v>0</v>
      </c>
      <c r="BI155" s="1804">
        <v>0</v>
      </c>
      <c r="BJ155" s="1804">
        <v>0</v>
      </c>
      <c r="BK155" s="1804">
        <v>0</v>
      </c>
      <c r="BL155" s="1804">
        <v>0</v>
      </c>
      <c r="BM155" s="1804">
        <v>0</v>
      </c>
      <c r="BN155" s="1804">
        <v>0</v>
      </c>
      <c r="BO155" s="1804">
        <v>0</v>
      </c>
      <c r="BP155" s="1804">
        <v>0</v>
      </c>
      <c r="BQ155" s="1804">
        <v>0</v>
      </c>
      <c r="BR155" s="1804">
        <v>0</v>
      </c>
      <c r="BS155" s="1804">
        <v>0</v>
      </c>
      <c r="BT155" s="1804">
        <v>0</v>
      </c>
      <c r="BU155" s="1804">
        <v>0</v>
      </c>
      <c r="BV155" s="1804">
        <v>0</v>
      </c>
      <c r="BW155" s="1804">
        <v>0</v>
      </c>
      <c r="BX155" s="1804">
        <v>0</v>
      </c>
      <c r="BY155" s="1804">
        <v>0</v>
      </c>
      <c r="BZ155" s="1804">
        <v>0</v>
      </c>
      <c r="CA155" s="1804">
        <v>0</v>
      </c>
      <c r="CB155" s="1804">
        <v>0</v>
      </c>
      <c r="CC155" s="1804">
        <v>0</v>
      </c>
      <c r="CD155" s="1804">
        <v>0</v>
      </c>
      <c r="CE155" s="1804">
        <v>0</v>
      </c>
      <c r="CF155" s="1804">
        <v>0</v>
      </c>
      <c r="CG155" s="1804">
        <v>0</v>
      </c>
      <c r="CH155" s="1804">
        <v>0</v>
      </c>
      <c r="CI155" s="1804">
        <v>0</v>
      </c>
      <c r="CJ155" s="1804">
        <v>0</v>
      </c>
      <c r="CK155" s="1804">
        <v>0</v>
      </c>
      <c r="CL155" s="1804">
        <v>0</v>
      </c>
      <c r="CM155" s="1804">
        <v>0</v>
      </c>
      <c r="CN155" s="1804">
        <v>0</v>
      </c>
      <c r="CO155" s="1804">
        <v>0</v>
      </c>
      <c r="CP155" s="1804">
        <v>0</v>
      </c>
      <c r="CQ155" s="1804">
        <v>0</v>
      </c>
      <c r="CR155" s="1804">
        <v>0</v>
      </c>
      <c r="CS155" s="1804">
        <v>0</v>
      </c>
      <c r="CT155" s="1804">
        <v>0</v>
      </c>
      <c r="CU155" s="1804">
        <v>0</v>
      </c>
      <c r="CV155" s="1804">
        <v>0</v>
      </c>
      <c r="CW155" s="1804">
        <v>0</v>
      </c>
      <c r="CX155" s="1804">
        <v>0</v>
      </c>
      <c r="CY155" s="1804">
        <v>0</v>
      </c>
      <c r="CZ155" s="1804">
        <v>0</v>
      </c>
      <c r="DA155" s="1804">
        <v>0</v>
      </c>
      <c r="DB155" s="1804">
        <v>0</v>
      </c>
      <c r="DC155" s="1804">
        <v>0</v>
      </c>
      <c r="DD155" s="1804">
        <v>0</v>
      </c>
      <c r="DE155" s="1804">
        <v>0</v>
      </c>
      <c r="DF155" s="1804">
        <v>0</v>
      </c>
      <c r="DG155" s="1804">
        <v>0</v>
      </c>
      <c r="DH155" s="1804">
        <v>0</v>
      </c>
      <c r="DI155" s="1804">
        <v>0</v>
      </c>
      <c r="DJ155" s="1804">
        <v>0</v>
      </c>
      <c r="DK155" s="1804">
        <v>0</v>
      </c>
      <c r="DL155" s="1804">
        <v>0</v>
      </c>
      <c r="DM155" s="1804">
        <v>0</v>
      </c>
      <c r="DN155" s="1804">
        <v>0</v>
      </c>
      <c r="DO155" s="1804">
        <v>0</v>
      </c>
      <c r="DP155" s="1804">
        <v>0</v>
      </c>
      <c r="DQ155" s="1804">
        <v>0</v>
      </c>
      <c r="DR155" s="1804">
        <v>0</v>
      </c>
      <c r="DS155" s="1804">
        <v>0</v>
      </c>
      <c r="DT155" s="1804">
        <v>0</v>
      </c>
      <c r="DU155" s="1804">
        <v>0</v>
      </c>
      <c r="DV155" s="1804">
        <v>0</v>
      </c>
      <c r="DW155" s="1804">
        <v>0</v>
      </c>
      <c r="DX155" s="1804">
        <v>0</v>
      </c>
      <c r="DY155" s="1804">
        <v>0</v>
      </c>
      <c r="DZ155" s="1804">
        <v>0</v>
      </c>
      <c r="EA155" s="1804">
        <v>0</v>
      </c>
      <c r="EB155" s="1804">
        <v>0</v>
      </c>
      <c r="EC155" s="1804">
        <v>0</v>
      </c>
      <c r="ED155" s="1804">
        <v>0</v>
      </c>
      <c r="EE155" s="1804">
        <v>0</v>
      </c>
      <c r="EF155" s="1804">
        <v>0</v>
      </c>
      <c r="EG155" s="1804">
        <v>0</v>
      </c>
      <c r="EH155" s="1804">
        <v>0</v>
      </c>
      <c r="EI155" s="1804">
        <v>0</v>
      </c>
      <c r="EJ155" s="1804">
        <v>0</v>
      </c>
      <c r="EK155" s="1804">
        <v>0</v>
      </c>
      <c r="EL155" s="1804">
        <v>0</v>
      </c>
      <c r="EM155" s="1804">
        <v>0</v>
      </c>
      <c r="EN155" s="1804">
        <v>0</v>
      </c>
      <c r="EO155" s="1804">
        <v>0</v>
      </c>
      <c r="EP155" s="1804">
        <v>0</v>
      </c>
      <c r="EQ155" s="1804">
        <v>0</v>
      </c>
      <c r="ER155" s="1804">
        <v>0</v>
      </c>
      <c r="ES155" s="1804">
        <v>0</v>
      </c>
      <c r="ET155" s="1804">
        <v>0</v>
      </c>
      <c r="EU155" s="1804">
        <v>0</v>
      </c>
      <c r="EV155" s="1804">
        <v>0</v>
      </c>
      <c r="EW155" s="1804">
        <v>0</v>
      </c>
      <c r="EX155" s="1804">
        <v>0</v>
      </c>
      <c r="EY155" s="1804">
        <v>0</v>
      </c>
      <c r="EZ155" s="1804">
        <v>0</v>
      </c>
      <c r="FA155" s="1804">
        <v>0</v>
      </c>
      <c r="FB155" s="1804">
        <v>0</v>
      </c>
      <c r="FC155" s="1804">
        <v>0</v>
      </c>
      <c r="FD155" s="1804">
        <v>0</v>
      </c>
      <c r="FE155" s="1804">
        <v>0</v>
      </c>
      <c r="FF155" s="1804">
        <v>0</v>
      </c>
      <c r="FG155" s="1804">
        <v>0</v>
      </c>
      <c r="FH155" s="1804">
        <v>0</v>
      </c>
      <c r="FI155" s="1804">
        <v>0</v>
      </c>
      <c r="FJ155" s="1804">
        <v>0</v>
      </c>
      <c r="FK155" s="1804">
        <v>0</v>
      </c>
      <c r="FL155" s="1804">
        <v>0</v>
      </c>
      <c r="FM155" s="1804">
        <v>0</v>
      </c>
      <c r="FN155" s="1804">
        <v>0</v>
      </c>
      <c r="FO155" s="1804">
        <v>0</v>
      </c>
      <c r="FP155" s="1804">
        <v>0</v>
      </c>
      <c r="FQ155" s="1804">
        <v>0</v>
      </c>
      <c r="FR155" s="1804">
        <v>0</v>
      </c>
      <c r="FS155" s="1804">
        <v>0</v>
      </c>
      <c r="FT155" s="1804">
        <v>0</v>
      </c>
      <c r="FU155" s="1804">
        <v>0</v>
      </c>
      <c r="FV155" s="1804">
        <v>0</v>
      </c>
      <c r="FW155" s="1804">
        <v>0</v>
      </c>
      <c r="FX155" s="1804">
        <v>0</v>
      </c>
      <c r="FY155" s="1804">
        <v>0</v>
      </c>
      <c r="FZ155" s="1804">
        <v>0</v>
      </c>
      <c r="GA155" s="1804">
        <v>0</v>
      </c>
      <c r="GB155" s="1804">
        <v>0</v>
      </c>
      <c r="GC155" s="1804">
        <v>0</v>
      </c>
      <c r="GD155" s="1804">
        <v>0</v>
      </c>
      <c r="GE155" s="1804">
        <v>0</v>
      </c>
      <c r="GF155" s="1804">
        <v>0</v>
      </c>
      <c r="GG155" s="1804">
        <v>0</v>
      </c>
      <c r="GH155" s="1804">
        <v>0</v>
      </c>
      <c r="GI155" s="1804">
        <v>0</v>
      </c>
      <c r="GJ155" s="1804">
        <v>0</v>
      </c>
      <c r="GK155" s="1804">
        <v>0</v>
      </c>
      <c r="GL155" s="1804">
        <v>0</v>
      </c>
      <c r="GM155" s="1804">
        <v>0</v>
      </c>
      <c r="GN155" s="1804">
        <v>0</v>
      </c>
      <c r="GO155" s="1804">
        <v>0</v>
      </c>
      <c r="GP155" s="1804">
        <v>0</v>
      </c>
      <c r="GQ155" s="1804">
        <v>0</v>
      </c>
      <c r="GR155" s="1804">
        <v>0</v>
      </c>
      <c r="GS155" s="1804">
        <v>0</v>
      </c>
      <c r="GT155" s="1804">
        <v>0</v>
      </c>
      <c r="GU155" s="1804">
        <v>0</v>
      </c>
      <c r="GV155" s="1804">
        <v>0</v>
      </c>
      <c r="GW155" s="1804">
        <v>0</v>
      </c>
      <c r="GX155" s="1804">
        <v>0</v>
      </c>
      <c r="GY155" s="1804">
        <v>0</v>
      </c>
      <c r="GZ155" s="1804">
        <v>0</v>
      </c>
      <c r="HA155" s="1804">
        <v>0</v>
      </c>
      <c r="HB155" s="1804">
        <v>0</v>
      </c>
      <c r="HC155" s="1804">
        <v>0</v>
      </c>
      <c r="HD155" s="1804">
        <v>0</v>
      </c>
      <c r="HE155" s="1804">
        <v>0</v>
      </c>
    </row>
    <row r="156" spans="1:213" ht="15" customHeight="1" x14ac:dyDescent="0.2">
      <c r="A156" s="1964"/>
      <c r="B156" s="1999"/>
      <c r="C156" s="1818" t="s">
        <v>863</v>
      </c>
      <c r="D156" s="1883"/>
      <c r="E156" s="1984"/>
      <c r="F156" s="1838">
        <v>0</v>
      </c>
      <c r="G156" s="1804">
        <v>0</v>
      </c>
      <c r="H156" s="1804">
        <v>0</v>
      </c>
      <c r="I156" s="1804">
        <v>0</v>
      </c>
      <c r="J156" s="1804">
        <v>0</v>
      </c>
      <c r="K156" s="1804">
        <v>0</v>
      </c>
      <c r="L156" s="1804">
        <v>0</v>
      </c>
      <c r="M156" s="1804">
        <v>0</v>
      </c>
      <c r="N156" s="1804">
        <v>0</v>
      </c>
      <c r="O156" s="1804">
        <v>0</v>
      </c>
      <c r="P156" s="1804">
        <v>0</v>
      </c>
      <c r="Q156" s="1804">
        <v>0</v>
      </c>
      <c r="R156" s="1804">
        <v>0</v>
      </c>
      <c r="S156" s="1804">
        <v>0</v>
      </c>
      <c r="T156" s="1804">
        <v>0</v>
      </c>
      <c r="U156" s="1804">
        <v>0</v>
      </c>
      <c r="V156" s="1804">
        <v>0</v>
      </c>
      <c r="W156" s="1804">
        <v>0</v>
      </c>
      <c r="X156" s="1804">
        <v>0</v>
      </c>
      <c r="Y156" s="1804">
        <v>0</v>
      </c>
      <c r="Z156" s="1804">
        <v>0</v>
      </c>
      <c r="AA156" s="1804">
        <v>0</v>
      </c>
      <c r="AB156" s="1804">
        <v>0</v>
      </c>
      <c r="AC156" s="1804">
        <v>0</v>
      </c>
      <c r="AD156" s="1804">
        <v>0</v>
      </c>
      <c r="AE156" s="1804">
        <v>0</v>
      </c>
      <c r="AF156" s="1804">
        <v>0</v>
      </c>
      <c r="AG156" s="1804">
        <v>0</v>
      </c>
      <c r="AH156" s="1804">
        <v>0</v>
      </c>
      <c r="AI156" s="1804">
        <v>0</v>
      </c>
      <c r="AJ156" s="1804">
        <v>0</v>
      </c>
      <c r="AK156" s="1804">
        <v>0</v>
      </c>
      <c r="AL156" s="1804">
        <v>0</v>
      </c>
      <c r="AM156" s="1804">
        <v>0</v>
      </c>
      <c r="AN156" s="1804">
        <v>0</v>
      </c>
      <c r="AO156" s="1804">
        <v>0</v>
      </c>
      <c r="AP156" s="1804">
        <v>0</v>
      </c>
      <c r="AQ156" s="1804">
        <v>0</v>
      </c>
      <c r="AR156" s="1804">
        <v>0</v>
      </c>
      <c r="AS156" s="1804">
        <v>0</v>
      </c>
      <c r="AT156" s="1804">
        <v>0</v>
      </c>
      <c r="AU156" s="1804">
        <v>0</v>
      </c>
      <c r="AV156" s="1804">
        <v>0</v>
      </c>
      <c r="AW156" s="1804">
        <v>0</v>
      </c>
      <c r="AX156" s="1804">
        <v>0</v>
      </c>
      <c r="AY156" s="1804">
        <v>0</v>
      </c>
      <c r="AZ156" s="1804">
        <v>0</v>
      </c>
      <c r="BA156" s="1804">
        <v>0</v>
      </c>
      <c r="BB156" s="1804">
        <v>0</v>
      </c>
      <c r="BC156" s="1804">
        <v>0</v>
      </c>
      <c r="BD156" s="1804">
        <v>0</v>
      </c>
      <c r="BE156" s="1804">
        <v>0</v>
      </c>
      <c r="BF156" s="1804">
        <v>0</v>
      </c>
      <c r="BG156" s="1804">
        <v>0</v>
      </c>
      <c r="BH156" s="1804">
        <v>0</v>
      </c>
      <c r="BI156" s="1804">
        <v>0</v>
      </c>
      <c r="BJ156" s="1804">
        <v>0</v>
      </c>
      <c r="BK156" s="1804">
        <v>0</v>
      </c>
      <c r="BL156" s="1804">
        <v>0</v>
      </c>
      <c r="BM156" s="1804">
        <v>0</v>
      </c>
      <c r="BN156" s="1804">
        <v>0</v>
      </c>
      <c r="BO156" s="1804">
        <v>0</v>
      </c>
      <c r="BP156" s="1804">
        <v>0</v>
      </c>
      <c r="BQ156" s="1804">
        <v>0</v>
      </c>
      <c r="BR156" s="1804">
        <v>0</v>
      </c>
      <c r="BS156" s="1804">
        <v>0</v>
      </c>
      <c r="BT156" s="1804">
        <v>0</v>
      </c>
      <c r="BU156" s="1804">
        <v>0</v>
      </c>
      <c r="BV156" s="1804">
        <v>0</v>
      </c>
      <c r="BW156" s="1804">
        <v>0</v>
      </c>
      <c r="BX156" s="1804">
        <v>0</v>
      </c>
      <c r="BY156" s="1804">
        <v>0</v>
      </c>
      <c r="BZ156" s="1804">
        <v>0</v>
      </c>
      <c r="CA156" s="1804">
        <v>0</v>
      </c>
      <c r="CB156" s="1804">
        <v>0</v>
      </c>
      <c r="CC156" s="1804">
        <v>0</v>
      </c>
      <c r="CD156" s="1804">
        <v>0</v>
      </c>
      <c r="CE156" s="1804">
        <v>0</v>
      </c>
      <c r="CF156" s="1804">
        <v>0</v>
      </c>
      <c r="CG156" s="1804">
        <v>0</v>
      </c>
      <c r="CH156" s="1804">
        <v>0</v>
      </c>
      <c r="CI156" s="1804">
        <v>0</v>
      </c>
      <c r="CJ156" s="1804">
        <v>0</v>
      </c>
      <c r="CK156" s="1804">
        <v>0</v>
      </c>
      <c r="CL156" s="1804">
        <v>0</v>
      </c>
      <c r="CM156" s="1804">
        <v>0</v>
      </c>
      <c r="CN156" s="1804">
        <v>0</v>
      </c>
      <c r="CO156" s="1804">
        <v>0</v>
      </c>
      <c r="CP156" s="1804">
        <v>0</v>
      </c>
      <c r="CQ156" s="1804">
        <v>0</v>
      </c>
      <c r="CR156" s="1804">
        <v>0</v>
      </c>
      <c r="CS156" s="1804">
        <v>0</v>
      </c>
      <c r="CT156" s="1804">
        <v>0</v>
      </c>
      <c r="CU156" s="1804">
        <v>0</v>
      </c>
      <c r="CV156" s="1804">
        <v>0</v>
      </c>
      <c r="CW156" s="1804">
        <v>0</v>
      </c>
      <c r="CX156" s="1804">
        <v>0</v>
      </c>
      <c r="CY156" s="1804">
        <v>0</v>
      </c>
      <c r="CZ156" s="1804">
        <v>0</v>
      </c>
      <c r="DA156" s="1804">
        <v>0</v>
      </c>
      <c r="DB156" s="1804">
        <v>0</v>
      </c>
      <c r="DC156" s="1804">
        <v>0</v>
      </c>
      <c r="DD156" s="1804">
        <v>0</v>
      </c>
      <c r="DE156" s="1804">
        <v>0</v>
      </c>
      <c r="DF156" s="1804">
        <v>0</v>
      </c>
      <c r="DG156" s="1804">
        <v>0</v>
      </c>
      <c r="DH156" s="1804">
        <v>0</v>
      </c>
      <c r="DI156" s="1804">
        <v>0</v>
      </c>
      <c r="DJ156" s="1804">
        <v>0</v>
      </c>
      <c r="DK156" s="1804">
        <v>0</v>
      </c>
      <c r="DL156" s="1804">
        <v>0</v>
      </c>
      <c r="DM156" s="1804">
        <v>0</v>
      </c>
      <c r="DN156" s="1804">
        <v>0</v>
      </c>
      <c r="DO156" s="1804">
        <v>0</v>
      </c>
      <c r="DP156" s="1804">
        <v>0</v>
      </c>
      <c r="DQ156" s="1804">
        <v>0</v>
      </c>
      <c r="DR156" s="1804">
        <v>0</v>
      </c>
      <c r="DS156" s="1804">
        <v>0</v>
      </c>
      <c r="DT156" s="1804">
        <v>0</v>
      </c>
      <c r="DU156" s="1804">
        <v>0</v>
      </c>
      <c r="DV156" s="1804">
        <v>0</v>
      </c>
      <c r="DW156" s="1804">
        <v>0</v>
      </c>
      <c r="DX156" s="1804">
        <v>0</v>
      </c>
      <c r="DY156" s="1804">
        <v>0</v>
      </c>
      <c r="DZ156" s="1804">
        <v>0</v>
      </c>
      <c r="EA156" s="1804">
        <v>0</v>
      </c>
      <c r="EB156" s="1804">
        <v>0</v>
      </c>
      <c r="EC156" s="1804">
        <v>0</v>
      </c>
      <c r="ED156" s="1804">
        <v>0</v>
      </c>
      <c r="EE156" s="1804">
        <v>0</v>
      </c>
      <c r="EF156" s="1804">
        <v>0</v>
      </c>
      <c r="EG156" s="1804">
        <v>0</v>
      </c>
      <c r="EH156" s="1804">
        <v>0</v>
      </c>
      <c r="EI156" s="1804">
        <v>0</v>
      </c>
      <c r="EJ156" s="1804">
        <v>0</v>
      </c>
      <c r="EK156" s="1804">
        <v>0</v>
      </c>
      <c r="EL156" s="1804">
        <v>0</v>
      </c>
      <c r="EM156" s="1804">
        <v>0</v>
      </c>
      <c r="EN156" s="1804">
        <v>0</v>
      </c>
      <c r="EO156" s="1804">
        <v>0</v>
      </c>
      <c r="EP156" s="1804">
        <v>0</v>
      </c>
      <c r="EQ156" s="1804">
        <v>0</v>
      </c>
      <c r="ER156" s="1804">
        <v>0</v>
      </c>
      <c r="ES156" s="1804">
        <v>0</v>
      </c>
      <c r="ET156" s="1804">
        <v>0</v>
      </c>
      <c r="EU156" s="1804">
        <v>0</v>
      </c>
      <c r="EV156" s="1804">
        <v>0</v>
      </c>
      <c r="EW156" s="1804">
        <v>0</v>
      </c>
      <c r="EX156" s="1804">
        <v>0</v>
      </c>
      <c r="EY156" s="1804">
        <v>0</v>
      </c>
      <c r="EZ156" s="1804">
        <v>0</v>
      </c>
      <c r="FA156" s="1804">
        <v>0</v>
      </c>
      <c r="FB156" s="1804">
        <v>0</v>
      </c>
      <c r="FC156" s="1804">
        <v>0</v>
      </c>
      <c r="FD156" s="1804">
        <v>0</v>
      </c>
      <c r="FE156" s="1804">
        <v>0</v>
      </c>
      <c r="FF156" s="1804">
        <v>0</v>
      </c>
      <c r="FG156" s="1804">
        <v>0</v>
      </c>
      <c r="FH156" s="1804">
        <v>0</v>
      </c>
      <c r="FI156" s="1804">
        <v>0</v>
      </c>
      <c r="FJ156" s="1804">
        <v>0</v>
      </c>
      <c r="FK156" s="1804">
        <v>0</v>
      </c>
      <c r="FL156" s="1804">
        <v>0</v>
      </c>
      <c r="FM156" s="1804">
        <v>0</v>
      </c>
      <c r="FN156" s="1804">
        <v>0</v>
      </c>
      <c r="FO156" s="1804">
        <v>0</v>
      </c>
      <c r="FP156" s="1804">
        <v>0</v>
      </c>
      <c r="FQ156" s="1804">
        <v>0</v>
      </c>
      <c r="FR156" s="1804">
        <v>0</v>
      </c>
      <c r="FS156" s="1804">
        <v>0</v>
      </c>
      <c r="FT156" s="1804">
        <v>0</v>
      </c>
      <c r="FU156" s="1804">
        <v>0</v>
      </c>
      <c r="FV156" s="1804">
        <v>0</v>
      </c>
      <c r="FW156" s="1804">
        <v>0</v>
      </c>
      <c r="FX156" s="1804">
        <v>0</v>
      </c>
      <c r="FY156" s="1804">
        <v>0</v>
      </c>
      <c r="FZ156" s="1804">
        <v>0</v>
      </c>
      <c r="GA156" s="1804">
        <v>0</v>
      </c>
      <c r="GB156" s="1804">
        <v>0</v>
      </c>
      <c r="GC156" s="1804">
        <v>0</v>
      </c>
      <c r="GD156" s="1804">
        <v>0</v>
      </c>
      <c r="GE156" s="1804">
        <v>0</v>
      </c>
      <c r="GF156" s="1804">
        <v>0</v>
      </c>
      <c r="GG156" s="1804">
        <v>0</v>
      </c>
      <c r="GH156" s="1804">
        <v>0</v>
      </c>
      <c r="GI156" s="1804">
        <v>0</v>
      </c>
      <c r="GJ156" s="1804">
        <v>0</v>
      </c>
      <c r="GK156" s="1804">
        <v>0</v>
      </c>
      <c r="GL156" s="1804">
        <v>0</v>
      </c>
      <c r="GM156" s="1804">
        <v>0</v>
      </c>
      <c r="GN156" s="1804">
        <v>0</v>
      </c>
      <c r="GO156" s="1804">
        <v>0</v>
      </c>
      <c r="GP156" s="1804">
        <v>0</v>
      </c>
      <c r="GQ156" s="1804">
        <v>0</v>
      </c>
      <c r="GR156" s="1804">
        <v>0</v>
      </c>
      <c r="GS156" s="1804">
        <v>0</v>
      </c>
      <c r="GT156" s="1804">
        <v>0</v>
      </c>
      <c r="GU156" s="1804">
        <v>0</v>
      </c>
      <c r="GV156" s="1804">
        <v>0</v>
      </c>
      <c r="GW156" s="1804">
        <v>0</v>
      </c>
      <c r="GX156" s="1804">
        <v>0</v>
      </c>
      <c r="GY156" s="1804">
        <v>0</v>
      </c>
      <c r="GZ156" s="1804">
        <v>0</v>
      </c>
      <c r="HA156" s="1804">
        <v>0</v>
      </c>
      <c r="HB156" s="1804">
        <v>0</v>
      </c>
      <c r="HC156" s="1804">
        <v>0</v>
      </c>
      <c r="HD156" s="1804">
        <v>0</v>
      </c>
      <c r="HE156" s="1804">
        <v>0</v>
      </c>
    </row>
    <row r="157" spans="1:213" ht="15" customHeight="1" x14ac:dyDescent="0.2">
      <c r="A157" s="1964"/>
      <c r="B157" s="1999"/>
      <c r="C157" s="1818" t="s">
        <v>812</v>
      </c>
      <c r="D157" s="1883"/>
      <c r="E157" s="1984"/>
      <c r="F157" s="1838">
        <v>0</v>
      </c>
      <c r="G157" s="1804">
        <v>0</v>
      </c>
      <c r="H157" s="1804">
        <v>0</v>
      </c>
      <c r="I157" s="1804">
        <v>0</v>
      </c>
      <c r="J157" s="1804">
        <v>0</v>
      </c>
      <c r="K157" s="1804">
        <v>0</v>
      </c>
      <c r="L157" s="1804">
        <v>0</v>
      </c>
      <c r="M157" s="1804">
        <v>0</v>
      </c>
      <c r="N157" s="1804">
        <v>0</v>
      </c>
      <c r="O157" s="1804">
        <v>0</v>
      </c>
      <c r="P157" s="1804">
        <v>0</v>
      </c>
      <c r="Q157" s="1804">
        <v>0</v>
      </c>
      <c r="R157" s="1804">
        <v>0</v>
      </c>
      <c r="S157" s="1804">
        <v>0</v>
      </c>
      <c r="T157" s="1804">
        <v>0</v>
      </c>
      <c r="U157" s="1804">
        <v>0</v>
      </c>
      <c r="V157" s="1804">
        <v>0</v>
      </c>
      <c r="W157" s="1804">
        <v>0</v>
      </c>
      <c r="X157" s="1804">
        <v>0</v>
      </c>
      <c r="Y157" s="1804">
        <v>0</v>
      </c>
      <c r="Z157" s="1804">
        <v>0</v>
      </c>
      <c r="AA157" s="1804">
        <v>0</v>
      </c>
      <c r="AB157" s="1804">
        <v>0</v>
      </c>
      <c r="AC157" s="1804">
        <v>0</v>
      </c>
      <c r="AD157" s="1804">
        <v>0</v>
      </c>
      <c r="AE157" s="1804">
        <v>0</v>
      </c>
      <c r="AF157" s="1804">
        <v>0</v>
      </c>
      <c r="AG157" s="1804">
        <v>0</v>
      </c>
      <c r="AH157" s="1804">
        <v>0</v>
      </c>
      <c r="AI157" s="1804">
        <v>0</v>
      </c>
      <c r="AJ157" s="1804">
        <v>0</v>
      </c>
      <c r="AK157" s="1804">
        <v>0</v>
      </c>
      <c r="AL157" s="1804">
        <v>0</v>
      </c>
      <c r="AM157" s="1804">
        <v>0</v>
      </c>
      <c r="AN157" s="1804">
        <v>0</v>
      </c>
      <c r="AO157" s="1804">
        <v>0</v>
      </c>
      <c r="AP157" s="1804">
        <v>0</v>
      </c>
      <c r="AQ157" s="1804">
        <v>0</v>
      </c>
      <c r="AR157" s="1804">
        <v>0</v>
      </c>
      <c r="AS157" s="1804">
        <v>0</v>
      </c>
      <c r="AT157" s="1804">
        <v>0</v>
      </c>
      <c r="AU157" s="1804">
        <v>0</v>
      </c>
      <c r="AV157" s="1804">
        <v>0</v>
      </c>
      <c r="AW157" s="1804">
        <v>0</v>
      </c>
      <c r="AX157" s="1804">
        <v>0</v>
      </c>
      <c r="AY157" s="1804">
        <v>0</v>
      </c>
      <c r="AZ157" s="1804">
        <v>0</v>
      </c>
      <c r="BA157" s="1804">
        <v>0</v>
      </c>
      <c r="BB157" s="1804">
        <v>0</v>
      </c>
      <c r="BC157" s="1804">
        <v>0</v>
      </c>
      <c r="BD157" s="1804">
        <v>0</v>
      </c>
      <c r="BE157" s="1804">
        <v>0</v>
      </c>
      <c r="BF157" s="1804">
        <v>0</v>
      </c>
      <c r="BG157" s="1804">
        <v>0</v>
      </c>
      <c r="BH157" s="1804">
        <v>0</v>
      </c>
      <c r="BI157" s="1804">
        <v>0</v>
      </c>
      <c r="BJ157" s="1804">
        <v>0</v>
      </c>
      <c r="BK157" s="1804">
        <v>0</v>
      </c>
      <c r="BL157" s="1804">
        <v>0</v>
      </c>
      <c r="BM157" s="1804">
        <v>0</v>
      </c>
      <c r="BN157" s="1804">
        <v>0</v>
      </c>
      <c r="BO157" s="1804">
        <v>0</v>
      </c>
      <c r="BP157" s="1804">
        <v>0</v>
      </c>
      <c r="BQ157" s="1804">
        <v>0</v>
      </c>
      <c r="BR157" s="1804">
        <v>0</v>
      </c>
      <c r="BS157" s="1804">
        <v>0</v>
      </c>
      <c r="BT157" s="1804">
        <v>0</v>
      </c>
      <c r="BU157" s="1804">
        <v>0</v>
      </c>
      <c r="BV157" s="1804">
        <v>0</v>
      </c>
      <c r="BW157" s="1804">
        <v>0</v>
      </c>
      <c r="BX157" s="1804">
        <v>0</v>
      </c>
      <c r="BY157" s="1804">
        <v>0</v>
      </c>
      <c r="BZ157" s="1804">
        <v>0</v>
      </c>
      <c r="CA157" s="1804">
        <v>0</v>
      </c>
      <c r="CB157" s="1804">
        <v>0</v>
      </c>
      <c r="CC157" s="1804">
        <v>0</v>
      </c>
      <c r="CD157" s="1804">
        <v>0</v>
      </c>
      <c r="CE157" s="1804">
        <v>0</v>
      </c>
      <c r="CF157" s="1804">
        <v>0</v>
      </c>
      <c r="CG157" s="1804">
        <v>0</v>
      </c>
      <c r="CH157" s="1804">
        <v>0</v>
      </c>
      <c r="CI157" s="1804">
        <v>0</v>
      </c>
      <c r="CJ157" s="1804">
        <v>0</v>
      </c>
      <c r="CK157" s="1804">
        <v>0</v>
      </c>
      <c r="CL157" s="1804">
        <v>0</v>
      </c>
      <c r="CM157" s="1804">
        <v>0</v>
      </c>
      <c r="CN157" s="1804">
        <v>0</v>
      </c>
      <c r="CO157" s="1804">
        <v>0</v>
      </c>
      <c r="CP157" s="1804">
        <v>0</v>
      </c>
      <c r="CQ157" s="1804">
        <v>0</v>
      </c>
      <c r="CR157" s="1804">
        <v>0</v>
      </c>
      <c r="CS157" s="1804">
        <v>0</v>
      </c>
      <c r="CT157" s="1804">
        <v>0</v>
      </c>
      <c r="CU157" s="1804">
        <v>0</v>
      </c>
      <c r="CV157" s="1804">
        <v>0</v>
      </c>
      <c r="CW157" s="1804">
        <v>0</v>
      </c>
      <c r="CX157" s="1804">
        <v>0</v>
      </c>
      <c r="CY157" s="1804">
        <v>0</v>
      </c>
      <c r="CZ157" s="1804">
        <v>0</v>
      </c>
      <c r="DA157" s="1804">
        <v>0</v>
      </c>
      <c r="DB157" s="1804">
        <v>0</v>
      </c>
      <c r="DC157" s="1804">
        <v>0</v>
      </c>
      <c r="DD157" s="1804">
        <v>0</v>
      </c>
      <c r="DE157" s="1804">
        <v>0</v>
      </c>
      <c r="DF157" s="1804">
        <v>0</v>
      </c>
      <c r="DG157" s="1804">
        <v>0</v>
      </c>
      <c r="DH157" s="1804">
        <v>0</v>
      </c>
      <c r="DI157" s="1804">
        <v>0</v>
      </c>
      <c r="DJ157" s="1804">
        <v>0</v>
      </c>
      <c r="DK157" s="1804">
        <v>0</v>
      </c>
      <c r="DL157" s="1804">
        <v>0</v>
      </c>
      <c r="DM157" s="1804">
        <v>0</v>
      </c>
      <c r="DN157" s="1804">
        <v>0</v>
      </c>
      <c r="DO157" s="1804">
        <v>0</v>
      </c>
      <c r="DP157" s="1804">
        <v>0</v>
      </c>
      <c r="DQ157" s="1804">
        <v>0</v>
      </c>
      <c r="DR157" s="1804">
        <v>0</v>
      </c>
      <c r="DS157" s="1804">
        <v>0</v>
      </c>
      <c r="DT157" s="1804">
        <v>0</v>
      </c>
      <c r="DU157" s="1804">
        <v>0</v>
      </c>
      <c r="DV157" s="1804">
        <v>0</v>
      </c>
      <c r="DW157" s="1804">
        <v>0</v>
      </c>
      <c r="DX157" s="1804">
        <v>0</v>
      </c>
      <c r="DY157" s="1804">
        <v>0</v>
      </c>
      <c r="DZ157" s="1804">
        <v>0</v>
      </c>
      <c r="EA157" s="1804">
        <v>0</v>
      </c>
      <c r="EB157" s="1804">
        <v>0</v>
      </c>
      <c r="EC157" s="1804">
        <v>0</v>
      </c>
      <c r="ED157" s="1804">
        <v>0</v>
      </c>
      <c r="EE157" s="1804">
        <v>0</v>
      </c>
      <c r="EF157" s="1804">
        <v>0</v>
      </c>
      <c r="EG157" s="1804">
        <v>0</v>
      </c>
      <c r="EH157" s="1804">
        <v>0</v>
      </c>
      <c r="EI157" s="1804">
        <v>0</v>
      </c>
      <c r="EJ157" s="1804">
        <v>0</v>
      </c>
      <c r="EK157" s="1804">
        <v>0</v>
      </c>
      <c r="EL157" s="1804">
        <v>0</v>
      </c>
      <c r="EM157" s="1804">
        <v>0</v>
      </c>
      <c r="EN157" s="1804">
        <v>0</v>
      </c>
      <c r="EO157" s="1804">
        <v>0</v>
      </c>
      <c r="EP157" s="1804">
        <v>0</v>
      </c>
      <c r="EQ157" s="1804">
        <v>0</v>
      </c>
      <c r="ER157" s="1804">
        <v>0</v>
      </c>
      <c r="ES157" s="1804">
        <v>0</v>
      </c>
      <c r="ET157" s="1804">
        <v>0</v>
      </c>
      <c r="EU157" s="1804">
        <v>0</v>
      </c>
      <c r="EV157" s="1804">
        <v>0</v>
      </c>
      <c r="EW157" s="1804">
        <v>0</v>
      </c>
      <c r="EX157" s="1804">
        <v>0</v>
      </c>
      <c r="EY157" s="1804">
        <v>0</v>
      </c>
      <c r="EZ157" s="1804">
        <v>0</v>
      </c>
      <c r="FA157" s="1804">
        <v>0</v>
      </c>
      <c r="FB157" s="1804">
        <v>0</v>
      </c>
      <c r="FC157" s="1804">
        <v>0</v>
      </c>
      <c r="FD157" s="1804">
        <v>0</v>
      </c>
      <c r="FE157" s="1804">
        <v>0</v>
      </c>
      <c r="FF157" s="1804">
        <v>0</v>
      </c>
      <c r="FG157" s="1804">
        <v>0</v>
      </c>
      <c r="FH157" s="1804">
        <v>0</v>
      </c>
      <c r="FI157" s="1804">
        <v>0</v>
      </c>
      <c r="FJ157" s="1804">
        <v>0</v>
      </c>
      <c r="FK157" s="1804">
        <v>0</v>
      </c>
      <c r="FL157" s="1804">
        <v>0</v>
      </c>
      <c r="FM157" s="1804">
        <v>0</v>
      </c>
      <c r="FN157" s="1804">
        <v>0</v>
      </c>
      <c r="FO157" s="1804">
        <v>0</v>
      </c>
      <c r="FP157" s="1804">
        <v>0</v>
      </c>
      <c r="FQ157" s="1804">
        <v>0</v>
      </c>
      <c r="FR157" s="1804">
        <v>0</v>
      </c>
      <c r="FS157" s="1804">
        <v>0</v>
      </c>
      <c r="FT157" s="1804">
        <v>0</v>
      </c>
      <c r="FU157" s="1804">
        <v>0</v>
      </c>
      <c r="FV157" s="1804">
        <v>0</v>
      </c>
      <c r="FW157" s="1804">
        <v>0</v>
      </c>
      <c r="FX157" s="1804">
        <v>0</v>
      </c>
      <c r="FY157" s="1804">
        <v>0</v>
      </c>
      <c r="FZ157" s="1804">
        <v>0</v>
      </c>
      <c r="GA157" s="1804">
        <v>0</v>
      </c>
      <c r="GB157" s="1804">
        <v>0</v>
      </c>
      <c r="GC157" s="1804">
        <v>0</v>
      </c>
      <c r="GD157" s="1804">
        <v>0</v>
      </c>
      <c r="GE157" s="1804">
        <v>0</v>
      </c>
      <c r="GF157" s="1804">
        <v>0</v>
      </c>
      <c r="GG157" s="1804">
        <v>0</v>
      </c>
      <c r="GH157" s="1804">
        <v>0</v>
      </c>
      <c r="GI157" s="1804">
        <v>0</v>
      </c>
      <c r="GJ157" s="1804">
        <v>0</v>
      </c>
      <c r="GK157" s="1804">
        <v>0</v>
      </c>
      <c r="GL157" s="1804">
        <v>0</v>
      </c>
      <c r="GM157" s="1804">
        <v>0</v>
      </c>
      <c r="GN157" s="1804">
        <v>0</v>
      </c>
      <c r="GO157" s="1804">
        <v>0</v>
      </c>
      <c r="GP157" s="1804">
        <v>0</v>
      </c>
      <c r="GQ157" s="1804">
        <v>0</v>
      </c>
      <c r="GR157" s="1804">
        <v>0</v>
      </c>
      <c r="GS157" s="1804">
        <v>0</v>
      </c>
      <c r="GT157" s="1804">
        <v>0</v>
      </c>
      <c r="GU157" s="1804">
        <v>0</v>
      </c>
      <c r="GV157" s="1804">
        <v>0</v>
      </c>
      <c r="GW157" s="1804">
        <v>0</v>
      </c>
      <c r="GX157" s="1804">
        <v>0</v>
      </c>
      <c r="GY157" s="1804">
        <v>0</v>
      </c>
      <c r="GZ157" s="1804">
        <v>0</v>
      </c>
      <c r="HA157" s="1804">
        <v>0</v>
      </c>
      <c r="HB157" s="1804">
        <v>0</v>
      </c>
      <c r="HC157" s="1804">
        <v>0</v>
      </c>
      <c r="HD157" s="1804">
        <v>0</v>
      </c>
      <c r="HE157" s="1804">
        <v>0</v>
      </c>
    </row>
    <row r="158" spans="1:213" ht="15" customHeight="1" x14ac:dyDescent="0.2">
      <c r="A158" s="1964"/>
      <c r="B158" s="1999"/>
      <c r="C158" s="1818" t="s">
        <v>864</v>
      </c>
      <c r="D158" s="1883"/>
      <c r="E158" s="1984"/>
      <c r="F158" s="1836">
        <v>0</v>
      </c>
      <c r="G158" s="1802">
        <v>0</v>
      </c>
      <c r="H158" s="1802">
        <v>0</v>
      </c>
      <c r="I158" s="1802">
        <v>0</v>
      </c>
      <c r="J158" s="1802">
        <v>0</v>
      </c>
      <c r="K158" s="1802">
        <v>0</v>
      </c>
      <c r="L158" s="1802">
        <v>0</v>
      </c>
      <c r="M158" s="1802">
        <v>0</v>
      </c>
      <c r="N158" s="1802">
        <v>0</v>
      </c>
      <c r="O158" s="1802">
        <v>0</v>
      </c>
      <c r="P158" s="1802">
        <v>0</v>
      </c>
      <c r="Q158" s="1802">
        <v>0</v>
      </c>
      <c r="R158" s="1802">
        <v>0</v>
      </c>
      <c r="S158" s="1802">
        <v>0</v>
      </c>
      <c r="T158" s="1802">
        <v>0</v>
      </c>
      <c r="U158" s="1802">
        <v>0</v>
      </c>
      <c r="V158" s="1802">
        <v>0</v>
      </c>
      <c r="W158" s="1802">
        <v>0</v>
      </c>
      <c r="X158" s="1802">
        <v>0</v>
      </c>
      <c r="Y158" s="1802">
        <v>0</v>
      </c>
      <c r="Z158" s="1802">
        <v>0</v>
      </c>
      <c r="AA158" s="1802">
        <v>0</v>
      </c>
      <c r="AB158" s="1802">
        <v>0</v>
      </c>
      <c r="AC158" s="1802">
        <v>0</v>
      </c>
      <c r="AD158" s="1802">
        <v>0</v>
      </c>
      <c r="AE158" s="1802">
        <v>0</v>
      </c>
      <c r="AF158" s="1802">
        <v>0</v>
      </c>
      <c r="AG158" s="1802">
        <v>0</v>
      </c>
      <c r="AH158" s="1802">
        <v>0</v>
      </c>
      <c r="AI158" s="1802">
        <v>0</v>
      </c>
      <c r="AJ158" s="1802">
        <v>0</v>
      </c>
      <c r="AK158" s="1802">
        <v>0</v>
      </c>
      <c r="AL158" s="1802">
        <v>0</v>
      </c>
      <c r="AM158" s="1802">
        <v>0</v>
      </c>
      <c r="AN158" s="1802">
        <v>0</v>
      </c>
      <c r="AO158" s="1802">
        <v>0</v>
      </c>
      <c r="AP158" s="1802">
        <v>0</v>
      </c>
      <c r="AQ158" s="1802">
        <v>0</v>
      </c>
      <c r="AR158" s="1802">
        <v>0</v>
      </c>
      <c r="AS158" s="1802">
        <v>0</v>
      </c>
      <c r="AT158" s="1802">
        <v>0</v>
      </c>
      <c r="AU158" s="1802">
        <v>0</v>
      </c>
      <c r="AV158" s="1802">
        <v>0</v>
      </c>
      <c r="AW158" s="1802">
        <v>0</v>
      </c>
      <c r="AX158" s="1802">
        <v>0</v>
      </c>
      <c r="AY158" s="1802">
        <v>0</v>
      </c>
      <c r="AZ158" s="1802">
        <v>0</v>
      </c>
      <c r="BA158" s="1802">
        <v>0</v>
      </c>
      <c r="BB158" s="1802">
        <v>0</v>
      </c>
      <c r="BC158" s="1802">
        <v>0</v>
      </c>
      <c r="BD158" s="1802">
        <v>0</v>
      </c>
      <c r="BE158" s="1802">
        <v>0</v>
      </c>
      <c r="BF158" s="1802">
        <v>0</v>
      </c>
      <c r="BG158" s="1802">
        <v>0</v>
      </c>
      <c r="BH158" s="1802">
        <v>0</v>
      </c>
      <c r="BI158" s="1802">
        <v>0</v>
      </c>
      <c r="BJ158" s="1802">
        <v>0</v>
      </c>
      <c r="BK158" s="1802">
        <v>0</v>
      </c>
      <c r="BL158" s="1802">
        <v>0</v>
      </c>
      <c r="BM158" s="1802">
        <v>0</v>
      </c>
      <c r="BN158" s="1802">
        <v>0</v>
      </c>
      <c r="BO158" s="1802">
        <v>0</v>
      </c>
      <c r="BP158" s="1802">
        <v>0</v>
      </c>
      <c r="BQ158" s="1802">
        <v>0</v>
      </c>
      <c r="BR158" s="1802">
        <v>0</v>
      </c>
      <c r="BS158" s="1802">
        <v>0</v>
      </c>
      <c r="BT158" s="1802">
        <v>0</v>
      </c>
      <c r="BU158" s="1802">
        <v>0</v>
      </c>
      <c r="BV158" s="1802">
        <v>0</v>
      </c>
      <c r="BW158" s="1802">
        <v>0</v>
      </c>
      <c r="BX158" s="1802">
        <v>0</v>
      </c>
      <c r="BY158" s="1802">
        <v>0</v>
      </c>
      <c r="BZ158" s="1802">
        <v>0</v>
      </c>
      <c r="CA158" s="1802">
        <v>0</v>
      </c>
      <c r="CB158" s="1802">
        <v>0</v>
      </c>
      <c r="CC158" s="1802">
        <v>0</v>
      </c>
      <c r="CD158" s="1802">
        <v>0</v>
      </c>
      <c r="CE158" s="1802">
        <v>0</v>
      </c>
      <c r="CF158" s="1802">
        <v>0</v>
      </c>
      <c r="CG158" s="1802">
        <v>0</v>
      </c>
      <c r="CH158" s="1802">
        <v>0</v>
      </c>
      <c r="CI158" s="1802">
        <v>0</v>
      </c>
      <c r="CJ158" s="1802">
        <v>0</v>
      </c>
      <c r="CK158" s="1802">
        <v>0</v>
      </c>
      <c r="CL158" s="1802">
        <v>0</v>
      </c>
      <c r="CM158" s="1802">
        <v>0</v>
      </c>
      <c r="CN158" s="1802">
        <v>0</v>
      </c>
      <c r="CO158" s="1802">
        <v>0</v>
      </c>
      <c r="CP158" s="1802">
        <v>0</v>
      </c>
      <c r="CQ158" s="1802">
        <v>0</v>
      </c>
      <c r="CR158" s="1802">
        <v>0</v>
      </c>
      <c r="CS158" s="1802">
        <v>0</v>
      </c>
      <c r="CT158" s="1802">
        <v>0</v>
      </c>
      <c r="CU158" s="1802">
        <v>0</v>
      </c>
      <c r="CV158" s="1802">
        <v>0</v>
      </c>
      <c r="CW158" s="1802">
        <v>0</v>
      </c>
      <c r="CX158" s="1802">
        <v>0</v>
      </c>
      <c r="CY158" s="1802">
        <v>0</v>
      </c>
      <c r="CZ158" s="1802">
        <v>0</v>
      </c>
      <c r="DA158" s="1802">
        <v>0</v>
      </c>
      <c r="DB158" s="1802">
        <v>0</v>
      </c>
      <c r="DC158" s="1802">
        <v>0</v>
      </c>
      <c r="DD158" s="1802">
        <v>0</v>
      </c>
      <c r="DE158" s="1802">
        <v>0</v>
      </c>
      <c r="DF158" s="1802">
        <v>0</v>
      </c>
      <c r="DG158" s="1802">
        <v>0</v>
      </c>
      <c r="DH158" s="1802">
        <v>0</v>
      </c>
      <c r="DI158" s="1802">
        <v>0</v>
      </c>
      <c r="DJ158" s="1802">
        <v>0</v>
      </c>
      <c r="DK158" s="1802">
        <v>0</v>
      </c>
      <c r="DL158" s="1802">
        <v>0</v>
      </c>
      <c r="DM158" s="1802">
        <v>0</v>
      </c>
      <c r="DN158" s="1802">
        <v>0</v>
      </c>
      <c r="DO158" s="1802">
        <v>0</v>
      </c>
      <c r="DP158" s="1802">
        <v>0</v>
      </c>
      <c r="DQ158" s="1802">
        <v>0</v>
      </c>
      <c r="DR158" s="1802">
        <v>0</v>
      </c>
      <c r="DS158" s="1802">
        <v>0</v>
      </c>
      <c r="DT158" s="1802">
        <v>0</v>
      </c>
      <c r="DU158" s="1802">
        <v>0</v>
      </c>
      <c r="DV158" s="1802">
        <v>0</v>
      </c>
      <c r="DW158" s="1802">
        <v>0</v>
      </c>
      <c r="DX158" s="1802">
        <v>0</v>
      </c>
      <c r="DY158" s="1802">
        <v>0</v>
      </c>
      <c r="DZ158" s="1802">
        <v>0</v>
      </c>
      <c r="EA158" s="1802">
        <v>0</v>
      </c>
      <c r="EB158" s="1802">
        <v>0</v>
      </c>
      <c r="EC158" s="1802">
        <v>0</v>
      </c>
      <c r="ED158" s="1802">
        <v>0</v>
      </c>
      <c r="EE158" s="1802">
        <v>0</v>
      </c>
      <c r="EF158" s="1802">
        <v>0</v>
      </c>
      <c r="EG158" s="1802">
        <v>0</v>
      </c>
      <c r="EH158" s="1802">
        <v>0</v>
      </c>
      <c r="EI158" s="1802">
        <v>0</v>
      </c>
      <c r="EJ158" s="1802">
        <v>0</v>
      </c>
      <c r="EK158" s="1802">
        <v>0</v>
      </c>
      <c r="EL158" s="1802">
        <v>0</v>
      </c>
      <c r="EM158" s="1802">
        <v>0</v>
      </c>
      <c r="EN158" s="1802">
        <v>0</v>
      </c>
      <c r="EO158" s="1802">
        <v>0</v>
      </c>
      <c r="EP158" s="1802">
        <v>0</v>
      </c>
      <c r="EQ158" s="1802">
        <v>0</v>
      </c>
      <c r="ER158" s="1802">
        <v>0</v>
      </c>
      <c r="ES158" s="1802">
        <v>0</v>
      </c>
      <c r="ET158" s="1802">
        <v>0</v>
      </c>
      <c r="EU158" s="1802">
        <v>0</v>
      </c>
      <c r="EV158" s="1802">
        <v>0</v>
      </c>
      <c r="EW158" s="1802">
        <v>0</v>
      </c>
      <c r="EX158" s="1802">
        <v>0</v>
      </c>
      <c r="EY158" s="1802">
        <v>0</v>
      </c>
      <c r="EZ158" s="1802">
        <v>0</v>
      </c>
      <c r="FA158" s="1802">
        <v>0</v>
      </c>
      <c r="FB158" s="1802">
        <v>0</v>
      </c>
      <c r="FC158" s="1802">
        <v>0</v>
      </c>
      <c r="FD158" s="1802">
        <v>0</v>
      </c>
      <c r="FE158" s="1802">
        <v>0</v>
      </c>
      <c r="FF158" s="1802">
        <v>0</v>
      </c>
      <c r="FG158" s="1802">
        <v>0</v>
      </c>
      <c r="FH158" s="1802">
        <v>0</v>
      </c>
      <c r="FI158" s="1802">
        <v>0</v>
      </c>
      <c r="FJ158" s="1802">
        <v>0</v>
      </c>
      <c r="FK158" s="1802">
        <v>0</v>
      </c>
      <c r="FL158" s="1802">
        <v>0</v>
      </c>
      <c r="FM158" s="1802">
        <v>0</v>
      </c>
      <c r="FN158" s="1802">
        <v>0</v>
      </c>
      <c r="FO158" s="1802">
        <v>0</v>
      </c>
      <c r="FP158" s="1802">
        <v>0</v>
      </c>
      <c r="FQ158" s="1802">
        <v>0</v>
      </c>
      <c r="FR158" s="1802">
        <v>0</v>
      </c>
      <c r="FS158" s="1802">
        <v>0</v>
      </c>
      <c r="FT158" s="1802">
        <v>0</v>
      </c>
      <c r="FU158" s="1802">
        <v>0</v>
      </c>
      <c r="FV158" s="1802">
        <v>0</v>
      </c>
      <c r="FW158" s="1802">
        <v>0</v>
      </c>
      <c r="FX158" s="1802">
        <v>0</v>
      </c>
      <c r="FY158" s="1802">
        <v>0</v>
      </c>
      <c r="FZ158" s="1802">
        <v>0</v>
      </c>
      <c r="GA158" s="1802">
        <v>0</v>
      </c>
      <c r="GB158" s="1802">
        <v>0</v>
      </c>
      <c r="GC158" s="1802">
        <v>0</v>
      </c>
      <c r="GD158" s="1802">
        <v>0</v>
      </c>
      <c r="GE158" s="1802">
        <v>0</v>
      </c>
      <c r="GF158" s="1802">
        <v>0</v>
      </c>
      <c r="GG158" s="1802">
        <v>0</v>
      </c>
      <c r="GH158" s="1802">
        <v>0</v>
      </c>
      <c r="GI158" s="1802">
        <v>0</v>
      </c>
      <c r="GJ158" s="1802">
        <v>0</v>
      </c>
      <c r="GK158" s="1802">
        <v>0</v>
      </c>
      <c r="GL158" s="1802">
        <v>0</v>
      </c>
      <c r="GM158" s="1802">
        <v>0</v>
      </c>
      <c r="GN158" s="1802">
        <v>0</v>
      </c>
      <c r="GO158" s="1802">
        <v>0</v>
      </c>
      <c r="GP158" s="1802">
        <v>0</v>
      </c>
      <c r="GQ158" s="1802">
        <v>0</v>
      </c>
      <c r="GR158" s="1802">
        <v>0</v>
      </c>
      <c r="GS158" s="1802">
        <v>0</v>
      </c>
      <c r="GT158" s="1802">
        <v>0</v>
      </c>
      <c r="GU158" s="1802">
        <v>0</v>
      </c>
      <c r="GV158" s="1802">
        <v>0</v>
      </c>
      <c r="GW158" s="1802">
        <v>0</v>
      </c>
      <c r="GX158" s="1802">
        <v>0</v>
      </c>
      <c r="GY158" s="1802">
        <v>0</v>
      </c>
      <c r="GZ158" s="1802">
        <v>0</v>
      </c>
      <c r="HA158" s="1802">
        <v>0</v>
      </c>
      <c r="HB158" s="1802">
        <v>0</v>
      </c>
      <c r="HC158" s="1802">
        <v>0</v>
      </c>
      <c r="HD158" s="1802">
        <v>0</v>
      </c>
      <c r="HE158" s="1802">
        <v>0</v>
      </c>
    </row>
    <row r="159" spans="1:213" ht="15" customHeight="1" thickBot="1" x14ac:dyDescent="0.25">
      <c r="A159" s="1965"/>
      <c r="B159" s="2000"/>
      <c r="C159" s="1697" t="s">
        <v>813</v>
      </c>
      <c r="D159" s="1883"/>
      <c r="E159" s="1984"/>
      <c r="F159" s="1836">
        <v>0</v>
      </c>
      <c r="G159" s="1802">
        <v>0</v>
      </c>
      <c r="H159" s="1802">
        <v>0</v>
      </c>
      <c r="I159" s="1802">
        <v>0</v>
      </c>
      <c r="J159" s="1802">
        <v>0</v>
      </c>
      <c r="K159" s="1802">
        <v>0</v>
      </c>
      <c r="L159" s="1802">
        <v>0</v>
      </c>
      <c r="M159" s="1802">
        <v>0</v>
      </c>
      <c r="N159" s="1802">
        <v>0</v>
      </c>
      <c r="O159" s="1802">
        <v>0</v>
      </c>
      <c r="P159" s="1802">
        <v>0</v>
      </c>
      <c r="Q159" s="1802">
        <v>0</v>
      </c>
      <c r="R159" s="1802">
        <v>0</v>
      </c>
      <c r="S159" s="1802">
        <v>0</v>
      </c>
      <c r="T159" s="1802">
        <v>0</v>
      </c>
      <c r="U159" s="1802">
        <v>0</v>
      </c>
      <c r="V159" s="1802">
        <v>0</v>
      </c>
      <c r="W159" s="1802">
        <v>0</v>
      </c>
      <c r="X159" s="1802">
        <v>0</v>
      </c>
      <c r="Y159" s="1802">
        <v>0</v>
      </c>
      <c r="Z159" s="1802">
        <v>0</v>
      </c>
      <c r="AA159" s="1802">
        <v>0</v>
      </c>
      <c r="AB159" s="1802">
        <v>0</v>
      </c>
      <c r="AC159" s="1802">
        <v>0</v>
      </c>
      <c r="AD159" s="1802">
        <v>0</v>
      </c>
      <c r="AE159" s="1802">
        <v>0</v>
      </c>
      <c r="AF159" s="1802">
        <v>0</v>
      </c>
      <c r="AG159" s="1802">
        <v>0</v>
      </c>
      <c r="AH159" s="1802">
        <v>0</v>
      </c>
      <c r="AI159" s="1802">
        <v>0</v>
      </c>
      <c r="AJ159" s="1802">
        <v>0</v>
      </c>
      <c r="AK159" s="1802">
        <v>0</v>
      </c>
      <c r="AL159" s="1802">
        <v>0</v>
      </c>
      <c r="AM159" s="1802">
        <v>0</v>
      </c>
      <c r="AN159" s="1802">
        <v>0</v>
      </c>
      <c r="AO159" s="1802">
        <v>0</v>
      </c>
      <c r="AP159" s="1802">
        <v>0</v>
      </c>
      <c r="AQ159" s="1802">
        <v>0</v>
      </c>
      <c r="AR159" s="1802">
        <v>0</v>
      </c>
      <c r="AS159" s="1802">
        <v>0</v>
      </c>
      <c r="AT159" s="1802">
        <v>0</v>
      </c>
      <c r="AU159" s="1802">
        <v>0</v>
      </c>
      <c r="AV159" s="1802">
        <v>0</v>
      </c>
      <c r="AW159" s="1802">
        <v>0</v>
      </c>
      <c r="AX159" s="1802">
        <v>0</v>
      </c>
      <c r="AY159" s="1802">
        <v>0</v>
      </c>
      <c r="AZ159" s="1802">
        <v>0</v>
      </c>
      <c r="BA159" s="1802">
        <v>0</v>
      </c>
      <c r="BB159" s="1802">
        <v>0</v>
      </c>
      <c r="BC159" s="1802">
        <v>0</v>
      </c>
      <c r="BD159" s="1802">
        <v>0</v>
      </c>
      <c r="BE159" s="1802">
        <v>0</v>
      </c>
      <c r="BF159" s="1802">
        <v>0</v>
      </c>
      <c r="BG159" s="1802">
        <v>0</v>
      </c>
      <c r="BH159" s="1802">
        <v>0</v>
      </c>
      <c r="BI159" s="1802">
        <v>0</v>
      </c>
      <c r="BJ159" s="1802">
        <v>0</v>
      </c>
      <c r="BK159" s="1802">
        <v>0</v>
      </c>
      <c r="BL159" s="1802">
        <v>0</v>
      </c>
      <c r="BM159" s="1802">
        <v>0</v>
      </c>
      <c r="BN159" s="1802">
        <v>0</v>
      </c>
      <c r="BO159" s="1802">
        <v>0</v>
      </c>
      <c r="BP159" s="1802">
        <v>0</v>
      </c>
      <c r="BQ159" s="1802">
        <v>0</v>
      </c>
      <c r="BR159" s="1802">
        <v>0</v>
      </c>
      <c r="BS159" s="1802">
        <v>0</v>
      </c>
      <c r="BT159" s="1802">
        <v>0</v>
      </c>
      <c r="BU159" s="1802">
        <v>0</v>
      </c>
      <c r="BV159" s="1802">
        <v>0</v>
      </c>
      <c r="BW159" s="1802">
        <v>0</v>
      </c>
      <c r="BX159" s="1802">
        <v>0</v>
      </c>
      <c r="BY159" s="1802">
        <v>0</v>
      </c>
      <c r="BZ159" s="1802">
        <v>0</v>
      </c>
      <c r="CA159" s="1802">
        <v>0</v>
      </c>
      <c r="CB159" s="1802">
        <v>0</v>
      </c>
      <c r="CC159" s="1802">
        <v>0</v>
      </c>
      <c r="CD159" s="1802">
        <v>0</v>
      </c>
      <c r="CE159" s="1802">
        <v>0</v>
      </c>
      <c r="CF159" s="1802">
        <v>0</v>
      </c>
      <c r="CG159" s="1802">
        <v>0</v>
      </c>
      <c r="CH159" s="1802">
        <v>0</v>
      </c>
      <c r="CI159" s="1802">
        <v>0</v>
      </c>
      <c r="CJ159" s="1802">
        <v>0</v>
      </c>
      <c r="CK159" s="1802">
        <v>0</v>
      </c>
      <c r="CL159" s="1802">
        <v>0</v>
      </c>
      <c r="CM159" s="1802">
        <v>0</v>
      </c>
      <c r="CN159" s="1802">
        <v>0</v>
      </c>
      <c r="CO159" s="1802">
        <v>0</v>
      </c>
      <c r="CP159" s="1802">
        <v>0</v>
      </c>
      <c r="CQ159" s="1802">
        <v>0</v>
      </c>
      <c r="CR159" s="1802">
        <v>0</v>
      </c>
      <c r="CS159" s="1802">
        <v>0</v>
      </c>
      <c r="CT159" s="1802">
        <v>0</v>
      </c>
      <c r="CU159" s="1802">
        <v>0</v>
      </c>
      <c r="CV159" s="1802">
        <v>0</v>
      </c>
      <c r="CW159" s="1802">
        <v>0</v>
      </c>
      <c r="CX159" s="1802">
        <v>0</v>
      </c>
      <c r="CY159" s="1802">
        <v>0</v>
      </c>
      <c r="CZ159" s="1802">
        <v>0</v>
      </c>
      <c r="DA159" s="1802">
        <v>0</v>
      </c>
      <c r="DB159" s="1802">
        <v>0</v>
      </c>
      <c r="DC159" s="1802">
        <v>0</v>
      </c>
      <c r="DD159" s="1802">
        <v>0</v>
      </c>
      <c r="DE159" s="1802">
        <v>0</v>
      </c>
      <c r="DF159" s="1802">
        <v>0</v>
      </c>
      <c r="DG159" s="1802">
        <v>0</v>
      </c>
      <c r="DH159" s="1802">
        <v>0</v>
      </c>
      <c r="DI159" s="1802">
        <v>0</v>
      </c>
      <c r="DJ159" s="1802">
        <v>0</v>
      </c>
      <c r="DK159" s="1802">
        <v>0</v>
      </c>
      <c r="DL159" s="1802">
        <v>0</v>
      </c>
      <c r="DM159" s="1802">
        <v>0</v>
      </c>
      <c r="DN159" s="1802">
        <v>0</v>
      </c>
      <c r="DO159" s="1802">
        <v>0</v>
      </c>
      <c r="DP159" s="1802">
        <v>0</v>
      </c>
      <c r="DQ159" s="1802">
        <v>0</v>
      </c>
      <c r="DR159" s="1802">
        <v>0</v>
      </c>
      <c r="DS159" s="1802">
        <v>0</v>
      </c>
      <c r="DT159" s="1802">
        <v>0</v>
      </c>
      <c r="DU159" s="1802">
        <v>0</v>
      </c>
      <c r="DV159" s="1802">
        <v>0</v>
      </c>
      <c r="DW159" s="1802">
        <v>0</v>
      </c>
      <c r="DX159" s="1802">
        <v>0</v>
      </c>
      <c r="DY159" s="1802">
        <v>0</v>
      </c>
      <c r="DZ159" s="1802">
        <v>0</v>
      </c>
      <c r="EA159" s="1802">
        <v>0</v>
      </c>
      <c r="EB159" s="1802">
        <v>0</v>
      </c>
      <c r="EC159" s="1802">
        <v>0</v>
      </c>
      <c r="ED159" s="1802">
        <v>0</v>
      </c>
      <c r="EE159" s="1802">
        <v>0</v>
      </c>
      <c r="EF159" s="1802">
        <v>0</v>
      </c>
      <c r="EG159" s="1802">
        <v>0</v>
      </c>
      <c r="EH159" s="1802">
        <v>0</v>
      </c>
      <c r="EI159" s="1802">
        <v>0</v>
      </c>
      <c r="EJ159" s="1802">
        <v>0</v>
      </c>
      <c r="EK159" s="1802">
        <v>0</v>
      </c>
      <c r="EL159" s="1802">
        <v>0</v>
      </c>
      <c r="EM159" s="1802">
        <v>0</v>
      </c>
      <c r="EN159" s="1802">
        <v>0</v>
      </c>
      <c r="EO159" s="1802">
        <v>0</v>
      </c>
      <c r="EP159" s="1802">
        <v>0</v>
      </c>
      <c r="EQ159" s="1802">
        <v>0</v>
      </c>
      <c r="ER159" s="1802">
        <v>0</v>
      </c>
      <c r="ES159" s="1802">
        <v>0</v>
      </c>
      <c r="ET159" s="1802">
        <v>0</v>
      </c>
      <c r="EU159" s="1802">
        <v>0</v>
      </c>
      <c r="EV159" s="1802">
        <v>0</v>
      </c>
      <c r="EW159" s="1802">
        <v>0</v>
      </c>
      <c r="EX159" s="1802">
        <v>0</v>
      </c>
      <c r="EY159" s="1802">
        <v>0</v>
      </c>
      <c r="EZ159" s="1802">
        <v>0</v>
      </c>
      <c r="FA159" s="1802">
        <v>0</v>
      </c>
      <c r="FB159" s="1802">
        <v>0</v>
      </c>
      <c r="FC159" s="1802">
        <v>0</v>
      </c>
      <c r="FD159" s="1802">
        <v>0</v>
      </c>
      <c r="FE159" s="1802">
        <v>0</v>
      </c>
      <c r="FF159" s="1802">
        <v>0</v>
      </c>
      <c r="FG159" s="1802">
        <v>0</v>
      </c>
      <c r="FH159" s="1802">
        <v>0</v>
      </c>
      <c r="FI159" s="1802">
        <v>0</v>
      </c>
      <c r="FJ159" s="1802">
        <v>0</v>
      </c>
      <c r="FK159" s="1802">
        <v>0</v>
      </c>
      <c r="FL159" s="1802">
        <v>0</v>
      </c>
      <c r="FM159" s="1802">
        <v>0</v>
      </c>
      <c r="FN159" s="1802">
        <v>0</v>
      </c>
      <c r="FO159" s="1802">
        <v>0</v>
      </c>
      <c r="FP159" s="1802">
        <v>0</v>
      </c>
      <c r="FQ159" s="1802">
        <v>0</v>
      </c>
      <c r="FR159" s="1802">
        <v>0</v>
      </c>
      <c r="FS159" s="1802">
        <v>0</v>
      </c>
      <c r="FT159" s="1802">
        <v>0</v>
      </c>
      <c r="FU159" s="1802">
        <v>0</v>
      </c>
      <c r="FV159" s="1802">
        <v>0</v>
      </c>
      <c r="FW159" s="1802">
        <v>0</v>
      </c>
      <c r="FX159" s="1802">
        <v>0</v>
      </c>
      <c r="FY159" s="1802">
        <v>0</v>
      </c>
      <c r="FZ159" s="1802">
        <v>0</v>
      </c>
      <c r="GA159" s="1802">
        <v>0</v>
      </c>
      <c r="GB159" s="1802">
        <v>0</v>
      </c>
      <c r="GC159" s="1802">
        <v>0</v>
      </c>
      <c r="GD159" s="1802">
        <v>0</v>
      </c>
      <c r="GE159" s="1802">
        <v>0</v>
      </c>
      <c r="GF159" s="1802">
        <v>0</v>
      </c>
      <c r="GG159" s="1802">
        <v>0</v>
      </c>
      <c r="GH159" s="1802">
        <v>0</v>
      </c>
      <c r="GI159" s="1802">
        <v>0</v>
      </c>
      <c r="GJ159" s="1802">
        <v>0</v>
      </c>
      <c r="GK159" s="1802">
        <v>0</v>
      </c>
      <c r="GL159" s="1802">
        <v>0</v>
      </c>
      <c r="GM159" s="1802">
        <v>0</v>
      </c>
      <c r="GN159" s="1802">
        <v>0</v>
      </c>
      <c r="GO159" s="1802">
        <v>0</v>
      </c>
      <c r="GP159" s="1802">
        <v>0</v>
      </c>
      <c r="GQ159" s="1802">
        <v>0</v>
      </c>
      <c r="GR159" s="1802">
        <v>0</v>
      </c>
      <c r="GS159" s="1802">
        <v>0</v>
      </c>
      <c r="GT159" s="1802">
        <v>0</v>
      </c>
      <c r="GU159" s="1802">
        <v>0</v>
      </c>
      <c r="GV159" s="1802">
        <v>0</v>
      </c>
      <c r="GW159" s="1802">
        <v>0</v>
      </c>
      <c r="GX159" s="1802">
        <v>0</v>
      </c>
      <c r="GY159" s="1802">
        <v>0</v>
      </c>
      <c r="GZ159" s="1802">
        <v>0</v>
      </c>
      <c r="HA159" s="1802">
        <v>0</v>
      </c>
      <c r="HB159" s="1802">
        <v>0</v>
      </c>
      <c r="HC159" s="1802">
        <v>0</v>
      </c>
      <c r="HD159" s="1802">
        <v>0</v>
      </c>
      <c r="HE159" s="1802">
        <v>0</v>
      </c>
    </row>
    <row r="160" spans="1:213" ht="21" customHeight="1" thickBot="1" x14ac:dyDescent="0.25">
      <c r="A160" s="1968" t="s">
        <v>2359</v>
      </c>
      <c r="B160" s="1988" t="s">
        <v>199</v>
      </c>
      <c r="C160" s="1699" t="s">
        <v>816</v>
      </c>
      <c r="D160" s="1880"/>
      <c r="E160" s="1984"/>
      <c r="F160" s="1865"/>
      <c r="G160" s="1866"/>
      <c r="H160" s="1866"/>
      <c r="I160" s="1866"/>
      <c r="J160" s="1866"/>
      <c r="K160" s="1866"/>
      <c r="L160" s="1866"/>
      <c r="M160" s="1866"/>
      <c r="N160" s="1866"/>
      <c r="O160" s="1866"/>
      <c r="P160" s="1866"/>
      <c r="Q160" s="1866"/>
      <c r="R160" s="1866"/>
      <c r="S160" s="1866"/>
      <c r="T160" s="1866"/>
      <c r="U160" s="1866"/>
      <c r="V160" s="1866"/>
      <c r="W160" s="1866"/>
      <c r="X160" s="1866"/>
      <c r="Y160" s="1866"/>
      <c r="Z160" s="1866"/>
      <c r="AA160" s="1866"/>
      <c r="AB160" s="1866"/>
      <c r="AC160" s="1866"/>
      <c r="AD160" s="1866"/>
      <c r="AE160" s="1866"/>
      <c r="AF160" s="1866"/>
      <c r="AG160" s="1866"/>
      <c r="AH160" s="1866"/>
      <c r="AI160" s="1866"/>
      <c r="AJ160" s="1866"/>
      <c r="AK160" s="1866"/>
      <c r="AL160" s="1866"/>
      <c r="AM160" s="1866"/>
      <c r="AN160" s="1866"/>
      <c r="AO160" s="1866"/>
      <c r="AP160" s="1866"/>
      <c r="AQ160" s="1866"/>
      <c r="AR160" s="1866"/>
      <c r="AS160" s="1866"/>
      <c r="AT160" s="1866"/>
      <c r="AU160" s="1866"/>
      <c r="AV160" s="1866"/>
      <c r="AW160" s="1866"/>
      <c r="AX160" s="1866"/>
      <c r="AY160" s="1866"/>
      <c r="AZ160" s="1866"/>
      <c r="BA160" s="1866"/>
      <c r="BB160" s="1866"/>
      <c r="BC160" s="1866"/>
      <c r="BD160" s="1866"/>
      <c r="BE160" s="1866"/>
      <c r="BF160" s="1866"/>
      <c r="BG160" s="1866"/>
      <c r="BH160" s="1866"/>
      <c r="BI160" s="1866"/>
      <c r="BJ160" s="1866"/>
      <c r="BK160" s="1866"/>
      <c r="BL160" s="1866"/>
      <c r="BM160" s="1866"/>
      <c r="BN160" s="1866"/>
      <c r="BO160" s="1866"/>
      <c r="BP160" s="1866"/>
      <c r="BQ160" s="1866"/>
      <c r="BR160" s="1866"/>
      <c r="BS160" s="1866"/>
      <c r="BT160" s="1866"/>
      <c r="BU160" s="1866"/>
      <c r="BV160" s="1866"/>
      <c r="BW160" s="1866"/>
      <c r="BX160" s="1866"/>
      <c r="BY160" s="1866"/>
      <c r="BZ160" s="1866"/>
      <c r="CA160" s="1866"/>
      <c r="CB160" s="1866"/>
      <c r="CC160" s="1866"/>
      <c r="CD160" s="1866"/>
      <c r="CE160" s="1866"/>
      <c r="CF160" s="1866"/>
      <c r="CG160" s="1866"/>
      <c r="CH160" s="1866"/>
      <c r="CI160" s="1866"/>
      <c r="CJ160" s="1866"/>
      <c r="CK160" s="1866"/>
      <c r="CL160" s="1866"/>
      <c r="CM160" s="1866"/>
      <c r="CN160" s="1866"/>
      <c r="CO160" s="1866"/>
      <c r="CP160" s="1866"/>
      <c r="CQ160" s="1866"/>
      <c r="CR160" s="1866"/>
      <c r="CS160" s="1866"/>
      <c r="CT160" s="1866"/>
      <c r="CU160" s="1866"/>
      <c r="CV160" s="1866"/>
      <c r="CW160" s="1866"/>
      <c r="CX160" s="1866"/>
      <c r="CY160" s="1866"/>
      <c r="CZ160" s="1866"/>
      <c r="DA160" s="1866"/>
      <c r="DB160" s="1866"/>
      <c r="DC160" s="1866"/>
      <c r="DD160" s="1866"/>
      <c r="DE160" s="1866"/>
      <c r="DF160" s="1866"/>
      <c r="DG160" s="1866"/>
      <c r="DH160" s="1866"/>
      <c r="DI160" s="1866"/>
      <c r="DJ160" s="1866"/>
      <c r="DK160" s="1866"/>
      <c r="DL160" s="1866"/>
      <c r="DM160" s="1866"/>
      <c r="DN160" s="1866"/>
      <c r="DO160" s="1866"/>
      <c r="DP160" s="1866"/>
      <c r="DQ160" s="1866"/>
      <c r="DR160" s="1866"/>
      <c r="DS160" s="1866"/>
      <c r="DT160" s="1866"/>
      <c r="DU160" s="1866"/>
      <c r="DV160" s="1866"/>
      <c r="DW160" s="1866"/>
      <c r="DX160" s="1866"/>
      <c r="DY160" s="1866"/>
      <c r="DZ160" s="1866"/>
      <c r="EA160" s="1866"/>
      <c r="EB160" s="1866"/>
      <c r="EC160" s="1866"/>
      <c r="ED160" s="1866"/>
      <c r="EE160" s="1866"/>
      <c r="EF160" s="1866"/>
      <c r="EG160" s="1866"/>
      <c r="EH160" s="1866"/>
      <c r="EI160" s="1866"/>
      <c r="EJ160" s="1866"/>
      <c r="EK160" s="1866"/>
      <c r="EL160" s="1866"/>
      <c r="EM160" s="1866"/>
      <c r="EN160" s="1866"/>
      <c r="EO160" s="1866"/>
      <c r="EP160" s="1866"/>
      <c r="EQ160" s="1866"/>
      <c r="ER160" s="1866"/>
      <c r="ES160" s="1866"/>
      <c r="ET160" s="1866"/>
      <c r="EU160" s="1866"/>
      <c r="EV160" s="1866"/>
      <c r="EW160" s="1866"/>
      <c r="EX160" s="1866"/>
      <c r="EY160" s="1866"/>
      <c r="EZ160" s="1866"/>
      <c r="FA160" s="1866"/>
      <c r="FB160" s="1866"/>
      <c r="FC160" s="1866"/>
      <c r="FD160" s="1866"/>
      <c r="FE160" s="1866"/>
      <c r="FF160" s="1866"/>
      <c r="FG160" s="1866"/>
      <c r="FH160" s="1866"/>
      <c r="FI160" s="1866"/>
      <c r="FJ160" s="1866"/>
      <c r="FK160" s="1866"/>
      <c r="FL160" s="1866"/>
      <c r="FM160" s="1866"/>
      <c r="FN160" s="1866"/>
      <c r="FO160" s="1866"/>
      <c r="FP160" s="1866"/>
      <c r="FQ160" s="1866"/>
      <c r="FR160" s="1866"/>
      <c r="FS160" s="1866"/>
      <c r="FT160" s="1866"/>
      <c r="FU160" s="1866"/>
      <c r="FV160" s="1866"/>
      <c r="FW160" s="1866"/>
      <c r="FX160" s="1866"/>
      <c r="FY160" s="1866"/>
      <c r="FZ160" s="1866"/>
      <c r="GA160" s="1866"/>
      <c r="GB160" s="1866"/>
      <c r="GC160" s="1866"/>
      <c r="GD160" s="1866"/>
      <c r="GE160" s="1866"/>
      <c r="GF160" s="1866"/>
      <c r="GG160" s="1866"/>
      <c r="GH160" s="1866"/>
      <c r="GI160" s="1866"/>
      <c r="GJ160" s="1866"/>
      <c r="GK160" s="1866"/>
      <c r="GL160" s="1866"/>
      <c r="GM160" s="1866"/>
      <c r="GN160" s="1866"/>
      <c r="GO160" s="1866"/>
      <c r="GP160" s="1866"/>
      <c r="GQ160" s="1866"/>
      <c r="GR160" s="1866"/>
      <c r="GS160" s="1866"/>
      <c r="GT160" s="1866"/>
      <c r="GU160" s="1866"/>
      <c r="GV160" s="1866"/>
      <c r="GW160" s="1866"/>
      <c r="GX160" s="1866"/>
      <c r="GY160" s="1866"/>
      <c r="GZ160" s="1866"/>
      <c r="HA160" s="1866"/>
      <c r="HB160" s="1866"/>
      <c r="HC160" s="1866"/>
      <c r="HD160" s="1866"/>
      <c r="HE160" s="1866"/>
    </row>
    <row r="161" spans="1:213" ht="15" customHeight="1" x14ac:dyDescent="0.2">
      <c r="A161" s="1966"/>
      <c r="B161" s="1989"/>
      <c r="C161" s="1696" t="s">
        <v>817</v>
      </c>
      <c r="D161" s="1883"/>
      <c r="E161" s="1984"/>
      <c r="F161" s="1836">
        <v>0</v>
      </c>
      <c r="G161" s="1802">
        <v>0</v>
      </c>
      <c r="H161" s="1802">
        <v>0</v>
      </c>
      <c r="I161" s="1802">
        <v>0</v>
      </c>
      <c r="J161" s="1802">
        <v>0</v>
      </c>
      <c r="K161" s="1802">
        <v>0</v>
      </c>
      <c r="L161" s="1802">
        <v>0</v>
      </c>
      <c r="M161" s="1802">
        <v>0</v>
      </c>
      <c r="N161" s="1802">
        <v>0</v>
      </c>
      <c r="O161" s="1802">
        <v>0</v>
      </c>
      <c r="P161" s="1802">
        <v>0</v>
      </c>
      <c r="Q161" s="1802">
        <v>0</v>
      </c>
      <c r="R161" s="1802">
        <v>0</v>
      </c>
      <c r="S161" s="1802">
        <v>0</v>
      </c>
      <c r="T161" s="1802">
        <v>0</v>
      </c>
      <c r="U161" s="1802">
        <v>0</v>
      </c>
      <c r="V161" s="1802">
        <v>0</v>
      </c>
      <c r="W161" s="1802">
        <v>0</v>
      </c>
      <c r="X161" s="1802">
        <v>0</v>
      </c>
      <c r="Y161" s="1802">
        <v>0</v>
      </c>
      <c r="Z161" s="1802">
        <v>0</v>
      </c>
      <c r="AA161" s="1802">
        <v>0</v>
      </c>
      <c r="AB161" s="1802">
        <v>0</v>
      </c>
      <c r="AC161" s="1802">
        <v>0</v>
      </c>
      <c r="AD161" s="1802">
        <v>0</v>
      </c>
      <c r="AE161" s="1802">
        <v>0</v>
      </c>
      <c r="AF161" s="1802">
        <v>0</v>
      </c>
      <c r="AG161" s="1802">
        <v>0</v>
      </c>
      <c r="AH161" s="1802">
        <v>0</v>
      </c>
      <c r="AI161" s="1802">
        <v>0</v>
      </c>
      <c r="AJ161" s="1802">
        <v>0</v>
      </c>
      <c r="AK161" s="1802">
        <v>0</v>
      </c>
      <c r="AL161" s="1802">
        <v>0</v>
      </c>
      <c r="AM161" s="1802">
        <v>0</v>
      </c>
      <c r="AN161" s="1802">
        <v>0</v>
      </c>
      <c r="AO161" s="1802">
        <v>0</v>
      </c>
      <c r="AP161" s="1802">
        <v>0</v>
      </c>
      <c r="AQ161" s="1802">
        <v>0</v>
      </c>
      <c r="AR161" s="1802">
        <v>0</v>
      </c>
      <c r="AS161" s="1802">
        <v>0</v>
      </c>
      <c r="AT161" s="1802">
        <v>0</v>
      </c>
      <c r="AU161" s="1802">
        <v>0</v>
      </c>
      <c r="AV161" s="1802">
        <v>0</v>
      </c>
      <c r="AW161" s="1802">
        <v>0</v>
      </c>
      <c r="AX161" s="1802">
        <v>0</v>
      </c>
      <c r="AY161" s="1802">
        <v>0</v>
      </c>
      <c r="AZ161" s="1802">
        <v>0</v>
      </c>
      <c r="BA161" s="1802">
        <v>0</v>
      </c>
      <c r="BB161" s="1802">
        <v>0</v>
      </c>
      <c r="BC161" s="1802">
        <v>0</v>
      </c>
      <c r="BD161" s="1802">
        <v>0</v>
      </c>
      <c r="BE161" s="1802">
        <v>0</v>
      </c>
      <c r="BF161" s="1802">
        <v>0</v>
      </c>
      <c r="BG161" s="1802">
        <v>0</v>
      </c>
      <c r="BH161" s="1802">
        <v>0</v>
      </c>
      <c r="BI161" s="1802">
        <v>0</v>
      </c>
      <c r="BJ161" s="1802">
        <v>0</v>
      </c>
      <c r="BK161" s="1802">
        <v>0</v>
      </c>
      <c r="BL161" s="1802">
        <v>0</v>
      </c>
      <c r="BM161" s="1802">
        <v>0</v>
      </c>
      <c r="BN161" s="1802">
        <v>0</v>
      </c>
      <c r="BO161" s="1802">
        <v>0</v>
      </c>
      <c r="BP161" s="1802">
        <v>0</v>
      </c>
      <c r="BQ161" s="1802">
        <v>0</v>
      </c>
      <c r="BR161" s="1802">
        <v>0</v>
      </c>
      <c r="BS161" s="1802">
        <v>0</v>
      </c>
      <c r="BT161" s="1802">
        <v>0</v>
      </c>
      <c r="BU161" s="1802">
        <v>0</v>
      </c>
      <c r="BV161" s="1802">
        <v>0</v>
      </c>
      <c r="BW161" s="1802">
        <v>0</v>
      </c>
      <c r="BX161" s="1802">
        <v>0</v>
      </c>
      <c r="BY161" s="1802">
        <v>0</v>
      </c>
      <c r="BZ161" s="1802">
        <v>0</v>
      </c>
      <c r="CA161" s="1802">
        <v>0</v>
      </c>
      <c r="CB161" s="1802">
        <v>0</v>
      </c>
      <c r="CC161" s="1802">
        <v>0</v>
      </c>
      <c r="CD161" s="1802">
        <v>0</v>
      </c>
      <c r="CE161" s="1802">
        <v>0</v>
      </c>
      <c r="CF161" s="1802">
        <v>0</v>
      </c>
      <c r="CG161" s="1802">
        <v>0</v>
      </c>
      <c r="CH161" s="1802">
        <v>0</v>
      </c>
      <c r="CI161" s="1802">
        <v>0</v>
      </c>
      <c r="CJ161" s="1802">
        <v>0</v>
      </c>
      <c r="CK161" s="1802">
        <v>0</v>
      </c>
      <c r="CL161" s="1802">
        <v>0</v>
      </c>
      <c r="CM161" s="1802">
        <v>0</v>
      </c>
      <c r="CN161" s="1802">
        <v>0</v>
      </c>
      <c r="CO161" s="1802">
        <v>0</v>
      </c>
      <c r="CP161" s="1802">
        <v>0</v>
      </c>
      <c r="CQ161" s="1802">
        <v>0</v>
      </c>
      <c r="CR161" s="1802">
        <v>0</v>
      </c>
      <c r="CS161" s="1802">
        <v>0</v>
      </c>
      <c r="CT161" s="1802">
        <v>0</v>
      </c>
      <c r="CU161" s="1802">
        <v>0</v>
      </c>
      <c r="CV161" s="1802">
        <v>0</v>
      </c>
      <c r="CW161" s="1802">
        <v>0</v>
      </c>
      <c r="CX161" s="1802">
        <v>0</v>
      </c>
      <c r="CY161" s="1802">
        <v>0</v>
      </c>
      <c r="CZ161" s="1802">
        <v>0</v>
      </c>
      <c r="DA161" s="1802">
        <v>0</v>
      </c>
      <c r="DB161" s="1802">
        <v>0</v>
      </c>
      <c r="DC161" s="1802">
        <v>0</v>
      </c>
      <c r="DD161" s="1802">
        <v>0</v>
      </c>
      <c r="DE161" s="1802">
        <v>0</v>
      </c>
      <c r="DF161" s="1802">
        <v>0</v>
      </c>
      <c r="DG161" s="1802">
        <v>0</v>
      </c>
      <c r="DH161" s="1802">
        <v>0</v>
      </c>
      <c r="DI161" s="1802">
        <v>0</v>
      </c>
      <c r="DJ161" s="1802">
        <v>0</v>
      </c>
      <c r="DK161" s="1802">
        <v>0</v>
      </c>
      <c r="DL161" s="1802">
        <v>0</v>
      </c>
      <c r="DM161" s="1802">
        <v>0</v>
      </c>
      <c r="DN161" s="1802">
        <v>0</v>
      </c>
      <c r="DO161" s="1802">
        <v>0</v>
      </c>
      <c r="DP161" s="1802">
        <v>0</v>
      </c>
      <c r="DQ161" s="1802">
        <v>0</v>
      </c>
      <c r="DR161" s="1802">
        <v>0</v>
      </c>
      <c r="DS161" s="1802">
        <v>0</v>
      </c>
      <c r="DT161" s="1802">
        <v>0</v>
      </c>
      <c r="DU161" s="1802">
        <v>0</v>
      </c>
      <c r="DV161" s="1802">
        <v>0</v>
      </c>
      <c r="DW161" s="1802">
        <v>0</v>
      </c>
      <c r="DX161" s="1802">
        <v>0</v>
      </c>
      <c r="DY161" s="1802">
        <v>0</v>
      </c>
      <c r="DZ161" s="1802">
        <v>0</v>
      </c>
      <c r="EA161" s="1802">
        <v>0</v>
      </c>
      <c r="EB161" s="1802">
        <v>0</v>
      </c>
      <c r="EC161" s="1802">
        <v>0</v>
      </c>
      <c r="ED161" s="1802">
        <v>0</v>
      </c>
      <c r="EE161" s="1802">
        <v>0</v>
      </c>
      <c r="EF161" s="1802">
        <v>0</v>
      </c>
      <c r="EG161" s="1802">
        <v>0</v>
      </c>
      <c r="EH161" s="1802">
        <v>0</v>
      </c>
      <c r="EI161" s="1802">
        <v>0</v>
      </c>
      <c r="EJ161" s="1802">
        <v>0</v>
      </c>
      <c r="EK161" s="1802">
        <v>0</v>
      </c>
      <c r="EL161" s="1802">
        <v>0</v>
      </c>
      <c r="EM161" s="1802">
        <v>0</v>
      </c>
      <c r="EN161" s="1802">
        <v>0</v>
      </c>
      <c r="EO161" s="1802">
        <v>0</v>
      </c>
      <c r="EP161" s="1802">
        <v>0</v>
      </c>
      <c r="EQ161" s="1802">
        <v>0</v>
      </c>
      <c r="ER161" s="1802">
        <v>0</v>
      </c>
      <c r="ES161" s="1802">
        <v>0</v>
      </c>
      <c r="ET161" s="1802">
        <v>0</v>
      </c>
      <c r="EU161" s="1802">
        <v>0</v>
      </c>
      <c r="EV161" s="1802">
        <v>0</v>
      </c>
      <c r="EW161" s="1802">
        <v>0</v>
      </c>
      <c r="EX161" s="1802">
        <v>0</v>
      </c>
      <c r="EY161" s="1802">
        <v>0</v>
      </c>
      <c r="EZ161" s="1802">
        <v>0</v>
      </c>
      <c r="FA161" s="1802">
        <v>0</v>
      </c>
      <c r="FB161" s="1802">
        <v>0</v>
      </c>
      <c r="FC161" s="1802">
        <v>0</v>
      </c>
      <c r="FD161" s="1802">
        <v>0</v>
      </c>
      <c r="FE161" s="1802">
        <v>0</v>
      </c>
      <c r="FF161" s="1802">
        <v>0</v>
      </c>
      <c r="FG161" s="1802">
        <v>0</v>
      </c>
      <c r="FH161" s="1802">
        <v>0</v>
      </c>
      <c r="FI161" s="1802">
        <v>0</v>
      </c>
      <c r="FJ161" s="1802">
        <v>0</v>
      </c>
      <c r="FK161" s="1802">
        <v>0</v>
      </c>
      <c r="FL161" s="1802">
        <v>0</v>
      </c>
      <c r="FM161" s="1802">
        <v>0</v>
      </c>
      <c r="FN161" s="1802">
        <v>0</v>
      </c>
      <c r="FO161" s="1802">
        <v>0</v>
      </c>
      <c r="FP161" s="1802">
        <v>0</v>
      </c>
      <c r="FQ161" s="1802">
        <v>0</v>
      </c>
      <c r="FR161" s="1802">
        <v>0</v>
      </c>
      <c r="FS161" s="1802">
        <v>0</v>
      </c>
      <c r="FT161" s="1802">
        <v>0</v>
      </c>
      <c r="FU161" s="1802">
        <v>0</v>
      </c>
      <c r="FV161" s="1802">
        <v>0</v>
      </c>
      <c r="FW161" s="1802">
        <v>0</v>
      </c>
      <c r="FX161" s="1802">
        <v>0</v>
      </c>
      <c r="FY161" s="1802">
        <v>0</v>
      </c>
      <c r="FZ161" s="1802">
        <v>0</v>
      </c>
      <c r="GA161" s="1802">
        <v>0</v>
      </c>
      <c r="GB161" s="1802">
        <v>0</v>
      </c>
      <c r="GC161" s="1802">
        <v>0</v>
      </c>
      <c r="GD161" s="1802">
        <v>0</v>
      </c>
      <c r="GE161" s="1802">
        <v>0</v>
      </c>
      <c r="GF161" s="1802">
        <v>0</v>
      </c>
      <c r="GG161" s="1802">
        <v>0</v>
      </c>
      <c r="GH161" s="1802">
        <v>0</v>
      </c>
      <c r="GI161" s="1802">
        <v>0</v>
      </c>
      <c r="GJ161" s="1802">
        <v>0</v>
      </c>
      <c r="GK161" s="1802">
        <v>0</v>
      </c>
      <c r="GL161" s="1802">
        <v>0</v>
      </c>
      <c r="GM161" s="1802">
        <v>0</v>
      </c>
      <c r="GN161" s="1802">
        <v>0</v>
      </c>
      <c r="GO161" s="1802">
        <v>0</v>
      </c>
      <c r="GP161" s="1802">
        <v>0</v>
      </c>
      <c r="GQ161" s="1802">
        <v>0</v>
      </c>
      <c r="GR161" s="1802">
        <v>0</v>
      </c>
      <c r="GS161" s="1802">
        <v>0</v>
      </c>
      <c r="GT161" s="1802">
        <v>0</v>
      </c>
      <c r="GU161" s="1802">
        <v>0</v>
      </c>
      <c r="GV161" s="1802">
        <v>0</v>
      </c>
      <c r="GW161" s="1802">
        <v>0</v>
      </c>
      <c r="GX161" s="1802">
        <v>0</v>
      </c>
      <c r="GY161" s="1802">
        <v>0</v>
      </c>
      <c r="GZ161" s="1802">
        <v>0</v>
      </c>
      <c r="HA161" s="1802">
        <v>0</v>
      </c>
      <c r="HB161" s="1802">
        <v>0</v>
      </c>
      <c r="HC161" s="1802">
        <v>0</v>
      </c>
      <c r="HD161" s="1802">
        <v>0</v>
      </c>
      <c r="HE161" s="1802">
        <v>0</v>
      </c>
    </row>
    <row r="162" spans="1:213" ht="15" customHeight="1" thickBot="1" x14ac:dyDescent="0.25">
      <c r="A162" s="1967"/>
      <c r="B162" s="1991"/>
      <c r="C162" s="1697" t="s">
        <v>86</v>
      </c>
      <c r="D162" s="1883"/>
      <c r="E162" s="1984"/>
      <c r="F162" s="1836">
        <v>0</v>
      </c>
      <c r="G162" s="1802">
        <v>0</v>
      </c>
      <c r="H162" s="1802">
        <v>0</v>
      </c>
      <c r="I162" s="1802">
        <v>0</v>
      </c>
      <c r="J162" s="1802">
        <v>0</v>
      </c>
      <c r="K162" s="1802">
        <v>0</v>
      </c>
      <c r="L162" s="1802">
        <v>0</v>
      </c>
      <c r="M162" s="1802">
        <v>0</v>
      </c>
      <c r="N162" s="1802">
        <v>0</v>
      </c>
      <c r="O162" s="1802">
        <v>0</v>
      </c>
      <c r="P162" s="1802">
        <v>0</v>
      </c>
      <c r="Q162" s="1802">
        <v>0</v>
      </c>
      <c r="R162" s="1802">
        <v>0</v>
      </c>
      <c r="S162" s="1802">
        <v>0</v>
      </c>
      <c r="T162" s="1802">
        <v>0</v>
      </c>
      <c r="U162" s="1802">
        <v>0</v>
      </c>
      <c r="V162" s="1802">
        <v>0</v>
      </c>
      <c r="W162" s="1802">
        <v>0</v>
      </c>
      <c r="X162" s="1802">
        <v>0</v>
      </c>
      <c r="Y162" s="1802">
        <v>0</v>
      </c>
      <c r="Z162" s="1802">
        <v>0</v>
      </c>
      <c r="AA162" s="1802">
        <v>0</v>
      </c>
      <c r="AB162" s="1802">
        <v>0</v>
      </c>
      <c r="AC162" s="1802">
        <v>0</v>
      </c>
      <c r="AD162" s="1802">
        <v>0</v>
      </c>
      <c r="AE162" s="1802">
        <v>0</v>
      </c>
      <c r="AF162" s="1802">
        <v>0</v>
      </c>
      <c r="AG162" s="1802">
        <v>0</v>
      </c>
      <c r="AH162" s="1802">
        <v>0</v>
      </c>
      <c r="AI162" s="1802">
        <v>0</v>
      </c>
      <c r="AJ162" s="1802">
        <v>0</v>
      </c>
      <c r="AK162" s="1802">
        <v>0</v>
      </c>
      <c r="AL162" s="1802">
        <v>0</v>
      </c>
      <c r="AM162" s="1802">
        <v>0</v>
      </c>
      <c r="AN162" s="1802">
        <v>0</v>
      </c>
      <c r="AO162" s="1802">
        <v>0</v>
      </c>
      <c r="AP162" s="1802">
        <v>0</v>
      </c>
      <c r="AQ162" s="1802">
        <v>0</v>
      </c>
      <c r="AR162" s="1802">
        <v>0</v>
      </c>
      <c r="AS162" s="1802">
        <v>0</v>
      </c>
      <c r="AT162" s="1802">
        <v>0</v>
      </c>
      <c r="AU162" s="1802">
        <v>0</v>
      </c>
      <c r="AV162" s="1802">
        <v>0</v>
      </c>
      <c r="AW162" s="1802">
        <v>0</v>
      </c>
      <c r="AX162" s="1802">
        <v>0</v>
      </c>
      <c r="AY162" s="1802">
        <v>0</v>
      </c>
      <c r="AZ162" s="1802">
        <v>0</v>
      </c>
      <c r="BA162" s="1802">
        <v>0</v>
      </c>
      <c r="BB162" s="1802">
        <v>0</v>
      </c>
      <c r="BC162" s="1802">
        <v>0</v>
      </c>
      <c r="BD162" s="1802">
        <v>0</v>
      </c>
      <c r="BE162" s="1802">
        <v>0</v>
      </c>
      <c r="BF162" s="1802">
        <v>0</v>
      </c>
      <c r="BG162" s="1802">
        <v>0</v>
      </c>
      <c r="BH162" s="1802">
        <v>0</v>
      </c>
      <c r="BI162" s="1802">
        <v>0</v>
      </c>
      <c r="BJ162" s="1802">
        <v>0</v>
      </c>
      <c r="BK162" s="1802">
        <v>0</v>
      </c>
      <c r="BL162" s="1802">
        <v>0</v>
      </c>
      <c r="BM162" s="1802">
        <v>0</v>
      </c>
      <c r="BN162" s="1802">
        <v>0</v>
      </c>
      <c r="BO162" s="1802">
        <v>0</v>
      </c>
      <c r="BP162" s="1802">
        <v>0</v>
      </c>
      <c r="BQ162" s="1802">
        <v>0</v>
      </c>
      <c r="BR162" s="1802">
        <v>0</v>
      </c>
      <c r="BS162" s="1802">
        <v>0</v>
      </c>
      <c r="BT162" s="1802">
        <v>0</v>
      </c>
      <c r="BU162" s="1802">
        <v>0</v>
      </c>
      <c r="BV162" s="1802">
        <v>0</v>
      </c>
      <c r="BW162" s="1802">
        <v>0</v>
      </c>
      <c r="BX162" s="1802">
        <v>0</v>
      </c>
      <c r="BY162" s="1802">
        <v>0</v>
      </c>
      <c r="BZ162" s="1802">
        <v>0</v>
      </c>
      <c r="CA162" s="1802">
        <v>0</v>
      </c>
      <c r="CB162" s="1802">
        <v>0</v>
      </c>
      <c r="CC162" s="1802">
        <v>0</v>
      </c>
      <c r="CD162" s="1802">
        <v>0</v>
      </c>
      <c r="CE162" s="1802">
        <v>0</v>
      </c>
      <c r="CF162" s="1802">
        <v>0</v>
      </c>
      <c r="CG162" s="1802">
        <v>0</v>
      </c>
      <c r="CH162" s="1802">
        <v>0</v>
      </c>
      <c r="CI162" s="1802">
        <v>0</v>
      </c>
      <c r="CJ162" s="1802">
        <v>0</v>
      </c>
      <c r="CK162" s="1802">
        <v>0</v>
      </c>
      <c r="CL162" s="1802">
        <v>0</v>
      </c>
      <c r="CM162" s="1802">
        <v>0</v>
      </c>
      <c r="CN162" s="1802">
        <v>0</v>
      </c>
      <c r="CO162" s="1802">
        <v>0</v>
      </c>
      <c r="CP162" s="1802">
        <v>0</v>
      </c>
      <c r="CQ162" s="1802">
        <v>0</v>
      </c>
      <c r="CR162" s="1802">
        <v>0</v>
      </c>
      <c r="CS162" s="1802">
        <v>0</v>
      </c>
      <c r="CT162" s="1802">
        <v>0</v>
      </c>
      <c r="CU162" s="1802">
        <v>0</v>
      </c>
      <c r="CV162" s="1802">
        <v>0</v>
      </c>
      <c r="CW162" s="1802">
        <v>0</v>
      </c>
      <c r="CX162" s="1802">
        <v>0</v>
      </c>
      <c r="CY162" s="1802">
        <v>0</v>
      </c>
      <c r="CZ162" s="1802">
        <v>0</v>
      </c>
      <c r="DA162" s="1802">
        <v>0</v>
      </c>
      <c r="DB162" s="1802">
        <v>0</v>
      </c>
      <c r="DC162" s="1802">
        <v>0</v>
      </c>
      <c r="DD162" s="1802">
        <v>0</v>
      </c>
      <c r="DE162" s="1802">
        <v>0</v>
      </c>
      <c r="DF162" s="1802">
        <v>0</v>
      </c>
      <c r="DG162" s="1802">
        <v>0</v>
      </c>
      <c r="DH162" s="1802">
        <v>0</v>
      </c>
      <c r="DI162" s="1802">
        <v>0</v>
      </c>
      <c r="DJ162" s="1802">
        <v>0</v>
      </c>
      <c r="DK162" s="1802">
        <v>0</v>
      </c>
      <c r="DL162" s="1802">
        <v>0</v>
      </c>
      <c r="DM162" s="1802">
        <v>0</v>
      </c>
      <c r="DN162" s="1802">
        <v>0</v>
      </c>
      <c r="DO162" s="1802">
        <v>0</v>
      </c>
      <c r="DP162" s="1802">
        <v>0</v>
      </c>
      <c r="DQ162" s="1802">
        <v>0</v>
      </c>
      <c r="DR162" s="1802">
        <v>0</v>
      </c>
      <c r="DS162" s="1802">
        <v>0</v>
      </c>
      <c r="DT162" s="1802">
        <v>0</v>
      </c>
      <c r="DU162" s="1802">
        <v>0</v>
      </c>
      <c r="DV162" s="1802">
        <v>0</v>
      </c>
      <c r="DW162" s="1802">
        <v>0</v>
      </c>
      <c r="DX162" s="1802">
        <v>0</v>
      </c>
      <c r="DY162" s="1802">
        <v>0</v>
      </c>
      <c r="DZ162" s="1802">
        <v>0</v>
      </c>
      <c r="EA162" s="1802">
        <v>0</v>
      </c>
      <c r="EB162" s="1802">
        <v>0</v>
      </c>
      <c r="EC162" s="1802">
        <v>0</v>
      </c>
      <c r="ED162" s="1802">
        <v>0</v>
      </c>
      <c r="EE162" s="1802">
        <v>0</v>
      </c>
      <c r="EF162" s="1802">
        <v>0</v>
      </c>
      <c r="EG162" s="1802">
        <v>0</v>
      </c>
      <c r="EH162" s="1802">
        <v>0</v>
      </c>
      <c r="EI162" s="1802">
        <v>0</v>
      </c>
      <c r="EJ162" s="1802">
        <v>0</v>
      </c>
      <c r="EK162" s="1802">
        <v>0</v>
      </c>
      <c r="EL162" s="1802">
        <v>0</v>
      </c>
      <c r="EM162" s="1802">
        <v>0</v>
      </c>
      <c r="EN162" s="1802">
        <v>0</v>
      </c>
      <c r="EO162" s="1802">
        <v>0</v>
      </c>
      <c r="EP162" s="1802">
        <v>0</v>
      </c>
      <c r="EQ162" s="1802">
        <v>0</v>
      </c>
      <c r="ER162" s="1802">
        <v>0</v>
      </c>
      <c r="ES162" s="1802">
        <v>0</v>
      </c>
      <c r="ET162" s="1802">
        <v>0</v>
      </c>
      <c r="EU162" s="1802">
        <v>0</v>
      </c>
      <c r="EV162" s="1802">
        <v>0</v>
      </c>
      <c r="EW162" s="1802">
        <v>0</v>
      </c>
      <c r="EX162" s="1802">
        <v>0</v>
      </c>
      <c r="EY162" s="1802">
        <v>0</v>
      </c>
      <c r="EZ162" s="1802">
        <v>0</v>
      </c>
      <c r="FA162" s="1802">
        <v>0</v>
      </c>
      <c r="FB162" s="1802">
        <v>0</v>
      </c>
      <c r="FC162" s="1802">
        <v>0</v>
      </c>
      <c r="FD162" s="1802">
        <v>0</v>
      </c>
      <c r="FE162" s="1802">
        <v>0</v>
      </c>
      <c r="FF162" s="1802">
        <v>0</v>
      </c>
      <c r="FG162" s="1802">
        <v>0</v>
      </c>
      <c r="FH162" s="1802">
        <v>0</v>
      </c>
      <c r="FI162" s="1802">
        <v>0</v>
      </c>
      <c r="FJ162" s="1802">
        <v>0</v>
      </c>
      <c r="FK162" s="1802">
        <v>0</v>
      </c>
      <c r="FL162" s="1802">
        <v>0</v>
      </c>
      <c r="FM162" s="1802">
        <v>0</v>
      </c>
      <c r="FN162" s="1802">
        <v>0</v>
      </c>
      <c r="FO162" s="1802">
        <v>0</v>
      </c>
      <c r="FP162" s="1802">
        <v>0</v>
      </c>
      <c r="FQ162" s="1802">
        <v>0</v>
      </c>
      <c r="FR162" s="1802">
        <v>0</v>
      </c>
      <c r="FS162" s="1802">
        <v>0</v>
      </c>
      <c r="FT162" s="1802">
        <v>0</v>
      </c>
      <c r="FU162" s="1802">
        <v>0</v>
      </c>
      <c r="FV162" s="1802">
        <v>0</v>
      </c>
      <c r="FW162" s="1802">
        <v>0</v>
      </c>
      <c r="FX162" s="1802">
        <v>0</v>
      </c>
      <c r="FY162" s="1802">
        <v>0</v>
      </c>
      <c r="FZ162" s="1802">
        <v>0</v>
      </c>
      <c r="GA162" s="1802">
        <v>0</v>
      </c>
      <c r="GB162" s="1802">
        <v>0</v>
      </c>
      <c r="GC162" s="1802">
        <v>0</v>
      </c>
      <c r="GD162" s="1802">
        <v>0</v>
      </c>
      <c r="GE162" s="1802">
        <v>0</v>
      </c>
      <c r="GF162" s="1802">
        <v>0</v>
      </c>
      <c r="GG162" s="1802">
        <v>0</v>
      </c>
      <c r="GH162" s="1802">
        <v>0</v>
      </c>
      <c r="GI162" s="1802">
        <v>0</v>
      </c>
      <c r="GJ162" s="1802">
        <v>0</v>
      </c>
      <c r="GK162" s="1802">
        <v>0</v>
      </c>
      <c r="GL162" s="1802">
        <v>0</v>
      </c>
      <c r="GM162" s="1802">
        <v>0</v>
      </c>
      <c r="GN162" s="1802">
        <v>0</v>
      </c>
      <c r="GO162" s="1802">
        <v>0</v>
      </c>
      <c r="GP162" s="1802">
        <v>0</v>
      </c>
      <c r="GQ162" s="1802">
        <v>0</v>
      </c>
      <c r="GR162" s="1802">
        <v>0</v>
      </c>
      <c r="GS162" s="1802">
        <v>0</v>
      </c>
      <c r="GT162" s="1802">
        <v>0</v>
      </c>
      <c r="GU162" s="1802">
        <v>0</v>
      </c>
      <c r="GV162" s="1802">
        <v>0</v>
      </c>
      <c r="GW162" s="1802">
        <v>0</v>
      </c>
      <c r="GX162" s="1802">
        <v>0</v>
      </c>
      <c r="GY162" s="1802">
        <v>0</v>
      </c>
      <c r="GZ162" s="1802">
        <v>0</v>
      </c>
      <c r="HA162" s="1802">
        <v>0</v>
      </c>
      <c r="HB162" s="1802">
        <v>0</v>
      </c>
      <c r="HC162" s="1802">
        <v>0</v>
      </c>
      <c r="HD162" s="1802">
        <v>0</v>
      </c>
      <c r="HE162" s="1802">
        <v>0</v>
      </c>
    </row>
    <row r="163" spans="1:213" ht="21" customHeight="1" thickBot="1" x14ac:dyDescent="0.25">
      <c r="A163" s="1963" t="s">
        <v>2360</v>
      </c>
      <c r="B163" s="1998" t="s">
        <v>704</v>
      </c>
      <c r="C163" s="1699" t="s">
        <v>856</v>
      </c>
      <c r="D163" s="1880"/>
      <c r="E163" s="1984"/>
      <c r="F163" s="1865"/>
      <c r="G163" s="1866"/>
      <c r="H163" s="1866"/>
      <c r="I163" s="1866"/>
      <c r="J163" s="1866"/>
      <c r="K163" s="1866"/>
      <c r="L163" s="1866"/>
      <c r="M163" s="1866"/>
      <c r="N163" s="1866"/>
      <c r="O163" s="1866"/>
      <c r="P163" s="1866"/>
      <c r="Q163" s="1866"/>
      <c r="R163" s="1866"/>
      <c r="S163" s="1866"/>
      <c r="T163" s="1866"/>
      <c r="U163" s="1866"/>
      <c r="V163" s="1866"/>
      <c r="W163" s="1866"/>
      <c r="X163" s="1866"/>
      <c r="Y163" s="1866"/>
      <c r="Z163" s="1866"/>
      <c r="AA163" s="1866"/>
      <c r="AB163" s="1866"/>
      <c r="AC163" s="1866"/>
      <c r="AD163" s="1866"/>
      <c r="AE163" s="1866"/>
      <c r="AF163" s="1866"/>
      <c r="AG163" s="1866"/>
      <c r="AH163" s="1866"/>
      <c r="AI163" s="1866"/>
      <c r="AJ163" s="1866"/>
      <c r="AK163" s="1866"/>
      <c r="AL163" s="1866"/>
      <c r="AM163" s="1866"/>
      <c r="AN163" s="1866"/>
      <c r="AO163" s="1866"/>
      <c r="AP163" s="1866"/>
      <c r="AQ163" s="1866"/>
      <c r="AR163" s="1866"/>
      <c r="AS163" s="1866"/>
      <c r="AT163" s="1866"/>
      <c r="AU163" s="1866"/>
      <c r="AV163" s="1866"/>
      <c r="AW163" s="1866"/>
      <c r="AX163" s="1866"/>
      <c r="AY163" s="1866"/>
      <c r="AZ163" s="1866"/>
      <c r="BA163" s="1866"/>
      <c r="BB163" s="1866"/>
      <c r="BC163" s="1866"/>
      <c r="BD163" s="1866"/>
      <c r="BE163" s="1866"/>
      <c r="BF163" s="1866"/>
      <c r="BG163" s="1866"/>
      <c r="BH163" s="1866"/>
      <c r="BI163" s="1866"/>
      <c r="BJ163" s="1866"/>
      <c r="BK163" s="1866"/>
      <c r="BL163" s="1866"/>
      <c r="BM163" s="1866"/>
      <c r="BN163" s="1866"/>
      <c r="BO163" s="1866"/>
      <c r="BP163" s="1866"/>
      <c r="BQ163" s="1866"/>
      <c r="BR163" s="1866"/>
      <c r="BS163" s="1866"/>
      <c r="BT163" s="1866"/>
      <c r="BU163" s="1866"/>
      <c r="BV163" s="1866"/>
      <c r="BW163" s="1866"/>
      <c r="BX163" s="1866"/>
      <c r="BY163" s="1866"/>
      <c r="BZ163" s="1866"/>
      <c r="CA163" s="1866"/>
      <c r="CB163" s="1866"/>
      <c r="CC163" s="1866"/>
      <c r="CD163" s="1866"/>
      <c r="CE163" s="1866"/>
      <c r="CF163" s="1866"/>
      <c r="CG163" s="1866"/>
      <c r="CH163" s="1866"/>
      <c r="CI163" s="1866"/>
      <c r="CJ163" s="1866"/>
      <c r="CK163" s="1866"/>
      <c r="CL163" s="1866"/>
      <c r="CM163" s="1866"/>
      <c r="CN163" s="1866"/>
      <c r="CO163" s="1866"/>
      <c r="CP163" s="1866"/>
      <c r="CQ163" s="1866"/>
      <c r="CR163" s="1866"/>
      <c r="CS163" s="1866"/>
      <c r="CT163" s="1866"/>
      <c r="CU163" s="1866"/>
      <c r="CV163" s="1866"/>
      <c r="CW163" s="1866"/>
      <c r="CX163" s="1866"/>
      <c r="CY163" s="1866"/>
      <c r="CZ163" s="1866"/>
      <c r="DA163" s="1866"/>
      <c r="DB163" s="1866"/>
      <c r="DC163" s="1866"/>
      <c r="DD163" s="1866"/>
      <c r="DE163" s="1866"/>
      <c r="DF163" s="1866"/>
      <c r="DG163" s="1866"/>
      <c r="DH163" s="1866"/>
      <c r="DI163" s="1866"/>
      <c r="DJ163" s="1866"/>
      <c r="DK163" s="1866"/>
      <c r="DL163" s="1866"/>
      <c r="DM163" s="1866"/>
      <c r="DN163" s="1866"/>
      <c r="DO163" s="1866"/>
      <c r="DP163" s="1866"/>
      <c r="DQ163" s="1866"/>
      <c r="DR163" s="1866"/>
      <c r="DS163" s="1866"/>
      <c r="DT163" s="1866"/>
      <c r="DU163" s="1866"/>
      <c r="DV163" s="1866"/>
      <c r="DW163" s="1866"/>
      <c r="DX163" s="1866"/>
      <c r="DY163" s="1866"/>
      <c r="DZ163" s="1866"/>
      <c r="EA163" s="1866"/>
      <c r="EB163" s="1866"/>
      <c r="EC163" s="1866"/>
      <c r="ED163" s="1866"/>
      <c r="EE163" s="1866"/>
      <c r="EF163" s="1866"/>
      <c r="EG163" s="1866"/>
      <c r="EH163" s="1866"/>
      <c r="EI163" s="1866"/>
      <c r="EJ163" s="1866"/>
      <c r="EK163" s="1866"/>
      <c r="EL163" s="1866"/>
      <c r="EM163" s="1866"/>
      <c r="EN163" s="1866"/>
      <c r="EO163" s="1866"/>
      <c r="EP163" s="1866"/>
      <c r="EQ163" s="1866"/>
      <c r="ER163" s="1866"/>
      <c r="ES163" s="1866"/>
      <c r="ET163" s="1866"/>
      <c r="EU163" s="1866"/>
      <c r="EV163" s="1866"/>
      <c r="EW163" s="1866"/>
      <c r="EX163" s="1866"/>
      <c r="EY163" s="1866"/>
      <c r="EZ163" s="1866"/>
      <c r="FA163" s="1866"/>
      <c r="FB163" s="1866"/>
      <c r="FC163" s="1866"/>
      <c r="FD163" s="1866"/>
      <c r="FE163" s="1866"/>
      <c r="FF163" s="1866"/>
      <c r="FG163" s="1866"/>
      <c r="FH163" s="1866"/>
      <c r="FI163" s="1866"/>
      <c r="FJ163" s="1866"/>
      <c r="FK163" s="1866"/>
      <c r="FL163" s="1866"/>
      <c r="FM163" s="1866"/>
      <c r="FN163" s="1866"/>
      <c r="FO163" s="1866"/>
      <c r="FP163" s="1866"/>
      <c r="FQ163" s="1866"/>
      <c r="FR163" s="1866"/>
      <c r="FS163" s="1866"/>
      <c r="FT163" s="1866"/>
      <c r="FU163" s="1866"/>
      <c r="FV163" s="1866"/>
      <c r="FW163" s="1866"/>
      <c r="FX163" s="1866"/>
      <c r="FY163" s="1866"/>
      <c r="FZ163" s="1866"/>
      <c r="GA163" s="1866"/>
      <c r="GB163" s="1866"/>
      <c r="GC163" s="1866"/>
      <c r="GD163" s="1866"/>
      <c r="GE163" s="1866"/>
      <c r="GF163" s="1866"/>
      <c r="GG163" s="1866"/>
      <c r="GH163" s="1866"/>
      <c r="GI163" s="1866"/>
      <c r="GJ163" s="1866"/>
      <c r="GK163" s="1866"/>
      <c r="GL163" s="1866"/>
      <c r="GM163" s="1866"/>
      <c r="GN163" s="1866"/>
      <c r="GO163" s="1866"/>
      <c r="GP163" s="1866"/>
      <c r="GQ163" s="1866"/>
      <c r="GR163" s="1866"/>
      <c r="GS163" s="1866"/>
      <c r="GT163" s="1866"/>
      <c r="GU163" s="1866"/>
      <c r="GV163" s="1866"/>
      <c r="GW163" s="1866"/>
      <c r="GX163" s="1866"/>
      <c r="GY163" s="1866"/>
      <c r="GZ163" s="1866"/>
      <c r="HA163" s="1866"/>
      <c r="HB163" s="1866"/>
      <c r="HC163" s="1866"/>
      <c r="HD163" s="1866"/>
      <c r="HE163" s="1866"/>
    </row>
    <row r="164" spans="1:213" ht="15" customHeight="1" x14ac:dyDescent="0.2">
      <c r="A164" s="1964"/>
      <c r="B164" s="1999"/>
      <c r="C164" s="1696" t="s">
        <v>1373</v>
      </c>
      <c r="D164" s="1883"/>
      <c r="E164" s="1984"/>
      <c r="F164" s="1838">
        <v>0</v>
      </c>
      <c r="G164" s="1804">
        <v>0</v>
      </c>
      <c r="H164" s="1804">
        <v>0</v>
      </c>
      <c r="I164" s="1804">
        <v>0</v>
      </c>
      <c r="J164" s="1804">
        <v>0</v>
      </c>
      <c r="K164" s="1804">
        <v>0</v>
      </c>
      <c r="L164" s="1804">
        <v>0</v>
      </c>
      <c r="M164" s="1804">
        <v>0</v>
      </c>
      <c r="N164" s="1804">
        <v>0</v>
      </c>
      <c r="O164" s="1804">
        <v>0</v>
      </c>
      <c r="P164" s="1804">
        <v>0</v>
      </c>
      <c r="Q164" s="1804">
        <v>0</v>
      </c>
      <c r="R164" s="1804">
        <v>0</v>
      </c>
      <c r="S164" s="1804">
        <v>0</v>
      </c>
      <c r="T164" s="1804">
        <v>0</v>
      </c>
      <c r="U164" s="1804">
        <v>0</v>
      </c>
      <c r="V164" s="1804">
        <v>0</v>
      </c>
      <c r="W164" s="1804">
        <v>0</v>
      </c>
      <c r="X164" s="1804">
        <v>0</v>
      </c>
      <c r="Y164" s="1804">
        <v>0</v>
      </c>
      <c r="Z164" s="1804">
        <v>0</v>
      </c>
      <c r="AA164" s="1804">
        <v>0</v>
      </c>
      <c r="AB164" s="1804">
        <v>0</v>
      </c>
      <c r="AC164" s="1804">
        <v>0</v>
      </c>
      <c r="AD164" s="1804">
        <v>0</v>
      </c>
      <c r="AE164" s="1804">
        <v>0</v>
      </c>
      <c r="AF164" s="1804">
        <v>0</v>
      </c>
      <c r="AG164" s="1804">
        <v>0</v>
      </c>
      <c r="AH164" s="1804">
        <v>0</v>
      </c>
      <c r="AI164" s="1804">
        <v>0</v>
      </c>
      <c r="AJ164" s="1804">
        <v>0</v>
      </c>
      <c r="AK164" s="1804">
        <v>0</v>
      </c>
      <c r="AL164" s="1804">
        <v>0</v>
      </c>
      <c r="AM164" s="1804">
        <v>0</v>
      </c>
      <c r="AN164" s="1804">
        <v>0</v>
      </c>
      <c r="AO164" s="1804">
        <v>0</v>
      </c>
      <c r="AP164" s="1804">
        <v>0</v>
      </c>
      <c r="AQ164" s="1804">
        <v>0</v>
      </c>
      <c r="AR164" s="1804">
        <v>0</v>
      </c>
      <c r="AS164" s="1804">
        <v>0</v>
      </c>
      <c r="AT164" s="1804">
        <v>0</v>
      </c>
      <c r="AU164" s="1804">
        <v>0</v>
      </c>
      <c r="AV164" s="1804">
        <v>0</v>
      </c>
      <c r="AW164" s="1804">
        <v>0</v>
      </c>
      <c r="AX164" s="1804">
        <v>0</v>
      </c>
      <c r="AY164" s="1804">
        <v>0</v>
      </c>
      <c r="AZ164" s="1804">
        <v>0</v>
      </c>
      <c r="BA164" s="1804">
        <v>0</v>
      </c>
      <c r="BB164" s="1804">
        <v>0</v>
      </c>
      <c r="BC164" s="1804">
        <v>0</v>
      </c>
      <c r="BD164" s="1804">
        <v>0</v>
      </c>
      <c r="BE164" s="1804">
        <v>0</v>
      </c>
      <c r="BF164" s="1804">
        <v>0</v>
      </c>
      <c r="BG164" s="1804">
        <v>0</v>
      </c>
      <c r="BH164" s="1804">
        <v>0</v>
      </c>
      <c r="BI164" s="1804">
        <v>0</v>
      </c>
      <c r="BJ164" s="1804">
        <v>0</v>
      </c>
      <c r="BK164" s="1804">
        <v>0</v>
      </c>
      <c r="BL164" s="1804">
        <v>0</v>
      </c>
      <c r="BM164" s="1804">
        <v>0</v>
      </c>
      <c r="BN164" s="1804">
        <v>0</v>
      </c>
      <c r="BO164" s="1804">
        <v>0</v>
      </c>
      <c r="BP164" s="1804">
        <v>0</v>
      </c>
      <c r="BQ164" s="1804">
        <v>0</v>
      </c>
      <c r="BR164" s="1804">
        <v>0</v>
      </c>
      <c r="BS164" s="1804">
        <v>0</v>
      </c>
      <c r="BT164" s="1804">
        <v>0</v>
      </c>
      <c r="BU164" s="1804">
        <v>0</v>
      </c>
      <c r="BV164" s="1804">
        <v>0</v>
      </c>
      <c r="BW164" s="1804">
        <v>0</v>
      </c>
      <c r="BX164" s="1804">
        <v>0</v>
      </c>
      <c r="BY164" s="1804">
        <v>0</v>
      </c>
      <c r="BZ164" s="1804">
        <v>0</v>
      </c>
      <c r="CA164" s="1804">
        <v>0</v>
      </c>
      <c r="CB164" s="1804">
        <v>0</v>
      </c>
      <c r="CC164" s="1804">
        <v>0</v>
      </c>
      <c r="CD164" s="1804">
        <v>0</v>
      </c>
      <c r="CE164" s="1804">
        <v>0</v>
      </c>
      <c r="CF164" s="1804">
        <v>0</v>
      </c>
      <c r="CG164" s="1804">
        <v>0</v>
      </c>
      <c r="CH164" s="1804">
        <v>0</v>
      </c>
      <c r="CI164" s="1804">
        <v>0</v>
      </c>
      <c r="CJ164" s="1804">
        <v>0</v>
      </c>
      <c r="CK164" s="1804">
        <v>0</v>
      </c>
      <c r="CL164" s="1804">
        <v>0</v>
      </c>
      <c r="CM164" s="1804">
        <v>0</v>
      </c>
      <c r="CN164" s="1804">
        <v>0</v>
      </c>
      <c r="CO164" s="1804">
        <v>0</v>
      </c>
      <c r="CP164" s="1804">
        <v>0</v>
      </c>
      <c r="CQ164" s="1804">
        <v>0</v>
      </c>
      <c r="CR164" s="1804">
        <v>0</v>
      </c>
      <c r="CS164" s="1804">
        <v>0</v>
      </c>
      <c r="CT164" s="1804">
        <v>0</v>
      </c>
      <c r="CU164" s="1804">
        <v>0</v>
      </c>
      <c r="CV164" s="1804">
        <v>0</v>
      </c>
      <c r="CW164" s="1804">
        <v>0</v>
      </c>
      <c r="CX164" s="1804">
        <v>0</v>
      </c>
      <c r="CY164" s="1804">
        <v>0</v>
      </c>
      <c r="CZ164" s="1804">
        <v>0</v>
      </c>
      <c r="DA164" s="1804">
        <v>0</v>
      </c>
      <c r="DB164" s="1804">
        <v>0</v>
      </c>
      <c r="DC164" s="1804">
        <v>0</v>
      </c>
      <c r="DD164" s="1804">
        <v>0</v>
      </c>
      <c r="DE164" s="1804">
        <v>0</v>
      </c>
      <c r="DF164" s="1804">
        <v>0</v>
      </c>
      <c r="DG164" s="1804">
        <v>0</v>
      </c>
      <c r="DH164" s="1804">
        <v>0</v>
      </c>
      <c r="DI164" s="1804">
        <v>0</v>
      </c>
      <c r="DJ164" s="1804">
        <v>0</v>
      </c>
      <c r="DK164" s="1804">
        <v>0</v>
      </c>
      <c r="DL164" s="1804">
        <v>0</v>
      </c>
      <c r="DM164" s="1804">
        <v>0</v>
      </c>
      <c r="DN164" s="1804">
        <v>0</v>
      </c>
      <c r="DO164" s="1804">
        <v>0</v>
      </c>
      <c r="DP164" s="1804">
        <v>0</v>
      </c>
      <c r="DQ164" s="1804">
        <v>0</v>
      </c>
      <c r="DR164" s="1804">
        <v>0</v>
      </c>
      <c r="DS164" s="1804">
        <v>0</v>
      </c>
      <c r="DT164" s="1804">
        <v>0</v>
      </c>
      <c r="DU164" s="1804">
        <v>0</v>
      </c>
      <c r="DV164" s="1804">
        <v>0</v>
      </c>
      <c r="DW164" s="1804">
        <v>0</v>
      </c>
      <c r="DX164" s="1804">
        <v>0</v>
      </c>
      <c r="DY164" s="1804">
        <v>0</v>
      </c>
      <c r="DZ164" s="1804">
        <v>0</v>
      </c>
      <c r="EA164" s="1804">
        <v>0</v>
      </c>
      <c r="EB164" s="1804">
        <v>0</v>
      </c>
      <c r="EC164" s="1804">
        <v>0</v>
      </c>
      <c r="ED164" s="1804">
        <v>0</v>
      </c>
      <c r="EE164" s="1804">
        <v>0</v>
      </c>
      <c r="EF164" s="1804">
        <v>0</v>
      </c>
      <c r="EG164" s="1804">
        <v>0</v>
      </c>
      <c r="EH164" s="1804">
        <v>0</v>
      </c>
      <c r="EI164" s="1804">
        <v>0</v>
      </c>
      <c r="EJ164" s="1804">
        <v>0</v>
      </c>
      <c r="EK164" s="1804">
        <v>0</v>
      </c>
      <c r="EL164" s="1804">
        <v>0</v>
      </c>
      <c r="EM164" s="1804">
        <v>0</v>
      </c>
      <c r="EN164" s="1804">
        <v>0</v>
      </c>
      <c r="EO164" s="1804">
        <v>0</v>
      </c>
      <c r="EP164" s="1804">
        <v>0</v>
      </c>
      <c r="EQ164" s="1804">
        <v>0</v>
      </c>
      <c r="ER164" s="1804">
        <v>0</v>
      </c>
      <c r="ES164" s="1804">
        <v>0</v>
      </c>
      <c r="ET164" s="1804">
        <v>0</v>
      </c>
      <c r="EU164" s="1804">
        <v>0</v>
      </c>
      <c r="EV164" s="1804">
        <v>0</v>
      </c>
      <c r="EW164" s="1804">
        <v>0</v>
      </c>
      <c r="EX164" s="1804">
        <v>0</v>
      </c>
      <c r="EY164" s="1804">
        <v>0</v>
      </c>
      <c r="EZ164" s="1804">
        <v>0</v>
      </c>
      <c r="FA164" s="1804">
        <v>0</v>
      </c>
      <c r="FB164" s="1804">
        <v>0</v>
      </c>
      <c r="FC164" s="1804">
        <v>0</v>
      </c>
      <c r="FD164" s="1804">
        <v>0</v>
      </c>
      <c r="FE164" s="1804">
        <v>0</v>
      </c>
      <c r="FF164" s="1804">
        <v>0</v>
      </c>
      <c r="FG164" s="1804">
        <v>0</v>
      </c>
      <c r="FH164" s="1804">
        <v>0</v>
      </c>
      <c r="FI164" s="1804">
        <v>0</v>
      </c>
      <c r="FJ164" s="1804">
        <v>0</v>
      </c>
      <c r="FK164" s="1804">
        <v>0</v>
      </c>
      <c r="FL164" s="1804">
        <v>0</v>
      </c>
      <c r="FM164" s="1804">
        <v>0</v>
      </c>
      <c r="FN164" s="1804">
        <v>0</v>
      </c>
      <c r="FO164" s="1804">
        <v>0</v>
      </c>
      <c r="FP164" s="1804">
        <v>0</v>
      </c>
      <c r="FQ164" s="1804">
        <v>0</v>
      </c>
      <c r="FR164" s="1804">
        <v>0</v>
      </c>
      <c r="FS164" s="1804">
        <v>0</v>
      </c>
      <c r="FT164" s="1804">
        <v>0</v>
      </c>
      <c r="FU164" s="1804">
        <v>0</v>
      </c>
      <c r="FV164" s="1804">
        <v>0</v>
      </c>
      <c r="FW164" s="1804">
        <v>0</v>
      </c>
      <c r="FX164" s="1804">
        <v>0</v>
      </c>
      <c r="FY164" s="1804">
        <v>0</v>
      </c>
      <c r="FZ164" s="1804">
        <v>0</v>
      </c>
      <c r="GA164" s="1804">
        <v>0</v>
      </c>
      <c r="GB164" s="1804">
        <v>0</v>
      </c>
      <c r="GC164" s="1804">
        <v>0</v>
      </c>
      <c r="GD164" s="1804">
        <v>0</v>
      </c>
      <c r="GE164" s="1804">
        <v>0</v>
      </c>
      <c r="GF164" s="1804">
        <v>0</v>
      </c>
      <c r="GG164" s="1804">
        <v>0</v>
      </c>
      <c r="GH164" s="1804">
        <v>0</v>
      </c>
      <c r="GI164" s="1804">
        <v>0</v>
      </c>
      <c r="GJ164" s="1804">
        <v>0</v>
      </c>
      <c r="GK164" s="1804">
        <v>0</v>
      </c>
      <c r="GL164" s="1804">
        <v>0</v>
      </c>
      <c r="GM164" s="1804">
        <v>0</v>
      </c>
      <c r="GN164" s="1804">
        <v>0</v>
      </c>
      <c r="GO164" s="1804">
        <v>0</v>
      </c>
      <c r="GP164" s="1804">
        <v>0</v>
      </c>
      <c r="GQ164" s="1804">
        <v>0</v>
      </c>
      <c r="GR164" s="1804">
        <v>0</v>
      </c>
      <c r="GS164" s="1804">
        <v>0</v>
      </c>
      <c r="GT164" s="1804">
        <v>0</v>
      </c>
      <c r="GU164" s="1804">
        <v>0</v>
      </c>
      <c r="GV164" s="1804">
        <v>0</v>
      </c>
      <c r="GW164" s="1804">
        <v>0</v>
      </c>
      <c r="GX164" s="1804">
        <v>0</v>
      </c>
      <c r="GY164" s="1804">
        <v>0</v>
      </c>
      <c r="GZ164" s="1804">
        <v>0</v>
      </c>
      <c r="HA164" s="1804">
        <v>0</v>
      </c>
      <c r="HB164" s="1804">
        <v>0</v>
      </c>
      <c r="HC164" s="1804">
        <v>0</v>
      </c>
      <c r="HD164" s="1804">
        <v>0</v>
      </c>
      <c r="HE164" s="1804">
        <v>0</v>
      </c>
    </row>
    <row r="165" spans="1:213" ht="15" customHeight="1" x14ac:dyDescent="0.2">
      <c r="A165" s="1964"/>
      <c r="B165" s="1999"/>
      <c r="C165" s="1818" t="s">
        <v>628</v>
      </c>
      <c r="D165" s="1883"/>
      <c r="E165" s="1984"/>
      <c r="F165" s="1838">
        <v>0</v>
      </c>
      <c r="G165" s="1804">
        <v>0</v>
      </c>
      <c r="H165" s="1804">
        <v>0</v>
      </c>
      <c r="I165" s="1804">
        <v>0</v>
      </c>
      <c r="J165" s="1804">
        <v>0</v>
      </c>
      <c r="K165" s="1804">
        <v>0</v>
      </c>
      <c r="L165" s="1804">
        <v>0</v>
      </c>
      <c r="M165" s="1804">
        <v>0</v>
      </c>
      <c r="N165" s="1804">
        <v>0</v>
      </c>
      <c r="O165" s="1804">
        <v>0</v>
      </c>
      <c r="P165" s="1804">
        <v>0</v>
      </c>
      <c r="Q165" s="1804">
        <v>0</v>
      </c>
      <c r="R165" s="1804">
        <v>0</v>
      </c>
      <c r="S165" s="1804">
        <v>0</v>
      </c>
      <c r="T165" s="1804">
        <v>0</v>
      </c>
      <c r="U165" s="1804">
        <v>0</v>
      </c>
      <c r="V165" s="1804">
        <v>0</v>
      </c>
      <c r="W165" s="1804">
        <v>0</v>
      </c>
      <c r="X165" s="1804">
        <v>0</v>
      </c>
      <c r="Y165" s="1804">
        <v>0</v>
      </c>
      <c r="Z165" s="1804">
        <v>0</v>
      </c>
      <c r="AA165" s="1804">
        <v>0</v>
      </c>
      <c r="AB165" s="1804">
        <v>0</v>
      </c>
      <c r="AC165" s="1804">
        <v>0</v>
      </c>
      <c r="AD165" s="1804">
        <v>0</v>
      </c>
      <c r="AE165" s="1804">
        <v>0</v>
      </c>
      <c r="AF165" s="1804">
        <v>0</v>
      </c>
      <c r="AG165" s="1804">
        <v>0</v>
      </c>
      <c r="AH165" s="1804">
        <v>0</v>
      </c>
      <c r="AI165" s="1804">
        <v>0</v>
      </c>
      <c r="AJ165" s="1804">
        <v>0</v>
      </c>
      <c r="AK165" s="1804">
        <v>0</v>
      </c>
      <c r="AL165" s="1804">
        <v>0</v>
      </c>
      <c r="AM165" s="1804">
        <v>0</v>
      </c>
      <c r="AN165" s="1804">
        <v>0</v>
      </c>
      <c r="AO165" s="1804">
        <v>0</v>
      </c>
      <c r="AP165" s="1804">
        <v>0</v>
      </c>
      <c r="AQ165" s="1804">
        <v>0</v>
      </c>
      <c r="AR165" s="1804">
        <v>0</v>
      </c>
      <c r="AS165" s="1804">
        <v>0</v>
      </c>
      <c r="AT165" s="1804">
        <v>0</v>
      </c>
      <c r="AU165" s="1804">
        <v>0</v>
      </c>
      <c r="AV165" s="1804">
        <v>0</v>
      </c>
      <c r="AW165" s="1804">
        <v>0</v>
      </c>
      <c r="AX165" s="1804">
        <v>0</v>
      </c>
      <c r="AY165" s="1804">
        <v>0</v>
      </c>
      <c r="AZ165" s="1804">
        <v>0</v>
      </c>
      <c r="BA165" s="1804">
        <v>0</v>
      </c>
      <c r="BB165" s="1804">
        <v>0</v>
      </c>
      <c r="BC165" s="1804">
        <v>0</v>
      </c>
      <c r="BD165" s="1804">
        <v>0</v>
      </c>
      <c r="BE165" s="1804">
        <v>0</v>
      </c>
      <c r="BF165" s="1804">
        <v>0</v>
      </c>
      <c r="BG165" s="1804">
        <v>0</v>
      </c>
      <c r="BH165" s="1804">
        <v>0</v>
      </c>
      <c r="BI165" s="1804">
        <v>0</v>
      </c>
      <c r="BJ165" s="1804">
        <v>0</v>
      </c>
      <c r="BK165" s="1804">
        <v>0</v>
      </c>
      <c r="BL165" s="1804">
        <v>0</v>
      </c>
      <c r="BM165" s="1804">
        <v>0</v>
      </c>
      <c r="BN165" s="1804">
        <v>0</v>
      </c>
      <c r="BO165" s="1804">
        <v>0</v>
      </c>
      <c r="BP165" s="1804">
        <v>0</v>
      </c>
      <c r="BQ165" s="1804">
        <v>0</v>
      </c>
      <c r="BR165" s="1804">
        <v>0</v>
      </c>
      <c r="BS165" s="1804">
        <v>0</v>
      </c>
      <c r="BT165" s="1804">
        <v>0</v>
      </c>
      <c r="BU165" s="1804">
        <v>0</v>
      </c>
      <c r="BV165" s="1804">
        <v>0</v>
      </c>
      <c r="BW165" s="1804">
        <v>0</v>
      </c>
      <c r="BX165" s="1804">
        <v>0</v>
      </c>
      <c r="BY165" s="1804">
        <v>0</v>
      </c>
      <c r="BZ165" s="1804">
        <v>0</v>
      </c>
      <c r="CA165" s="1804">
        <v>0</v>
      </c>
      <c r="CB165" s="1804">
        <v>0</v>
      </c>
      <c r="CC165" s="1804">
        <v>0</v>
      </c>
      <c r="CD165" s="1804">
        <v>0</v>
      </c>
      <c r="CE165" s="1804">
        <v>0</v>
      </c>
      <c r="CF165" s="1804">
        <v>0</v>
      </c>
      <c r="CG165" s="1804">
        <v>0</v>
      </c>
      <c r="CH165" s="1804">
        <v>0</v>
      </c>
      <c r="CI165" s="1804">
        <v>0</v>
      </c>
      <c r="CJ165" s="1804">
        <v>0</v>
      </c>
      <c r="CK165" s="1804">
        <v>0</v>
      </c>
      <c r="CL165" s="1804">
        <v>0</v>
      </c>
      <c r="CM165" s="1804">
        <v>0</v>
      </c>
      <c r="CN165" s="1804">
        <v>0</v>
      </c>
      <c r="CO165" s="1804">
        <v>0</v>
      </c>
      <c r="CP165" s="1804">
        <v>0</v>
      </c>
      <c r="CQ165" s="1804">
        <v>0</v>
      </c>
      <c r="CR165" s="1804">
        <v>0</v>
      </c>
      <c r="CS165" s="1804">
        <v>0</v>
      </c>
      <c r="CT165" s="1804">
        <v>0</v>
      </c>
      <c r="CU165" s="1804">
        <v>0</v>
      </c>
      <c r="CV165" s="1804">
        <v>0</v>
      </c>
      <c r="CW165" s="1804">
        <v>0</v>
      </c>
      <c r="CX165" s="1804">
        <v>0</v>
      </c>
      <c r="CY165" s="1804">
        <v>0</v>
      </c>
      <c r="CZ165" s="1804">
        <v>0</v>
      </c>
      <c r="DA165" s="1804">
        <v>0</v>
      </c>
      <c r="DB165" s="1804">
        <v>0</v>
      </c>
      <c r="DC165" s="1804">
        <v>0</v>
      </c>
      <c r="DD165" s="1804">
        <v>0</v>
      </c>
      <c r="DE165" s="1804">
        <v>0</v>
      </c>
      <c r="DF165" s="1804">
        <v>0</v>
      </c>
      <c r="DG165" s="1804">
        <v>0</v>
      </c>
      <c r="DH165" s="1804">
        <v>0</v>
      </c>
      <c r="DI165" s="1804">
        <v>0</v>
      </c>
      <c r="DJ165" s="1804">
        <v>0</v>
      </c>
      <c r="DK165" s="1804">
        <v>0</v>
      </c>
      <c r="DL165" s="1804">
        <v>0</v>
      </c>
      <c r="DM165" s="1804">
        <v>0</v>
      </c>
      <c r="DN165" s="1804">
        <v>0</v>
      </c>
      <c r="DO165" s="1804">
        <v>0</v>
      </c>
      <c r="DP165" s="1804">
        <v>0</v>
      </c>
      <c r="DQ165" s="1804">
        <v>0</v>
      </c>
      <c r="DR165" s="1804">
        <v>0</v>
      </c>
      <c r="DS165" s="1804">
        <v>0</v>
      </c>
      <c r="DT165" s="1804">
        <v>0</v>
      </c>
      <c r="DU165" s="1804">
        <v>0</v>
      </c>
      <c r="DV165" s="1804">
        <v>0</v>
      </c>
      <c r="DW165" s="1804">
        <v>0</v>
      </c>
      <c r="DX165" s="1804">
        <v>0</v>
      </c>
      <c r="DY165" s="1804">
        <v>0</v>
      </c>
      <c r="DZ165" s="1804">
        <v>0</v>
      </c>
      <c r="EA165" s="1804">
        <v>0</v>
      </c>
      <c r="EB165" s="1804">
        <v>0</v>
      </c>
      <c r="EC165" s="1804">
        <v>0</v>
      </c>
      <c r="ED165" s="1804">
        <v>0</v>
      </c>
      <c r="EE165" s="1804">
        <v>0</v>
      </c>
      <c r="EF165" s="1804">
        <v>0</v>
      </c>
      <c r="EG165" s="1804">
        <v>0</v>
      </c>
      <c r="EH165" s="1804">
        <v>0</v>
      </c>
      <c r="EI165" s="1804">
        <v>0</v>
      </c>
      <c r="EJ165" s="1804">
        <v>0</v>
      </c>
      <c r="EK165" s="1804">
        <v>0</v>
      </c>
      <c r="EL165" s="1804">
        <v>0</v>
      </c>
      <c r="EM165" s="1804">
        <v>0</v>
      </c>
      <c r="EN165" s="1804">
        <v>0</v>
      </c>
      <c r="EO165" s="1804">
        <v>0</v>
      </c>
      <c r="EP165" s="1804">
        <v>0</v>
      </c>
      <c r="EQ165" s="1804">
        <v>0</v>
      </c>
      <c r="ER165" s="1804">
        <v>0</v>
      </c>
      <c r="ES165" s="1804">
        <v>0</v>
      </c>
      <c r="ET165" s="1804">
        <v>0</v>
      </c>
      <c r="EU165" s="1804">
        <v>0</v>
      </c>
      <c r="EV165" s="1804">
        <v>0</v>
      </c>
      <c r="EW165" s="1804">
        <v>0</v>
      </c>
      <c r="EX165" s="1804">
        <v>0</v>
      </c>
      <c r="EY165" s="1804">
        <v>0</v>
      </c>
      <c r="EZ165" s="1804">
        <v>0</v>
      </c>
      <c r="FA165" s="1804">
        <v>0</v>
      </c>
      <c r="FB165" s="1804">
        <v>0</v>
      </c>
      <c r="FC165" s="1804">
        <v>0</v>
      </c>
      <c r="FD165" s="1804">
        <v>0</v>
      </c>
      <c r="FE165" s="1804">
        <v>0</v>
      </c>
      <c r="FF165" s="1804">
        <v>0</v>
      </c>
      <c r="FG165" s="1804">
        <v>0</v>
      </c>
      <c r="FH165" s="1804">
        <v>0</v>
      </c>
      <c r="FI165" s="1804">
        <v>0</v>
      </c>
      <c r="FJ165" s="1804">
        <v>0</v>
      </c>
      <c r="FK165" s="1804">
        <v>0</v>
      </c>
      <c r="FL165" s="1804">
        <v>0</v>
      </c>
      <c r="FM165" s="1804">
        <v>0</v>
      </c>
      <c r="FN165" s="1804">
        <v>0</v>
      </c>
      <c r="FO165" s="1804">
        <v>0</v>
      </c>
      <c r="FP165" s="1804">
        <v>0</v>
      </c>
      <c r="FQ165" s="1804">
        <v>0</v>
      </c>
      <c r="FR165" s="1804">
        <v>0</v>
      </c>
      <c r="FS165" s="1804">
        <v>0</v>
      </c>
      <c r="FT165" s="1804">
        <v>0</v>
      </c>
      <c r="FU165" s="1804">
        <v>0</v>
      </c>
      <c r="FV165" s="1804">
        <v>0</v>
      </c>
      <c r="FW165" s="1804">
        <v>0</v>
      </c>
      <c r="FX165" s="1804">
        <v>0</v>
      </c>
      <c r="FY165" s="1804">
        <v>0</v>
      </c>
      <c r="FZ165" s="1804">
        <v>0</v>
      </c>
      <c r="GA165" s="1804">
        <v>0</v>
      </c>
      <c r="GB165" s="1804">
        <v>0</v>
      </c>
      <c r="GC165" s="1804">
        <v>0</v>
      </c>
      <c r="GD165" s="1804">
        <v>0</v>
      </c>
      <c r="GE165" s="1804">
        <v>0</v>
      </c>
      <c r="GF165" s="1804">
        <v>0</v>
      </c>
      <c r="GG165" s="1804">
        <v>0</v>
      </c>
      <c r="GH165" s="1804">
        <v>0</v>
      </c>
      <c r="GI165" s="1804">
        <v>0</v>
      </c>
      <c r="GJ165" s="1804">
        <v>0</v>
      </c>
      <c r="GK165" s="1804">
        <v>0</v>
      </c>
      <c r="GL165" s="1804">
        <v>0</v>
      </c>
      <c r="GM165" s="1804">
        <v>0</v>
      </c>
      <c r="GN165" s="1804">
        <v>0</v>
      </c>
      <c r="GO165" s="1804">
        <v>0</v>
      </c>
      <c r="GP165" s="1804">
        <v>0</v>
      </c>
      <c r="GQ165" s="1804">
        <v>0</v>
      </c>
      <c r="GR165" s="1804">
        <v>0</v>
      </c>
      <c r="GS165" s="1804">
        <v>0</v>
      </c>
      <c r="GT165" s="1804">
        <v>0</v>
      </c>
      <c r="GU165" s="1804">
        <v>0</v>
      </c>
      <c r="GV165" s="1804">
        <v>0</v>
      </c>
      <c r="GW165" s="1804">
        <v>0</v>
      </c>
      <c r="GX165" s="1804">
        <v>0</v>
      </c>
      <c r="GY165" s="1804">
        <v>0</v>
      </c>
      <c r="GZ165" s="1804">
        <v>0</v>
      </c>
      <c r="HA165" s="1804">
        <v>0</v>
      </c>
      <c r="HB165" s="1804">
        <v>0</v>
      </c>
      <c r="HC165" s="1804">
        <v>0</v>
      </c>
      <c r="HD165" s="1804">
        <v>0</v>
      </c>
      <c r="HE165" s="1804">
        <v>0</v>
      </c>
    </row>
    <row r="166" spans="1:213" ht="15" customHeight="1" x14ac:dyDescent="0.2">
      <c r="A166" s="1964"/>
      <c r="B166" s="1999"/>
      <c r="C166" s="1818" t="s">
        <v>629</v>
      </c>
      <c r="D166" s="1883"/>
      <c r="E166" s="1984"/>
      <c r="F166" s="1838">
        <v>0</v>
      </c>
      <c r="G166" s="1804">
        <v>0</v>
      </c>
      <c r="H166" s="1804">
        <v>0</v>
      </c>
      <c r="I166" s="1804">
        <v>0</v>
      </c>
      <c r="J166" s="1804">
        <v>0</v>
      </c>
      <c r="K166" s="1804">
        <v>0</v>
      </c>
      <c r="L166" s="1804">
        <v>0</v>
      </c>
      <c r="M166" s="1804">
        <v>0</v>
      </c>
      <c r="N166" s="1804">
        <v>0</v>
      </c>
      <c r="O166" s="1804">
        <v>0</v>
      </c>
      <c r="P166" s="1804">
        <v>0</v>
      </c>
      <c r="Q166" s="1804">
        <v>0</v>
      </c>
      <c r="R166" s="1804">
        <v>0</v>
      </c>
      <c r="S166" s="1804">
        <v>0</v>
      </c>
      <c r="T166" s="1804">
        <v>0</v>
      </c>
      <c r="U166" s="1804">
        <v>0</v>
      </c>
      <c r="V166" s="1804">
        <v>0</v>
      </c>
      <c r="W166" s="1804">
        <v>0</v>
      </c>
      <c r="X166" s="1804">
        <v>0</v>
      </c>
      <c r="Y166" s="1804">
        <v>0</v>
      </c>
      <c r="Z166" s="1804">
        <v>0</v>
      </c>
      <c r="AA166" s="1804">
        <v>0</v>
      </c>
      <c r="AB166" s="1804">
        <v>0</v>
      </c>
      <c r="AC166" s="1804">
        <v>0</v>
      </c>
      <c r="AD166" s="1804">
        <v>0</v>
      </c>
      <c r="AE166" s="1804">
        <v>0</v>
      </c>
      <c r="AF166" s="1804">
        <v>0</v>
      </c>
      <c r="AG166" s="1804">
        <v>0</v>
      </c>
      <c r="AH166" s="1804">
        <v>0</v>
      </c>
      <c r="AI166" s="1804">
        <v>0</v>
      </c>
      <c r="AJ166" s="1804">
        <v>0</v>
      </c>
      <c r="AK166" s="1804">
        <v>0</v>
      </c>
      <c r="AL166" s="1804">
        <v>0</v>
      </c>
      <c r="AM166" s="1804">
        <v>0</v>
      </c>
      <c r="AN166" s="1804">
        <v>0</v>
      </c>
      <c r="AO166" s="1804">
        <v>0</v>
      </c>
      <c r="AP166" s="1804">
        <v>0</v>
      </c>
      <c r="AQ166" s="1804">
        <v>0</v>
      </c>
      <c r="AR166" s="1804">
        <v>0</v>
      </c>
      <c r="AS166" s="1804">
        <v>0</v>
      </c>
      <c r="AT166" s="1804">
        <v>0</v>
      </c>
      <c r="AU166" s="1804">
        <v>0</v>
      </c>
      <c r="AV166" s="1804">
        <v>0</v>
      </c>
      <c r="AW166" s="1804">
        <v>0</v>
      </c>
      <c r="AX166" s="1804">
        <v>0</v>
      </c>
      <c r="AY166" s="1804">
        <v>0</v>
      </c>
      <c r="AZ166" s="1804">
        <v>0</v>
      </c>
      <c r="BA166" s="1804">
        <v>0</v>
      </c>
      <c r="BB166" s="1804">
        <v>0</v>
      </c>
      <c r="BC166" s="1804">
        <v>0</v>
      </c>
      <c r="BD166" s="1804">
        <v>0</v>
      </c>
      <c r="BE166" s="1804">
        <v>0</v>
      </c>
      <c r="BF166" s="1804">
        <v>0</v>
      </c>
      <c r="BG166" s="1804">
        <v>0</v>
      </c>
      <c r="BH166" s="1804">
        <v>0</v>
      </c>
      <c r="BI166" s="1804">
        <v>0</v>
      </c>
      <c r="BJ166" s="1804">
        <v>0</v>
      </c>
      <c r="BK166" s="1804">
        <v>0</v>
      </c>
      <c r="BL166" s="1804">
        <v>0</v>
      </c>
      <c r="BM166" s="1804">
        <v>0</v>
      </c>
      <c r="BN166" s="1804">
        <v>0</v>
      </c>
      <c r="BO166" s="1804">
        <v>0</v>
      </c>
      <c r="BP166" s="1804">
        <v>0</v>
      </c>
      <c r="BQ166" s="1804">
        <v>0</v>
      </c>
      <c r="BR166" s="1804">
        <v>0</v>
      </c>
      <c r="BS166" s="1804">
        <v>0</v>
      </c>
      <c r="BT166" s="1804">
        <v>0</v>
      </c>
      <c r="BU166" s="1804">
        <v>0</v>
      </c>
      <c r="BV166" s="1804">
        <v>0</v>
      </c>
      <c r="BW166" s="1804">
        <v>0</v>
      </c>
      <c r="BX166" s="1804">
        <v>0</v>
      </c>
      <c r="BY166" s="1804">
        <v>0</v>
      </c>
      <c r="BZ166" s="1804">
        <v>0</v>
      </c>
      <c r="CA166" s="1804">
        <v>0</v>
      </c>
      <c r="CB166" s="1804">
        <v>0</v>
      </c>
      <c r="CC166" s="1804">
        <v>0</v>
      </c>
      <c r="CD166" s="1804">
        <v>0</v>
      </c>
      <c r="CE166" s="1804">
        <v>0</v>
      </c>
      <c r="CF166" s="1804">
        <v>0</v>
      </c>
      <c r="CG166" s="1804">
        <v>0</v>
      </c>
      <c r="CH166" s="1804">
        <v>0</v>
      </c>
      <c r="CI166" s="1804">
        <v>0</v>
      </c>
      <c r="CJ166" s="1804">
        <v>0</v>
      </c>
      <c r="CK166" s="1804">
        <v>0</v>
      </c>
      <c r="CL166" s="1804">
        <v>0</v>
      </c>
      <c r="CM166" s="1804">
        <v>0</v>
      </c>
      <c r="CN166" s="1804">
        <v>0</v>
      </c>
      <c r="CO166" s="1804">
        <v>0</v>
      </c>
      <c r="CP166" s="1804">
        <v>0</v>
      </c>
      <c r="CQ166" s="1804">
        <v>0</v>
      </c>
      <c r="CR166" s="1804">
        <v>0</v>
      </c>
      <c r="CS166" s="1804">
        <v>0</v>
      </c>
      <c r="CT166" s="1804">
        <v>0</v>
      </c>
      <c r="CU166" s="1804">
        <v>0</v>
      </c>
      <c r="CV166" s="1804">
        <v>0</v>
      </c>
      <c r="CW166" s="1804">
        <v>0</v>
      </c>
      <c r="CX166" s="1804">
        <v>0</v>
      </c>
      <c r="CY166" s="1804">
        <v>0</v>
      </c>
      <c r="CZ166" s="1804">
        <v>0</v>
      </c>
      <c r="DA166" s="1804">
        <v>0</v>
      </c>
      <c r="DB166" s="1804">
        <v>0</v>
      </c>
      <c r="DC166" s="1804">
        <v>0</v>
      </c>
      <c r="DD166" s="1804">
        <v>0</v>
      </c>
      <c r="DE166" s="1804">
        <v>0</v>
      </c>
      <c r="DF166" s="1804">
        <v>0</v>
      </c>
      <c r="DG166" s="1804">
        <v>0</v>
      </c>
      <c r="DH166" s="1804">
        <v>0</v>
      </c>
      <c r="DI166" s="1804">
        <v>0</v>
      </c>
      <c r="DJ166" s="1804">
        <v>0</v>
      </c>
      <c r="DK166" s="1804">
        <v>0</v>
      </c>
      <c r="DL166" s="1804">
        <v>0</v>
      </c>
      <c r="DM166" s="1804">
        <v>0</v>
      </c>
      <c r="DN166" s="1804">
        <v>0</v>
      </c>
      <c r="DO166" s="1804">
        <v>0</v>
      </c>
      <c r="DP166" s="1804">
        <v>0</v>
      </c>
      <c r="DQ166" s="1804">
        <v>0</v>
      </c>
      <c r="DR166" s="1804">
        <v>0</v>
      </c>
      <c r="DS166" s="1804">
        <v>0</v>
      </c>
      <c r="DT166" s="1804">
        <v>0</v>
      </c>
      <c r="DU166" s="1804">
        <v>0</v>
      </c>
      <c r="DV166" s="1804">
        <v>0</v>
      </c>
      <c r="DW166" s="1804">
        <v>0</v>
      </c>
      <c r="DX166" s="1804">
        <v>0</v>
      </c>
      <c r="DY166" s="1804">
        <v>0</v>
      </c>
      <c r="DZ166" s="1804">
        <v>0</v>
      </c>
      <c r="EA166" s="1804">
        <v>0</v>
      </c>
      <c r="EB166" s="1804">
        <v>0</v>
      </c>
      <c r="EC166" s="1804">
        <v>0</v>
      </c>
      <c r="ED166" s="1804">
        <v>0</v>
      </c>
      <c r="EE166" s="1804">
        <v>0</v>
      </c>
      <c r="EF166" s="1804">
        <v>0</v>
      </c>
      <c r="EG166" s="1804">
        <v>0</v>
      </c>
      <c r="EH166" s="1804">
        <v>0</v>
      </c>
      <c r="EI166" s="1804">
        <v>0</v>
      </c>
      <c r="EJ166" s="1804">
        <v>0</v>
      </c>
      <c r="EK166" s="1804">
        <v>0</v>
      </c>
      <c r="EL166" s="1804">
        <v>0</v>
      </c>
      <c r="EM166" s="1804">
        <v>0</v>
      </c>
      <c r="EN166" s="1804">
        <v>0</v>
      </c>
      <c r="EO166" s="1804">
        <v>0</v>
      </c>
      <c r="EP166" s="1804">
        <v>0</v>
      </c>
      <c r="EQ166" s="1804">
        <v>0</v>
      </c>
      <c r="ER166" s="1804">
        <v>0</v>
      </c>
      <c r="ES166" s="1804">
        <v>0</v>
      </c>
      <c r="ET166" s="1804">
        <v>0</v>
      </c>
      <c r="EU166" s="1804">
        <v>0</v>
      </c>
      <c r="EV166" s="1804">
        <v>0</v>
      </c>
      <c r="EW166" s="1804">
        <v>0</v>
      </c>
      <c r="EX166" s="1804">
        <v>0</v>
      </c>
      <c r="EY166" s="1804">
        <v>0</v>
      </c>
      <c r="EZ166" s="1804">
        <v>0</v>
      </c>
      <c r="FA166" s="1804">
        <v>0</v>
      </c>
      <c r="FB166" s="1804">
        <v>0</v>
      </c>
      <c r="FC166" s="1804">
        <v>0</v>
      </c>
      <c r="FD166" s="1804">
        <v>0</v>
      </c>
      <c r="FE166" s="1804">
        <v>0</v>
      </c>
      <c r="FF166" s="1804">
        <v>0</v>
      </c>
      <c r="FG166" s="1804">
        <v>0</v>
      </c>
      <c r="FH166" s="1804">
        <v>0</v>
      </c>
      <c r="FI166" s="1804">
        <v>0</v>
      </c>
      <c r="FJ166" s="1804">
        <v>0</v>
      </c>
      <c r="FK166" s="1804">
        <v>0</v>
      </c>
      <c r="FL166" s="1804">
        <v>0</v>
      </c>
      <c r="FM166" s="1804">
        <v>0</v>
      </c>
      <c r="FN166" s="1804">
        <v>0</v>
      </c>
      <c r="FO166" s="1804">
        <v>0</v>
      </c>
      <c r="FP166" s="1804">
        <v>0</v>
      </c>
      <c r="FQ166" s="1804">
        <v>0</v>
      </c>
      <c r="FR166" s="1804">
        <v>0</v>
      </c>
      <c r="FS166" s="1804">
        <v>0</v>
      </c>
      <c r="FT166" s="1804">
        <v>0</v>
      </c>
      <c r="FU166" s="1804">
        <v>0</v>
      </c>
      <c r="FV166" s="1804">
        <v>0</v>
      </c>
      <c r="FW166" s="1804">
        <v>0</v>
      </c>
      <c r="FX166" s="1804">
        <v>0</v>
      </c>
      <c r="FY166" s="1804">
        <v>0</v>
      </c>
      <c r="FZ166" s="1804">
        <v>0</v>
      </c>
      <c r="GA166" s="1804">
        <v>0</v>
      </c>
      <c r="GB166" s="1804">
        <v>0</v>
      </c>
      <c r="GC166" s="1804">
        <v>0</v>
      </c>
      <c r="GD166" s="1804">
        <v>0</v>
      </c>
      <c r="GE166" s="1804">
        <v>0</v>
      </c>
      <c r="GF166" s="1804">
        <v>0</v>
      </c>
      <c r="GG166" s="1804">
        <v>0</v>
      </c>
      <c r="GH166" s="1804">
        <v>0</v>
      </c>
      <c r="GI166" s="1804">
        <v>0</v>
      </c>
      <c r="GJ166" s="1804">
        <v>0</v>
      </c>
      <c r="GK166" s="1804">
        <v>0</v>
      </c>
      <c r="GL166" s="1804">
        <v>0</v>
      </c>
      <c r="GM166" s="1804">
        <v>0</v>
      </c>
      <c r="GN166" s="1804">
        <v>0</v>
      </c>
      <c r="GO166" s="1804">
        <v>0</v>
      </c>
      <c r="GP166" s="1804">
        <v>0</v>
      </c>
      <c r="GQ166" s="1804">
        <v>0</v>
      </c>
      <c r="GR166" s="1804">
        <v>0</v>
      </c>
      <c r="GS166" s="1804">
        <v>0</v>
      </c>
      <c r="GT166" s="1804">
        <v>0</v>
      </c>
      <c r="GU166" s="1804">
        <v>0</v>
      </c>
      <c r="GV166" s="1804">
        <v>0</v>
      </c>
      <c r="GW166" s="1804">
        <v>0</v>
      </c>
      <c r="GX166" s="1804">
        <v>0</v>
      </c>
      <c r="GY166" s="1804">
        <v>0</v>
      </c>
      <c r="GZ166" s="1804">
        <v>0</v>
      </c>
      <c r="HA166" s="1804">
        <v>0</v>
      </c>
      <c r="HB166" s="1804">
        <v>0</v>
      </c>
      <c r="HC166" s="1804">
        <v>0</v>
      </c>
      <c r="HD166" s="1804">
        <v>0</v>
      </c>
      <c r="HE166" s="1804">
        <v>0</v>
      </c>
    </row>
    <row r="167" spans="1:213" ht="15" customHeight="1" x14ac:dyDescent="0.2">
      <c r="A167" s="1964"/>
      <c r="B167" s="1999"/>
      <c r="C167" s="1818" t="s">
        <v>630</v>
      </c>
      <c r="D167" s="1883"/>
      <c r="E167" s="1984"/>
      <c r="F167" s="1838">
        <v>0</v>
      </c>
      <c r="G167" s="1804">
        <v>0</v>
      </c>
      <c r="H167" s="1804">
        <v>0</v>
      </c>
      <c r="I167" s="1804">
        <v>0</v>
      </c>
      <c r="J167" s="1804">
        <v>0</v>
      </c>
      <c r="K167" s="1804">
        <v>0</v>
      </c>
      <c r="L167" s="1804">
        <v>0</v>
      </c>
      <c r="M167" s="1804">
        <v>0</v>
      </c>
      <c r="N167" s="1804">
        <v>0</v>
      </c>
      <c r="O167" s="1804">
        <v>0</v>
      </c>
      <c r="P167" s="1804">
        <v>0</v>
      </c>
      <c r="Q167" s="1804">
        <v>0</v>
      </c>
      <c r="R167" s="1804">
        <v>0</v>
      </c>
      <c r="S167" s="1804">
        <v>0</v>
      </c>
      <c r="T167" s="1804">
        <v>0</v>
      </c>
      <c r="U167" s="1804">
        <v>0</v>
      </c>
      <c r="V167" s="1804">
        <v>0</v>
      </c>
      <c r="W167" s="1804">
        <v>0</v>
      </c>
      <c r="X167" s="1804">
        <v>0</v>
      </c>
      <c r="Y167" s="1804">
        <v>0</v>
      </c>
      <c r="Z167" s="1804">
        <v>0</v>
      </c>
      <c r="AA167" s="1804">
        <v>0</v>
      </c>
      <c r="AB167" s="1804">
        <v>0</v>
      </c>
      <c r="AC167" s="1804">
        <v>0</v>
      </c>
      <c r="AD167" s="1804">
        <v>0</v>
      </c>
      <c r="AE167" s="1804">
        <v>0</v>
      </c>
      <c r="AF167" s="1804">
        <v>0</v>
      </c>
      <c r="AG167" s="1804">
        <v>0</v>
      </c>
      <c r="AH167" s="1804">
        <v>0</v>
      </c>
      <c r="AI167" s="1804">
        <v>0</v>
      </c>
      <c r="AJ167" s="1804">
        <v>0</v>
      </c>
      <c r="AK167" s="1804">
        <v>0</v>
      </c>
      <c r="AL167" s="1804">
        <v>0</v>
      </c>
      <c r="AM167" s="1804">
        <v>0</v>
      </c>
      <c r="AN167" s="1804">
        <v>0</v>
      </c>
      <c r="AO167" s="1804">
        <v>0</v>
      </c>
      <c r="AP167" s="1804">
        <v>0</v>
      </c>
      <c r="AQ167" s="1804">
        <v>0</v>
      </c>
      <c r="AR167" s="1804">
        <v>0</v>
      </c>
      <c r="AS167" s="1804">
        <v>0</v>
      </c>
      <c r="AT167" s="1804">
        <v>0</v>
      </c>
      <c r="AU167" s="1804">
        <v>0</v>
      </c>
      <c r="AV167" s="1804">
        <v>0</v>
      </c>
      <c r="AW167" s="1804">
        <v>0</v>
      </c>
      <c r="AX167" s="1804">
        <v>0</v>
      </c>
      <c r="AY167" s="1804">
        <v>0</v>
      </c>
      <c r="AZ167" s="1804">
        <v>0</v>
      </c>
      <c r="BA167" s="1804">
        <v>0</v>
      </c>
      <c r="BB167" s="1804">
        <v>0</v>
      </c>
      <c r="BC167" s="1804">
        <v>0</v>
      </c>
      <c r="BD167" s="1804">
        <v>0</v>
      </c>
      <c r="BE167" s="1804">
        <v>0</v>
      </c>
      <c r="BF167" s="1804">
        <v>0</v>
      </c>
      <c r="BG167" s="1804">
        <v>0</v>
      </c>
      <c r="BH167" s="1804">
        <v>0</v>
      </c>
      <c r="BI167" s="1804">
        <v>0</v>
      </c>
      <c r="BJ167" s="1804">
        <v>0</v>
      </c>
      <c r="BK167" s="1804">
        <v>0</v>
      </c>
      <c r="BL167" s="1804">
        <v>0</v>
      </c>
      <c r="BM167" s="1804">
        <v>0</v>
      </c>
      <c r="BN167" s="1804">
        <v>0</v>
      </c>
      <c r="BO167" s="1804">
        <v>0</v>
      </c>
      <c r="BP167" s="1804">
        <v>0</v>
      </c>
      <c r="BQ167" s="1804">
        <v>0</v>
      </c>
      <c r="BR167" s="1804">
        <v>0</v>
      </c>
      <c r="BS167" s="1804">
        <v>0</v>
      </c>
      <c r="BT167" s="1804">
        <v>0</v>
      </c>
      <c r="BU167" s="1804">
        <v>0</v>
      </c>
      <c r="BV167" s="1804">
        <v>0</v>
      </c>
      <c r="BW167" s="1804">
        <v>0</v>
      </c>
      <c r="BX167" s="1804">
        <v>0</v>
      </c>
      <c r="BY167" s="1804">
        <v>0</v>
      </c>
      <c r="BZ167" s="1804">
        <v>0</v>
      </c>
      <c r="CA167" s="1804">
        <v>0</v>
      </c>
      <c r="CB167" s="1804">
        <v>0</v>
      </c>
      <c r="CC167" s="1804">
        <v>0</v>
      </c>
      <c r="CD167" s="1804">
        <v>0</v>
      </c>
      <c r="CE167" s="1804">
        <v>0</v>
      </c>
      <c r="CF167" s="1804">
        <v>0</v>
      </c>
      <c r="CG167" s="1804">
        <v>0</v>
      </c>
      <c r="CH167" s="1804">
        <v>0</v>
      </c>
      <c r="CI167" s="1804">
        <v>0</v>
      </c>
      <c r="CJ167" s="1804">
        <v>0</v>
      </c>
      <c r="CK167" s="1804">
        <v>0</v>
      </c>
      <c r="CL167" s="1804">
        <v>0</v>
      </c>
      <c r="CM167" s="1804">
        <v>0</v>
      </c>
      <c r="CN167" s="1804">
        <v>0</v>
      </c>
      <c r="CO167" s="1804">
        <v>0</v>
      </c>
      <c r="CP167" s="1804">
        <v>0</v>
      </c>
      <c r="CQ167" s="1804">
        <v>0</v>
      </c>
      <c r="CR167" s="1804">
        <v>0</v>
      </c>
      <c r="CS167" s="1804">
        <v>0</v>
      </c>
      <c r="CT167" s="1804">
        <v>0</v>
      </c>
      <c r="CU167" s="1804">
        <v>0</v>
      </c>
      <c r="CV167" s="1804">
        <v>0</v>
      </c>
      <c r="CW167" s="1804">
        <v>0</v>
      </c>
      <c r="CX167" s="1804">
        <v>0</v>
      </c>
      <c r="CY167" s="1804">
        <v>0</v>
      </c>
      <c r="CZ167" s="1804">
        <v>0</v>
      </c>
      <c r="DA167" s="1804">
        <v>0</v>
      </c>
      <c r="DB167" s="1804">
        <v>0</v>
      </c>
      <c r="DC167" s="1804">
        <v>0</v>
      </c>
      <c r="DD167" s="1804">
        <v>0</v>
      </c>
      <c r="DE167" s="1804">
        <v>0</v>
      </c>
      <c r="DF167" s="1804">
        <v>0</v>
      </c>
      <c r="DG167" s="1804">
        <v>0</v>
      </c>
      <c r="DH167" s="1804">
        <v>0</v>
      </c>
      <c r="DI167" s="1804">
        <v>0</v>
      </c>
      <c r="DJ167" s="1804">
        <v>0</v>
      </c>
      <c r="DK167" s="1804">
        <v>0</v>
      </c>
      <c r="DL167" s="1804">
        <v>0</v>
      </c>
      <c r="DM167" s="1804">
        <v>0</v>
      </c>
      <c r="DN167" s="1804">
        <v>0</v>
      </c>
      <c r="DO167" s="1804">
        <v>0</v>
      </c>
      <c r="DP167" s="1804">
        <v>0</v>
      </c>
      <c r="DQ167" s="1804">
        <v>0</v>
      </c>
      <c r="DR167" s="1804">
        <v>0</v>
      </c>
      <c r="DS167" s="1804">
        <v>0</v>
      </c>
      <c r="DT167" s="1804">
        <v>0</v>
      </c>
      <c r="DU167" s="1804">
        <v>0</v>
      </c>
      <c r="DV167" s="1804">
        <v>0</v>
      </c>
      <c r="DW167" s="1804">
        <v>0</v>
      </c>
      <c r="DX167" s="1804">
        <v>0</v>
      </c>
      <c r="DY167" s="1804">
        <v>0</v>
      </c>
      <c r="DZ167" s="1804">
        <v>0</v>
      </c>
      <c r="EA167" s="1804">
        <v>0</v>
      </c>
      <c r="EB167" s="1804">
        <v>0</v>
      </c>
      <c r="EC167" s="1804">
        <v>0</v>
      </c>
      <c r="ED167" s="1804">
        <v>0</v>
      </c>
      <c r="EE167" s="1804">
        <v>0</v>
      </c>
      <c r="EF167" s="1804">
        <v>0</v>
      </c>
      <c r="EG167" s="1804">
        <v>0</v>
      </c>
      <c r="EH167" s="1804">
        <v>0</v>
      </c>
      <c r="EI167" s="1804">
        <v>0</v>
      </c>
      <c r="EJ167" s="1804">
        <v>0</v>
      </c>
      <c r="EK167" s="1804">
        <v>0</v>
      </c>
      <c r="EL167" s="1804">
        <v>0</v>
      </c>
      <c r="EM167" s="1804">
        <v>0</v>
      </c>
      <c r="EN167" s="1804">
        <v>0</v>
      </c>
      <c r="EO167" s="1804">
        <v>0</v>
      </c>
      <c r="EP167" s="1804">
        <v>0</v>
      </c>
      <c r="EQ167" s="1804">
        <v>0</v>
      </c>
      <c r="ER167" s="1804">
        <v>0</v>
      </c>
      <c r="ES167" s="1804">
        <v>0</v>
      </c>
      <c r="ET167" s="1804">
        <v>0</v>
      </c>
      <c r="EU167" s="1804">
        <v>0</v>
      </c>
      <c r="EV167" s="1804">
        <v>0</v>
      </c>
      <c r="EW167" s="1804">
        <v>0</v>
      </c>
      <c r="EX167" s="1804">
        <v>0</v>
      </c>
      <c r="EY167" s="1804">
        <v>0</v>
      </c>
      <c r="EZ167" s="1804">
        <v>0</v>
      </c>
      <c r="FA167" s="1804">
        <v>0</v>
      </c>
      <c r="FB167" s="1804">
        <v>0</v>
      </c>
      <c r="FC167" s="1804">
        <v>0</v>
      </c>
      <c r="FD167" s="1804">
        <v>0</v>
      </c>
      <c r="FE167" s="1804">
        <v>0</v>
      </c>
      <c r="FF167" s="1804">
        <v>0</v>
      </c>
      <c r="FG167" s="1804">
        <v>0</v>
      </c>
      <c r="FH167" s="1804">
        <v>0</v>
      </c>
      <c r="FI167" s="1804">
        <v>0</v>
      </c>
      <c r="FJ167" s="1804">
        <v>0</v>
      </c>
      <c r="FK167" s="1804">
        <v>0</v>
      </c>
      <c r="FL167" s="1804">
        <v>0</v>
      </c>
      <c r="FM167" s="1804">
        <v>0</v>
      </c>
      <c r="FN167" s="1804">
        <v>0</v>
      </c>
      <c r="FO167" s="1804">
        <v>0</v>
      </c>
      <c r="FP167" s="1804">
        <v>0</v>
      </c>
      <c r="FQ167" s="1804">
        <v>0</v>
      </c>
      <c r="FR167" s="1804">
        <v>0</v>
      </c>
      <c r="FS167" s="1804">
        <v>0</v>
      </c>
      <c r="FT167" s="1804">
        <v>0</v>
      </c>
      <c r="FU167" s="1804">
        <v>0</v>
      </c>
      <c r="FV167" s="1804">
        <v>0</v>
      </c>
      <c r="FW167" s="1804">
        <v>0</v>
      </c>
      <c r="FX167" s="1804">
        <v>0</v>
      </c>
      <c r="FY167" s="1804">
        <v>0</v>
      </c>
      <c r="FZ167" s="1804">
        <v>0</v>
      </c>
      <c r="GA167" s="1804">
        <v>0</v>
      </c>
      <c r="GB167" s="1804">
        <v>0</v>
      </c>
      <c r="GC167" s="1804">
        <v>0</v>
      </c>
      <c r="GD167" s="1804">
        <v>0</v>
      </c>
      <c r="GE167" s="1804">
        <v>0</v>
      </c>
      <c r="GF167" s="1804">
        <v>0</v>
      </c>
      <c r="GG167" s="1804">
        <v>0</v>
      </c>
      <c r="GH167" s="1804">
        <v>0</v>
      </c>
      <c r="GI167" s="1804">
        <v>0</v>
      </c>
      <c r="GJ167" s="1804">
        <v>0</v>
      </c>
      <c r="GK167" s="1804">
        <v>0</v>
      </c>
      <c r="GL167" s="1804">
        <v>0</v>
      </c>
      <c r="GM167" s="1804">
        <v>0</v>
      </c>
      <c r="GN167" s="1804">
        <v>0</v>
      </c>
      <c r="GO167" s="1804">
        <v>0</v>
      </c>
      <c r="GP167" s="1804">
        <v>0</v>
      </c>
      <c r="GQ167" s="1804">
        <v>0</v>
      </c>
      <c r="GR167" s="1804">
        <v>0</v>
      </c>
      <c r="GS167" s="1804">
        <v>0</v>
      </c>
      <c r="GT167" s="1804">
        <v>0</v>
      </c>
      <c r="GU167" s="1804">
        <v>0</v>
      </c>
      <c r="GV167" s="1804">
        <v>0</v>
      </c>
      <c r="GW167" s="1804">
        <v>0</v>
      </c>
      <c r="GX167" s="1804">
        <v>0</v>
      </c>
      <c r="GY167" s="1804">
        <v>0</v>
      </c>
      <c r="GZ167" s="1804">
        <v>0</v>
      </c>
      <c r="HA167" s="1804">
        <v>0</v>
      </c>
      <c r="HB167" s="1804">
        <v>0</v>
      </c>
      <c r="HC167" s="1804">
        <v>0</v>
      </c>
      <c r="HD167" s="1804">
        <v>0</v>
      </c>
      <c r="HE167" s="1804">
        <v>0</v>
      </c>
    </row>
    <row r="168" spans="1:213" ht="15" customHeight="1" thickBot="1" x14ac:dyDescent="0.25">
      <c r="A168" s="1965"/>
      <c r="B168" s="2000"/>
      <c r="C168" s="1704" t="s">
        <v>631</v>
      </c>
      <c r="D168" s="1883"/>
      <c r="E168" s="1984"/>
      <c r="F168" s="1838">
        <v>0</v>
      </c>
      <c r="G168" s="1804">
        <v>0</v>
      </c>
      <c r="H168" s="1804">
        <v>0</v>
      </c>
      <c r="I168" s="1804">
        <v>0</v>
      </c>
      <c r="J168" s="1804">
        <v>0</v>
      </c>
      <c r="K168" s="1804">
        <v>0</v>
      </c>
      <c r="L168" s="1804">
        <v>0</v>
      </c>
      <c r="M168" s="1804">
        <v>0</v>
      </c>
      <c r="N168" s="1804">
        <v>0</v>
      </c>
      <c r="O168" s="1804">
        <v>0</v>
      </c>
      <c r="P168" s="1804">
        <v>0</v>
      </c>
      <c r="Q168" s="1804">
        <v>0</v>
      </c>
      <c r="R168" s="1804">
        <v>0</v>
      </c>
      <c r="S168" s="1804">
        <v>0</v>
      </c>
      <c r="T168" s="1804">
        <v>0</v>
      </c>
      <c r="U168" s="1804">
        <v>0</v>
      </c>
      <c r="V168" s="1804">
        <v>0</v>
      </c>
      <c r="W168" s="1804">
        <v>0</v>
      </c>
      <c r="X168" s="1804">
        <v>0</v>
      </c>
      <c r="Y168" s="1804">
        <v>0</v>
      </c>
      <c r="Z168" s="1804">
        <v>0</v>
      </c>
      <c r="AA168" s="1804">
        <v>0</v>
      </c>
      <c r="AB168" s="1804">
        <v>0</v>
      </c>
      <c r="AC168" s="1804">
        <v>0</v>
      </c>
      <c r="AD168" s="1804">
        <v>0</v>
      </c>
      <c r="AE168" s="1804">
        <v>0</v>
      </c>
      <c r="AF168" s="1804">
        <v>0</v>
      </c>
      <c r="AG168" s="1804">
        <v>0</v>
      </c>
      <c r="AH168" s="1804">
        <v>0</v>
      </c>
      <c r="AI168" s="1804">
        <v>0</v>
      </c>
      <c r="AJ168" s="1804">
        <v>0</v>
      </c>
      <c r="AK168" s="1804">
        <v>0</v>
      </c>
      <c r="AL168" s="1804">
        <v>0</v>
      </c>
      <c r="AM168" s="1804">
        <v>0</v>
      </c>
      <c r="AN168" s="1804">
        <v>0</v>
      </c>
      <c r="AO168" s="1804">
        <v>0</v>
      </c>
      <c r="AP168" s="1804">
        <v>0</v>
      </c>
      <c r="AQ168" s="1804">
        <v>0</v>
      </c>
      <c r="AR168" s="1804">
        <v>0</v>
      </c>
      <c r="AS168" s="1804">
        <v>0</v>
      </c>
      <c r="AT168" s="1804">
        <v>0</v>
      </c>
      <c r="AU168" s="1804">
        <v>0</v>
      </c>
      <c r="AV168" s="1804">
        <v>0</v>
      </c>
      <c r="AW168" s="1804">
        <v>0</v>
      </c>
      <c r="AX168" s="1804">
        <v>0</v>
      </c>
      <c r="AY168" s="1804">
        <v>0</v>
      </c>
      <c r="AZ168" s="1804">
        <v>0</v>
      </c>
      <c r="BA168" s="1804">
        <v>0</v>
      </c>
      <c r="BB168" s="1804">
        <v>0</v>
      </c>
      <c r="BC168" s="1804">
        <v>0</v>
      </c>
      <c r="BD168" s="1804">
        <v>0</v>
      </c>
      <c r="BE168" s="1804">
        <v>0</v>
      </c>
      <c r="BF168" s="1804">
        <v>0</v>
      </c>
      <c r="BG168" s="1804">
        <v>0</v>
      </c>
      <c r="BH168" s="1804">
        <v>0</v>
      </c>
      <c r="BI168" s="1804">
        <v>0</v>
      </c>
      <c r="BJ168" s="1804">
        <v>0</v>
      </c>
      <c r="BK168" s="1804">
        <v>0</v>
      </c>
      <c r="BL168" s="1804">
        <v>0</v>
      </c>
      <c r="BM168" s="1804">
        <v>0</v>
      </c>
      <c r="BN168" s="1804">
        <v>0</v>
      </c>
      <c r="BO168" s="1804">
        <v>0</v>
      </c>
      <c r="BP168" s="1804">
        <v>0</v>
      </c>
      <c r="BQ168" s="1804">
        <v>0</v>
      </c>
      <c r="BR168" s="1804">
        <v>0</v>
      </c>
      <c r="BS168" s="1804">
        <v>0</v>
      </c>
      <c r="BT168" s="1804">
        <v>0</v>
      </c>
      <c r="BU168" s="1804">
        <v>0</v>
      </c>
      <c r="BV168" s="1804">
        <v>0</v>
      </c>
      <c r="BW168" s="1804">
        <v>0</v>
      </c>
      <c r="BX168" s="1804">
        <v>0</v>
      </c>
      <c r="BY168" s="1804">
        <v>0</v>
      </c>
      <c r="BZ168" s="1804">
        <v>0</v>
      </c>
      <c r="CA168" s="1804">
        <v>0</v>
      </c>
      <c r="CB168" s="1804">
        <v>0</v>
      </c>
      <c r="CC168" s="1804">
        <v>0</v>
      </c>
      <c r="CD168" s="1804">
        <v>0</v>
      </c>
      <c r="CE168" s="1804">
        <v>0</v>
      </c>
      <c r="CF168" s="1804">
        <v>0</v>
      </c>
      <c r="CG168" s="1804">
        <v>0</v>
      </c>
      <c r="CH168" s="1804">
        <v>0</v>
      </c>
      <c r="CI168" s="1804">
        <v>0</v>
      </c>
      <c r="CJ168" s="1804">
        <v>0</v>
      </c>
      <c r="CK168" s="1804">
        <v>0</v>
      </c>
      <c r="CL168" s="1804">
        <v>0</v>
      </c>
      <c r="CM168" s="1804">
        <v>0</v>
      </c>
      <c r="CN168" s="1804">
        <v>0</v>
      </c>
      <c r="CO168" s="1804">
        <v>0</v>
      </c>
      <c r="CP168" s="1804">
        <v>0</v>
      </c>
      <c r="CQ168" s="1804">
        <v>0</v>
      </c>
      <c r="CR168" s="1804">
        <v>0</v>
      </c>
      <c r="CS168" s="1804">
        <v>0</v>
      </c>
      <c r="CT168" s="1804">
        <v>0</v>
      </c>
      <c r="CU168" s="1804">
        <v>0</v>
      </c>
      <c r="CV168" s="1804">
        <v>0</v>
      </c>
      <c r="CW168" s="1804">
        <v>0</v>
      </c>
      <c r="CX168" s="1804">
        <v>0</v>
      </c>
      <c r="CY168" s="1804">
        <v>0</v>
      </c>
      <c r="CZ168" s="1804">
        <v>0</v>
      </c>
      <c r="DA168" s="1804">
        <v>0</v>
      </c>
      <c r="DB168" s="1804">
        <v>0</v>
      </c>
      <c r="DC168" s="1804">
        <v>0</v>
      </c>
      <c r="DD168" s="1804">
        <v>0</v>
      </c>
      <c r="DE168" s="1804">
        <v>0</v>
      </c>
      <c r="DF168" s="1804">
        <v>0</v>
      </c>
      <c r="DG168" s="1804">
        <v>0</v>
      </c>
      <c r="DH168" s="1804">
        <v>0</v>
      </c>
      <c r="DI168" s="1804">
        <v>0</v>
      </c>
      <c r="DJ168" s="1804">
        <v>0</v>
      </c>
      <c r="DK168" s="1804">
        <v>0</v>
      </c>
      <c r="DL168" s="1804">
        <v>0</v>
      </c>
      <c r="DM168" s="1804">
        <v>0</v>
      </c>
      <c r="DN168" s="1804">
        <v>0</v>
      </c>
      <c r="DO168" s="1804">
        <v>0</v>
      </c>
      <c r="DP168" s="1804">
        <v>0</v>
      </c>
      <c r="DQ168" s="1804">
        <v>0</v>
      </c>
      <c r="DR168" s="1804">
        <v>0</v>
      </c>
      <c r="DS168" s="1804">
        <v>0</v>
      </c>
      <c r="DT168" s="1804">
        <v>0</v>
      </c>
      <c r="DU168" s="1804">
        <v>0</v>
      </c>
      <c r="DV168" s="1804">
        <v>0</v>
      </c>
      <c r="DW168" s="1804">
        <v>0</v>
      </c>
      <c r="DX168" s="1804">
        <v>0</v>
      </c>
      <c r="DY168" s="1804">
        <v>0</v>
      </c>
      <c r="DZ168" s="1804">
        <v>0</v>
      </c>
      <c r="EA168" s="1804">
        <v>0</v>
      </c>
      <c r="EB168" s="1804">
        <v>0</v>
      </c>
      <c r="EC168" s="1804">
        <v>0</v>
      </c>
      <c r="ED168" s="1804">
        <v>0</v>
      </c>
      <c r="EE168" s="1804">
        <v>0</v>
      </c>
      <c r="EF168" s="1804">
        <v>0</v>
      </c>
      <c r="EG168" s="1804">
        <v>0</v>
      </c>
      <c r="EH168" s="1804">
        <v>0</v>
      </c>
      <c r="EI168" s="1804">
        <v>0</v>
      </c>
      <c r="EJ168" s="1804">
        <v>0</v>
      </c>
      <c r="EK168" s="1804">
        <v>0</v>
      </c>
      <c r="EL168" s="1804">
        <v>0</v>
      </c>
      <c r="EM168" s="1804">
        <v>0</v>
      </c>
      <c r="EN168" s="1804">
        <v>0</v>
      </c>
      <c r="EO168" s="1804">
        <v>0</v>
      </c>
      <c r="EP168" s="1804">
        <v>0</v>
      </c>
      <c r="EQ168" s="1804">
        <v>0</v>
      </c>
      <c r="ER168" s="1804">
        <v>0</v>
      </c>
      <c r="ES168" s="1804">
        <v>0</v>
      </c>
      <c r="ET168" s="1804">
        <v>0</v>
      </c>
      <c r="EU168" s="1804">
        <v>0</v>
      </c>
      <c r="EV168" s="1804">
        <v>0</v>
      </c>
      <c r="EW168" s="1804">
        <v>0</v>
      </c>
      <c r="EX168" s="1804">
        <v>0</v>
      </c>
      <c r="EY168" s="1804">
        <v>0</v>
      </c>
      <c r="EZ168" s="1804">
        <v>0</v>
      </c>
      <c r="FA168" s="1804">
        <v>0</v>
      </c>
      <c r="FB168" s="1804">
        <v>0</v>
      </c>
      <c r="FC168" s="1804">
        <v>0</v>
      </c>
      <c r="FD168" s="1804">
        <v>0</v>
      </c>
      <c r="FE168" s="1804">
        <v>0</v>
      </c>
      <c r="FF168" s="1804">
        <v>0</v>
      </c>
      <c r="FG168" s="1804">
        <v>0</v>
      </c>
      <c r="FH168" s="1804">
        <v>0</v>
      </c>
      <c r="FI168" s="1804">
        <v>0</v>
      </c>
      <c r="FJ168" s="1804">
        <v>0</v>
      </c>
      <c r="FK168" s="1804">
        <v>0</v>
      </c>
      <c r="FL168" s="1804">
        <v>0</v>
      </c>
      <c r="FM168" s="1804">
        <v>0</v>
      </c>
      <c r="FN168" s="1804">
        <v>0</v>
      </c>
      <c r="FO168" s="1804">
        <v>0</v>
      </c>
      <c r="FP168" s="1804">
        <v>0</v>
      </c>
      <c r="FQ168" s="1804">
        <v>0</v>
      </c>
      <c r="FR168" s="1804">
        <v>0</v>
      </c>
      <c r="FS168" s="1804">
        <v>0</v>
      </c>
      <c r="FT168" s="1804">
        <v>0</v>
      </c>
      <c r="FU168" s="1804">
        <v>0</v>
      </c>
      <c r="FV168" s="1804">
        <v>0</v>
      </c>
      <c r="FW168" s="1804">
        <v>0</v>
      </c>
      <c r="FX168" s="1804">
        <v>0</v>
      </c>
      <c r="FY168" s="1804">
        <v>0</v>
      </c>
      <c r="FZ168" s="1804">
        <v>0</v>
      </c>
      <c r="GA168" s="1804">
        <v>0</v>
      </c>
      <c r="GB168" s="1804">
        <v>0</v>
      </c>
      <c r="GC168" s="1804">
        <v>0</v>
      </c>
      <c r="GD168" s="1804">
        <v>0</v>
      </c>
      <c r="GE168" s="1804">
        <v>0</v>
      </c>
      <c r="GF168" s="1804">
        <v>0</v>
      </c>
      <c r="GG168" s="1804">
        <v>0</v>
      </c>
      <c r="GH168" s="1804">
        <v>0</v>
      </c>
      <c r="GI168" s="1804">
        <v>0</v>
      </c>
      <c r="GJ168" s="1804">
        <v>0</v>
      </c>
      <c r="GK168" s="1804">
        <v>0</v>
      </c>
      <c r="GL168" s="1804">
        <v>0</v>
      </c>
      <c r="GM168" s="1804">
        <v>0</v>
      </c>
      <c r="GN168" s="1804">
        <v>0</v>
      </c>
      <c r="GO168" s="1804">
        <v>0</v>
      </c>
      <c r="GP168" s="1804">
        <v>0</v>
      </c>
      <c r="GQ168" s="1804">
        <v>0</v>
      </c>
      <c r="GR168" s="1804">
        <v>0</v>
      </c>
      <c r="GS168" s="1804">
        <v>0</v>
      </c>
      <c r="GT168" s="1804">
        <v>0</v>
      </c>
      <c r="GU168" s="1804">
        <v>0</v>
      </c>
      <c r="GV168" s="1804">
        <v>0</v>
      </c>
      <c r="GW168" s="1804">
        <v>0</v>
      </c>
      <c r="GX168" s="1804">
        <v>0</v>
      </c>
      <c r="GY168" s="1804">
        <v>0</v>
      </c>
      <c r="GZ168" s="1804">
        <v>0</v>
      </c>
      <c r="HA168" s="1804">
        <v>0</v>
      </c>
      <c r="HB168" s="1804">
        <v>0</v>
      </c>
      <c r="HC168" s="1804">
        <v>0</v>
      </c>
      <c r="HD168" s="1804">
        <v>0</v>
      </c>
      <c r="HE168" s="1804">
        <v>0</v>
      </c>
    </row>
    <row r="169" spans="1:213" ht="21" customHeight="1" thickBot="1" x14ac:dyDescent="0.25">
      <c r="A169" s="1949" t="s">
        <v>2361</v>
      </c>
      <c r="B169" s="1988" t="s">
        <v>1005</v>
      </c>
      <c r="C169" s="1699" t="s">
        <v>865</v>
      </c>
      <c r="D169" s="1880"/>
      <c r="E169" s="1984"/>
      <c r="F169" s="1865"/>
      <c r="G169" s="1866"/>
      <c r="H169" s="1866"/>
      <c r="I169" s="1866"/>
      <c r="J169" s="1866"/>
      <c r="K169" s="1866"/>
      <c r="L169" s="1866"/>
      <c r="M169" s="1866"/>
      <c r="N169" s="1866"/>
      <c r="O169" s="1866"/>
      <c r="P169" s="1866"/>
      <c r="Q169" s="1866"/>
      <c r="R169" s="1866"/>
      <c r="S169" s="1866"/>
      <c r="T169" s="1866"/>
      <c r="U169" s="1866"/>
      <c r="V169" s="1866"/>
      <c r="W169" s="1866"/>
      <c r="X169" s="1866"/>
      <c r="Y169" s="1866"/>
      <c r="Z169" s="1866"/>
      <c r="AA169" s="1866"/>
      <c r="AB169" s="1866"/>
      <c r="AC169" s="1866"/>
      <c r="AD169" s="1866"/>
      <c r="AE169" s="1866"/>
      <c r="AF169" s="1866"/>
      <c r="AG169" s="1866"/>
      <c r="AH169" s="1866"/>
      <c r="AI169" s="1866"/>
      <c r="AJ169" s="1866"/>
      <c r="AK169" s="1866"/>
      <c r="AL169" s="1866"/>
      <c r="AM169" s="1866"/>
      <c r="AN169" s="1866"/>
      <c r="AO169" s="1866"/>
      <c r="AP169" s="1866"/>
      <c r="AQ169" s="1866"/>
      <c r="AR169" s="1866"/>
      <c r="AS169" s="1866"/>
      <c r="AT169" s="1866"/>
      <c r="AU169" s="1866"/>
      <c r="AV169" s="1866"/>
      <c r="AW169" s="1866"/>
      <c r="AX169" s="1866"/>
      <c r="AY169" s="1866"/>
      <c r="AZ169" s="1866"/>
      <c r="BA169" s="1866"/>
      <c r="BB169" s="1866"/>
      <c r="BC169" s="1866"/>
      <c r="BD169" s="1866"/>
      <c r="BE169" s="1866"/>
      <c r="BF169" s="1866"/>
      <c r="BG169" s="1866"/>
      <c r="BH169" s="1866"/>
      <c r="BI169" s="1866"/>
      <c r="BJ169" s="1866"/>
      <c r="BK169" s="1866"/>
      <c r="BL169" s="1866"/>
      <c r="BM169" s="1866"/>
      <c r="BN169" s="1866"/>
      <c r="BO169" s="1866"/>
      <c r="BP169" s="1866"/>
      <c r="BQ169" s="1866"/>
      <c r="BR169" s="1866"/>
      <c r="BS169" s="1866"/>
      <c r="BT169" s="1866"/>
      <c r="BU169" s="1866"/>
      <c r="BV169" s="1866"/>
      <c r="BW169" s="1866"/>
      <c r="BX169" s="1866"/>
      <c r="BY169" s="1866"/>
      <c r="BZ169" s="1866"/>
      <c r="CA169" s="1866"/>
      <c r="CB169" s="1866"/>
      <c r="CC169" s="1866"/>
      <c r="CD169" s="1866"/>
      <c r="CE169" s="1866"/>
      <c r="CF169" s="1866"/>
      <c r="CG169" s="1866"/>
      <c r="CH169" s="1866"/>
      <c r="CI169" s="1866"/>
      <c r="CJ169" s="1866"/>
      <c r="CK169" s="1866"/>
      <c r="CL169" s="1866"/>
      <c r="CM169" s="1866"/>
      <c r="CN169" s="1866"/>
      <c r="CO169" s="1866"/>
      <c r="CP169" s="1866"/>
      <c r="CQ169" s="1866"/>
      <c r="CR169" s="1866"/>
      <c r="CS169" s="1866"/>
      <c r="CT169" s="1866"/>
      <c r="CU169" s="1866"/>
      <c r="CV169" s="1866"/>
      <c r="CW169" s="1866"/>
      <c r="CX169" s="1866"/>
      <c r="CY169" s="1866"/>
      <c r="CZ169" s="1866"/>
      <c r="DA169" s="1866"/>
      <c r="DB169" s="1866"/>
      <c r="DC169" s="1866"/>
      <c r="DD169" s="1866"/>
      <c r="DE169" s="1866"/>
      <c r="DF169" s="1866"/>
      <c r="DG169" s="1866"/>
      <c r="DH169" s="1866"/>
      <c r="DI169" s="1866"/>
      <c r="DJ169" s="1866"/>
      <c r="DK169" s="1866"/>
      <c r="DL169" s="1866"/>
      <c r="DM169" s="1866"/>
      <c r="DN169" s="1866"/>
      <c r="DO169" s="1866"/>
      <c r="DP169" s="1866"/>
      <c r="DQ169" s="1866"/>
      <c r="DR169" s="1866"/>
      <c r="DS169" s="1866"/>
      <c r="DT169" s="1866"/>
      <c r="DU169" s="1866"/>
      <c r="DV169" s="1866"/>
      <c r="DW169" s="1866"/>
      <c r="DX169" s="1866"/>
      <c r="DY169" s="1866"/>
      <c r="DZ169" s="1866"/>
      <c r="EA169" s="1866"/>
      <c r="EB169" s="1866"/>
      <c r="EC169" s="1866"/>
      <c r="ED169" s="1866"/>
      <c r="EE169" s="1866"/>
      <c r="EF169" s="1866"/>
      <c r="EG169" s="1866"/>
      <c r="EH169" s="1866"/>
      <c r="EI169" s="1866"/>
      <c r="EJ169" s="1866"/>
      <c r="EK169" s="1866"/>
      <c r="EL169" s="1866"/>
      <c r="EM169" s="1866"/>
      <c r="EN169" s="1866"/>
      <c r="EO169" s="1866"/>
      <c r="EP169" s="1866"/>
      <c r="EQ169" s="1866"/>
      <c r="ER169" s="1866"/>
      <c r="ES169" s="1866"/>
      <c r="ET169" s="1866"/>
      <c r="EU169" s="1866"/>
      <c r="EV169" s="1866"/>
      <c r="EW169" s="1866"/>
      <c r="EX169" s="1866"/>
      <c r="EY169" s="1866"/>
      <c r="EZ169" s="1866"/>
      <c r="FA169" s="1866"/>
      <c r="FB169" s="1866"/>
      <c r="FC169" s="1866"/>
      <c r="FD169" s="1866"/>
      <c r="FE169" s="1866"/>
      <c r="FF169" s="1866"/>
      <c r="FG169" s="1866"/>
      <c r="FH169" s="1866"/>
      <c r="FI169" s="1866"/>
      <c r="FJ169" s="1866"/>
      <c r="FK169" s="1866"/>
      <c r="FL169" s="1866"/>
      <c r="FM169" s="1866"/>
      <c r="FN169" s="1866"/>
      <c r="FO169" s="1866"/>
      <c r="FP169" s="1866"/>
      <c r="FQ169" s="1866"/>
      <c r="FR169" s="1866"/>
      <c r="FS169" s="1866"/>
      <c r="FT169" s="1866"/>
      <c r="FU169" s="1866"/>
      <c r="FV169" s="1866"/>
      <c r="FW169" s="1866"/>
      <c r="FX169" s="1866"/>
      <c r="FY169" s="1866"/>
      <c r="FZ169" s="1866"/>
      <c r="GA169" s="1866"/>
      <c r="GB169" s="1866"/>
      <c r="GC169" s="1866"/>
      <c r="GD169" s="1866"/>
      <c r="GE169" s="1866"/>
      <c r="GF169" s="1866"/>
      <c r="GG169" s="1866"/>
      <c r="GH169" s="1866"/>
      <c r="GI169" s="1866"/>
      <c r="GJ169" s="1866"/>
      <c r="GK169" s="1866"/>
      <c r="GL169" s="1866"/>
      <c r="GM169" s="1866"/>
      <c r="GN169" s="1866"/>
      <c r="GO169" s="1866"/>
      <c r="GP169" s="1866"/>
      <c r="GQ169" s="1866"/>
      <c r="GR169" s="1866"/>
      <c r="GS169" s="1866"/>
      <c r="GT169" s="1866"/>
      <c r="GU169" s="1866"/>
      <c r="GV169" s="1866"/>
      <c r="GW169" s="1866"/>
      <c r="GX169" s="1866"/>
      <c r="GY169" s="1866"/>
      <c r="GZ169" s="1866"/>
      <c r="HA169" s="1866"/>
      <c r="HB169" s="1866"/>
      <c r="HC169" s="1866"/>
      <c r="HD169" s="1866"/>
      <c r="HE169" s="1866"/>
    </row>
    <row r="170" spans="1:213" ht="15" customHeight="1" x14ac:dyDescent="0.2">
      <c r="A170" s="1995"/>
      <c r="B170" s="1989"/>
      <c r="C170" s="1696" t="s">
        <v>81</v>
      </c>
      <c r="D170" s="1883"/>
      <c r="E170" s="1984"/>
      <c r="F170" s="1836">
        <v>0</v>
      </c>
      <c r="G170" s="1802">
        <v>0</v>
      </c>
      <c r="H170" s="1802">
        <v>0</v>
      </c>
      <c r="I170" s="1802">
        <v>0</v>
      </c>
      <c r="J170" s="1802">
        <v>0</v>
      </c>
      <c r="K170" s="1802">
        <v>0</v>
      </c>
      <c r="L170" s="1802">
        <v>0</v>
      </c>
      <c r="M170" s="1802">
        <v>0</v>
      </c>
      <c r="N170" s="1802">
        <v>0</v>
      </c>
      <c r="O170" s="1802">
        <v>0</v>
      </c>
      <c r="P170" s="1802">
        <v>0</v>
      </c>
      <c r="Q170" s="1802">
        <v>0</v>
      </c>
      <c r="R170" s="1802">
        <v>0</v>
      </c>
      <c r="S170" s="1802">
        <v>0</v>
      </c>
      <c r="T170" s="1802">
        <v>0</v>
      </c>
      <c r="U170" s="1802">
        <v>0</v>
      </c>
      <c r="V170" s="1802">
        <v>0</v>
      </c>
      <c r="W170" s="1802">
        <v>0</v>
      </c>
      <c r="X170" s="1802">
        <v>0</v>
      </c>
      <c r="Y170" s="1802">
        <v>0</v>
      </c>
      <c r="Z170" s="1802">
        <v>0</v>
      </c>
      <c r="AA170" s="1802">
        <v>0</v>
      </c>
      <c r="AB170" s="1802">
        <v>0</v>
      </c>
      <c r="AC170" s="1802">
        <v>0</v>
      </c>
      <c r="AD170" s="1802">
        <v>0</v>
      </c>
      <c r="AE170" s="1802">
        <v>0</v>
      </c>
      <c r="AF170" s="1802">
        <v>0</v>
      </c>
      <c r="AG170" s="1802">
        <v>0</v>
      </c>
      <c r="AH170" s="1802">
        <v>0</v>
      </c>
      <c r="AI170" s="1802">
        <v>0</v>
      </c>
      <c r="AJ170" s="1802">
        <v>0</v>
      </c>
      <c r="AK170" s="1802">
        <v>0</v>
      </c>
      <c r="AL170" s="1802">
        <v>0</v>
      </c>
      <c r="AM170" s="1802">
        <v>0</v>
      </c>
      <c r="AN170" s="1802">
        <v>0</v>
      </c>
      <c r="AO170" s="1802">
        <v>0</v>
      </c>
      <c r="AP170" s="1802">
        <v>0</v>
      </c>
      <c r="AQ170" s="1802">
        <v>0</v>
      </c>
      <c r="AR170" s="1802">
        <v>0</v>
      </c>
      <c r="AS170" s="1802">
        <v>0</v>
      </c>
      <c r="AT170" s="1802">
        <v>0</v>
      </c>
      <c r="AU170" s="1802">
        <v>0</v>
      </c>
      <c r="AV170" s="1802">
        <v>0</v>
      </c>
      <c r="AW170" s="1802">
        <v>0</v>
      </c>
      <c r="AX170" s="1802">
        <v>0</v>
      </c>
      <c r="AY170" s="1802">
        <v>0</v>
      </c>
      <c r="AZ170" s="1802">
        <v>0</v>
      </c>
      <c r="BA170" s="1802">
        <v>0</v>
      </c>
      <c r="BB170" s="1802">
        <v>0</v>
      </c>
      <c r="BC170" s="1802">
        <v>0</v>
      </c>
      <c r="BD170" s="1802">
        <v>0</v>
      </c>
      <c r="BE170" s="1802">
        <v>0</v>
      </c>
      <c r="BF170" s="1802">
        <v>0</v>
      </c>
      <c r="BG170" s="1802">
        <v>0</v>
      </c>
      <c r="BH170" s="1802">
        <v>0</v>
      </c>
      <c r="BI170" s="1802">
        <v>0</v>
      </c>
      <c r="BJ170" s="1802">
        <v>0</v>
      </c>
      <c r="BK170" s="1802">
        <v>0</v>
      </c>
      <c r="BL170" s="1802">
        <v>0</v>
      </c>
      <c r="BM170" s="1802">
        <v>0</v>
      </c>
      <c r="BN170" s="1802">
        <v>0</v>
      </c>
      <c r="BO170" s="1802">
        <v>0</v>
      </c>
      <c r="BP170" s="1802">
        <v>0</v>
      </c>
      <c r="BQ170" s="1802">
        <v>0</v>
      </c>
      <c r="BR170" s="1802">
        <v>0</v>
      </c>
      <c r="BS170" s="1802">
        <v>0</v>
      </c>
      <c r="BT170" s="1802">
        <v>0</v>
      </c>
      <c r="BU170" s="1802">
        <v>0</v>
      </c>
      <c r="BV170" s="1802">
        <v>0</v>
      </c>
      <c r="BW170" s="1802">
        <v>0</v>
      </c>
      <c r="BX170" s="1802">
        <v>0</v>
      </c>
      <c r="BY170" s="1802">
        <v>0</v>
      </c>
      <c r="BZ170" s="1802">
        <v>0</v>
      </c>
      <c r="CA170" s="1802">
        <v>0</v>
      </c>
      <c r="CB170" s="1802">
        <v>0</v>
      </c>
      <c r="CC170" s="1802">
        <v>0</v>
      </c>
      <c r="CD170" s="1802">
        <v>0</v>
      </c>
      <c r="CE170" s="1802">
        <v>0</v>
      </c>
      <c r="CF170" s="1802">
        <v>0</v>
      </c>
      <c r="CG170" s="1802">
        <v>0</v>
      </c>
      <c r="CH170" s="1802">
        <v>0</v>
      </c>
      <c r="CI170" s="1802">
        <v>0</v>
      </c>
      <c r="CJ170" s="1802">
        <v>0</v>
      </c>
      <c r="CK170" s="1802">
        <v>0</v>
      </c>
      <c r="CL170" s="1802">
        <v>0</v>
      </c>
      <c r="CM170" s="1802">
        <v>0</v>
      </c>
      <c r="CN170" s="1802">
        <v>0</v>
      </c>
      <c r="CO170" s="1802">
        <v>0</v>
      </c>
      <c r="CP170" s="1802">
        <v>0</v>
      </c>
      <c r="CQ170" s="1802">
        <v>0</v>
      </c>
      <c r="CR170" s="1802">
        <v>0</v>
      </c>
      <c r="CS170" s="1802">
        <v>0</v>
      </c>
      <c r="CT170" s="1802">
        <v>0</v>
      </c>
      <c r="CU170" s="1802">
        <v>0</v>
      </c>
      <c r="CV170" s="1802">
        <v>0</v>
      </c>
      <c r="CW170" s="1802">
        <v>0</v>
      </c>
      <c r="CX170" s="1802">
        <v>0</v>
      </c>
      <c r="CY170" s="1802">
        <v>0</v>
      </c>
      <c r="CZ170" s="1802">
        <v>0</v>
      </c>
      <c r="DA170" s="1802">
        <v>0</v>
      </c>
      <c r="DB170" s="1802">
        <v>0</v>
      </c>
      <c r="DC170" s="1802">
        <v>0</v>
      </c>
      <c r="DD170" s="1802">
        <v>0</v>
      </c>
      <c r="DE170" s="1802">
        <v>0</v>
      </c>
      <c r="DF170" s="1802">
        <v>0</v>
      </c>
      <c r="DG170" s="1802">
        <v>0</v>
      </c>
      <c r="DH170" s="1802">
        <v>0</v>
      </c>
      <c r="DI170" s="1802">
        <v>0</v>
      </c>
      <c r="DJ170" s="1802">
        <v>0</v>
      </c>
      <c r="DK170" s="1802">
        <v>0</v>
      </c>
      <c r="DL170" s="1802">
        <v>0</v>
      </c>
      <c r="DM170" s="1802">
        <v>0</v>
      </c>
      <c r="DN170" s="1802">
        <v>0</v>
      </c>
      <c r="DO170" s="1802">
        <v>0</v>
      </c>
      <c r="DP170" s="1802">
        <v>0</v>
      </c>
      <c r="DQ170" s="1802">
        <v>0</v>
      </c>
      <c r="DR170" s="1802">
        <v>0</v>
      </c>
      <c r="DS170" s="1802">
        <v>0</v>
      </c>
      <c r="DT170" s="1802">
        <v>0</v>
      </c>
      <c r="DU170" s="1802">
        <v>0</v>
      </c>
      <c r="DV170" s="1802">
        <v>0</v>
      </c>
      <c r="DW170" s="1802">
        <v>0</v>
      </c>
      <c r="DX170" s="1802">
        <v>0</v>
      </c>
      <c r="DY170" s="1802">
        <v>0</v>
      </c>
      <c r="DZ170" s="1802">
        <v>0</v>
      </c>
      <c r="EA170" s="1802">
        <v>0</v>
      </c>
      <c r="EB170" s="1802">
        <v>0</v>
      </c>
      <c r="EC170" s="1802">
        <v>0</v>
      </c>
      <c r="ED170" s="1802">
        <v>0</v>
      </c>
      <c r="EE170" s="1802">
        <v>0</v>
      </c>
      <c r="EF170" s="1802">
        <v>0</v>
      </c>
      <c r="EG170" s="1802">
        <v>0</v>
      </c>
      <c r="EH170" s="1802">
        <v>0</v>
      </c>
      <c r="EI170" s="1802">
        <v>0</v>
      </c>
      <c r="EJ170" s="1802">
        <v>0</v>
      </c>
      <c r="EK170" s="1802">
        <v>0</v>
      </c>
      <c r="EL170" s="1802">
        <v>0</v>
      </c>
      <c r="EM170" s="1802">
        <v>0</v>
      </c>
      <c r="EN170" s="1802">
        <v>0</v>
      </c>
      <c r="EO170" s="1802">
        <v>0</v>
      </c>
      <c r="EP170" s="1802">
        <v>0</v>
      </c>
      <c r="EQ170" s="1802">
        <v>0</v>
      </c>
      <c r="ER170" s="1802">
        <v>0</v>
      </c>
      <c r="ES170" s="1802">
        <v>0</v>
      </c>
      <c r="ET170" s="1802">
        <v>0</v>
      </c>
      <c r="EU170" s="1802">
        <v>0</v>
      </c>
      <c r="EV170" s="1802">
        <v>0</v>
      </c>
      <c r="EW170" s="1802">
        <v>0</v>
      </c>
      <c r="EX170" s="1802">
        <v>0</v>
      </c>
      <c r="EY170" s="1802">
        <v>0</v>
      </c>
      <c r="EZ170" s="1802">
        <v>0</v>
      </c>
      <c r="FA170" s="1802">
        <v>0</v>
      </c>
      <c r="FB170" s="1802">
        <v>0</v>
      </c>
      <c r="FC170" s="1802">
        <v>0</v>
      </c>
      <c r="FD170" s="1802">
        <v>0</v>
      </c>
      <c r="FE170" s="1802">
        <v>0</v>
      </c>
      <c r="FF170" s="1802">
        <v>0</v>
      </c>
      <c r="FG170" s="1802">
        <v>0</v>
      </c>
      <c r="FH170" s="1802">
        <v>0</v>
      </c>
      <c r="FI170" s="1802">
        <v>0</v>
      </c>
      <c r="FJ170" s="1802">
        <v>0</v>
      </c>
      <c r="FK170" s="1802">
        <v>0</v>
      </c>
      <c r="FL170" s="1802">
        <v>0</v>
      </c>
      <c r="FM170" s="1802">
        <v>0</v>
      </c>
      <c r="FN170" s="1802">
        <v>0</v>
      </c>
      <c r="FO170" s="1802">
        <v>0</v>
      </c>
      <c r="FP170" s="1802">
        <v>0</v>
      </c>
      <c r="FQ170" s="1802">
        <v>0</v>
      </c>
      <c r="FR170" s="1802">
        <v>0</v>
      </c>
      <c r="FS170" s="1802">
        <v>0</v>
      </c>
      <c r="FT170" s="1802">
        <v>0</v>
      </c>
      <c r="FU170" s="1802">
        <v>0</v>
      </c>
      <c r="FV170" s="1802">
        <v>0</v>
      </c>
      <c r="FW170" s="1802">
        <v>0</v>
      </c>
      <c r="FX170" s="1802">
        <v>0</v>
      </c>
      <c r="FY170" s="1802">
        <v>0</v>
      </c>
      <c r="FZ170" s="1802">
        <v>0</v>
      </c>
      <c r="GA170" s="1802">
        <v>0</v>
      </c>
      <c r="GB170" s="1802">
        <v>0</v>
      </c>
      <c r="GC170" s="1802">
        <v>0</v>
      </c>
      <c r="GD170" s="1802">
        <v>0</v>
      </c>
      <c r="GE170" s="1802">
        <v>0</v>
      </c>
      <c r="GF170" s="1802">
        <v>0</v>
      </c>
      <c r="GG170" s="1802">
        <v>0</v>
      </c>
      <c r="GH170" s="1802">
        <v>0</v>
      </c>
      <c r="GI170" s="1802">
        <v>0</v>
      </c>
      <c r="GJ170" s="1802">
        <v>0</v>
      </c>
      <c r="GK170" s="1802">
        <v>0</v>
      </c>
      <c r="GL170" s="1802">
        <v>0</v>
      </c>
      <c r="GM170" s="1802">
        <v>0</v>
      </c>
      <c r="GN170" s="1802">
        <v>0</v>
      </c>
      <c r="GO170" s="1802">
        <v>0</v>
      </c>
      <c r="GP170" s="1802">
        <v>0</v>
      </c>
      <c r="GQ170" s="1802">
        <v>0</v>
      </c>
      <c r="GR170" s="1802">
        <v>0</v>
      </c>
      <c r="GS170" s="1802">
        <v>0</v>
      </c>
      <c r="GT170" s="1802">
        <v>0</v>
      </c>
      <c r="GU170" s="1802">
        <v>0</v>
      </c>
      <c r="GV170" s="1802">
        <v>0</v>
      </c>
      <c r="GW170" s="1802">
        <v>0</v>
      </c>
      <c r="GX170" s="1802">
        <v>0</v>
      </c>
      <c r="GY170" s="1802">
        <v>0</v>
      </c>
      <c r="GZ170" s="1802">
        <v>0</v>
      </c>
      <c r="HA170" s="1802">
        <v>0</v>
      </c>
      <c r="HB170" s="1802">
        <v>0</v>
      </c>
      <c r="HC170" s="1802">
        <v>0</v>
      </c>
      <c r="HD170" s="1802">
        <v>0</v>
      </c>
      <c r="HE170" s="1802">
        <v>0</v>
      </c>
    </row>
    <row r="171" spans="1:213" ht="15" customHeight="1" thickBot="1" x14ac:dyDescent="0.25">
      <c r="A171" s="1950"/>
      <c r="B171" s="1991"/>
      <c r="C171" s="1697" t="s">
        <v>82</v>
      </c>
      <c r="D171" s="1883"/>
      <c r="E171" s="1984"/>
      <c r="F171" s="1836">
        <v>0</v>
      </c>
      <c r="G171" s="1802">
        <v>0</v>
      </c>
      <c r="H171" s="1802">
        <v>0</v>
      </c>
      <c r="I171" s="1802">
        <v>0</v>
      </c>
      <c r="J171" s="1802">
        <v>0</v>
      </c>
      <c r="K171" s="1802">
        <v>0</v>
      </c>
      <c r="L171" s="1802">
        <v>0</v>
      </c>
      <c r="M171" s="1802">
        <v>0</v>
      </c>
      <c r="N171" s="1802">
        <v>0</v>
      </c>
      <c r="O171" s="1802">
        <v>0</v>
      </c>
      <c r="P171" s="1802">
        <v>0</v>
      </c>
      <c r="Q171" s="1802">
        <v>0</v>
      </c>
      <c r="R171" s="1802">
        <v>0</v>
      </c>
      <c r="S171" s="1802">
        <v>0</v>
      </c>
      <c r="T171" s="1802">
        <v>0</v>
      </c>
      <c r="U171" s="1802">
        <v>0</v>
      </c>
      <c r="V171" s="1802">
        <v>0</v>
      </c>
      <c r="W171" s="1802">
        <v>0</v>
      </c>
      <c r="X171" s="1802">
        <v>0</v>
      </c>
      <c r="Y171" s="1802">
        <v>0</v>
      </c>
      <c r="Z171" s="1802">
        <v>0</v>
      </c>
      <c r="AA171" s="1802">
        <v>0</v>
      </c>
      <c r="AB171" s="1802">
        <v>0</v>
      </c>
      <c r="AC171" s="1802">
        <v>0</v>
      </c>
      <c r="AD171" s="1802">
        <v>0</v>
      </c>
      <c r="AE171" s="1802">
        <v>0</v>
      </c>
      <c r="AF171" s="1802">
        <v>0</v>
      </c>
      <c r="AG171" s="1802">
        <v>0</v>
      </c>
      <c r="AH171" s="1802">
        <v>0</v>
      </c>
      <c r="AI171" s="1802">
        <v>0</v>
      </c>
      <c r="AJ171" s="1802">
        <v>0</v>
      </c>
      <c r="AK171" s="1802">
        <v>0</v>
      </c>
      <c r="AL171" s="1802">
        <v>0</v>
      </c>
      <c r="AM171" s="1802">
        <v>0</v>
      </c>
      <c r="AN171" s="1802">
        <v>0</v>
      </c>
      <c r="AO171" s="1802">
        <v>0</v>
      </c>
      <c r="AP171" s="1802">
        <v>0</v>
      </c>
      <c r="AQ171" s="1802">
        <v>0</v>
      </c>
      <c r="AR171" s="1802">
        <v>0</v>
      </c>
      <c r="AS171" s="1802">
        <v>0</v>
      </c>
      <c r="AT171" s="1802">
        <v>0</v>
      </c>
      <c r="AU171" s="1802">
        <v>0</v>
      </c>
      <c r="AV171" s="1802">
        <v>0</v>
      </c>
      <c r="AW171" s="1802">
        <v>0</v>
      </c>
      <c r="AX171" s="1802">
        <v>0</v>
      </c>
      <c r="AY171" s="1802">
        <v>0</v>
      </c>
      <c r="AZ171" s="1802">
        <v>0</v>
      </c>
      <c r="BA171" s="1802">
        <v>0</v>
      </c>
      <c r="BB171" s="1802">
        <v>0</v>
      </c>
      <c r="BC171" s="1802">
        <v>0</v>
      </c>
      <c r="BD171" s="1802">
        <v>0</v>
      </c>
      <c r="BE171" s="1802">
        <v>0</v>
      </c>
      <c r="BF171" s="1802">
        <v>0</v>
      </c>
      <c r="BG171" s="1802">
        <v>0</v>
      </c>
      <c r="BH171" s="1802">
        <v>0</v>
      </c>
      <c r="BI171" s="1802">
        <v>0</v>
      </c>
      <c r="BJ171" s="1802">
        <v>0</v>
      </c>
      <c r="BK171" s="1802">
        <v>0</v>
      </c>
      <c r="BL171" s="1802">
        <v>0</v>
      </c>
      <c r="BM171" s="1802">
        <v>0</v>
      </c>
      <c r="BN171" s="1802">
        <v>0</v>
      </c>
      <c r="BO171" s="1802">
        <v>0</v>
      </c>
      <c r="BP171" s="1802">
        <v>0</v>
      </c>
      <c r="BQ171" s="1802">
        <v>0</v>
      </c>
      <c r="BR171" s="1802">
        <v>0</v>
      </c>
      <c r="BS171" s="1802">
        <v>0</v>
      </c>
      <c r="BT171" s="1802">
        <v>0</v>
      </c>
      <c r="BU171" s="1802">
        <v>0</v>
      </c>
      <c r="BV171" s="1802">
        <v>0</v>
      </c>
      <c r="BW171" s="1802">
        <v>0</v>
      </c>
      <c r="BX171" s="1802">
        <v>0</v>
      </c>
      <c r="BY171" s="1802">
        <v>0</v>
      </c>
      <c r="BZ171" s="1802">
        <v>0</v>
      </c>
      <c r="CA171" s="1802">
        <v>0</v>
      </c>
      <c r="CB171" s="1802">
        <v>0</v>
      </c>
      <c r="CC171" s="1802">
        <v>0</v>
      </c>
      <c r="CD171" s="1802">
        <v>0</v>
      </c>
      <c r="CE171" s="1802">
        <v>0</v>
      </c>
      <c r="CF171" s="1802">
        <v>0</v>
      </c>
      <c r="CG171" s="1802">
        <v>0</v>
      </c>
      <c r="CH171" s="1802">
        <v>0</v>
      </c>
      <c r="CI171" s="1802">
        <v>0</v>
      </c>
      <c r="CJ171" s="1802">
        <v>0</v>
      </c>
      <c r="CK171" s="1802">
        <v>0</v>
      </c>
      <c r="CL171" s="1802">
        <v>0</v>
      </c>
      <c r="CM171" s="1802">
        <v>0</v>
      </c>
      <c r="CN171" s="1802">
        <v>0</v>
      </c>
      <c r="CO171" s="1802">
        <v>0</v>
      </c>
      <c r="CP171" s="1802">
        <v>0</v>
      </c>
      <c r="CQ171" s="1802">
        <v>0</v>
      </c>
      <c r="CR171" s="1802">
        <v>0</v>
      </c>
      <c r="CS171" s="1802">
        <v>0</v>
      </c>
      <c r="CT171" s="1802">
        <v>0</v>
      </c>
      <c r="CU171" s="1802">
        <v>0</v>
      </c>
      <c r="CV171" s="1802">
        <v>0</v>
      </c>
      <c r="CW171" s="1802">
        <v>0</v>
      </c>
      <c r="CX171" s="1802">
        <v>0</v>
      </c>
      <c r="CY171" s="1802">
        <v>0</v>
      </c>
      <c r="CZ171" s="1802">
        <v>0</v>
      </c>
      <c r="DA171" s="1802">
        <v>0</v>
      </c>
      <c r="DB171" s="1802">
        <v>0</v>
      </c>
      <c r="DC171" s="1802">
        <v>0</v>
      </c>
      <c r="DD171" s="1802">
        <v>0</v>
      </c>
      <c r="DE171" s="1802">
        <v>0</v>
      </c>
      <c r="DF171" s="1802">
        <v>0</v>
      </c>
      <c r="DG171" s="1802">
        <v>0</v>
      </c>
      <c r="DH171" s="1802">
        <v>0</v>
      </c>
      <c r="DI171" s="1802">
        <v>0</v>
      </c>
      <c r="DJ171" s="1802">
        <v>0</v>
      </c>
      <c r="DK171" s="1802">
        <v>0</v>
      </c>
      <c r="DL171" s="1802">
        <v>0</v>
      </c>
      <c r="DM171" s="1802">
        <v>0</v>
      </c>
      <c r="DN171" s="1802">
        <v>0</v>
      </c>
      <c r="DO171" s="1802">
        <v>0</v>
      </c>
      <c r="DP171" s="1802">
        <v>0</v>
      </c>
      <c r="DQ171" s="1802">
        <v>0</v>
      </c>
      <c r="DR171" s="1802">
        <v>0</v>
      </c>
      <c r="DS171" s="1802">
        <v>0</v>
      </c>
      <c r="DT171" s="1802">
        <v>0</v>
      </c>
      <c r="DU171" s="1802">
        <v>0</v>
      </c>
      <c r="DV171" s="1802">
        <v>0</v>
      </c>
      <c r="DW171" s="1802">
        <v>0</v>
      </c>
      <c r="DX171" s="1802">
        <v>0</v>
      </c>
      <c r="DY171" s="1802">
        <v>0</v>
      </c>
      <c r="DZ171" s="1802">
        <v>0</v>
      </c>
      <c r="EA171" s="1802">
        <v>0</v>
      </c>
      <c r="EB171" s="1802">
        <v>0</v>
      </c>
      <c r="EC171" s="1802">
        <v>0</v>
      </c>
      <c r="ED171" s="1802">
        <v>0</v>
      </c>
      <c r="EE171" s="1802">
        <v>0</v>
      </c>
      <c r="EF171" s="1802">
        <v>0</v>
      </c>
      <c r="EG171" s="1802">
        <v>0</v>
      </c>
      <c r="EH171" s="1802">
        <v>0</v>
      </c>
      <c r="EI171" s="1802">
        <v>0</v>
      </c>
      <c r="EJ171" s="1802">
        <v>0</v>
      </c>
      <c r="EK171" s="1802">
        <v>0</v>
      </c>
      <c r="EL171" s="1802">
        <v>0</v>
      </c>
      <c r="EM171" s="1802">
        <v>0</v>
      </c>
      <c r="EN171" s="1802">
        <v>0</v>
      </c>
      <c r="EO171" s="1802">
        <v>0</v>
      </c>
      <c r="EP171" s="1802">
        <v>0</v>
      </c>
      <c r="EQ171" s="1802">
        <v>0</v>
      </c>
      <c r="ER171" s="1802">
        <v>0</v>
      </c>
      <c r="ES171" s="1802">
        <v>0</v>
      </c>
      <c r="ET171" s="1802">
        <v>0</v>
      </c>
      <c r="EU171" s="1802">
        <v>0</v>
      </c>
      <c r="EV171" s="1802">
        <v>0</v>
      </c>
      <c r="EW171" s="1802">
        <v>0</v>
      </c>
      <c r="EX171" s="1802">
        <v>0</v>
      </c>
      <c r="EY171" s="1802">
        <v>0</v>
      </c>
      <c r="EZ171" s="1802">
        <v>0</v>
      </c>
      <c r="FA171" s="1802">
        <v>0</v>
      </c>
      <c r="FB171" s="1802">
        <v>0</v>
      </c>
      <c r="FC171" s="1802">
        <v>0</v>
      </c>
      <c r="FD171" s="1802">
        <v>0</v>
      </c>
      <c r="FE171" s="1802">
        <v>0</v>
      </c>
      <c r="FF171" s="1802">
        <v>0</v>
      </c>
      <c r="FG171" s="1802">
        <v>0</v>
      </c>
      <c r="FH171" s="1802">
        <v>0</v>
      </c>
      <c r="FI171" s="1802">
        <v>0</v>
      </c>
      <c r="FJ171" s="1802">
        <v>0</v>
      </c>
      <c r="FK171" s="1802">
        <v>0</v>
      </c>
      <c r="FL171" s="1802">
        <v>0</v>
      </c>
      <c r="FM171" s="1802">
        <v>0</v>
      </c>
      <c r="FN171" s="1802">
        <v>0</v>
      </c>
      <c r="FO171" s="1802">
        <v>0</v>
      </c>
      <c r="FP171" s="1802">
        <v>0</v>
      </c>
      <c r="FQ171" s="1802">
        <v>0</v>
      </c>
      <c r="FR171" s="1802">
        <v>0</v>
      </c>
      <c r="FS171" s="1802">
        <v>0</v>
      </c>
      <c r="FT171" s="1802">
        <v>0</v>
      </c>
      <c r="FU171" s="1802">
        <v>0</v>
      </c>
      <c r="FV171" s="1802">
        <v>0</v>
      </c>
      <c r="FW171" s="1802">
        <v>0</v>
      </c>
      <c r="FX171" s="1802">
        <v>0</v>
      </c>
      <c r="FY171" s="1802">
        <v>0</v>
      </c>
      <c r="FZ171" s="1802">
        <v>0</v>
      </c>
      <c r="GA171" s="1802">
        <v>0</v>
      </c>
      <c r="GB171" s="1802">
        <v>0</v>
      </c>
      <c r="GC171" s="1802">
        <v>0</v>
      </c>
      <c r="GD171" s="1802">
        <v>0</v>
      </c>
      <c r="GE171" s="1802">
        <v>0</v>
      </c>
      <c r="GF171" s="1802">
        <v>0</v>
      </c>
      <c r="GG171" s="1802">
        <v>0</v>
      </c>
      <c r="GH171" s="1802">
        <v>0</v>
      </c>
      <c r="GI171" s="1802">
        <v>0</v>
      </c>
      <c r="GJ171" s="1802">
        <v>0</v>
      </c>
      <c r="GK171" s="1802">
        <v>0</v>
      </c>
      <c r="GL171" s="1802">
        <v>0</v>
      </c>
      <c r="GM171" s="1802">
        <v>0</v>
      </c>
      <c r="GN171" s="1802">
        <v>0</v>
      </c>
      <c r="GO171" s="1802">
        <v>0</v>
      </c>
      <c r="GP171" s="1802">
        <v>0</v>
      </c>
      <c r="GQ171" s="1802">
        <v>0</v>
      </c>
      <c r="GR171" s="1802">
        <v>0</v>
      </c>
      <c r="GS171" s="1802">
        <v>0</v>
      </c>
      <c r="GT171" s="1802">
        <v>0</v>
      </c>
      <c r="GU171" s="1802">
        <v>0</v>
      </c>
      <c r="GV171" s="1802">
        <v>0</v>
      </c>
      <c r="GW171" s="1802">
        <v>0</v>
      </c>
      <c r="GX171" s="1802">
        <v>0</v>
      </c>
      <c r="GY171" s="1802">
        <v>0</v>
      </c>
      <c r="GZ171" s="1802">
        <v>0</v>
      </c>
      <c r="HA171" s="1802">
        <v>0</v>
      </c>
      <c r="HB171" s="1802">
        <v>0</v>
      </c>
      <c r="HC171" s="1802">
        <v>0</v>
      </c>
      <c r="HD171" s="1802">
        <v>0</v>
      </c>
      <c r="HE171" s="1802">
        <v>0</v>
      </c>
    </row>
    <row r="172" spans="1:213" ht="21" customHeight="1" thickBot="1" x14ac:dyDescent="0.25">
      <c r="A172" s="1968" t="s">
        <v>2362</v>
      </c>
      <c r="B172" s="1998" t="s">
        <v>873</v>
      </c>
      <c r="C172" s="1699" t="s">
        <v>753</v>
      </c>
      <c r="D172" s="1880"/>
      <c r="E172" s="1984"/>
      <c r="F172" s="1865"/>
      <c r="G172" s="1866"/>
      <c r="H172" s="1866"/>
      <c r="I172" s="1866"/>
      <c r="J172" s="1866"/>
      <c r="K172" s="1866"/>
      <c r="L172" s="1866"/>
      <c r="M172" s="1866"/>
      <c r="N172" s="1866"/>
      <c r="O172" s="1866"/>
      <c r="P172" s="1866"/>
      <c r="Q172" s="1866"/>
      <c r="R172" s="1866"/>
      <c r="S172" s="1866"/>
      <c r="T172" s="1866"/>
      <c r="U172" s="1866"/>
      <c r="V172" s="1866"/>
      <c r="W172" s="1866"/>
      <c r="X172" s="1866"/>
      <c r="Y172" s="1866"/>
      <c r="Z172" s="1866"/>
      <c r="AA172" s="1866"/>
      <c r="AB172" s="1866"/>
      <c r="AC172" s="1866"/>
      <c r="AD172" s="1866"/>
      <c r="AE172" s="1866"/>
      <c r="AF172" s="1866"/>
      <c r="AG172" s="1866"/>
      <c r="AH172" s="1866"/>
      <c r="AI172" s="1866"/>
      <c r="AJ172" s="1866"/>
      <c r="AK172" s="1866"/>
      <c r="AL172" s="1866"/>
      <c r="AM172" s="1866"/>
      <c r="AN172" s="1866"/>
      <c r="AO172" s="1866"/>
      <c r="AP172" s="1866"/>
      <c r="AQ172" s="1866"/>
      <c r="AR172" s="1866"/>
      <c r="AS172" s="1866"/>
      <c r="AT172" s="1866"/>
      <c r="AU172" s="1866"/>
      <c r="AV172" s="1866"/>
      <c r="AW172" s="1866"/>
      <c r="AX172" s="1866"/>
      <c r="AY172" s="1866"/>
      <c r="AZ172" s="1866"/>
      <c r="BA172" s="1866"/>
      <c r="BB172" s="1866"/>
      <c r="BC172" s="1866"/>
      <c r="BD172" s="1866"/>
      <c r="BE172" s="1866"/>
      <c r="BF172" s="1866"/>
      <c r="BG172" s="1866"/>
      <c r="BH172" s="1866"/>
      <c r="BI172" s="1866"/>
      <c r="BJ172" s="1866"/>
      <c r="BK172" s="1866"/>
      <c r="BL172" s="1866"/>
      <c r="BM172" s="1866"/>
      <c r="BN172" s="1866"/>
      <c r="BO172" s="1866"/>
      <c r="BP172" s="1866"/>
      <c r="BQ172" s="1866"/>
      <c r="BR172" s="1866"/>
      <c r="BS172" s="1866"/>
      <c r="BT172" s="1866"/>
      <c r="BU172" s="1866"/>
      <c r="BV172" s="1866"/>
      <c r="BW172" s="1866"/>
      <c r="BX172" s="1866"/>
      <c r="BY172" s="1866"/>
      <c r="BZ172" s="1866"/>
      <c r="CA172" s="1866"/>
      <c r="CB172" s="1866"/>
      <c r="CC172" s="1866"/>
      <c r="CD172" s="1866"/>
      <c r="CE172" s="1866"/>
      <c r="CF172" s="1866"/>
      <c r="CG172" s="1866"/>
      <c r="CH172" s="1866"/>
      <c r="CI172" s="1866"/>
      <c r="CJ172" s="1866"/>
      <c r="CK172" s="1866"/>
      <c r="CL172" s="1866"/>
      <c r="CM172" s="1866"/>
      <c r="CN172" s="1866"/>
      <c r="CO172" s="1866"/>
      <c r="CP172" s="1866"/>
      <c r="CQ172" s="1866"/>
      <c r="CR172" s="1866"/>
      <c r="CS172" s="1866"/>
      <c r="CT172" s="1866"/>
      <c r="CU172" s="1866"/>
      <c r="CV172" s="1866"/>
      <c r="CW172" s="1866"/>
      <c r="CX172" s="1866"/>
      <c r="CY172" s="1866"/>
      <c r="CZ172" s="1866"/>
      <c r="DA172" s="1866"/>
      <c r="DB172" s="1866"/>
      <c r="DC172" s="1866"/>
      <c r="DD172" s="1866"/>
      <c r="DE172" s="1866"/>
      <c r="DF172" s="1866"/>
      <c r="DG172" s="1866"/>
      <c r="DH172" s="1866"/>
      <c r="DI172" s="1866"/>
      <c r="DJ172" s="1866"/>
      <c r="DK172" s="1866"/>
      <c r="DL172" s="1866"/>
      <c r="DM172" s="1866"/>
      <c r="DN172" s="1866"/>
      <c r="DO172" s="1866"/>
      <c r="DP172" s="1866"/>
      <c r="DQ172" s="1866"/>
      <c r="DR172" s="1866"/>
      <c r="DS172" s="1866"/>
      <c r="DT172" s="1866"/>
      <c r="DU172" s="1866"/>
      <c r="DV172" s="1866"/>
      <c r="DW172" s="1866"/>
      <c r="DX172" s="1866"/>
      <c r="DY172" s="1866"/>
      <c r="DZ172" s="1866"/>
      <c r="EA172" s="1866"/>
      <c r="EB172" s="1866"/>
      <c r="EC172" s="1866"/>
      <c r="ED172" s="1866"/>
      <c r="EE172" s="1866"/>
      <c r="EF172" s="1866"/>
      <c r="EG172" s="1866"/>
      <c r="EH172" s="1866"/>
      <c r="EI172" s="1866"/>
      <c r="EJ172" s="1866"/>
      <c r="EK172" s="1866"/>
      <c r="EL172" s="1866"/>
      <c r="EM172" s="1866"/>
      <c r="EN172" s="1866"/>
      <c r="EO172" s="1866"/>
      <c r="EP172" s="1866"/>
      <c r="EQ172" s="1866"/>
      <c r="ER172" s="1866"/>
      <c r="ES172" s="1866"/>
      <c r="ET172" s="1866"/>
      <c r="EU172" s="1866"/>
      <c r="EV172" s="1866"/>
      <c r="EW172" s="1866"/>
      <c r="EX172" s="1866"/>
      <c r="EY172" s="1866"/>
      <c r="EZ172" s="1866"/>
      <c r="FA172" s="1866"/>
      <c r="FB172" s="1866"/>
      <c r="FC172" s="1866"/>
      <c r="FD172" s="1866"/>
      <c r="FE172" s="1866"/>
      <c r="FF172" s="1866"/>
      <c r="FG172" s="1866"/>
      <c r="FH172" s="1866"/>
      <c r="FI172" s="1866"/>
      <c r="FJ172" s="1866"/>
      <c r="FK172" s="1866"/>
      <c r="FL172" s="1866"/>
      <c r="FM172" s="1866"/>
      <c r="FN172" s="1866"/>
      <c r="FO172" s="1866"/>
      <c r="FP172" s="1866"/>
      <c r="FQ172" s="1866"/>
      <c r="FR172" s="1866"/>
      <c r="FS172" s="1866"/>
      <c r="FT172" s="1866"/>
      <c r="FU172" s="1866"/>
      <c r="FV172" s="1866"/>
      <c r="FW172" s="1866"/>
      <c r="FX172" s="1866"/>
      <c r="FY172" s="1866"/>
      <c r="FZ172" s="1866"/>
      <c r="GA172" s="1866"/>
      <c r="GB172" s="1866"/>
      <c r="GC172" s="1866"/>
      <c r="GD172" s="1866"/>
      <c r="GE172" s="1866"/>
      <c r="GF172" s="1866"/>
      <c r="GG172" s="1866"/>
      <c r="GH172" s="1866"/>
      <c r="GI172" s="1866"/>
      <c r="GJ172" s="1866"/>
      <c r="GK172" s="1866"/>
      <c r="GL172" s="1866"/>
      <c r="GM172" s="1866"/>
      <c r="GN172" s="1866"/>
      <c r="GO172" s="1866"/>
      <c r="GP172" s="1866"/>
      <c r="GQ172" s="1866"/>
      <c r="GR172" s="1866"/>
      <c r="GS172" s="1866"/>
      <c r="GT172" s="1866"/>
      <c r="GU172" s="1866"/>
      <c r="GV172" s="1866"/>
      <c r="GW172" s="1866"/>
      <c r="GX172" s="1866"/>
      <c r="GY172" s="1866"/>
      <c r="GZ172" s="1866"/>
      <c r="HA172" s="1866"/>
      <c r="HB172" s="1866"/>
      <c r="HC172" s="1866"/>
      <c r="HD172" s="1866"/>
      <c r="HE172" s="1866"/>
    </row>
    <row r="173" spans="1:213" ht="15" customHeight="1" x14ac:dyDescent="0.2">
      <c r="A173" s="1966"/>
      <c r="B173" s="2009"/>
      <c r="C173" s="1696" t="s">
        <v>818</v>
      </c>
      <c r="D173" s="1882"/>
      <c r="E173" s="1996"/>
      <c r="F173" s="1838">
        <v>0</v>
      </c>
      <c r="G173" s="1804">
        <v>0</v>
      </c>
      <c r="H173" s="1804">
        <v>0</v>
      </c>
      <c r="I173" s="1804">
        <v>0</v>
      </c>
      <c r="J173" s="1804">
        <v>0</v>
      </c>
      <c r="K173" s="1804">
        <v>0</v>
      </c>
      <c r="L173" s="1804">
        <v>0</v>
      </c>
      <c r="M173" s="1804">
        <v>0</v>
      </c>
      <c r="N173" s="1804">
        <v>0</v>
      </c>
      <c r="O173" s="1804">
        <v>0</v>
      </c>
      <c r="P173" s="1804">
        <v>0</v>
      </c>
      <c r="Q173" s="1804">
        <v>0</v>
      </c>
      <c r="R173" s="1804">
        <v>0</v>
      </c>
      <c r="S173" s="1804">
        <v>0</v>
      </c>
      <c r="T173" s="1804">
        <v>0</v>
      </c>
      <c r="U173" s="1804">
        <v>0</v>
      </c>
      <c r="V173" s="1804">
        <v>0</v>
      </c>
      <c r="W173" s="1804">
        <v>0</v>
      </c>
      <c r="X173" s="1804">
        <v>0</v>
      </c>
      <c r="Y173" s="1804">
        <v>0</v>
      </c>
      <c r="Z173" s="1804">
        <v>0</v>
      </c>
      <c r="AA173" s="1804">
        <v>0</v>
      </c>
      <c r="AB173" s="1804">
        <v>0</v>
      </c>
      <c r="AC173" s="1804">
        <v>0</v>
      </c>
      <c r="AD173" s="1804">
        <v>0</v>
      </c>
      <c r="AE173" s="1804">
        <v>0</v>
      </c>
      <c r="AF173" s="1804">
        <v>0</v>
      </c>
      <c r="AG173" s="1804">
        <v>0</v>
      </c>
      <c r="AH173" s="1804">
        <v>0</v>
      </c>
      <c r="AI173" s="1804">
        <v>0</v>
      </c>
      <c r="AJ173" s="1804">
        <v>0</v>
      </c>
      <c r="AK173" s="1804">
        <v>0</v>
      </c>
      <c r="AL173" s="1804">
        <v>0</v>
      </c>
      <c r="AM173" s="1804">
        <v>0</v>
      </c>
      <c r="AN173" s="1804">
        <v>0</v>
      </c>
      <c r="AO173" s="1804">
        <v>0</v>
      </c>
      <c r="AP173" s="1804">
        <v>0</v>
      </c>
      <c r="AQ173" s="1804">
        <v>0</v>
      </c>
      <c r="AR173" s="1804">
        <v>0</v>
      </c>
      <c r="AS173" s="1804">
        <v>0</v>
      </c>
      <c r="AT173" s="1804">
        <v>0</v>
      </c>
      <c r="AU173" s="1804">
        <v>0</v>
      </c>
      <c r="AV173" s="1804">
        <v>0</v>
      </c>
      <c r="AW173" s="1804">
        <v>0</v>
      </c>
      <c r="AX173" s="1804">
        <v>0</v>
      </c>
      <c r="AY173" s="1804">
        <v>0</v>
      </c>
      <c r="AZ173" s="1804">
        <v>0</v>
      </c>
      <c r="BA173" s="1804">
        <v>0</v>
      </c>
      <c r="BB173" s="1804">
        <v>0</v>
      </c>
      <c r="BC173" s="1804">
        <v>0</v>
      </c>
      <c r="BD173" s="1804">
        <v>0</v>
      </c>
      <c r="BE173" s="1804">
        <v>0</v>
      </c>
      <c r="BF173" s="1804">
        <v>0</v>
      </c>
      <c r="BG173" s="1804">
        <v>0</v>
      </c>
      <c r="BH173" s="1804">
        <v>0</v>
      </c>
      <c r="BI173" s="1804">
        <v>0</v>
      </c>
      <c r="BJ173" s="1804">
        <v>0</v>
      </c>
      <c r="BK173" s="1804">
        <v>0</v>
      </c>
      <c r="BL173" s="1804">
        <v>0</v>
      </c>
      <c r="BM173" s="1804">
        <v>0</v>
      </c>
      <c r="BN173" s="1804">
        <v>0</v>
      </c>
      <c r="BO173" s="1804">
        <v>0</v>
      </c>
      <c r="BP173" s="1804">
        <v>0</v>
      </c>
      <c r="BQ173" s="1804">
        <v>0</v>
      </c>
      <c r="BR173" s="1804">
        <v>0</v>
      </c>
      <c r="BS173" s="1804">
        <v>0</v>
      </c>
      <c r="BT173" s="1804">
        <v>0</v>
      </c>
      <c r="BU173" s="1804">
        <v>0</v>
      </c>
      <c r="BV173" s="1804">
        <v>0</v>
      </c>
      <c r="BW173" s="1804">
        <v>0</v>
      </c>
      <c r="BX173" s="1804">
        <v>0</v>
      </c>
      <c r="BY173" s="1804">
        <v>0</v>
      </c>
      <c r="BZ173" s="1804">
        <v>0</v>
      </c>
      <c r="CA173" s="1804">
        <v>0</v>
      </c>
      <c r="CB173" s="1804">
        <v>0</v>
      </c>
      <c r="CC173" s="1804">
        <v>0</v>
      </c>
      <c r="CD173" s="1804">
        <v>0</v>
      </c>
      <c r="CE173" s="1804">
        <v>0</v>
      </c>
      <c r="CF173" s="1804">
        <v>0</v>
      </c>
      <c r="CG173" s="1804">
        <v>0</v>
      </c>
      <c r="CH173" s="1804">
        <v>0</v>
      </c>
      <c r="CI173" s="1804">
        <v>0</v>
      </c>
      <c r="CJ173" s="1804">
        <v>0</v>
      </c>
      <c r="CK173" s="1804">
        <v>0</v>
      </c>
      <c r="CL173" s="1804">
        <v>0</v>
      </c>
      <c r="CM173" s="1804">
        <v>0</v>
      </c>
      <c r="CN173" s="1804">
        <v>0</v>
      </c>
      <c r="CO173" s="1804">
        <v>0</v>
      </c>
      <c r="CP173" s="1804">
        <v>0</v>
      </c>
      <c r="CQ173" s="1804">
        <v>0</v>
      </c>
      <c r="CR173" s="1804">
        <v>0</v>
      </c>
      <c r="CS173" s="1804">
        <v>0</v>
      </c>
      <c r="CT173" s="1804">
        <v>0</v>
      </c>
      <c r="CU173" s="1804">
        <v>0</v>
      </c>
      <c r="CV173" s="1804">
        <v>0</v>
      </c>
      <c r="CW173" s="1804">
        <v>0</v>
      </c>
      <c r="CX173" s="1804">
        <v>0</v>
      </c>
      <c r="CY173" s="1804">
        <v>0</v>
      </c>
      <c r="CZ173" s="1804">
        <v>0</v>
      </c>
      <c r="DA173" s="1804">
        <v>0</v>
      </c>
      <c r="DB173" s="1804">
        <v>0</v>
      </c>
      <c r="DC173" s="1804">
        <v>0</v>
      </c>
      <c r="DD173" s="1804">
        <v>0</v>
      </c>
      <c r="DE173" s="1804">
        <v>0</v>
      </c>
      <c r="DF173" s="1804">
        <v>0</v>
      </c>
      <c r="DG173" s="1804">
        <v>0</v>
      </c>
      <c r="DH173" s="1804">
        <v>0</v>
      </c>
      <c r="DI173" s="1804">
        <v>0</v>
      </c>
      <c r="DJ173" s="1804">
        <v>0</v>
      </c>
      <c r="DK173" s="1804">
        <v>0</v>
      </c>
      <c r="DL173" s="1804">
        <v>0</v>
      </c>
      <c r="DM173" s="1804">
        <v>0</v>
      </c>
      <c r="DN173" s="1804">
        <v>0</v>
      </c>
      <c r="DO173" s="1804">
        <v>0</v>
      </c>
      <c r="DP173" s="1804">
        <v>0</v>
      </c>
      <c r="DQ173" s="1804">
        <v>0</v>
      </c>
      <c r="DR173" s="1804">
        <v>0</v>
      </c>
      <c r="DS173" s="1804">
        <v>0</v>
      </c>
      <c r="DT173" s="1804">
        <v>0</v>
      </c>
      <c r="DU173" s="1804">
        <v>0</v>
      </c>
      <c r="DV173" s="1804">
        <v>0</v>
      </c>
      <c r="DW173" s="1804">
        <v>0</v>
      </c>
      <c r="DX173" s="1804">
        <v>0</v>
      </c>
      <c r="DY173" s="1804">
        <v>0</v>
      </c>
      <c r="DZ173" s="1804">
        <v>0</v>
      </c>
      <c r="EA173" s="1804">
        <v>0</v>
      </c>
      <c r="EB173" s="1804">
        <v>0</v>
      </c>
      <c r="EC173" s="1804">
        <v>0</v>
      </c>
      <c r="ED173" s="1804">
        <v>0</v>
      </c>
      <c r="EE173" s="1804">
        <v>0</v>
      </c>
      <c r="EF173" s="1804">
        <v>0</v>
      </c>
      <c r="EG173" s="1804">
        <v>0</v>
      </c>
      <c r="EH173" s="1804">
        <v>0</v>
      </c>
      <c r="EI173" s="1804">
        <v>0</v>
      </c>
      <c r="EJ173" s="1804">
        <v>0</v>
      </c>
      <c r="EK173" s="1804">
        <v>0</v>
      </c>
      <c r="EL173" s="1804">
        <v>0</v>
      </c>
      <c r="EM173" s="1804">
        <v>0</v>
      </c>
      <c r="EN173" s="1804">
        <v>0</v>
      </c>
      <c r="EO173" s="1804">
        <v>0</v>
      </c>
      <c r="EP173" s="1804">
        <v>0</v>
      </c>
      <c r="EQ173" s="1804">
        <v>0</v>
      </c>
      <c r="ER173" s="1804">
        <v>0</v>
      </c>
      <c r="ES173" s="1804">
        <v>0</v>
      </c>
      <c r="ET173" s="1804">
        <v>0</v>
      </c>
      <c r="EU173" s="1804">
        <v>0</v>
      </c>
      <c r="EV173" s="1804">
        <v>0</v>
      </c>
      <c r="EW173" s="1804">
        <v>0</v>
      </c>
      <c r="EX173" s="1804">
        <v>0</v>
      </c>
      <c r="EY173" s="1804">
        <v>0</v>
      </c>
      <c r="EZ173" s="1804">
        <v>0</v>
      </c>
      <c r="FA173" s="1804">
        <v>0</v>
      </c>
      <c r="FB173" s="1804">
        <v>0</v>
      </c>
      <c r="FC173" s="1804">
        <v>0</v>
      </c>
      <c r="FD173" s="1804">
        <v>0</v>
      </c>
      <c r="FE173" s="1804">
        <v>0</v>
      </c>
      <c r="FF173" s="1804">
        <v>0</v>
      </c>
      <c r="FG173" s="1804">
        <v>0</v>
      </c>
      <c r="FH173" s="1804">
        <v>0</v>
      </c>
      <c r="FI173" s="1804">
        <v>0</v>
      </c>
      <c r="FJ173" s="1804">
        <v>0</v>
      </c>
      <c r="FK173" s="1804">
        <v>0</v>
      </c>
      <c r="FL173" s="1804">
        <v>0</v>
      </c>
      <c r="FM173" s="1804">
        <v>0</v>
      </c>
      <c r="FN173" s="1804">
        <v>0</v>
      </c>
      <c r="FO173" s="1804">
        <v>0</v>
      </c>
      <c r="FP173" s="1804">
        <v>0</v>
      </c>
      <c r="FQ173" s="1804">
        <v>0</v>
      </c>
      <c r="FR173" s="1804">
        <v>0</v>
      </c>
      <c r="FS173" s="1804">
        <v>0</v>
      </c>
      <c r="FT173" s="1804">
        <v>0</v>
      </c>
      <c r="FU173" s="1804">
        <v>0</v>
      </c>
      <c r="FV173" s="1804">
        <v>0</v>
      </c>
      <c r="FW173" s="1804">
        <v>0</v>
      </c>
      <c r="FX173" s="1804">
        <v>0</v>
      </c>
      <c r="FY173" s="1804">
        <v>0</v>
      </c>
      <c r="FZ173" s="1804">
        <v>0</v>
      </c>
      <c r="GA173" s="1804">
        <v>0</v>
      </c>
      <c r="GB173" s="1804">
        <v>0</v>
      </c>
      <c r="GC173" s="1804">
        <v>0</v>
      </c>
      <c r="GD173" s="1804">
        <v>0</v>
      </c>
      <c r="GE173" s="1804">
        <v>0</v>
      </c>
      <c r="GF173" s="1804">
        <v>0</v>
      </c>
      <c r="GG173" s="1804">
        <v>0</v>
      </c>
      <c r="GH173" s="1804">
        <v>0</v>
      </c>
      <c r="GI173" s="1804">
        <v>0</v>
      </c>
      <c r="GJ173" s="1804">
        <v>0</v>
      </c>
      <c r="GK173" s="1804">
        <v>0</v>
      </c>
      <c r="GL173" s="1804">
        <v>0</v>
      </c>
      <c r="GM173" s="1804">
        <v>0</v>
      </c>
      <c r="GN173" s="1804">
        <v>0</v>
      </c>
      <c r="GO173" s="1804">
        <v>0</v>
      </c>
      <c r="GP173" s="1804">
        <v>0</v>
      </c>
      <c r="GQ173" s="1804">
        <v>0</v>
      </c>
      <c r="GR173" s="1804">
        <v>0</v>
      </c>
      <c r="GS173" s="1804">
        <v>0</v>
      </c>
      <c r="GT173" s="1804">
        <v>0</v>
      </c>
      <c r="GU173" s="1804">
        <v>0</v>
      </c>
      <c r="GV173" s="1804">
        <v>0</v>
      </c>
      <c r="GW173" s="1804">
        <v>0</v>
      </c>
      <c r="GX173" s="1804">
        <v>0</v>
      </c>
      <c r="GY173" s="1804">
        <v>0</v>
      </c>
      <c r="GZ173" s="1804">
        <v>0</v>
      </c>
      <c r="HA173" s="1804">
        <v>0</v>
      </c>
      <c r="HB173" s="1804">
        <v>0</v>
      </c>
      <c r="HC173" s="1804">
        <v>0</v>
      </c>
      <c r="HD173" s="1804">
        <v>0</v>
      </c>
      <c r="HE173" s="1804">
        <v>0</v>
      </c>
    </row>
    <row r="174" spans="1:213" ht="15" customHeight="1" x14ac:dyDescent="0.2">
      <c r="A174" s="1966"/>
      <c r="B174" s="2009"/>
      <c r="C174" s="1818" t="s">
        <v>618</v>
      </c>
      <c r="D174" s="1882"/>
      <c r="E174" s="1996"/>
      <c r="F174" s="1838">
        <v>0</v>
      </c>
      <c r="G174" s="1804">
        <v>0</v>
      </c>
      <c r="H174" s="1804">
        <v>0</v>
      </c>
      <c r="I174" s="1804">
        <v>0</v>
      </c>
      <c r="J174" s="1804">
        <v>0</v>
      </c>
      <c r="K174" s="1804">
        <v>0</v>
      </c>
      <c r="L174" s="1804">
        <v>0</v>
      </c>
      <c r="M174" s="1804">
        <v>0</v>
      </c>
      <c r="N174" s="1804">
        <v>0</v>
      </c>
      <c r="O174" s="1804">
        <v>0</v>
      </c>
      <c r="P174" s="1804">
        <v>0</v>
      </c>
      <c r="Q174" s="1804">
        <v>0</v>
      </c>
      <c r="R174" s="1804">
        <v>0</v>
      </c>
      <c r="S174" s="1804">
        <v>0</v>
      </c>
      <c r="T174" s="1804">
        <v>0</v>
      </c>
      <c r="U174" s="1804">
        <v>0</v>
      </c>
      <c r="V174" s="1804">
        <v>0</v>
      </c>
      <c r="W174" s="1804">
        <v>0</v>
      </c>
      <c r="X174" s="1804">
        <v>0</v>
      </c>
      <c r="Y174" s="1804">
        <v>0</v>
      </c>
      <c r="Z174" s="1804">
        <v>0</v>
      </c>
      <c r="AA174" s="1804">
        <v>0</v>
      </c>
      <c r="AB174" s="1804">
        <v>0</v>
      </c>
      <c r="AC174" s="1804">
        <v>0</v>
      </c>
      <c r="AD174" s="1804">
        <v>0</v>
      </c>
      <c r="AE174" s="1804">
        <v>0</v>
      </c>
      <c r="AF174" s="1804">
        <v>0</v>
      </c>
      <c r="AG174" s="1804">
        <v>0</v>
      </c>
      <c r="AH174" s="1804">
        <v>0</v>
      </c>
      <c r="AI174" s="1804">
        <v>0</v>
      </c>
      <c r="AJ174" s="1804">
        <v>0</v>
      </c>
      <c r="AK174" s="1804">
        <v>0</v>
      </c>
      <c r="AL174" s="1804">
        <v>0</v>
      </c>
      <c r="AM174" s="1804">
        <v>0</v>
      </c>
      <c r="AN174" s="1804">
        <v>0</v>
      </c>
      <c r="AO174" s="1804">
        <v>0</v>
      </c>
      <c r="AP174" s="1804">
        <v>0</v>
      </c>
      <c r="AQ174" s="1804">
        <v>0</v>
      </c>
      <c r="AR174" s="1804">
        <v>0</v>
      </c>
      <c r="AS174" s="1804">
        <v>0</v>
      </c>
      <c r="AT174" s="1804">
        <v>0</v>
      </c>
      <c r="AU174" s="1804">
        <v>0</v>
      </c>
      <c r="AV174" s="1804">
        <v>0</v>
      </c>
      <c r="AW174" s="1804">
        <v>0</v>
      </c>
      <c r="AX174" s="1804">
        <v>0</v>
      </c>
      <c r="AY174" s="1804">
        <v>0</v>
      </c>
      <c r="AZ174" s="1804">
        <v>0</v>
      </c>
      <c r="BA174" s="1804">
        <v>0</v>
      </c>
      <c r="BB174" s="1804">
        <v>0</v>
      </c>
      <c r="BC174" s="1804">
        <v>0</v>
      </c>
      <c r="BD174" s="1804">
        <v>0</v>
      </c>
      <c r="BE174" s="1804">
        <v>0</v>
      </c>
      <c r="BF174" s="1804">
        <v>0</v>
      </c>
      <c r="BG174" s="1804">
        <v>0</v>
      </c>
      <c r="BH174" s="1804">
        <v>0</v>
      </c>
      <c r="BI174" s="1804">
        <v>0</v>
      </c>
      <c r="BJ174" s="1804">
        <v>0</v>
      </c>
      <c r="BK174" s="1804">
        <v>0</v>
      </c>
      <c r="BL174" s="1804">
        <v>0</v>
      </c>
      <c r="BM174" s="1804">
        <v>0</v>
      </c>
      <c r="BN174" s="1804">
        <v>0</v>
      </c>
      <c r="BO174" s="1804">
        <v>0</v>
      </c>
      <c r="BP174" s="1804">
        <v>0</v>
      </c>
      <c r="BQ174" s="1804">
        <v>0</v>
      </c>
      <c r="BR174" s="1804">
        <v>0</v>
      </c>
      <c r="BS174" s="1804">
        <v>0</v>
      </c>
      <c r="BT174" s="1804">
        <v>0</v>
      </c>
      <c r="BU174" s="1804">
        <v>0</v>
      </c>
      <c r="BV174" s="1804">
        <v>0</v>
      </c>
      <c r="BW174" s="1804">
        <v>0</v>
      </c>
      <c r="BX174" s="1804">
        <v>0</v>
      </c>
      <c r="BY174" s="1804">
        <v>0</v>
      </c>
      <c r="BZ174" s="1804">
        <v>0</v>
      </c>
      <c r="CA174" s="1804">
        <v>0</v>
      </c>
      <c r="CB174" s="1804">
        <v>0</v>
      </c>
      <c r="CC174" s="1804">
        <v>0</v>
      </c>
      <c r="CD174" s="1804">
        <v>0</v>
      </c>
      <c r="CE174" s="1804">
        <v>0</v>
      </c>
      <c r="CF174" s="1804">
        <v>0</v>
      </c>
      <c r="CG174" s="1804">
        <v>0</v>
      </c>
      <c r="CH174" s="1804">
        <v>0</v>
      </c>
      <c r="CI174" s="1804">
        <v>0</v>
      </c>
      <c r="CJ174" s="1804">
        <v>0</v>
      </c>
      <c r="CK174" s="1804">
        <v>0</v>
      </c>
      <c r="CL174" s="1804">
        <v>0</v>
      </c>
      <c r="CM174" s="1804">
        <v>0</v>
      </c>
      <c r="CN174" s="1804">
        <v>0</v>
      </c>
      <c r="CO174" s="1804">
        <v>0</v>
      </c>
      <c r="CP174" s="1804">
        <v>0</v>
      </c>
      <c r="CQ174" s="1804">
        <v>0</v>
      </c>
      <c r="CR174" s="1804">
        <v>0</v>
      </c>
      <c r="CS174" s="1804">
        <v>0</v>
      </c>
      <c r="CT174" s="1804">
        <v>0</v>
      </c>
      <c r="CU174" s="1804">
        <v>0</v>
      </c>
      <c r="CV174" s="1804">
        <v>0</v>
      </c>
      <c r="CW174" s="1804">
        <v>0</v>
      </c>
      <c r="CX174" s="1804">
        <v>0</v>
      </c>
      <c r="CY174" s="1804">
        <v>0</v>
      </c>
      <c r="CZ174" s="1804">
        <v>0</v>
      </c>
      <c r="DA174" s="1804">
        <v>0</v>
      </c>
      <c r="DB174" s="1804">
        <v>0</v>
      </c>
      <c r="DC174" s="1804">
        <v>0</v>
      </c>
      <c r="DD174" s="1804">
        <v>0</v>
      </c>
      <c r="DE174" s="1804">
        <v>0</v>
      </c>
      <c r="DF174" s="1804">
        <v>0</v>
      </c>
      <c r="DG174" s="1804">
        <v>0</v>
      </c>
      <c r="DH174" s="1804">
        <v>0</v>
      </c>
      <c r="DI174" s="1804">
        <v>0</v>
      </c>
      <c r="DJ174" s="1804">
        <v>0</v>
      </c>
      <c r="DK174" s="1804">
        <v>0</v>
      </c>
      <c r="DL174" s="1804">
        <v>0</v>
      </c>
      <c r="DM174" s="1804">
        <v>0</v>
      </c>
      <c r="DN174" s="1804">
        <v>0</v>
      </c>
      <c r="DO174" s="1804">
        <v>0</v>
      </c>
      <c r="DP174" s="1804">
        <v>0</v>
      </c>
      <c r="DQ174" s="1804">
        <v>0</v>
      </c>
      <c r="DR174" s="1804">
        <v>0</v>
      </c>
      <c r="DS174" s="1804">
        <v>0</v>
      </c>
      <c r="DT174" s="1804">
        <v>0</v>
      </c>
      <c r="DU174" s="1804">
        <v>0</v>
      </c>
      <c r="DV174" s="1804">
        <v>0</v>
      </c>
      <c r="DW174" s="1804">
        <v>0</v>
      </c>
      <c r="DX174" s="1804">
        <v>0</v>
      </c>
      <c r="DY174" s="1804">
        <v>0</v>
      </c>
      <c r="DZ174" s="1804">
        <v>0</v>
      </c>
      <c r="EA174" s="1804">
        <v>0</v>
      </c>
      <c r="EB174" s="1804">
        <v>0</v>
      </c>
      <c r="EC174" s="1804">
        <v>0</v>
      </c>
      <c r="ED174" s="1804">
        <v>0</v>
      </c>
      <c r="EE174" s="1804">
        <v>0</v>
      </c>
      <c r="EF174" s="1804">
        <v>0</v>
      </c>
      <c r="EG174" s="1804">
        <v>0</v>
      </c>
      <c r="EH174" s="1804">
        <v>0</v>
      </c>
      <c r="EI174" s="1804">
        <v>0</v>
      </c>
      <c r="EJ174" s="1804">
        <v>0</v>
      </c>
      <c r="EK174" s="1804">
        <v>0</v>
      </c>
      <c r="EL174" s="1804">
        <v>0</v>
      </c>
      <c r="EM174" s="1804">
        <v>0</v>
      </c>
      <c r="EN174" s="1804">
        <v>0</v>
      </c>
      <c r="EO174" s="1804">
        <v>0</v>
      </c>
      <c r="EP174" s="1804">
        <v>0</v>
      </c>
      <c r="EQ174" s="1804">
        <v>0</v>
      </c>
      <c r="ER174" s="1804">
        <v>0</v>
      </c>
      <c r="ES174" s="1804">
        <v>0</v>
      </c>
      <c r="ET174" s="1804">
        <v>0</v>
      </c>
      <c r="EU174" s="1804">
        <v>0</v>
      </c>
      <c r="EV174" s="1804">
        <v>0</v>
      </c>
      <c r="EW174" s="1804">
        <v>0</v>
      </c>
      <c r="EX174" s="1804">
        <v>0</v>
      </c>
      <c r="EY174" s="1804">
        <v>0</v>
      </c>
      <c r="EZ174" s="1804">
        <v>0</v>
      </c>
      <c r="FA174" s="1804">
        <v>0</v>
      </c>
      <c r="FB174" s="1804">
        <v>0</v>
      </c>
      <c r="FC174" s="1804">
        <v>0</v>
      </c>
      <c r="FD174" s="1804">
        <v>0</v>
      </c>
      <c r="FE174" s="1804">
        <v>0</v>
      </c>
      <c r="FF174" s="1804">
        <v>0</v>
      </c>
      <c r="FG174" s="1804">
        <v>0</v>
      </c>
      <c r="FH174" s="1804">
        <v>0</v>
      </c>
      <c r="FI174" s="1804">
        <v>0</v>
      </c>
      <c r="FJ174" s="1804">
        <v>0</v>
      </c>
      <c r="FK174" s="1804">
        <v>0</v>
      </c>
      <c r="FL174" s="1804">
        <v>0</v>
      </c>
      <c r="FM174" s="1804">
        <v>0</v>
      </c>
      <c r="FN174" s="1804">
        <v>0</v>
      </c>
      <c r="FO174" s="1804">
        <v>0</v>
      </c>
      <c r="FP174" s="1804">
        <v>0</v>
      </c>
      <c r="FQ174" s="1804">
        <v>0</v>
      </c>
      <c r="FR174" s="1804">
        <v>0</v>
      </c>
      <c r="FS174" s="1804">
        <v>0</v>
      </c>
      <c r="FT174" s="1804">
        <v>0</v>
      </c>
      <c r="FU174" s="1804">
        <v>0</v>
      </c>
      <c r="FV174" s="1804">
        <v>0</v>
      </c>
      <c r="FW174" s="1804">
        <v>0</v>
      </c>
      <c r="FX174" s="1804">
        <v>0</v>
      </c>
      <c r="FY174" s="1804">
        <v>0</v>
      </c>
      <c r="FZ174" s="1804">
        <v>0</v>
      </c>
      <c r="GA174" s="1804">
        <v>0</v>
      </c>
      <c r="GB174" s="1804">
        <v>0</v>
      </c>
      <c r="GC174" s="1804">
        <v>0</v>
      </c>
      <c r="GD174" s="1804">
        <v>0</v>
      </c>
      <c r="GE174" s="1804">
        <v>0</v>
      </c>
      <c r="GF174" s="1804">
        <v>0</v>
      </c>
      <c r="GG174" s="1804">
        <v>0</v>
      </c>
      <c r="GH174" s="1804">
        <v>0</v>
      </c>
      <c r="GI174" s="1804">
        <v>0</v>
      </c>
      <c r="GJ174" s="1804">
        <v>0</v>
      </c>
      <c r="GK174" s="1804">
        <v>0</v>
      </c>
      <c r="GL174" s="1804">
        <v>0</v>
      </c>
      <c r="GM174" s="1804">
        <v>0</v>
      </c>
      <c r="GN174" s="1804">
        <v>0</v>
      </c>
      <c r="GO174" s="1804">
        <v>0</v>
      </c>
      <c r="GP174" s="1804">
        <v>0</v>
      </c>
      <c r="GQ174" s="1804">
        <v>0</v>
      </c>
      <c r="GR174" s="1804">
        <v>0</v>
      </c>
      <c r="GS174" s="1804">
        <v>0</v>
      </c>
      <c r="GT174" s="1804">
        <v>0</v>
      </c>
      <c r="GU174" s="1804">
        <v>0</v>
      </c>
      <c r="GV174" s="1804">
        <v>0</v>
      </c>
      <c r="GW174" s="1804">
        <v>0</v>
      </c>
      <c r="GX174" s="1804">
        <v>0</v>
      </c>
      <c r="GY174" s="1804">
        <v>0</v>
      </c>
      <c r="GZ174" s="1804">
        <v>0</v>
      </c>
      <c r="HA174" s="1804">
        <v>0</v>
      </c>
      <c r="HB174" s="1804">
        <v>0</v>
      </c>
      <c r="HC174" s="1804">
        <v>0</v>
      </c>
      <c r="HD174" s="1804">
        <v>0</v>
      </c>
      <c r="HE174" s="1804">
        <v>0</v>
      </c>
    </row>
    <row r="175" spans="1:213" ht="15" customHeight="1" x14ac:dyDescent="0.2">
      <c r="A175" s="1966"/>
      <c r="B175" s="2009"/>
      <c r="C175" s="1818" t="s">
        <v>619</v>
      </c>
      <c r="D175" s="1882"/>
      <c r="E175" s="1996"/>
      <c r="F175" s="1838">
        <v>0</v>
      </c>
      <c r="G175" s="1804">
        <v>0</v>
      </c>
      <c r="H175" s="1804">
        <v>0</v>
      </c>
      <c r="I175" s="1804">
        <v>0</v>
      </c>
      <c r="J175" s="1804">
        <v>0</v>
      </c>
      <c r="K175" s="1804">
        <v>0</v>
      </c>
      <c r="L175" s="1804">
        <v>0</v>
      </c>
      <c r="M175" s="1804">
        <v>0</v>
      </c>
      <c r="N175" s="1804">
        <v>0</v>
      </c>
      <c r="O175" s="1804">
        <v>0</v>
      </c>
      <c r="P175" s="1804">
        <v>0</v>
      </c>
      <c r="Q175" s="1804">
        <v>0</v>
      </c>
      <c r="R175" s="1804">
        <v>0</v>
      </c>
      <c r="S175" s="1804">
        <v>0</v>
      </c>
      <c r="T175" s="1804">
        <v>0</v>
      </c>
      <c r="U175" s="1804">
        <v>0</v>
      </c>
      <c r="V175" s="1804">
        <v>0</v>
      </c>
      <c r="W175" s="1804">
        <v>0</v>
      </c>
      <c r="X175" s="1804">
        <v>0</v>
      </c>
      <c r="Y175" s="1804">
        <v>0</v>
      </c>
      <c r="Z175" s="1804">
        <v>0</v>
      </c>
      <c r="AA175" s="1804">
        <v>0</v>
      </c>
      <c r="AB175" s="1804">
        <v>0</v>
      </c>
      <c r="AC175" s="1804">
        <v>0</v>
      </c>
      <c r="AD175" s="1804">
        <v>0</v>
      </c>
      <c r="AE175" s="1804">
        <v>0</v>
      </c>
      <c r="AF175" s="1804">
        <v>0</v>
      </c>
      <c r="AG175" s="1804">
        <v>0</v>
      </c>
      <c r="AH175" s="1804">
        <v>0</v>
      </c>
      <c r="AI175" s="1804">
        <v>0</v>
      </c>
      <c r="AJ175" s="1804">
        <v>0</v>
      </c>
      <c r="AK175" s="1804">
        <v>0</v>
      </c>
      <c r="AL175" s="1804">
        <v>0</v>
      </c>
      <c r="AM175" s="1804">
        <v>0</v>
      </c>
      <c r="AN175" s="1804">
        <v>0</v>
      </c>
      <c r="AO175" s="1804">
        <v>0</v>
      </c>
      <c r="AP175" s="1804">
        <v>0</v>
      </c>
      <c r="AQ175" s="1804">
        <v>0</v>
      </c>
      <c r="AR175" s="1804">
        <v>0</v>
      </c>
      <c r="AS175" s="1804">
        <v>0</v>
      </c>
      <c r="AT175" s="1804">
        <v>0</v>
      </c>
      <c r="AU175" s="1804">
        <v>0</v>
      </c>
      <c r="AV175" s="1804">
        <v>0</v>
      </c>
      <c r="AW175" s="1804">
        <v>0</v>
      </c>
      <c r="AX175" s="1804">
        <v>0</v>
      </c>
      <c r="AY175" s="1804">
        <v>0</v>
      </c>
      <c r="AZ175" s="1804">
        <v>0</v>
      </c>
      <c r="BA175" s="1804">
        <v>0</v>
      </c>
      <c r="BB175" s="1804">
        <v>0</v>
      </c>
      <c r="BC175" s="1804">
        <v>0</v>
      </c>
      <c r="BD175" s="1804">
        <v>0</v>
      </c>
      <c r="BE175" s="1804">
        <v>0</v>
      </c>
      <c r="BF175" s="1804">
        <v>0</v>
      </c>
      <c r="BG175" s="1804">
        <v>0</v>
      </c>
      <c r="BH175" s="1804">
        <v>0</v>
      </c>
      <c r="BI175" s="1804">
        <v>0</v>
      </c>
      <c r="BJ175" s="1804">
        <v>0</v>
      </c>
      <c r="BK175" s="1804">
        <v>0</v>
      </c>
      <c r="BL175" s="1804">
        <v>0</v>
      </c>
      <c r="BM175" s="1804">
        <v>0</v>
      </c>
      <c r="BN175" s="1804">
        <v>0</v>
      </c>
      <c r="BO175" s="1804">
        <v>0</v>
      </c>
      <c r="BP175" s="1804">
        <v>0</v>
      </c>
      <c r="BQ175" s="1804">
        <v>0</v>
      </c>
      <c r="BR175" s="1804">
        <v>0</v>
      </c>
      <c r="BS175" s="1804">
        <v>0</v>
      </c>
      <c r="BT175" s="1804">
        <v>0</v>
      </c>
      <c r="BU175" s="1804">
        <v>0</v>
      </c>
      <c r="BV175" s="1804">
        <v>0</v>
      </c>
      <c r="BW175" s="1804">
        <v>0</v>
      </c>
      <c r="BX175" s="1804">
        <v>0</v>
      </c>
      <c r="BY175" s="1804">
        <v>0</v>
      </c>
      <c r="BZ175" s="1804">
        <v>0</v>
      </c>
      <c r="CA175" s="1804">
        <v>0</v>
      </c>
      <c r="CB175" s="1804">
        <v>0</v>
      </c>
      <c r="CC175" s="1804">
        <v>0</v>
      </c>
      <c r="CD175" s="1804">
        <v>0</v>
      </c>
      <c r="CE175" s="1804">
        <v>0</v>
      </c>
      <c r="CF175" s="1804">
        <v>0</v>
      </c>
      <c r="CG175" s="1804">
        <v>0</v>
      </c>
      <c r="CH175" s="1804">
        <v>0</v>
      </c>
      <c r="CI175" s="1804">
        <v>0</v>
      </c>
      <c r="CJ175" s="1804">
        <v>0</v>
      </c>
      <c r="CK175" s="1804">
        <v>0</v>
      </c>
      <c r="CL175" s="1804">
        <v>0</v>
      </c>
      <c r="CM175" s="1804">
        <v>0</v>
      </c>
      <c r="CN175" s="1804">
        <v>0</v>
      </c>
      <c r="CO175" s="1804">
        <v>0</v>
      </c>
      <c r="CP175" s="1804">
        <v>0</v>
      </c>
      <c r="CQ175" s="1804">
        <v>0</v>
      </c>
      <c r="CR175" s="1804">
        <v>0</v>
      </c>
      <c r="CS175" s="1804">
        <v>0</v>
      </c>
      <c r="CT175" s="1804">
        <v>0</v>
      </c>
      <c r="CU175" s="1804">
        <v>0</v>
      </c>
      <c r="CV175" s="1804">
        <v>0</v>
      </c>
      <c r="CW175" s="1804">
        <v>0</v>
      </c>
      <c r="CX175" s="1804">
        <v>0</v>
      </c>
      <c r="CY175" s="1804">
        <v>0</v>
      </c>
      <c r="CZ175" s="1804">
        <v>0</v>
      </c>
      <c r="DA175" s="1804">
        <v>0</v>
      </c>
      <c r="DB175" s="1804">
        <v>0</v>
      </c>
      <c r="DC175" s="1804">
        <v>0</v>
      </c>
      <c r="DD175" s="1804">
        <v>0</v>
      </c>
      <c r="DE175" s="1804">
        <v>0</v>
      </c>
      <c r="DF175" s="1804">
        <v>0</v>
      </c>
      <c r="DG175" s="1804">
        <v>0</v>
      </c>
      <c r="DH175" s="1804">
        <v>0</v>
      </c>
      <c r="DI175" s="1804">
        <v>0</v>
      </c>
      <c r="DJ175" s="1804">
        <v>0</v>
      </c>
      <c r="DK175" s="1804">
        <v>0</v>
      </c>
      <c r="DL175" s="1804">
        <v>0</v>
      </c>
      <c r="DM175" s="1804">
        <v>0</v>
      </c>
      <c r="DN175" s="1804">
        <v>0</v>
      </c>
      <c r="DO175" s="1804">
        <v>0</v>
      </c>
      <c r="DP175" s="1804">
        <v>0</v>
      </c>
      <c r="DQ175" s="1804">
        <v>0</v>
      </c>
      <c r="DR175" s="1804">
        <v>0</v>
      </c>
      <c r="DS175" s="1804">
        <v>0</v>
      </c>
      <c r="DT175" s="1804">
        <v>0</v>
      </c>
      <c r="DU175" s="1804">
        <v>0</v>
      </c>
      <c r="DV175" s="1804">
        <v>0</v>
      </c>
      <c r="DW175" s="1804">
        <v>0</v>
      </c>
      <c r="DX175" s="1804">
        <v>0</v>
      </c>
      <c r="DY175" s="1804">
        <v>0</v>
      </c>
      <c r="DZ175" s="1804">
        <v>0</v>
      </c>
      <c r="EA175" s="1804">
        <v>0</v>
      </c>
      <c r="EB175" s="1804">
        <v>0</v>
      </c>
      <c r="EC175" s="1804">
        <v>0</v>
      </c>
      <c r="ED175" s="1804">
        <v>0</v>
      </c>
      <c r="EE175" s="1804">
        <v>0</v>
      </c>
      <c r="EF175" s="1804">
        <v>0</v>
      </c>
      <c r="EG175" s="1804">
        <v>0</v>
      </c>
      <c r="EH175" s="1804">
        <v>0</v>
      </c>
      <c r="EI175" s="1804">
        <v>0</v>
      </c>
      <c r="EJ175" s="1804">
        <v>0</v>
      </c>
      <c r="EK175" s="1804">
        <v>0</v>
      </c>
      <c r="EL175" s="1804">
        <v>0</v>
      </c>
      <c r="EM175" s="1804">
        <v>0</v>
      </c>
      <c r="EN175" s="1804">
        <v>0</v>
      </c>
      <c r="EO175" s="1804">
        <v>0</v>
      </c>
      <c r="EP175" s="1804">
        <v>0</v>
      </c>
      <c r="EQ175" s="1804">
        <v>0</v>
      </c>
      <c r="ER175" s="1804">
        <v>0</v>
      </c>
      <c r="ES175" s="1804">
        <v>0</v>
      </c>
      <c r="ET175" s="1804">
        <v>0</v>
      </c>
      <c r="EU175" s="1804">
        <v>0</v>
      </c>
      <c r="EV175" s="1804">
        <v>0</v>
      </c>
      <c r="EW175" s="1804">
        <v>0</v>
      </c>
      <c r="EX175" s="1804">
        <v>0</v>
      </c>
      <c r="EY175" s="1804">
        <v>0</v>
      </c>
      <c r="EZ175" s="1804">
        <v>0</v>
      </c>
      <c r="FA175" s="1804">
        <v>0</v>
      </c>
      <c r="FB175" s="1804">
        <v>0</v>
      </c>
      <c r="FC175" s="1804">
        <v>0</v>
      </c>
      <c r="FD175" s="1804">
        <v>0</v>
      </c>
      <c r="FE175" s="1804">
        <v>0</v>
      </c>
      <c r="FF175" s="1804">
        <v>0</v>
      </c>
      <c r="FG175" s="1804">
        <v>0</v>
      </c>
      <c r="FH175" s="1804">
        <v>0</v>
      </c>
      <c r="FI175" s="1804">
        <v>0</v>
      </c>
      <c r="FJ175" s="1804">
        <v>0</v>
      </c>
      <c r="FK175" s="1804">
        <v>0</v>
      </c>
      <c r="FL175" s="1804">
        <v>0</v>
      </c>
      <c r="FM175" s="1804">
        <v>0</v>
      </c>
      <c r="FN175" s="1804">
        <v>0</v>
      </c>
      <c r="FO175" s="1804">
        <v>0</v>
      </c>
      <c r="FP175" s="1804">
        <v>0</v>
      </c>
      <c r="FQ175" s="1804">
        <v>0</v>
      </c>
      <c r="FR175" s="1804">
        <v>0</v>
      </c>
      <c r="FS175" s="1804">
        <v>0</v>
      </c>
      <c r="FT175" s="1804">
        <v>0</v>
      </c>
      <c r="FU175" s="1804">
        <v>0</v>
      </c>
      <c r="FV175" s="1804">
        <v>0</v>
      </c>
      <c r="FW175" s="1804">
        <v>0</v>
      </c>
      <c r="FX175" s="1804">
        <v>0</v>
      </c>
      <c r="FY175" s="1804">
        <v>0</v>
      </c>
      <c r="FZ175" s="1804">
        <v>0</v>
      </c>
      <c r="GA175" s="1804">
        <v>0</v>
      </c>
      <c r="GB175" s="1804">
        <v>0</v>
      </c>
      <c r="GC175" s="1804">
        <v>0</v>
      </c>
      <c r="GD175" s="1804">
        <v>0</v>
      </c>
      <c r="GE175" s="1804">
        <v>0</v>
      </c>
      <c r="GF175" s="1804">
        <v>0</v>
      </c>
      <c r="GG175" s="1804">
        <v>0</v>
      </c>
      <c r="GH175" s="1804">
        <v>0</v>
      </c>
      <c r="GI175" s="1804">
        <v>0</v>
      </c>
      <c r="GJ175" s="1804">
        <v>0</v>
      </c>
      <c r="GK175" s="1804">
        <v>0</v>
      </c>
      <c r="GL175" s="1804">
        <v>0</v>
      </c>
      <c r="GM175" s="1804">
        <v>0</v>
      </c>
      <c r="GN175" s="1804">
        <v>0</v>
      </c>
      <c r="GO175" s="1804">
        <v>0</v>
      </c>
      <c r="GP175" s="1804">
        <v>0</v>
      </c>
      <c r="GQ175" s="1804">
        <v>0</v>
      </c>
      <c r="GR175" s="1804">
        <v>0</v>
      </c>
      <c r="GS175" s="1804">
        <v>0</v>
      </c>
      <c r="GT175" s="1804">
        <v>0</v>
      </c>
      <c r="GU175" s="1804">
        <v>0</v>
      </c>
      <c r="GV175" s="1804">
        <v>0</v>
      </c>
      <c r="GW175" s="1804">
        <v>0</v>
      </c>
      <c r="GX175" s="1804">
        <v>0</v>
      </c>
      <c r="GY175" s="1804">
        <v>0</v>
      </c>
      <c r="GZ175" s="1804">
        <v>0</v>
      </c>
      <c r="HA175" s="1804">
        <v>0</v>
      </c>
      <c r="HB175" s="1804">
        <v>0</v>
      </c>
      <c r="HC175" s="1804">
        <v>0</v>
      </c>
      <c r="HD175" s="1804">
        <v>0</v>
      </c>
      <c r="HE175" s="1804">
        <v>0</v>
      </c>
    </row>
    <row r="176" spans="1:213" ht="15" customHeight="1" x14ac:dyDescent="0.2">
      <c r="A176" s="1966"/>
      <c r="B176" s="2009"/>
      <c r="C176" s="1818" t="s">
        <v>620</v>
      </c>
      <c r="D176" s="1881"/>
      <c r="E176" s="1996"/>
      <c r="F176" s="1838">
        <v>0</v>
      </c>
      <c r="G176" s="1804">
        <v>0</v>
      </c>
      <c r="H176" s="1804">
        <v>0</v>
      </c>
      <c r="I176" s="1804">
        <v>0</v>
      </c>
      <c r="J176" s="1804">
        <v>0</v>
      </c>
      <c r="K176" s="1804">
        <v>0</v>
      </c>
      <c r="L176" s="1804">
        <v>0</v>
      </c>
      <c r="M176" s="1804">
        <v>0</v>
      </c>
      <c r="N176" s="1804">
        <v>0</v>
      </c>
      <c r="O176" s="1804">
        <v>0</v>
      </c>
      <c r="P176" s="1804">
        <v>0</v>
      </c>
      <c r="Q176" s="1804">
        <v>0</v>
      </c>
      <c r="R176" s="1804">
        <v>0</v>
      </c>
      <c r="S176" s="1804">
        <v>0</v>
      </c>
      <c r="T176" s="1804">
        <v>0</v>
      </c>
      <c r="U176" s="1804">
        <v>0</v>
      </c>
      <c r="V176" s="1804">
        <v>0</v>
      </c>
      <c r="W176" s="1804">
        <v>0</v>
      </c>
      <c r="X176" s="1804">
        <v>0</v>
      </c>
      <c r="Y176" s="1804">
        <v>0</v>
      </c>
      <c r="Z176" s="1804">
        <v>0</v>
      </c>
      <c r="AA176" s="1804">
        <v>0</v>
      </c>
      <c r="AB176" s="1804">
        <v>0</v>
      </c>
      <c r="AC176" s="1804">
        <v>0</v>
      </c>
      <c r="AD176" s="1804">
        <v>0</v>
      </c>
      <c r="AE176" s="1804">
        <v>0</v>
      </c>
      <c r="AF176" s="1804">
        <v>0</v>
      </c>
      <c r="AG176" s="1804">
        <v>0</v>
      </c>
      <c r="AH176" s="1804">
        <v>0</v>
      </c>
      <c r="AI176" s="1804">
        <v>0</v>
      </c>
      <c r="AJ176" s="1804">
        <v>0</v>
      </c>
      <c r="AK176" s="1804">
        <v>0</v>
      </c>
      <c r="AL176" s="1804">
        <v>0</v>
      </c>
      <c r="AM176" s="1804">
        <v>0</v>
      </c>
      <c r="AN176" s="1804">
        <v>0</v>
      </c>
      <c r="AO176" s="1804">
        <v>0</v>
      </c>
      <c r="AP176" s="1804">
        <v>0</v>
      </c>
      <c r="AQ176" s="1804">
        <v>0</v>
      </c>
      <c r="AR176" s="1804">
        <v>0</v>
      </c>
      <c r="AS176" s="1804">
        <v>0</v>
      </c>
      <c r="AT176" s="1804">
        <v>0</v>
      </c>
      <c r="AU176" s="1804">
        <v>0</v>
      </c>
      <c r="AV176" s="1804">
        <v>0</v>
      </c>
      <c r="AW176" s="1804">
        <v>0</v>
      </c>
      <c r="AX176" s="1804">
        <v>0</v>
      </c>
      <c r="AY176" s="1804">
        <v>0</v>
      </c>
      <c r="AZ176" s="1804">
        <v>0</v>
      </c>
      <c r="BA176" s="1804">
        <v>0</v>
      </c>
      <c r="BB176" s="1804">
        <v>0</v>
      </c>
      <c r="BC176" s="1804">
        <v>0</v>
      </c>
      <c r="BD176" s="1804">
        <v>0</v>
      </c>
      <c r="BE176" s="1804">
        <v>0</v>
      </c>
      <c r="BF176" s="1804">
        <v>0</v>
      </c>
      <c r="BG176" s="1804">
        <v>0</v>
      </c>
      <c r="BH176" s="1804">
        <v>0</v>
      </c>
      <c r="BI176" s="1804">
        <v>0</v>
      </c>
      <c r="BJ176" s="1804">
        <v>0</v>
      </c>
      <c r="BK176" s="1804">
        <v>0</v>
      </c>
      <c r="BL176" s="1804">
        <v>0</v>
      </c>
      <c r="BM176" s="1804">
        <v>0</v>
      </c>
      <c r="BN176" s="1804">
        <v>0</v>
      </c>
      <c r="BO176" s="1804">
        <v>0</v>
      </c>
      <c r="BP176" s="1804">
        <v>0</v>
      </c>
      <c r="BQ176" s="1804">
        <v>0</v>
      </c>
      <c r="BR176" s="1804">
        <v>0</v>
      </c>
      <c r="BS176" s="1804">
        <v>0</v>
      </c>
      <c r="BT176" s="1804">
        <v>0</v>
      </c>
      <c r="BU176" s="1804">
        <v>0</v>
      </c>
      <c r="BV176" s="1804">
        <v>0</v>
      </c>
      <c r="BW176" s="1804">
        <v>0</v>
      </c>
      <c r="BX176" s="1804">
        <v>0</v>
      </c>
      <c r="BY176" s="1804">
        <v>0</v>
      </c>
      <c r="BZ176" s="1804">
        <v>0</v>
      </c>
      <c r="CA176" s="1804">
        <v>0</v>
      </c>
      <c r="CB176" s="1804">
        <v>0</v>
      </c>
      <c r="CC176" s="1804">
        <v>0</v>
      </c>
      <c r="CD176" s="1804">
        <v>0</v>
      </c>
      <c r="CE176" s="1804">
        <v>0</v>
      </c>
      <c r="CF176" s="1804">
        <v>0</v>
      </c>
      <c r="CG176" s="1804">
        <v>0</v>
      </c>
      <c r="CH176" s="1804">
        <v>0</v>
      </c>
      <c r="CI176" s="1804">
        <v>0</v>
      </c>
      <c r="CJ176" s="1804">
        <v>0</v>
      </c>
      <c r="CK176" s="1804">
        <v>0</v>
      </c>
      <c r="CL176" s="1804">
        <v>0</v>
      </c>
      <c r="CM176" s="1804">
        <v>0</v>
      </c>
      <c r="CN176" s="1804">
        <v>0</v>
      </c>
      <c r="CO176" s="1804">
        <v>0</v>
      </c>
      <c r="CP176" s="1804">
        <v>0</v>
      </c>
      <c r="CQ176" s="1804">
        <v>0</v>
      </c>
      <c r="CR176" s="1804">
        <v>0</v>
      </c>
      <c r="CS176" s="1804">
        <v>0</v>
      </c>
      <c r="CT176" s="1804">
        <v>0</v>
      </c>
      <c r="CU176" s="1804">
        <v>0</v>
      </c>
      <c r="CV176" s="1804">
        <v>0</v>
      </c>
      <c r="CW176" s="1804">
        <v>0</v>
      </c>
      <c r="CX176" s="1804">
        <v>0</v>
      </c>
      <c r="CY176" s="1804">
        <v>0</v>
      </c>
      <c r="CZ176" s="1804">
        <v>0</v>
      </c>
      <c r="DA176" s="1804">
        <v>0</v>
      </c>
      <c r="DB176" s="1804">
        <v>0</v>
      </c>
      <c r="DC176" s="1804">
        <v>0</v>
      </c>
      <c r="DD176" s="1804">
        <v>0</v>
      </c>
      <c r="DE176" s="1804">
        <v>0</v>
      </c>
      <c r="DF176" s="1804">
        <v>0</v>
      </c>
      <c r="DG176" s="1804">
        <v>0</v>
      </c>
      <c r="DH176" s="1804">
        <v>0</v>
      </c>
      <c r="DI176" s="1804">
        <v>0</v>
      </c>
      <c r="DJ176" s="1804">
        <v>0</v>
      </c>
      <c r="DK176" s="1804">
        <v>0</v>
      </c>
      <c r="DL176" s="1804">
        <v>0</v>
      </c>
      <c r="DM176" s="1804">
        <v>0</v>
      </c>
      <c r="DN176" s="1804">
        <v>0</v>
      </c>
      <c r="DO176" s="1804">
        <v>0</v>
      </c>
      <c r="DP176" s="1804">
        <v>0</v>
      </c>
      <c r="DQ176" s="1804">
        <v>0</v>
      </c>
      <c r="DR176" s="1804">
        <v>0</v>
      </c>
      <c r="DS176" s="1804">
        <v>0</v>
      </c>
      <c r="DT176" s="1804">
        <v>0</v>
      </c>
      <c r="DU176" s="1804">
        <v>0</v>
      </c>
      <c r="DV176" s="1804">
        <v>0</v>
      </c>
      <c r="DW176" s="1804">
        <v>0</v>
      </c>
      <c r="DX176" s="1804">
        <v>0</v>
      </c>
      <c r="DY176" s="1804">
        <v>0</v>
      </c>
      <c r="DZ176" s="1804">
        <v>0</v>
      </c>
      <c r="EA176" s="1804">
        <v>0</v>
      </c>
      <c r="EB176" s="1804">
        <v>0</v>
      </c>
      <c r="EC176" s="1804">
        <v>0</v>
      </c>
      <c r="ED176" s="1804">
        <v>0</v>
      </c>
      <c r="EE176" s="1804">
        <v>0</v>
      </c>
      <c r="EF176" s="1804">
        <v>0</v>
      </c>
      <c r="EG176" s="1804">
        <v>0</v>
      </c>
      <c r="EH176" s="1804">
        <v>0</v>
      </c>
      <c r="EI176" s="1804">
        <v>0</v>
      </c>
      <c r="EJ176" s="1804">
        <v>0</v>
      </c>
      <c r="EK176" s="1804">
        <v>0</v>
      </c>
      <c r="EL176" s="1804">
        <v>0</v>
      </c>
      <c r="EM176" s="1804">
        <v>0</v>
      </c>
      <c r="EN176" s="1804">
        <v>0</v>
      </c>
      <c r="EO176" s="1804">
        <v>0</v>
      </c>
      <c r="EP176" s="1804">
        <v>0</v>
      </c>
      <c r="EQ176" s="1804">
        <v>0</v>
      </c>
      <c r="ER176" s="1804">
        <v>0</v>
      </c>
      <c r="ES176" s="1804">
        <v>0</v>
      </c>
      <c r="ET176" s="1804">
        <v>0</v>
      </c>
      <c r="EU176" s="1804">
        <v>0</v>
      </c>
      <c r="EV176" s="1804">
        <v>0</v>
      </c>
      <c r="EW176" s="1804">
        <v>0</v>
      </c>
      <c r="EX176" s="1804">
        <v>0</v>
      </c>
      <c r="EY176" s="1804">
        <v>0</v>
      </c>
      <c r="EZ176" s="1804">
        <v>0</v>
      </c>
      <c r="FA176" s="1804">
        <v>0</v>
      </c>
      <c r="FB176" s="1804">
        <v>0</v>
      </c>
      <c r="FC176" s="1804">
        <v>0</v>
      </c>
      <c r="FD176" s="1804">
        <v>0</v>
      </c>
      <c r="FE176" s="1804">
        <v>0</v>
      </c>
      <c r="FF176" s="1804">
        <v>0</v>
      </c>
      <c r="FG176" s="1804">
        <v>0</v>
      </c>
      <c r="FH176" s="1804">
        <v>0</v>
      </c>
      <c r="FI176" s="1804">
        <v>0</v>
      </c>
      <c r="FJ176" s="1804">
        <v>0</v>
      </c>
      <c r="FK176" s="1804">
        <v>0</v>
      </c>
      <c r="FL176" s="1804">
        <v>0</v>
      </c>
      <c r="FM176" s="1804">
        <v>0</v>
      </c>
      <c r="FN176" s="1804">
        <v>0</v>
      </c>
      <c r="FO176" s="1804">
        <v>0</v>
      </c>
      <c r="FP176" s="1804">
        <v>0</v>
      </c>
      <c r="FQ176" s="1804">
        <v>0</v>
      </c>
      <c r="FR176" s="1804">
        <v>0</v>
      </c>
      <c r="FS176" s="1804">
        <v>0</v>
      </c>
      <c r="FT176" s="1804">
        <v>0</v>
      </c>
      <c r="FU176" s="1804">
        <v>0</v>
      </c>
      <c r="FV176" s="1804">
        <v>0</v>
      </c>
      <c r="FW176" s="1804">
        <v>0</v>
      </c>
      <c r="FX176" s="1804">
        <v>0</v>
      </c>
      <c r="FY176" s="1804">
        <v>0</v>
      </c>
      <c r="FZ176" s="1804">
        <v>0</v>
      </c>
      <c r="GA176" s="1804">
        <v>0</v>
      </c>
      <c r="GB176" s="1804">
        <v>0</v>
      </c>
      <c r="GC176" s="1804">
        <v>0</v>
      </c>
      <c r="GD176" s="1804">
        <v>0</v>
      </c>
      <c r="GE176" s="1804">
        <v>0</v>
      </c>
      <c r="GF176" s="1804">
        <v>0</v>
      </c>
      <c r="GG176" s="1804">
        <v>0</v>
      </c>
      <c r="GH176" s="1804">
        <v>0</v>
      </c>
      <c r="GI176" s="1804">
        <v>0</v>
      </c>
      <c r="GJ176" s="1804">
        <v>0</v>
      </c>
      <c r="GK176" s="1804">
        <v>0</v>
      </c>
      <c r="GL176" s="1804">
        <v>0</v>
      </c>
      <c r="GM176" s="1804">
        <v>0</v>
      </c>
      <c r="GN176" s="1804">
        <v>0</v>
      </c>
      <c r="GO176" s="1804">
        <v>0</v>
      </c>
      <c r="GP176" s="1804">
        <v>0</v>
      </c>
      <c r="GQ176" s="1804">
        <v>0</v>
      </c>
      <c r="GR176" s="1804">
        <v>0</v>
      </c>
      <c r="GS176" s="1804">
        <v>0</v>
      </c>
      <c r="GT176" s="1804">
        <v>0</v>
      </c>
      <c r="GU176" s="1804">
        <v>0</v>
      </c>
      <c r="GV176" s="1804">
        <v>0</v>
      </c>
      <c r="GW176" s="1804">
        <v>0</v>
      </c>
      <c r="GX176" s="1804">
        <v>0</v>
      </c>
      <c r="GY176" s="1804">
        <v>0</v>
      </c>
      <c r="GZ176" s="1804">
        <v>0</v>
      </c>
      <c r="HA176" s="1804">
        <v>0</v>
      </c>
      <c r="HB176" s="1804">
        <v>0</v>
      </c>
      <c r="HC176" s="1804">
        <v>0</v>
      </c>
      <c r="HD176" s="1804">
        <v>0</v>
      </c>
      <c r="HE176" s="1804">
        <v>0</v>
      </c>
    </row>
    <row r="177" spans="1:213" ht="15" customHeight="1" thickBot="1" x14ac:dyDescent="0.25">
      <c r="A177" s="1967"/>
      <c r="B177" s="2010"/>
      <c r="C177" s="1697" t="s">
        <v>621</v>
      </c>
      <c r="D177" s="1881"/>
      <c r="E177" s="1996"/>
      <c r="F177" s="1838">
        <v>0</v>
      </c>
      <c r="G177" s="1804">
        <v>0</v>
      </c>
      <c r="H177" s="1804">
        <v>0</v>
      </c>
      <c r="I177" s="1804">
        <v>0</v>
      </c>
      <c r="J177" s="1804">
        <v>0</v>
      </c>
      <c r="K177" s="1804">
        <v>0</v>
      </c>
      <c r="L177" s="1804">
        <v>0</v>
      </c>
      <c r="M177" s="1804">
        <v>0</v>
      </c>
      <c r="N177" s="1804">
        <v>0</v>
      </c>
      <c r="O177" s="1804">
        <v>0</v>
      </c>
      <c r="P177" s="1804">
        <v>0</v>
      </c>
      <c r="Q177" s="1804">
        <v>0</v>
      </c>
      <c r="R177" s="1804">
        <v>0</v>
      </c>
      <c r="S177" s="1804">
        <v>0</v>
      </c>
      <c r="T177" s="1804">
        <v>0</v>
      </c>
      <c r="U177" s="1804">
        <v>0</v>
      </c>
      <c r="V177" s="1804">
        <v>0</v>
      </c>
      <c r="W177" s="1804">
        <v>0</v>
      </c>
      <c r="X177" s="1804">
        <v>0</v>
      </c>
      <c r="Y177" s="1804">
        <v>0</v>
      </c>
      <c r="Z177" s="1804">
        <v>0</v>
      </c>
      <c r="AA177" s="1804">
        <v>0</v>
      </c>
      <c r="AB177" s="1804">
        <v>0</v>
      </c>
      <c r="AC177" s="1804">
        <v>0</v>
      </c>
      <c r="AD177" s="1804">
        <v>0</v>
      </c>
      <c r="AE177" s="1804">
        <v>0</v>
      </c>
      <c r="AF177" s="1804">
        <v>0</v>
      </c>
      <c r="AG177" s="1804">
        <v>0</v>
      </c>
      <c r="AH177" s="1804">
        <v>0</v>
      </c>
      <c r="AI177" s="1804">
        <v>0</v>
      </c>
      <c r="AJ177" s="1804">
        <v>0</v>
      </c>
      <c r="AK177" s="1804">
        <v>0</v>
      </c>
      <c r="AL177" s="1804">
        <v>0</v>
      </c>
      <c r="AM177" s="1804">
        <v>0</v>
      </c>
      <c r="AN177" s="1804">
        <v>0</v>
      </c>
      <c r="AO177" s="1804">
        <v>0</v>
      </c>
      <c r="AP177" s="1804">
        <v>0</v>
      </c>
      <c r="AQ177" s="1804">
        <v>0</v>
      </c>
      <c r="AR177" s="1804">
        <v>0</v>
      </c>
      <c r="AS177" s="1804">
        <v>0</v>
      </c>
      <c r="AT177" s="1804">
        <v>0</v>
      </c>
      <c r="AU177" s="1804">
        <v>0</v>
      </c>
      <c r="AV177" s="1804">
        <v>0</v>
      </c>
      <c r="AW177" s="1804">
        <v>0</v>
      </c>
      <c r="AX177" s="1804">
        <v>0</v>
      </c>
      <c r="AY177" s="1804">
        <v>0</v>
      </c>
      <c r="AZ177" s="1804">
        <v>0</v>
      </c>
      <c r="BA177" s="1804">
        <v>0</v>
      </c>
      <c r="BB177" s="1804">
        <v>0</v>
      </c>
      <c r="BC177" s="1804">
        <v>0</v>
      </c>
      <c r="BD177" s="1804">
        <v>0</v>
      </c>
      <c r="BE177" s="1804">
        <v>0</v>
      </c>
      <c r="BF177" s="1804">
        <v>0</v>
      </c>
      <c r="BG177" s="1804">
        <v>0</v>
      </c>
      <c r="BH177" s="1804">
        <v>0</v>
      </c>
      <c r="BI177" s="1804">
        <v>0</v>
      </c>
      <c r="BJ177" s="1804">
        <v>0</v>
      </c>
      <c r="BK177" s="1804">
        <v>0</v>
      </c>
      <c r="BL177" s="1804">
        <v>0</v>
      </c>
      <c r="BM177" s="1804">
        <v>0</v>
      </c>
      <c r="BN177" s="1804">
        <v>0</v>
      </c>
      <c r="BO177" s="1804">
        <v>0</v>
      </c>
      <c r="BP177" s="1804">
        <v>0</v>
      </c>
      <c r="BQ177" s="1804">
        <v>0</v>
      </c>
      <c r="BR177" s="1804">
        <v>0</v>
      </c>
      <c r="BS177" s="1804">
        <v>0</v>
      </c>
      <c r="BT177" s="1804">
        <v>0</v>
      </c>
      <c r="BU177" s="1804">
        <v>0</v>
      </c>
      <c r="BV177" s="1804">
        <v>0</v>
      </c>
      <c r="BW177" s="1804">
        <v>0</v>
      </c>
      <c r="BX177" s="1804">
        <v>0</v>
      </c>
      <c r="BY177" s="1804">
        <v>0</v>
      </c>
      <c r="BZ177" s="1804">
        <v>0</v>
      </c>
      <c r="CA177" s="1804">
        <v>0</v>
      </c>
      <c r="CB177" s="1804">
        <v>0</v>
      </c>
      <c r="CC177" s="1804">
        <v>0</v>
      </c>
      <c r="CD177" s="1804">
        <v>0</v>
      </c>
      <c r="CE177" s="1804">
        <v>0</v>
      </c>
      <c r="CF177" s="1804">
        <v>0</v>
      </c>
      <c r="CG177" s="1804">
        <v>0</v>
      </c>
      <c r="CH177" s="1804">
        <v>0</v>
      </c>
      <c r="CI177" s="1804">
        <v>0</v>
      </c>
      <c r="CJ177" s="1804">
        <v>0</v>
      </c>
      <c r="CK177" s="1804">
        <v>0</v>
      </c>
      <c r="CL177" s="1804">
        <v>0</v>
      </c>
      <c r="CM177" s="1804">
        <v>0</v>
      </c>
      <c r="CN177" s="1804">
        <v>0</v>
      </c>
      <c r="CO177" s="1804">
        <v>0</v>
      </c>
      <c r="CP177" s="1804">
        <v>0</v>
      </c>
      <c r="CQ177" s="1804">
        <v>0</v>
      </c>
      <c r="CR177" s="1804">
        <v>0</v>
      </c>
      <c r="CS177" s="1804">
        <v>0</v>
      </c>
      <c r="CT177" s="1804">
        <v>0</v>
      </c>
      <c r="CU177" s="1804">
        <v>0</v>
      </c>
      <c r="CV177" s="1804">
        <v>0</v>
      </c>
      <c r="CW177" s="1804">
        <v>0</v>
      </c>
      <c r="CX177" s="1804">
        <v>0</v>
      </c>
      <c r="CY177" s="1804">
        <v>0</v>
      </c>
      <c r="CZ177" s="1804">
        <v>0</v>
      </c>
      <c r="DA177" s="1804">
        <v>0</v>
      </c>
      <c r="DB177" s="1804">
        <v>0</v>
      </c>
      <c r="DC177" s="1804">
        <v>0</v>
      </c>
      <c r="DD177" s="1804">
        <v>0</v>
      </c>
      <c r="DE177" s="1804">
        <v>0</v>
      </c>
      <c r="DF177" s="1804">
        <v>0</v>
      </c>
      <c r="DG177" s="1804">
        <v>0</v>
      </c>
      <c r="DH177" s="1804">
        <v>0</v>
      </c>
      <c r="DI177" s="1804">
        <v>0</v>
      </c>
      <c r="DJ177" s="1804">
        <v>0</v>
      </c>
      <c r="DK177" s="1804">
        <v>0</v>
      </c>
      <c r="DL177" s="1804">
        <v>0</v>
      </c>
      <c r="DM177" s="1804">
        <v>0</v>
      </c>
      <c r="DN177" s="1804">
        <v>0</v>
      </c>
      <c r="DO177" s="1804">
        <v>0</v>
      </c>
      <c r="DP177" s="1804">
        <v>0</v>
      </c>
      <c r="DQ177" s="1804">
        <v>0</v>
      </c>
      <c r="DR177" s="1804">
        <v>0</v>
      </c>
      <c r="DS177" s="1804">
        <v>0</v>
      </c>
      <c r="DT177" s="1804">
        <v>0</v>
      </c>
      <c r="DU177" s="1804">
        <v>0</v>
      </c>
      <c r="DV177" s="1804">
        <v>0</v>
      </c>
      <c r="DW177" s="1804">
        <v>0</v>
      </c>
      <c r="DX177" s="1804">
        <v>0</v>
      </c>
      <c r="DY177" s="1804">
        <v>0</v>
      </c>
      <c r="DZ177" s="1804">
        <v>0</v>
      </c>
      <c r="EA177" s="1804">
        <v>0</v>
      </c>
      <c r="EB177" s="1804">
        <v>0</v>
      </c>
      <c r="EC177" s="1804">
        <v>0</v>
      </c>
      <c r="ED177" s="1804">
        <v>0</v>
      </c>
      <c r="EE177" s="1804">
        <v>0</v>
      </c>
      <c r="EF177" s="1804">
        <v>0</v>
      </c>
      <c r="EG177" s="1804">
        <v>0</v>
      </c>
      <c r="EH177" s="1804">
        <v>0</v>
      </c>
      <c r="EI177" s="1804">
        <v>0</v>
      </c>
      <c r="EJ177" s="1804">
        <v>0</v>
      </c>
      <c r="EK177" s="1804">
        <v>0</v>
      </c>
      <c r="EL177" s="1804">
        <v>0</v>
      </c>
      <c r="EM177" s="1804">
        <v>0</v>
      </c>
      <c r="EN177" s="1804">
        <v>0</v>
      </c>
      <c r="EO177" s="1804">
        <v>0</v>
      </c>
      <c r="EP177" s="1804">
        <v>0</v>
      </c>
      <c r="EQ177" s="1804">
        <v>0</v>
      </c>
      <c r="ER177" s="1804">
        <v>0</v>
      </c>
      <c r="ES177" s="1804">
        <v>0</v>
      </c>
      <c r="ET177" s="1804">
        <v>0</v>
      </c>
      <c r="EU177" s="1804">
        <v>0</v>
      </c>
      <c r="EV177" s="1804">
        <v>0</v>
      </c>
      <c r="EW177" s="1804">
        <v>0</v>
      </c>
      <c r="EX177" s="1804">
        <v>0</v>
      </c>
      <c r="EY177" s="1804">
        <v>0</v>
      </c>
      <c r="EZ177" s="1804">
        <v>0</v>
      </c>
      <c r="FA177" s="1804">
        <v>0</v>
      </c>
      <c r="FB177" s="1804">
        <v>0</v>
      </c>
      <c r="FC177" s="1804">
        <v>0</v>
      </c>
      <c r="FD177" s="1804">
        <v>0</v>
      </c>
      <c r="FE177" s="1804">
        <v>0</v>
      </c>
      <c r="FF177" s="1804">
        <v>0</v>
      </c>
      <c r="FG177" s="1804">
        <v>0</v>
      </c>
      <c r="FH177" s="1804">
        <v>0</v>
      </c>
      <c r="FI177" s="1804">
        <v>0</v>
      </c>
      <c r="FJ177" s="1804">
        <v>0</v>
      </c>
      <c r="FK177" s="1804">
        <v>0</v>
      </c>
      <c r="FL177" s="1804">
        <v>0</v>
      </c>
      <c r="FM177" s="1804">
        <v>0</v>
      </c>
      <c r="FN177" s="1804">
        <v>0</v>
      </c>
      <c r="FO177" s="1804">
        <v>0</v>
      </c>
      <c r="FP177" s="1804">
        <v>0</v>
      </c>
      <c r="FQ177" s="1804">
        <v>0</v>
      </c>
      <c r="FR177" s="1804">
        <v>0</v>
      </c>
      <c r="FS177" s="1804">
        <v>0</v>
      </c>
      <c r="FT177" s="1804">
        <v>0</v>
      </c>
      <c r="FU177" s="1804">
        <v>0</v>
      </c>
      <c r="FV177" s="1804">
        <v>0</v>
      </c>
      <c r="FW177" s="1804">
        <v>0</v>
      </c>
      <c r="FX177" s="1804">
        <v>0</v>
      </c>
      <c r="FY177" s="1804">
        <v>0</v>
      </c>
      <c r="FZ177" s="1804">
        <v>0</v>
      </c>
      <c r="GA177" s="1804">
        <v>0</v>
      </c>
      <c r="GB177" s="1804">
        <v>0</v>
      </c>
      <c r="GC177" s="1804">
        <v>0</v>
      </c>
      <c r="GD177" s="1804">
        <v>0</v>
      </c>
      <c r="GE177" s="1804">
        <v>0</v>
      </c>
      <c r="GF177" s="1804">
        <v>0</v>
      </c>
      <c r="GG177" s="1804">
        <v>0</v>
      </c>
      <c r="GH177" s="1804">
        <v>0</v>
      </c>
      <c r="GI177" s="1804">
        <v>0</v>
      </c>
      <c r="GJ177" s="1804">
        <v>0</v>
      </c>
      <c r="GK177" s="1804">
        <v>0</v>
      </c>
      <c r="GL177" s="1804">
        <v>0</v>
      </c>
      <c r="GM177" s="1804">
        <v>0</v>
      </c>
      <c r="GN177" s="1804">
        <v>0</v>
      </c>
      <c r="GO177" s="1804">
        <v>0</v>
      </c>
      <c r="GP177" s="1804">
        <v>0</v>
      </c>
      <c r="GQ177" s="1804">
        <v>0</v>
      </c>
      <c r="GR177" s="1804">
        <v>0</v>
      </c>
      <c r="GS177" s="1804">
        <v>0</v>
      </c>
      <c r="GT177" s="1804">
        <v>0</v>
      </c>
      <c r="GU177" s="1804">
        <v>0</v>
      </c>
      <c r="GV177" s="1804">
        <v>0</v>
      </c>
      <c r="GW177" s="1804">
        <v>0</v>
      </c>
      <c r="GX177" s="1804">
        <v>0</v>
      </c>
      <c r="GY177" s="1804">
        <v>0</v>
      </c>
      <c r="GZ177" s="1804">
        <v>0</v>
      </c>
      <c r="HA177" s="1804">
        <v>0</v>
      </c>
      <c r="HB177" s="1804">
        <v>0</v>
      </c>
      <c r="HC177" s="1804">
        <v>0</v>
      </c>
      <c r="HD177" s="1804">
        <v>0</v>
      </c>
      <c r="HE177" s="1804">
        <v>0</v>
      </c>
    </row>
    <row r="178" spans="1:213" ht="21" customHeight="1" thickBot="1" x14ac:dyDescent="0.25">
      <c r="A178" s="1968" t="s">
        <v>2363</v>
      </c>
      <c r="B178" s="1988" t="s">
        <v>26</v>
      </c>
      <c r="C178" s="1699" t="s">
        <v>895</v>
      </c>
      <c r="D178" s="1880"/>
      <c r="E178" s="1984"/>
      <c r="F178" s="1865"/>
      <c r="G178" s="1866"/>
      <c r="H178" s="1866"/>
      <c r="I178" s="1866"/>
      <c r="J178" s="1866"/>
      <c r="K178" s="1866"/>
      <c r="L178" s="1866"/>
      <c r="M178" s="1866"/>
      <c r="N178" s="1866"/>
      <c r="O178" s="1866"/>
      <c r="P178" s="1866"/>
      <c r="Q178" s="1866"/>
      <c r="R178" s="1866"/>
      <c r="S178" s="1866"/>
      <c r="T178" s="1866"/>
      <c r="U178" s="1866"/>
      <c r="V178" s="1866"/>
      <c r="W178" s="1866"/>
      <c r="X178" s="1866"/>
      <c r="Y178" s="1866"/>
      <c r="Z178" s="1866"/>
      <c r="AA178" s="1866"/>
      <c r="AB178" s="1866"/>
      <c r="AC178" s="1866"/>
      <c r="AD178" s="1866"/>
      <c r="AE178" s="1866"/>
      <c r="AF178" s="1866"/>
      <c r="AG178" s="1866"/>
      <c r="AH178" s="1866"/>
      <c r="AI178" s="1866"/>
      <c r="AJ178" s="1866"/>
      <c r="AK178" s="1866"/>
      <c r="AL178" s="1866"/>
      <c r="AM178" s="1866"/>
      <c r="AN178" s="1866"/>
      <c r="AO178" s="1866"/>
      <c r="AP178" s="1866"/>
      <c r="AQ178" s="1866"/>
      <c r="AR178" s="1866"/>
      <c r="AS178" s="1866"/>
      <c r="AT178" s="1866"/>
      <c r="AU178" s="1866"/>
      <c r="AV178" s="1866"/>
      <c r="AW178" s="1866"/>
      <c r="AX178" s="1866"/>
      <c r="AY178" s="1866"/>
      <c r="AZ178" s="1866"/>
      <c r="BA178" s="1866"/>
      <c r="BB178" s="1866"/>
      <c r="BC178" s="1866"/>
      <c r="BD178" s="1866"/>
      <c r="BE178" s="1866"/>
      <c r="BF178" s="1866"/>
      <c r="BG178" s="1866"/>
      <c r="BH178" s="1866"/>
      <c r="BI178" s="1866"/>
      <c r="BJ178" s="1866"/>
      <c r="BK178" s="1866"/>
      <c r="BL178" s="1866"/>
      <c r="BM178" s="1866"/>
      <c r="BN178" s="1866"/>
      <c r="BO178" s="1866"/>
      <c r="BP178" s="1866"/>
      <c r="BQ178" s="1866"/>
      <c r="BR178" s="1866"/>
      <c r="BS178" s="1866"/>
      <c r="BT178" s="1866"/>
      <c r="BU178" s="1866"/>
      <c r="BV178" s="1866"/>
      <c r="BW178" s="1866"/>
      <c r="BX178" s="1866"/>
      <c r="BY178" s="1866"/>
      <c r="BZ178" s="1866"/>
      <c r="CA178" s="1866"/>
      <c r="CB178" s="1866"/>
      <c r="CC178" s="1866"/>
      <c r="CD178" s="1866"/>
      <c r="CE178" s="1866"/>
      <c r="CF178" s="1866"/>
      <c r="CG178" s="1866"/>
      <c r="CH178" s="1866"/>
      <c r="CI178" s="1866"/>
      <c r="CJ178" s="1866"/>
      <c r="CK178" s="1866"/>
      <c r="CL178" s="1866"/>
      <c r="CM178" s="1866"/>
      <c r="CN178" s="1866"/>
      <c r="CO178" s="1866"/>
      <c r="CP178" s="1866"/>
      <c r="CQ178" s="1866"/>
      <c r="CR178" s="1866"/>
      <c r="CS178" s="1866"/>
      <c r="CT178" s="1866"/>
      <c r="CU178" s="1866"/>
      <c r="CV178" s="1866"/>
      <c r="CW178" s="1866"/>
      <c r="CX178" s="1866"/>
      <c r="CY178" s="1866"/>
      <c r="CZ178" s="1866"/>
      <c r="DA178" s="1866"/>
      <c r="DB178" s="1866"/>
      <c r="DC178" s="1866"/>
      <c r="DD178" s="1866"/>
      <c r="DE178" s="1866"/>
      <c r="DF178" s="1866"/>
      <c r="DG178" s="1866"/>
      <c r="DH178" s="1866"/>
      <c r="DI178" s="1866"/>
      <c r="DJ178" s="1866"/>
      <c r="DK178" s="1866"/>
      <c r="DL178" s="1866"/>
      <c r="DM178" s="1866"/>
      <c r="DN178" s="1866"/>
      <c r="DO178" s="1866"/>
      <c r="DP178" s="1866"/>
      <c r="DQ178" s="1866"/>
      <c r="DR178" s="1866"/>
      <c r="DS178" s="1866"/>
      <c r="DT178" s="1866"/>
      <c r="DU178" s="1866"/>
      <c r="DV178" s="1866"/>
      <c r="DW178" s="1866"/>
      <c r="DX178" s="1866"/>
      <c r="DY178" s="1866"/>
      <c r="DZ178" s="1866"/>
      <c r="EA178" s="1866"/>
      <c r="EB178" s="1866"/>
      <c r="EC178" s="1866"/>
      <c r="ED178" s="1866"/>
      <c r="EE178" s="1866"/>
      <c r="EF178" s="1866"/>
      <c r="EG178" s="1866"/>
      <c r="EH178" s="1866"/>
      <c r="EI178" s="1866"/>
      <c r="EJ178" s="1866"/>
      <c r="EK178" s="1866"/>
      <c r="EL178" s="1866"/>
      <c r="EM178" s="1866"/>
      <c r="EN178" s="1866"/>
      <c r="EO178" s="1866"/>
      <c r="EP178" s="1866"/>
      <c r="EQ178" s="1866"/>
      <c r="ER178" s="1866"/>
      <c r="ES178" s="1866"/>
      <c r="ET178" s="1866"/>
      <c r="EU178" s="1866"/>
      <c r="EV178" s="1866"/>
      <c r="EW178" s="1866"/>
      <c r="EX178" s="1866"/>
      <c r="EY178" s="1866"/>
      <c r="EZ178" s="1866"/>
      <c r="FA178" s="1866"/>
      <c r="FB178" s="1866"/>
      <c r="FC178" s="1866"/>
      <c r="FD178" s="1866"/>
      <c r="FE178" s="1866"/>
      <c r="FF178" s="1866"/>
      <c r="FG178" s="1866"/>
      <c r="FH178" s="1866"/>
      <c r="FI178" s="1866"/>
      <c r="FJ178" s="1866"/>
      <c r="FK178" s="1866"/>
      <c r="FL178" s="1866"/>
      <c r="FM178" s="1866"/>
      <c r="FN178" s="1866"/>
      <c r="FO178" s="1866"/>
      <c r="FP178" s="1866"/>
      <c r="FQ178" s="1866"/>
      <c r="FR178" s="1866"/>
      <c r="FS178" s="1866"/>
      <c r="FT178" s="1866"/>
      <c r="FU178" s="1866"/>
      <c r="FV178" s="1866"/>
      <c r="FW178" s="1866"/>
      <c r="FX178" s="1866"/>
      <c r="FY178" s="1866"/>
      <c r="FZ178" s="1866"/>
      <c r="GA178" s="1866"/>
      <c r="GB178" s="1866"/>
      <c r="GC178" s="1866"/>
      <c r="GD178" s="1866"/>
      <c r="GE178" s="1866"/>
      <c r="GF178" s="1866"/>
      <c r="GG178" s="1866"/>
      <c r="GH178" s="1866"/>
      <c r="GI178" s="1866"/>
      <c r="GJ178" s="1866"/>
      <c r="GK178" s="1866"/>
      <c r="GL178" s="1866"/>
      <c r="GM178" s="1866"/>
      <c r="GN178" s="1866"/>
      <c r="GO178" s="1866"/>
      <c r="GP178" s="1866"/>
      <c r="GQ178" s="1866"/>
      <c r="GR178" s="1866"/>
      <c r="GS178" s="1866"/>
      <c r="GT178" s="1866"/>
      <c r="GU178" s="1866"/>
      <c r="GV178" s="1866"/>
      <c r="GW178" s="1866"/>
      <c r="GX178" s="1866"/>
      <c r="GY178" s="1866"/>
      <c r="GZ178" s="1866"/>
      <c r="HA178" s="1866"/>
      <c r="HB178" s="1866"/>
      <c r="HC178" s="1866"/>
      <c r="HD178" s="1866"/>
      <c r="HE178" s="1866"/>
    </row>
    <row r="179" spans="1:213" ht="15" customHeight="1" x14ac:dyDescent="0.2">
      <c r="A179" s="1966"/>
      <c r="B179" s="1989"/>
      <c r="C179" s="1696" t="s">
        <v>2</v>
      </c>
      <c r="D179" s="1883"/>
      <c r="E179" s="1984"/>
      <c r="F179" s="1838">
        <v>0</v>
      </c>
      <c r="G179" s="1804">
        <v>0</v>
      </c>
      <c r="H179" s="1804">
        <v>0</v>
      </c>
      <c r="I179" s="1804">
        <v>0</v>
      </c>
      <c r="J179" s="1804">
        <v>0</v>
      </c>
      <c r="K179" s="1804">
        <v>0</v>
      </c>
      <c r="L179" s="1804">
        <v>0</v>
      </c>
      <c r="M179" s="1804">
        <v>0</v>
      </c>
      <c r="N179" s="1804">
        <v>0</v>
      </c>
      <c r="O179" s="1804">
        <v>0</v>
      </c>
      <c r="P179" s="1804">
        <v>0</v>
      </c>
      <c r="Q179" s="1804">
        <v>0</v>
      </c>
      <c r="R179" s="1804">
        <v>0</v>
      </c>
      <c r="S179" s="1804">
        <v>0</v>
      </c>
      <c r="T179" s="1804">
        <v>0</v>
      </c>
      <c r="U179" s="1804">
        <v>0</v>
      </c>
      <c r="V179" s="1804">
        <v>0</v>
      </c>
      <c r="W179" s="1804">
        <v>0</v>
      </c>
      <c r="X179" s="1804">
        <v>0</v>
      </c>
      <c r="Y179" s="1804">
        <v>0</v>
      </c>
      <c r="Z179" s="1804">
        <v>0</v>
      </c>
      <c r="AA179" s="1804">
        <v>0</v>
      </c>
      <c r="AB179" s="1804">
        <v>0</v>
      </c>
      <c r="AC179" s="1804">
        <v>0</v>
      </c>
      <c r="AD179" s="1804">
        <v>0</v>
      </c>
      <c r="AE179" s="1804">
        <v>0</v>
      </c>
      <c r="AF179" s="1804">
        <v>0</v>
      </c>
      <c r="AG179" s="1804">
        <v>0</v>
      </c>
      <c r="AH179" s="1804">
        <v>0</v>
      </c>
      <c r="AI179" s="1804">
        <v>0</v>
      </c>
      <c r="AJ179" s="1804">
        <v>0</v>
      </c>
      <c r="AK179" s="1804">
        <v>0</v>
      </c>
      <c r="AL179" s="1804">
        <v>0</v>
      </c>
      <c r="AM179" s="1804">
        <v>0</v>
      </c>
      <c r="AN179" s="1804">
        <v>0</v>
      </c>
      <c r="AO179" s="1804">
        <v>0</v>
      </c>
      <c r="AP179" s="1804">
        <v>0</v>
      </c>
      <c r="AQ179" s="1804">
        <v>0</v>
      </c>
      <c r="AR179" s="1804">
        <v>0</v>
      </c>
      <c r="AS179" s="1804">
        <v>0</v>
      </c>
      <c r="AT179" s="1804">
        <v>0</v>
      </c>
      <c r="AU179" s="1804">
        <v>0</v>
      </c>
      <c r="AV179" s="1804">
        <v>0</v>
      </c>
      <c r="AW179" s="1804">
        <v>0</v>
      </c>
      <c r="AX179" s="1804">
        <v>0</v>
      </c>
      <c r="AY179" s="1804">
        <v>0</v>
      </c>
      <c r="AZ179" s="1804">
        <v>0</v>
      </c>
      <c r="BA179" s="1804">
        <v>0</v>
      </c>
      <c r="BB179" s="1804">
        <v>0</v>
      </c>
      <c r="BC179" s="1804">
        <v>0</v>
      </c>
      <c r="BD179" s="1804">
        <v>0</v>
      </c>
      <c r="BE179" s="1804">
        <v>0</v>
      </c>
      <c r="BF179" s="1804">
        <v>0</v>
      </c>
      <c r="BG179" s="1804">
        <v>0</v>
      </c>
      <c r="BH179" s="1804">
        <v>0</v>
      </c>
      <c r="BI179" s="1804">
        <v>0</v>
      </c>
      <c r="BJ179" s="1804">
        <v>0</v>
      </c>
      <c r="BK179" s="1804">
        <v>0</v>
      </c>
      <c r="BL179" s="1804">
        <v>0</v>
      </c>
      <c r="BM179" s="1804">
        <v>0</v>
      </c>
      <c r="BN179" s="1804">
        <v>0</v>
      </c>
      <c r="BO179" s="1804">
        <v>0</v>
      </c>
      <c r="BP179" s="1804">
        <v>0</v>
      </c>
      <c r="BQ179" s="1804">
        <v>0</v>
      </c>
      <c r="BR179" s="1804">
        <v>0</v>
      </c>
      <c r="BS179" s="1804">
        <v>0</v>
      </c>
      <c r="BT179" s="1804">
        <v>0</v>
      </c>
      <c r="BU179" s="1804">
        <v>0</v>
      </c>
      <c r="BV179" s="1804">
        <v>0</v>
      </c>
      <c r="BW179" s="1804">
        <v>0</v>
      </c>
      <c r="BX179" s="1804">
        <v>0</v>
      </c>
      <c r="BY179" s="1804">
        <v>0</v>
      </c>
      <c r="BZ179" s="1804">
        <v>0</v>
      </c>
      <c r="CA179" s="1804">
        <v>0</v>
      </c>
      <c r="CB179" s="1804">
        <v>0</v>
      </c>
      <c r="CC179" s="1804">
        <v>0</v>
      </c>
      <c r="CD179" s="1804">
        <v>0</v>
      </c>
      <c r="CE179" s="1804">
        <v>0</v>
      </c>
      <c r="CF179" s="1804">
        <v>0</v>
      </c>
      <c r="CG179" s="1804">
        <v>0</v>
      </c>
      <c r="CH179" s="1804">
        <v>0</v>
      </c>
      <c r="CI179" s="1804">
        <v>0</v>
      </c>
      <c r="CJ179" s="1804">
        <v>0</v>
      </c>
      <c r="CK179" s="1804">
        <v>0</v>
      </c>
      <c r="CL179" s="1804">
        <v>0</v>
      </c>
      <c r="CM179" s="1804">
        <v>0</v>
      </c>
      <c r="CN179" s="1804">
        <v>0</v>
      </c>
      <c r="CO179" s="1804">
        <v>0</v>
      </c>
      <c r="CP179" s="1804">
        <v>0</v>
      </c>
      <c r="CQ179" s="1804">
        <v>0</v>
      </c>
      <c r="CR179" s="1804">
        <v>0</v>
      </c>
      <c r="CS179" s="1804">
        <v>0</v>
      </c>
      <c r="CT179" s="1804">
        <v>0</v>
      </c>
      <c r="CU179" s="1804">
        <v>0</v>
      </c>
      <c r="CV179" s="1804">
        <v>0</v>
      </c>
      <c r="CW179" s="1804">
        <v>0</v>
      </c>
      <c r="CX179" s="1804">
        <v>0</v>
      </c>
      <c r="CY179" s="1804">
        <v>0</v>
      </c>
      <c r="CZ179" s="1804">
        <v>0</v>
      </c>
      <c r="DA179" s="1804">
        <v>0</v>
      </c>
      <c r="DB179" s="1804">
        <v>0</v>
      </c>
      <c r="DC179" s="1804">
        <v>0</v>
      </c>
      <c r="DD179" s="1804">
        <v>0</v>
      </c>
      <c r="DE179" s="1804">
        <v>0</v>
      </c>
      <c r="DF179" s="1804">
        <v>0</v>
      </c>
      <c r="DG179" s="1804">
        <v>0</v>
      </c>
      <c r="DH179" s="1804">
        <v>0</v>
      </c>
      <c r="DI179" s="1804">
        <v>0</v>
      </c>
      <c r="DJ179" s="1804">
        <v>0</v>
      </c>
      <c r="DK179" s="1804">
        <v>0</v>
      </c>
      <c r="DL179" s="1804">
        <v>0</v>
      </c>
      <c r="DM179" s="1804">
        <v>0</v>
      </c>
      <c r="DN179" s="1804">
        <v>0</v>
      </c>
      <c r="DO179" s="1804">
        <v>0</v>
      </c>
      <c r="DP179" s="1804">
        <v>0</v>
      </c>
      <c r="DQ179" s="1804">
        <v>0</v>
      </c>
      <c r="DR179" s="1804">
        <v>0</v>
      </c>
      <c r="DS179" s="1804">
        <v>0</v>
      </c>
      <c r="DT179" s="1804">
        <v>0</v>
      </c>
      <c r="DU179" s="1804">
        <v>0</v>
      </c>
      <c r="DV179" s="1804">
        <v>0</v>
      </c>
      <c r="DW179" s="1804">
        <v>0</v>
      </c>
      <c r="DX179" s="1804">
        <v>0</v>
      </c>
      <c r="DY179" s="1804">
        <v>0</v>
      </c>
      <c r="DZ179" s="1804">
        <v>0</v>
      </c>
      <c r="EA179" s="1804">
        <v>0</v>
      </c>
      <c r="EB179" s="1804">
        <v>0</v>
      </c>
      <c r="EC179" s="1804">
        <v>0</v>
      </c>
      <c r="ED179" s="1804">
        <v>0</v>
      </c>
      <c r="EE179" s="1804">
        <v>0</v>
      </c>
      <c r="EF179" s="1804">
        <v>0</v>
      </c>
      <c r="EG179" s="1804">
        <v>0</v>
      </c>
      <c r="EH179" s="1804">
        <v>0</v>
      </c>
      <c r="EI179" s="1804">
        <v>0</v>
      </c>
      <c r="EJ179" s="1804">
        <v>0</v>
      </c>
      <c r="EK179" s="1804">
        <v>0</v>
      </c>
      <c r="EL179" s="1804">
        <v>0</v>
      </c>
      <c r="EM179" s="1804">
        <v>0</v>
      </c>
      <c r="EN179" s="1804">
        <v>0</v>
      </c>
      <c r="EO179" s="1804">
        <v>0</v>
      </c>
      <c r="EP179" s="1804">
        <v>0</v>
      </c>
      <c r="EQ179" s="1804">
        <v>0</v>
      </c>
      <c r="ER179" s="1804">
        <v>0</v>
      </c>
      <c r="ES179" s="1804">
        <v>0</v>
      </c>
      <c r="ET179" s="1804">
        <v>0</v>
      </c>
      <c r="EU179" s="1804">
        <v>0</v>
      </c>
      <c r="EV179" s="1804">
        <v>0</v>
      </c>
      <c r="EW179" s="1804">
        <v>0</v>
      </c>
      <c r="EX179" s="1804">
        <v>0</v>
      </c>
      <c r="EY179" s="1804">
        <v>0</v>
      </c>
      <c r="EZ179" s="1804">
        <v>0</v>
      </c>
      <c r="FA179" s="1804">
        <v>0</v>
      </c>
      <c r="FB179" s="1804">
        <v>0</v>
      </c>
      <c r="FC179" s="1804">
        <v>0</v>
      </c>
      <c r="FD179" s="1804">
        <v>0</v>
      </c>
      <c r="FE179" s="1804">
        <v>0</v>
      </c>
      <c r="FF179" s="1804">
        <v>0</v>
      </c>
      <c r="FG179" s="1804">
        <v>0</v>
      </c>
      <c r="FH179" s="1804">
        <v>0</v>
      </c>
      <c r="FI179" s="1804">
        <v>0</v>
      </c>
      <c r="FJ179" s="1804">
        <v>0</v>
      </c>
      <c r="FK179" s="1804">
        <v>0</v>
      </c>
      <c r="FL179" s="1804">
        <v>0</v>
      </c>
      <c r="FM179" s="1804">
        <v>0</v>
      </c>
      <c r="FN179" s="1804">
        <v>0</v>
      </c>
      <c r="FO179" s="1804">
        <v>0</v>
      </c>
      <c r="FP179" s="1804">
        <v>0</v>
      </c>
      <c r="FQ179" s="1804">
        <v>0</v>
      </c>
      <c r="FR179" s="1804">
        <v>0</v>
      </c>
      <c r="FS179" s="1804">
        <v>0</v>
      </c>
      <c r="FT179" s="1804">
        <v>0</v>
      </c>
      <c r="FU179" s="1804">
        <v>0</v>
      </c>
      <c r="FV179" s="1804">
        <v>0</v>
      </c>
      <c r="FW179" s="1804">
        <v>0</v>
      </c>
      <c r="FX179" s="1804">
        <v>0</v>
      </c>
      <c r="FY179" s="1804">
        <v>0</v>
      </c>
      <c r="FZ179" s="1804">
        <v>0</v>
      </c>
      <c r="GA179" s="1804">
        <v>0</v>
      </c>
      <c r="GB179" s="1804">
        <v>0</v>
      </c>
      <c r="GC179" s="1804">
        <v>0</v>
      </c>
      <c r="GD179" s="1804">
        <v>0</v>
      </c>
      <c r="GE179" s="1804">
        <v>0</v>
      </c>
      <c r="GF179" s="1804">
        <v>0</v>
      </c>
      <c r="GG179" s="1804">
        <v>0</v>
      </c>
      <c r="GH179" s="1804">
        <v>0</v>
      </c>
      <c r="GI179" s="1804">
        <v>0</v>
      </c>
      <c r="GJ179" s="1804">
        <v>0</v>
      </c>
      <c r="GK179" s="1804">
        <v>0</v>
      </c>
      <c r="GL179" s="1804">
        <v>0</v>
      </c>
      <c r="GM179" s="1804">
        <v>0</v>
      </c>
      <c r="GN179" s="1804">
        <v>0</v>
      </c>
      <c r="GO179" s="1804">
        <v>0</v>
      </c>
      <c r="GP179" s="1804">
        <v>0</v>
      </c>
      <c r="GQ179" s="1804">
        <v>0</v>
      </c>
      <c r="GR179" s="1804">
        <v>0</v>
      </c>
      <c r="GS179" s="1804">
        <v>0</v>
      </c>
      <c r="GT179" s="1804">
        <v>0</v>
      </c>
      <c r="GU179" s="1804">
        <v>0</v>
      </c>
      <c r="GV179" s="1804">
        <v>0</v>
      </c>
      <c r="GW179" s="1804">
        <v>0</v>
      </c>
      <c r="GX179" s="1804">
        <v>0</v>
      </c>
      <c r="GY179" s="1804">
        <v>0</v>
      </c>
      <c r="GZ179" s="1804">
        <v>0</v>
      </c>
      <c r="HA179" s="1804">
        <v>0</v>
      </c>
      <c r="HB179" s="1804">
        <v>0</v>
      </c>
      <c r="HC179" s="1804">
        <v>0</v>
      </c>
      <c r="HD179" s="1804">
        <v>0</v>
      </c>
      <c r="HE179" s="1804">
        <v>0</v>
      </c>
    </row>
    <row r="180" spans="1:213" ht="15" customHeight="1" x14ac:dyDescent="0.2">
      <c r="A180" s="1966"/>
      <c r="B180" s="1989"/>
      <c r="C180" s="1818" t="s">
        <v>735</v>
      </c>
      <c r="D180" s="1883"/>
      <c r="E180" s="1984"/>
      <c r="F180" s="1838">
        <v>0</v>
      </c>
      <c r="G180" s="1804">
        <v>0</v>
      </c>
      <c r="H180" s="1804">
        <v>0</v>
      </c>
      <c r="I180" s="1804">
        <v>0</v>
      </c>
      <c r="J180" s="1804">
        <v>0</v>
      </c>
      <c r="K180" s="1804">
        <v>0</v>
      </c>
      <c r="L180" s="1804">
        <v>0</v>
      </c>
      <c r="M180" s="1804">
        <v>0</v>
      </c>
      <c r="N180" s="1804">
        <v>0</v>
      </c>
      <c r="O180" s="1804">
        <v>0</v>
      </c>
      <c r="P180" s="1804">
        <v>0</v>
      </c>
      <c r="Q180" s="1804">
        <v>0</v>
      </c>
      <c r="R180" s="1804">
        <v>0</v>
      </c>
      <c r="S180" s="1804">
        <v>0</v>
      </c>
      <c r="T180" s="1804">
        <v>0</v>
      </c>
      <c r="U180" s="1804">
        <v>0</v>
      </c>
      <c r="V180" s="1804">
        <v>0</v>
      </c>
      <c r="W180" s="1804">
        <v>0</v>
      </c>
      <c r="X180" s="1804">
        <v>0</v>
      </c>
      <c r="Y180" s="1804">
        <v>0</v>
      </c>
      <c r="Z180" s="1804">
        <v>0</v>
      </c>
      <c r="AA180" s="1804">
        <v>0</v>
      </c>
      <c r="AB180" s="1804">
        <v>0</v>
      </c>
      <c r="AC180" s="1804">
        <v>0</v>
      </c>
      <c r="AD180" s="1804">
        <v>0</v>
      </c>
      <c r="AE180" s="1804">
        <v>0</v>
      </c>
      <c r="AF180" s="1804">
        <v>0</v>
      </c>
      <c r="AG180" s="1804">
        <v>0</v>
      </c>
      <c r="AH180" s="1804">
        <v>0</v>
      </c>
      <c r="AI180" s="1804">
        <v>0</v>
      </c>
      <c r="AJ180" s="1804">
        <v>0</v>
      </c>
      <c r="AK180" s="1804">
        <v>0</v>
      </c>
      <c r="AL180" s="1804">
        <v>0</v>
      </c>
      <c r="AM180" s="1804">
        <v>0</v>
      </c>
      <c r="AN180" s="1804">
        <v>0</v>
      </c>
      <c r="AO180" s="1804">
        <v>0</v>
      </c>
      <c r="AP180" s="1804">
        <v>0</v>
      </c>
      <c r="AQ180" s="1804">
        <v>0</v>
      </c>
      <c r="AR180" s="1804">
        <v>0</v>
      </c>
      <c r="AS180" s="1804">
        <v>0</v>
      </c>
      <c r="AT180" s="1804">
        <v>0</v>
      </c>
      <c r="AU180" s="1804">
        <v>0</v>
      </c>
      <c r="AV180" s="1804">
        <v>0</v>
      </c>
      <c r="AW180" s="1804">
        <v>0</v>
      </c>
      <c r="AX180" s="1804">
        <v>0</v>
      </c>
      <c r="AY180" s="1804">
        <v>0</v>
      </c>
      <c r="AZ180" s="1804">
        <v>0</v>
      </c>
      <c r="BA180" s="1804">
        <v>0</v>
      </c>
      <c r="BB180" s="1804">
        <v>0</v>
      </c>
      <c r="BC180" s="1804">
        <v>0</v>
      </c>
      <c r="BD180" s="1804">
        <v>0</v>
      </c>
      <c r="BE180" s="1804">
        <v>0</v>
      </c>
      <c r="BF180" s="1804">
        <v>0</v>
      </c>
      <c r="BG180" s="1804">
        <v>0</v>
      </c>
      <c r="BH180" s="1804">
        <v>0</v>
      </c>
      <c r="BI180" s="1804">
        <v>0</v>
      </c>
      <c r="BJ180" s="1804">
        <v>0</v>
      </c>
      <c r="BK180" s="1804">
        <v>0</v>
      </c>
      <c r="BL180" s="1804">
        <v>0</v>
      </c>
      <c r="BM180" s="1804">
        <v>0</v>
      </c>
      <c r="BN180" s="1804">
        <v>0</v>
      </c>
      <c r="BO180" s="1804">
        <v>0</v>
      </c>
      <c r="BP180" s="1804">
        <v>0</v>
      </c>
      <c r="BQ180" s="1804">
        <v>0</v>
      </c>
      <c r="BR180" s="1804">
        <v>0</v>
      </c>
      <c r="BS180" s="1804">
        <v>0</v>
      </c>
      <c r="BT180" s="1804">
        <v>0</v>
      </c>
      <c r="BU180" s="1804">
        <v>0</v>
      </c>
      <c r="BV180" s="1804">
        <v>0</v>
      </c>
      <c r="BW180" s="1804">
        <v>0</v>
      </c>
      <c r="BX180" s="1804">
        <v>0</v>
      </c>
      <c r="BY180" s="1804">
        <v>0</v>
      </c>
      <c r="BZ180" s="1804">
        <v>0</v>
      </c>
      <c r="CA180" s="1804">
        <v>0</v>
      </c>
      <c r="CB180" s="1804">
        <v>0</v>
      </c>
      <c r="CC180" s="1804">
        <v>0</v>
      </c>
      <c r="CD180" s="1804">
        <v>0</v>
      </c>
      <c r="CE180" s="1804">
        <v>0</v>
      </c>
      <c r="CF180" s="1804">
        <v>0</v>
      </c>
      <c r="CG180" s="1804">
        <v>0</v>
      </c>
      <c r="CH180" s="1804">
        <v>0</v>
      </c>
      <c r="CI180" s="1804">
        <v>0</v>
      </c>
      <c r="CJ180" s="1804">
        <v>0</v>
      </c>
      <c r="CK180" s="1804">
        <v>0</v>
      </c>
      <c r="CL180" s="1804">
        <v>0</v>
      </c>
      <c r="CM180" s="1804">
        <v>0</v>
      </c>
      <c r="CN180" s="1804">
        <v>0</v>
      </c>
      <c r="CO180" s="1804">
        <v>0</v>
      </c>
      <c r="CP180" s="1804">
        <v>0</v>
      </c>
      <c r="CQ180" s="1804">
        <v>0</v>
      </c>
      <c r="CR180" s="1804">
        <v>0</v>
      </c>
      <c r="CS180" s="1804">
        <v>0</v>
      </c>
      <c r="CT180" s="1804">
        <v>0</v>
      </c>
      <c r="CU180" s="1804">
        <v>0</v>
      </c>
      <c r="CV180" s="1804">
        <v>0</v>
      </c>
      <c r="CW180" s="1804">
        <v>0</v>
      </c>
      <c r="CX180" s="1804">
        <v>0</v>
      </c>
      <c r="CY180" s="1804">
        <v>0</v>
      </c>
      <c r="CZ180" s="1804">
        <v>0</v>
      </c>
      <c r="DA180" s="1804">
        <v>0</v>
      </c>
      <c r="DB180" s="1804">
        <v>0</v>
      </c>
      <c r="DC180" s="1804">
        <v>0</v>
      </c>
      <c r="DD180" s="1804">
        <v>0</v>
      </c>
      <c r="DE180" s="1804">
        <v>0</v>
      </c>
      <c r="DF180" s="1804">
        <v>0</v>
      </c>
      <c r="DG180" s="1804">
        <v>0</v>
      </c>
      <c r="DH180" s="1804">
        <v>0</v>
      </c>
      <c r="DI180" s="1804">
        <v>0</v>
      </c>
      <c r="DJ180" s="1804">
        <v>0</v>
      </c>
      <c r="DK180" s="1804">
        <v>0</v>
      </c>
      <c r="DL180" s="1804">
        <v>0</v>
      </c>
      <c r="DM180" s="1804">
        <v>0</v>
      </c>
      <c r="DN180" s="1804">
        <v>0</v>
      </c>
      <c r="DO180" s="1804">
        <v>0</v>
      </c>
      <c r="DP180" s="1804">
        <v>0</v>
      </c>
      <c r="DQ180" s="1804">
        <v>0</v>
      </c>
      <c r="DR180" s="1804">
        <v>0</v>
      </c>
      <c r="DS180" s="1804">
        <v>0</v>
      </c>
      <c r="DT180" s="1804">
        <v>0</v>
      </c>
      <c r="DU180" s="1804">
        <v>0</v>
      </c>
      <c r="DV180" s="1804">
        <v>0</v>
      </c>
      <c r="DW180" s="1804">
        <v>0</v>
      </c>
      <c r="DX180" s="1804">
        <v>0</v>
      </c>
      <c r="DY180" s="1804">
        <v>0</v>
      </c>
      <c r="DZ180" s="1804">
        <v>0</v>
      </c>
      <c r="EA180" s="1804">
        <v>0</v>
      </c>
      <c r="EB180" s="1804">
        <v>0</v>
      </c>
      <c r="EC180" s="1804">
        <v>0</v>
      </c>
      <c r="ED180" s="1804">
        <v>0</v>
      </c>
      <c r="EE180" s="1804">
        <v>0</v>
      </c>
      <c r="EF180" s="1804">
        <v>0</v>
      </c>
      <c r="EG180" s="1804">
        <v>0</v>
      </c>
      <c r="EH180" s="1804">
        <v>0</v>
      </c>
      <c r="EI180" s="1804">
        <v>0</v>
      </c>
      <c r="EJ180" s="1804">
        <v>0</v>
      </c>
      <c r="EK180" s="1804">
        <v>0</v>
      </c>
      <c r="EL180" s="1804">
        <v>0</v>
      </c>
      <c r="EM180" s="1804">
        <v>0</v>
      </c>
      <c r="EN180" s="1804">
        <v>0</v>
      </c>
      <c r="EO180" s="1804">
        <v>0</v>
      </c>
      <c r="EP180" s="1804">
        <v>0</v>
      </c>
      <c r="EQ180" s="1804">
        <v>0</v>
      </c>
      <c r="ER180" s="1804">
        <v>0</v>
      </c>
      <c r="ES180" s="1804">
        <v>0</v>
      </c>
      <c r="ET180" s="1804">
        <v>0</v>
      </c>
      <c r="EU180" s="1804">
        <v>0</v>
      </c>
      <c r="EV180" s="1804">
        <v>0</v>
      </c>
      <c r="EW180" s="1804">
        <v>0</v>
      </c>
      <c r="EX180" s="1804">
        <v>0</v>
      </c>
      <c r="EY180" s="1804">
        <v>0</v>
      </c>
      <c r="EZ180" s="1804">
        <v>0</v>
      </c>
      <c r="FA180" s="1804">
        <v>0</v>
      </c>
      <c r="FB180" s="1804">
        <v>0</v>
      </c>
      <c r="FC180" s="1804">
        <v>0</v>
      </c>
      <c r="FD180" s="1804">
        <v>0</v>
      </c>
      <c r="FE180" s="1804">
        <v>0</v>
      </c>
      <c r="FF180" s="1804">
        <v>0</v>
      </c>
      <c r="FG180" s="1804">
        <v>0</v>
      </c>
      <c r="FH180" s="1804">
        <v>0</v>
      </c>
      <c r="FI180" s="1804">
        <v>0</v>
      </c>
      <c r="FJ180" s="1804">
        <v>0</v>
      </c>
      <c r="FK180" s="1804">
        <v>0</v>
      </c>
      <c r="FL180" s="1804">
        <v>0</v>
      </c>
      <c r="FM180" s="1804">
        <v>0</v>
      </c>
      <c r="FN180" s="1804">
        <v>0</v>
      </c>
      <c r="FO180" s="1804">
        <v>0</v>
      </c>
      <c r="FP180" s="1804">
        <v>0</v>
      </c>
      <c r="FQ180" s="1804">
        <v>0</v>
      </c>
      <c r="FR180" s="1804">
        <v>0</v>
      </c>
      <c r="FS180" s="1804">
        <v>0</v>
      </c>
      <c r="FT180" s="1804">
        <v>0</v>
      </c>
      <c r="FU180" s="1804">
        <v>0</v>
      </c>
      <c r="FV180" s="1804">
        <v>0</v>
      </c>
      <c r="FW180" s="1804">
        <v>0</v>
      </c>
      <c r="FX180" s="1804">
        <v>0</v>
      </c>
      <c r="FY180" s="1804">
        <v>0</v>
      </c>
      <c r="FZ180" s="1804">
        <v>0</v>
      </c>
      <c r="GA180" s="1804">
        <v>0</v>
      </c>
      <c r="GB180" s="1804">
        <v>0</v>
      </c>
      <c r="GC180" s="1804">
        <v>0</v>
      </c>
      <c r="GD180" s="1804">
        <v>0</v>
      </c>
      <c r="GE180" s="1804">
        <v>0</v>
      </c>
      <c r="GF180" s="1804">
        <v>0</v>
      </c>
      <c r="GG180" s="1804">
        <v>0</v>
      </c>
      <c r="GH180" s="1804">
        <v>0</v>
      </c>
      <c r="GI180" s="1804">
        <v>0</v>
      </c>
      <c r="GJ180" s="1804">
        <v>0</v>
      </c>
      <c r="GK180" s="1804">
        <v>0</v>
      </c>
      <c r="GL180" s="1804">
        <v>0</v>
      </c>
      <c r="GM180" s="1804">
        <v>0</v>
      </c>
      <c r="GN180" s="1804">
        <v>0</v>
      </c>
      <c r="GO180" s="1804">
        <v>0</v>
      </c>
      <c r="GP180" s="1804">
        <v>0</v>
      </c>
      <c r="GQ180" s="1804">
        <v>0</v>
      </c>
      <c r="GR180" s="1804">
        <v>0</v>
      </c>
      <c r="GS180" s="1804">
        <v>0</v>
      </c>
      <c r="GT180" s="1804">
        <v>0</v>
      </c>
      <c r="GU180" s="1804">
        <v>0</v>
      </c>
      <c r="GV180" s="1804">
        <v>0</v>
      </c>
      <c r="GW180" s="1804">
        <v>0</v>
      </c>
      <c r="GX180" s="1804">
        <v>0</v>
      </c>
      <c r="GY180" s="1804">
        <v>0</v>
      </c>
      <c r="GZ180" s="1804">
        <v>0</v>
      </c>
      <c r="HA180" s="1804">
        <v>0</v>
      </c>
      <c r="HB180" s="1804">
        <v>0</v>
      </c>
      <c r="HC180" s="1804">
        <v>0</v>
      </c>
      <c r="HD180" s="1804">
        <v>0</v>
      </c>
      <c r="HE180" s="1804">
        <v>0</v>
      </c>
    </row>
    <row r="181" spans="1:213" ht="15" customHeight="1" x14ac:dyDescent="0.2">
      <c r="A181" s="1966"/>
      <c r="B181" s="1989"/>
      <c r="C181" s="1818" t="s">
        <v>736</v>
      </c>
      <c r="D181" s="1883"/>
      <c r="E181" s="1984"/>
      <c r="F181" s="1838">
        <v>0</v>
      </c>
      <c r="G181" s="1804">
        <v>0</v>
      </c>
      <c r="H181" s="1804">
        <v>0</v>
      </c>
      <c r="I181" s="1804">
        <v>0</v>
      </c>
      <c r="J181" s="1804">
        <v>0</v>
      </c>
      <c r="K181" s="1804">
        <v>0</v>
      </c>
      <c r="L181" s="1804">
        <v>0</v>
      </c>
      <c r="M181" s="1804">
        <v>0</v>
      </c>
      <c r="N181" s="1804">
        <v>0</v>
      </c>
      <c r="O181" s="1804">
        <v>0</v>
      </c>
      <c r="P181" s="1804">
        <v>0</v>
      </c>
      <c r="Q181" s="1804">
        <v>0</v>
      </c>
      <c r="R181" s="1804">
        <v>0</v>
      </c>
      <c r="S181" s="1804">
        <v>0</v>
      </c>
      <c r="T181" s="1804">
        <v>0</v>
      </c>
      <c r="U181" s="1804">
        <v>0</v>
      </c>
      <c r="V181" s="1804">
        <v>0</v>
      </c>
      <c r="W181" s="1804">
        <v>0</v>
      </c>
      <c r="X181" s="1804">
        <v>0</v>
      </c>
      <c r="Y181" s="1804">
        <v>0</v>
      </c>
      <c r="Z181" s="1804">
        <v>0</v>
      </c>
      <c r="AA181" s="1804">
        <v>0</v>
      </c>
      <c r="AB181" s="1804">
        <v>0</v>
      </c>
      <c r="AC181" s="1804">
        <v>0</v>
      </c>
      <c r="AD181" s="1804">
        <v>0</v>
      </c>
      <c r="AE181" s="1804">
        <v>0</v>
      </c>
      <c r="AF181" s="1804">
        <v>0</v>
      </c>
      <c r="AG181" s="1804">
        <v>0</v>
      </c>
      <c r="AH181" s="1804">
        <v>0</v>
      </c>
      <c r="AI181" s="1804">
        <v>0</v>
      </c>
      <c r="AJ181" s="1804">
        <v>0</v>
      </c>
      <c r="AK181" s="1804">
        <v>0</v>
      </c>
      <c r="AL181" s="1804">
        <v>0</v>
      </c>
      <c r="AM181" s="1804">
        <v>0</v>
      </c>
      <c r="AN181" s="1804">
        <v>0</v>
      </c>
      <c r="AO181" s="1804">
        <v>0</v>
      </c>
      <c r="AP181" s="1804">
        <v>0</v>
      </c>
      <c r="AQ181" s="1804">
        <v>0</v>
      </c>
      <c r="AR181" s="1804">
        <v>0</v>
      </c>
      <c r="AS181" s="1804">
        <v>0</v>
      </c>
      <c r="AT181" s="1804">
        <v>0</v>
      </c>
      <c r="AU181" s="1804">
        <v>0</v>
      </c>
      <c r="AV181" s="1804">
        <v>0</v>
      </c>
      <c r="AW181" s="1804">
        <v>0</v>
      </c>
      <c r="AX181" s="1804">
        <v>0</v>
      </c>
      <c r="AY181" s="1804">
        <v>0</v>
      </c>
      <c r="AZ181" s="1804">
        <v>0</v>
      </c>
      <c r="BA181" s="1804">
        <v>0</v>
      </c>
      <c r="BB181" s="1804">
        <v>0</v>
      </c>
      <c r="BC181" s="1804">
        <v>0</v>
      </c>
      <c r="BD181" s="1804">
        <v>0</v>
      </c>
      <c r="BE181" s="1804">
        <v>0</v>
      </c>
      <c r="BF181" s="1804">
        <v>0</v>
      </c>
      <c r="BG181" s="1804">
        <v>0</v>
      </c>
      <c r="BH181" s="1804">
        <v>0</v>
      </c>
      <c r="BI181" s="1804">
        <v>0</v>
      </c>
      <c r="BJ181" s="1804">
        <v>0</v>
      </c>
      <c r="BK181" s="1804">
        <v>0</v>
      </c>
      <c r="BL181" s="1804">
        <v>0</v>
      </c>
      <c r="BM181" s="1804">
        <v>0</v>
      </c>
      <c r="BN181" s="1804">
        <v>0</v>
      </c>
      <c r="BO181" s="1804">
        <v>0</v>
      </c>
      <c r="BP181" s="1804">
        <v>0</v>
      </c>
      <c r="BQ181" s="1804">
        <v>0</v>
      </c>
      <c r="BR181" s="1804">
        <v>0</v>
      </c>
      <c r="BS181" s="1804">
        <v>0</v>
      </c>
      <c r="BT181" s="1804">
        <v>0</v>
      </c>
      <c r="BU181" s="1804">
        <v>0</v>
      </c>
      <c r="BV181" s="1804">
        <v>0</v>
      </c>
      <c r="BW181" s="1804">
        <v>0</v>
      </c>
      <c r="BX181" s="1804">
        <v>0</v>
      </c>
      <c r="BY181" s="1804">
        <v>0</v>
      </c>
      <c r="BZ181" s="1804">
        <v>0</v>
      </c>
      <c r="CA181" s="1804">
        <v>0</v>
      </c>
      <c r="CB181" s="1804">
        <v>0</v>
      </c>
      <c r="CC181" s="1804">
        <v>0</v>
      </c>
      <c r="CD181" s="1804">
        <v>0</v>
      </c>
      <c r="CE181" s="1804">
        <v>0</v>
      </c>
      <c r="CF181" s="1804">
        <v>0</v>
      </c>
      <c r="CG181" s="1804">
        <v>0</v>
      </c>
      <c r="CH181" s="1804">
        <v>0</v>
      </c>
      <c r="CI181" s="1804">
        <v>0</v>
      </c>
      <c r="CJ181" s="1804">
        <v>0</v>
      </c>
      <c r="CK181" s="1804">
        <v>0</v>
      </c>
      <c r="CL181" s="1804">
        <v>0</v>
      </c>
      <c r="CM181" s="1804">
        <v>0</v>
      </c>
      <c r="CN181" s="1804">
        <v>0</v>
      </c>
      <c r="CO181" s="1804">
        <v>0</v>
      </c>
      <c r="CP181" s="1804">
        <v>0</v>
      </c>
      <c r="CQ181" s="1804">
        <v>0</v>
      </c>
      <c r="CR181" s="1804">
        <v>0</v>
      </c>
      <c r="CS181" s="1804">
        <v>0</v>
      </c>
      <c r="CT181" s="1804">
        <v>0</v>
      </c>
      <c r="CU181" s="1804">
        <v>0</v>
      </c>
      <c r="CV181" s="1804">
        <v>0</v>
      </c>
      <c r="CW181" s="1804">
        <v>0</v>
      </c>
      <c r="CX181" s="1804">
        <v>0</v>
      </c>
      <c r="CY181" s="1804">
        <v>0</v>
      </c>
      <c r="CZ181" s="1804">
        <v>0</v>
      </c>
      <c r="DA181" s="1804">
        <v>0</v>
      </c>
      <c r="DB181" s="1804">
        <v>0</v>
      </c>
      <c r="DC181" s="1804">
        <v>0</v>
      </c>
      <c r="DD181" s="1804">
        <v>0</v>
      </c>
      <c r="DE181" s="1804">
        <v>0</v>
      </c>
      <c r="DF181" s="1804">
        <v>0</v>
      </c>
      <c r="DG181" s="1804">
        <v>0</v>
      </c>
      <c r="DH181" s="1804">
        <v>0</v>
      </c>
      <c r="DI181" s="1804">
        <v>0</v>
      </c>
      <c r="DJ181" s="1804">
        <v>0</v>
      </c>
      <c r="DK181" s="1804">
        <v>0</v>
      </c>
      <c r="DL181" s="1804">
        <v>0</v>
      </c>
      <c r="DM181" s="1804">
        <v>0</v>
      </c>
      <c r="DN181" s="1804">
        <v>0</v>
      </c>
      <c r="DO181" s="1804">
        <v>0</v>
      </c>
      <c r="DP181" s="1804">
        <v>0</v>
      </c>
      <c r="DQ181" s="1804">
        <v>0</v>
      </c>
      <c r="DR181" s="1804">
        <v>0</v>
      </c>
      <c r="DS181" s="1804">
        <v>0</v>
      </c>
      <c r="DT181" s="1804">
        <v>0</v>
      </c>
      <c r="DU181" s="1804">
        <v>0</v>
      </c>
      <c r="DV181" s="1804">
        <v>0</v>
      </c>
      <c r="DW181" s="1804">
        <v>0</v>
      </c>
      <c r="DX181" s="1804">
        <v>0</v>
      </c>
      <c r="DY181" s="1804">
        <v>0</v>
      </c>
      <c r="DZ181" s="1804">
        <v>0</v>
      </c>
      <c r="EA181" s="1804">
        <v>0</v>
      </c>
      <c r="EB181" s="1804">
        <v>0</v>
      </c>
      <c r="EC181" s="1804">
        <v>0</v>
      </c>
      <c r="ED181" s="1804">
        <v>0</v>
      </c>
      <c r="EE181" s="1804">
        <v>0</v>
      </c>
      <c r="EF181" s="1804">
        <v>0</v>
      </c>
      <c r="EG181" s="1804">
        <v>0</v>
      </c>
      <c r="EH181" s="1804">
        <v>0</v>
      </c>
      <c r="EI181" s="1804">
        <v>0</v>
      </c>
      <c r="EJ181" s="1804">
        <v>0</v>
      </c>
      <c r="EK181" s="1804">
        <v>0</v>
      </c>
      <c r="EL181" s="1804">
        <v>0</v>
      </c>
      <c r="EM181" s="1804">
        <v>0</v>
      </c>
      <c r="EN181" s="1804">
        <v>0</v>
      </c>
      <c r="EO181" s="1804">
        <v>0</v>
      </c>
      <c r="EP181" s="1804">
        <v>0</v>
      </c>
      <c r="EQ181" s="1804">
        <v>0</v>
      </c>
      <c r="ER181" s="1804">
        <v>0</v>
      </c>
      <c r="ES181" s="1804">
        <v>0</v>
      </c>
      <c r="ET181" s="1804">
        <v>0</v>
      </c>
      <c r="EU181" s="1804">
        <v>0</v>
      </c>
      <c r="EV181" s="1804">
        <v>0</v>
      </c>
      <c r="EW181" s="1804">
        <v>0</v>
      </c>
      <c r="EX181" s="1804">
        <v>0</v>
      </c>
      <c r="EY181" s="1804">
        <v>0</v>
      </c>
      <c r="EZ181" s="1804">
        <v>0</v>
      </c>
      <c r="FA181" s="1804">
        <v>0</v>
      </c>
      <c r="FB181" s="1804">
        <v>0</v>
      </c>
      <c r="FC181" s="1804">
        <v>0</v>
      </c>
      <c r="FD181" s="1804">
        <v>0</v>
      </c>
      <c r="FE181" s="1804">
        <v>0</v>
      </c>
      <c r="FF181" s="1804">
        <v>0</v>
      </c>
      <c r="FG181" s="1804">
        <v>0</v>
      </c>
      <c r="FH181" s="1804">
        <v>0</v>
      </c>
      <c r="FI181" s="1804">
        <v>0</v>
      </c>
      <c r="FJ181" s="1804">
        <v>0</v>
      </c>
      <c r="FK181" s="1804">
        <v>0</v>
      </c>
      <c r="FL181" s="1804">
        <v>0</v>
      </c>
      <c r="FM181" s="1804">
        <v>0</v>
      </c>
      <c r="FN181" s="1804">
        <v>0</v>
      </c>
      <c r="FO181" s="1804">
        <v>0</v>
      </c>
      <c r="FP181" s="1804">
        <v>0</v>
      </c>
      <c r="FQ181" s="1804">
        <v>0</v>
      </c>
      <c r="FR181" s="1804">
        <v>0</v>
      </c>
      <c r="FS181" s="1804">
        <v>0</v>
      </c>
      <c r="FT181" s="1804">
        <v>0</v>
      </c>
      <c r="FU181" s="1804">
        <v>0</v>
      </c>
      <c r="FV181" s="1804">
        <v>0</v>
      </c>
      <c r="FW181" s="1804">
        <v>0</v>
      </c>
      <c r="FX181" s="1804">
        <v>0</v>
      </c>
      <c r="FY181" s="1804">
        <v>0</v>
      </c>
      <c r="FZ181" s="1804">
        <v>0</v>
      </c>
      <c r="GA181" s="1804">
        <v>0</v>
      </c>
      <c r="GB181" s="1804">
        <v>0</v>
      </c>
      <c r="GC181" s="1804">
        <v>0</v>
      </c>
      <c r="GD181" s="1804">
        <v>0</v>
      </c>
      <c r="GE181" s="1804">
        <v>0</v>
      </c>
      <c r="GF181" s="1804">
        <v>0</v>
      </c>
      <c r="GG181" s="1804">
        <v>0</v>
      </c>
      <c r="GH181" s="1804">
        <v>0</v>
      </c>
      <c r="GI181" s="1804">
        <v>0</v>
      </c>
      <c r="GJ181" s="1804">
        <v>0</v>
      </c>
      <c r="GK181" s="1804">
        <v>0</v>
      </c>
      <c r="GL181" s="1804">
        <v>0</v>
      </c>
      <c r="GM181" s="1804">
        <v>0</v>
      </c>
      <c r="GN181" s="1804">
        <v>0</v>
      </c>
      <c r="GO181" s="1804">
        <v>0</v>
      </c>
      <c r="GP181" s="1804">
        <v>0</v>
      </c>
      <c r="GQ181" s="1804">
        <v>0</v>
      </c>
      <c r="GR181" s="1804">
        <v>0</v>
      </c>
      <c r="GS181" s="1804">
        <v>0</v>
      </c>
      <c r="GT181" s="1804">
        <v>0</v>
      </c>
      <c r="GU181" s="1804">
        <v>0</v>
      </c>
      <c r="GV181" s="1804">
        <v>0</v>
      </c>
      <c r="GW181" s="1804">
        <v>0</v>
      </c>
      <c r="GX181" s="1804">
        <v>0</v>
      </c>
      <c r="GY181" s="1804">
        <v>0</v>
      </c>
      <c r="GZ181" s="1804">
        <v>0</v>
      </c>
      <c r="HA181" s="1804">
        <v>0</v>
      </c>
      <c r="HB181" s="1804">
        <v>0</v>
      </c>
      <c r="HC181" s="1804">
        <v>0</v>
      </c>
      <c r="HD181" s="1804">
        <v>0</v>
      </c>
      <c r="HE181" s="1804">
        <v>0</v>
      </c>
    </row>
    <row r="182" spans="1:213" ht="15" customHeight="1" x14ac:dyDescent="0.2">
      <c r="A182" s="1966"/>
      <c r="B182" s="1989"/>
      <c r="C182" s="1818" t="s">
        <v>737</v>
      </c>
      <c r="D182" s="1883"/>
      <c r="E182" s="1984"/>
      <c r="F182" s="1838">
        <v>0</v>
      </c>
      <c r="G182" s="1804">
        <v>0</v>
      </c>
      <c r="H182" s="1804">
        <v>0</v>
      </c>
      <c r="I182" s="1804">
        <v>0</v>
      </c>
      <c r="J182" s="1804">
        <v>0</v>
      </c>
      <c r="K182" s="1804">
        <v>0</v>
      </c>
      <c r="L182" s="1804">
        <v>0</v>
      </c>
      <c r="M182" s="1804">
        <v>0</v>
      </c>
      <c r="N182" s="1804">
        <v>0</v>
      </c>
      <c r="O182" s="1804">
        <v>0</v>
      </c>
      <c r="P182" s="1804">
        <v>0</v>
      </c>
      <c r="Q182" s="1804">
        <v>0</v>
      </c>
      <c r="R182" s="1804">
        <v>0</v>
      </c>
      <c r="S182" s="1804">
        <v>0</v>
      </c>
      <c r="T182" s="1804">
        <v>0</v>
      </c>
      <c r="U182" s="1804">
        <v>0</v>
      </c>
      <c r="V182" s="1804">
        <v>0</v>
      </c>
      <c r="W182" s="1804">
        <v>0</v>
      </c>
      <c r="X182" s="1804">
        <v>0</v>
      </c>
      <c r="Y182" s="1804">
        <v>0</v>
      </c>
      <c r="Z182" s="1804">
        <v>0</v>
      </c>
      <c r="AA182" s="1804">
        <v>0</v>
      </c>
      <c r="AB182" s="1804">
        <v>0</v>
      </c>
      <c r="AC182" s="1804">
        <v>0</v>
      </c>
      <c r="AD182" s="1804">
        <v>0</v>
      </c>
      <c r="AE182" s="1804">
        <v>0</v>
      </c>
      <c r="AF182" s="1804">
        <v>0</v>
      </c>
      <c r="AG182" s="1804">
        <v>0</v>
      </c>
      <c r="AH182" s="1804">
        <v>0</v>
      </c>
      <c r="AI182" s="1804">
        <v>0</v>
      </c>
      <c r="AJ182" s="1804">
        <v>0</v>
      </c>
      <c r="AK182" s="1804">
        <v>0</v>
      </c>
      <c r="AL182" s="1804">
        <v>0</v>
      </c>
      <c r="AM182" s="1804">
        <v>0</v>
      </c>
      <c r="AN182" s="1804">
        <v>0</v>
      </c>
      <c r="AO182" s="1804">
        <v>0</v>
      </c>
      <c r="AP182" s="1804">
        <v>0</v>
      </c>
      <c r="AQ182" s="1804">
        <v>0</v>
      </c>
      <c r="AR182" s="1804">
        <v>0</v>
      </c>
      <c r="AS182" s="1804">
        <v>0</v>
      </c>
      <c r="AT182" s="1804">
        <v>0</v>
      </c>
      <c r="AU182" s="1804">
        <v>0</v>
      </c>
      <c r="AV182" s="1804">
        <v>0</v>
      </c>
      <c r="AW182" s="1804">
        <v>0</v>
      </c>
      <c r="AX182" s="1804">
        <v>0</v>
      </c>
      <c r="AY182" s="1804">
        <v>0</v>
      </c>
      <c r="AZ182" s="1804">
        <v>0</v>
      </c>
      <c r="BA182" s="1804">
        <v>0</v>
      </c>
      <c r="BB182" s="1804">
        <v>0</v>
      </c>
      <c r="BC182" s="1804">
        <v>0</v>
      </c>
      <c r="BD182" s="1804">
        <v>0</v>
      </c>
      <c r="BE182" s="1804">
        <v>0</v>
      </c>
      <c r="BF182" s="1804">
        <v>0</v>
      </c>
      <c r="BG182" s="1804">
        <v>0</v>
      </c>
      <c r="BH182" s="1804">
        <v>0</v>
      </c>
      <c r="BI182" s="1804">
        <v>0</v>
      </c>
      <c r="BJ182" s="1804">
        <v>0</v>
      </c>
      <c r="BK182" s="1804">
        <v>0</v>
      </c>
      <c r="BL182" s="1804">
        <v>0</v>
      </c>
      <c r="BM182" s="1804">
        <v>0</v>
      </c>
      <c r="BN182" s="1804">
        <v>0</v>
      </c>
      <c r="BO182" s="1804">
        <v>0</v>
      </c>
      <c r="BP182" s="1804">
        <v>0</v>
      </c>
      <c r="BQ182" s="1804">
        <v>0</v>
      </c>
      <c r="BR182" s="1804">
        <v>0</v>
      </c>
      <c r="BS182" s="1804">
        <v>0</v>
      </c>
      <c r="BT182" s="1804">
        <v>0</v>
      </c>
      <c r="BU182" s="1804">
        <v>0</v>
      </c>
      <c r="BV182" s="1804">
        <v>0</v>
      </c>
      <c r="BW182" s="1804">
        <v>0</v>
      </c>
      <c r="BX182" s="1804">
        <v>0</v>
      </c>
      <c r="BY182" s="1804">
        <v>0</v>
      </c>
      <c r="BZ182" s="1804">
        <v>0</v>
      </c>
      <c r="CA182" s="1804">
        <v>0</v>
      </c>
      <c r="CB182" s="1804">
        <v>0</v>
      </c>
      <c r="CC182" s="1804">
        <v>0</v>
      </c>
      <c r="CD182" s="1804">
        <v>0</v>
      </c>
      <c r="CE182" s="1804">
        <v>0</v>
      </c>
      <c r="CF182" s="1804">
        <v>0</v>
      </c>
      <c r="CG182" s="1804">
        <v>0</v>
      </c>
      <c r="CH182" s="1804">
        <v>0</v>
      </c>
      <c r="CI182" s="1804">
        <v>0</v>
      </c>
      <c r="CJ182" s="1804">
        <v>0</v>
      </c>
      <c r="CK182" s="1804">
        <v>0</v>
      </c>
      <c r="CL182" s="1804">
        <v>0</v>
      </c>
      <c r="CM182" s="1804">
        <v>0</v>
      </c>
      <c r="CN182" s="1804">
        <v>0</v>
      </c>
      <c r="CO182" s="1804">
        <v>0</v>
      </c>
      <c r="CP182" s="1804">
        <v>0</v>
      </c>
      <c r="CQ182" s="1804">
        <v>0</v>
      </c>
      <c r="CR182" s="1804">
        <v>0</v>
      </c>
      <c r="CS182" s="1804">
        <v>0</v>
      </c>
      <c r="CT182" s="1804">
        <v>0</v>
      </c>
      <c r="CU182" s="1804">
        <v>0</v>
      </c>
      <c r="CV182" s="1804">
        <v>0</v>
      </c>
      <c r="CW182" s="1804">
        <v>0</v>
      </c>
      <c r="CX182" s="1804">
        <v>0</v>
      </c>
      <c r="CY182" s="1804">
        <v>0</v>
      </c>
      <c r="CZ182" s="1804">
        <v>0</v>
      </c>
      <c r="DA182" s="1804">
        <v>0</v>
      </c>
      <c r="DB182" s="1804">
        <v>0</v>
      </c>
      <c r="DC182" s="1804">
        <v>0</v>
      </c>
      <c r="DD182" s="1804">
        <v>0</v>
      </c>
      <c r="DE182" s="1804">
        <v>0</v>
      </c>
      <c r="DF182" s="1804">
        <v>0</v>
      </c>
      <c r="DG182" s="1804">
        <v>0</v>
      </c>
      <c r="DH182" s="1804">
        <v>0</v>
      </c>
      <c r="DI182" s="1804">
        <v>0</v>
      </c>
      <c r="DJ182" s="1804">
        <v>0</v>
      </c>
      <c r="DK182" s="1804">
        <v>0</v>
      </c>
      <c r="DL182" s="1804">
        <v>0</v>
      </c>
      <c r="DM182" s="1804">
        <v>0</v>
      </c>
      <c r="DN182" s="1804">
        <v>0</v>
      </c>
      <c r="DO182" s="1804">
        <v>0</v>
      </c>
      <c r="DP182" s="1804">
        <v>0</v>
      </c>
      <c r="DQ182" s="1804">
        <v>0</v>
      </c>
      <c r="DR182" s="1804">
        <v>0</v>
      </c>
      <c r="DS182" s="1804">
        <v>0</v>
      </c>
      <c r="DT182" s="1804">
        <v>0</v>
      </c>
      <c r="DU182" s="1804">
        <v>0</v>
      </c>
      <c r="DV182" s="1804">
        <v>0</v>
      </c>
      <c r="DW182" s="1804">
        <v>0</v>
      </c>
      <c r="DX182" s="1804">
        <v>0</v>
      </c>
      <c r="DY182" s="1804">
        <v>0</v>
      </c>
      <c r="DZ182" s="1804">
        <v>0</v>
      </c>
      <c r="EA182" s="1804">
        <v>0</v>
      </c>
      <c r="EB182" s="1804">
        <v>0</v>
      </c>
      <c r="EC182" s="1804">
        <v>0</v>
      </c>
      <c r="ED182" s="1804">
        <v>0</v>
      </c>
      <c r="EE182" s="1804">
        <v>0</v>
      </c>
      <c r="EF182" s="1804">
        <v>0</v>
      </c>
      <c r="EG182" s="1804">
        <v>0</v>
      </c>
      <c r="EH182" s="1804">
        <v>0</v>
      </c>
      <c r="EI182" s="1804">
        <v>0</v>
      </c>
      <c r="EJ182" s="1804">
        <v>0</v>
      </c>
      <c r="EK182" s="1804">
        <v>0</v>
      </c>
      <c r="EL182" s="1804">
        <v>0</v>
      </c>
      <c r="EM182" s="1804">
        <v>0</v>
      </c>
      <c r="EN182" s="1804">
        <v>0</v>
      </c>
      <c r="EO182" s="1804">
        <v>0</v>
      </c>
      <c r="EP182" s="1804">
        <v>0</v>
      </c>
      <c r="EQ182" s="1804">
        <v>0</v>
      </c>
      <c r="ER182" s="1804">
        <v>0</v>
      </c>
      <c r="ES182" s="1804">
        <v>0</v>
      </c>
      <c r="ET182" s="1804">
        <v>0</v>
      </c>
      <c r="EU182" s="1804">
        <v>0</v>
      </c>
      <c r="EV182" s="1804">
        <v>0</v>
      </c>
      <c r="EW182" s="1804">
        <v>0</v>
      </c>
      <c r="EX182" s="1804">
        <v>0</v>
      </c>
      <c r="EY182" s="1804">
        <v>0</v>
      </c>
      <c r="EZ182" s="1804">
        <v>0</v>
      </c>
      <c r="FA182" s="1804">
        <v>0</v>
      </c>
      <c r="FB182" s="1804">
        <v>0</v>
      </c>
      <c r="FC182" s="1804">
        <v>0</v>
      </c>
      <c r="FD182" s="1804">
        <v>0</v>
      </c>
      <c r="FE182" s="1804">
        <v>0</v>
      </c>
      <c r="FF182" s="1804">
        <v>0</v>
      </c>
      <c r="FG182" s="1804">
        <v>0</v>
      </c>
      <c r="FH182" s="1804">
        <v>0</v>
      </c>
      <c r="FI182" s="1804">
        <v>0</v>
      </c>
      <c r="FJ182" s="1804">
        <v>0</v>
      </c>
      <c r="FK182" s="1804">
        <v>0</v>
      </c>
      <c r="FL182" s="1804">
        <v>0</v>
      </c>
      <c r="FM182" s="1804">
        <v>0</v>
      </c>
      <c r="FN182" s="1804">
        <v>0</v>
      </c>
      <c r="FO182" s="1804">
        <v>0</v>
      </c>
      <c r="FP182" s="1804">
        <v>0</v>
      </c>
      <c r="FQ182" s="1804">
        <v>0</v>
      </c>
      <c r="FR182" s="1804">
        <v>0</v>
      </c>
      <c r="FS182" s="1804">
        <v>0</v>
      </c>
      <c r="FT182" s="1804">
        <v>0</v>
      </c>
      <c r="FU182" s="1804">
        <v>0</v>
      </c>
      <c r="FV182" s="1804">
        <v>0</v>
      </c>
      <c r="FW182" s="1804">
        <v>0</v>
      </c>
      <c r="FX182" s="1804">
        <v>0</v>
      </c>
      <c r="FY182" s="1804">
        <v>0</v>
      </c>
      <c r="FZ182" s="1804">
        <v>0</v>
      </c>
      <c r="GA182" s="1804">
        <v>0</v>
      </c>
      <c r="GB182" s="1804">
        <v>0</v>
      </c>
      <c r="GC182" s="1804">
        <v>0</v>
      </c>
      <c r="GD182" s="1804">
        <v>0</v>
      </c>
      <c r="GE182" s="1804">
        <v>0</v>
      </c>
      <c r="GF182" s="1804">
        <v>0</v>
      </c>
      <c r="GG182" s="1804">
        <v>0</v>
      </c>
      <c r="GH182" s="1804">
        <v>0</v>
      </c>
      <c r="GI182" s="1804">
        <v>0</v>
      </c>
      <c r="GJ182" s="1804">
        <v>0</v>
      </c>
      <c r="GK182" s="1804">
        <v>0</v>
      </c>
      <c r="GL182" s="1804">
        <v>0</v>
      </c>
      <c r="GM182" s="1804">
        <v>0</v>
      </c>
      <c r="GN182" s="1804">
        <v>0</v>
      </c>
      <c r="GO182" s="1804">
        <v>0</v>
      </c>
      <c r="GP182" s="1804">
        <v>0</v>
      </c>
      <c r="GQ182" s="1804">
        <v>0</v>
      </c>
      <c r="GR182" s="1804">
        <v>0</v>
      </c>
      <c r="GS182" s="1804">
        <v>0</v>
      </c>
      <c r="GT182" s="1804">
        <v>0</v>
      </c>
      <c r="GU182" s="1804">
        <v>0</v>
      </c>
      <c r="GV182" s="1804">
        <v>0</v>
      </c>
      <c r="GW182" s="1804">
        <v>0</v>
      </c>
      <c r="GX182" s="1804">
        <v>0</v>
      </c>
      <c r="GY182" s="1804">
        <v>0</v>
      </c>
      <c r="GZ182" s="1804">
        <v>0</v>
      </c>
      <c r="HA182" s="1804">
        <v>0</v>
      </c>
      <c r="HB182" s="1804">
        <v>0</v>
      </c>
      <c r="HC182" s="1804">
        <v>0</v>
      </c>
      <c r="HD182" s="1804">
        <v>0</v>
      </c>
      <c r="HE182" s="1804">
        <v>0</v>
      </c>
    </row>
    <row r="183" spans="1:213" ht="15" customHeight="1" thickBot="1" x14ac:dyDescent="0.25">
      <c r="A183" s="1967"/>
      <c r="B183" s="1991"/>
      <c r="C183" s="1697" t="s">
        <v>738</v>
      </c>
      <c r="D183" s="1883"/>
      <c r="E183" s="1984"/>
      <c r="F183" s="1838">
        <v>0</v>
      </c>
      <c r="G183" s="1804">
        <v>0</v>
      </c>
      <c r="H183" s="1804">
        <v>0</v>
      </c>
      <c r="I183" s="1804">
        <v>0</v>
      </c>
      <c r="J183" s="1804">
        <v>0</v>
      </c>
      <c r="K183" s="1804">
        <v>0</v>
      </c>
      <c r="L183" s="1804">
        <v>0</v>
      </c>
      <c r="M183" s="1804">
        <v>0</v>
      </c>
      <c r="N183" s="1804">
        <v>0</v>
      </c>
      <c r="O183" s="1804">
        <v>0</v>
      </c>
      <c r="P183" s="1804">
        <v>0</v>
      </c>
      <c r="Q183" s="1804">
        <v>0</v>
      </c>
      <c r="R183" s="1804">
        <v>0</v>
      </c>
      <c r="S183" s="1804">
        <v>0</v>
      </c>
      <c r="T183" s="1804">
        <v>0</v>
      </c>
      <c r="U183" s="1804">
        <v>0</v>
      </c>
      <c r="V183" s="1804">
        <v>0</v>
      </c>
      <c r="W183" s="1804">
        <v>0</v>
      </c>
      <c r="X183" s="1804">
        <v>0</v>
      </c>
      <c r="Y183" s="1804">
        <v>0</v>
      </c>
      <c r="Z183" s="1804">
        <v>0</v>
      </c>
      <c r="AA183" s="1804">
        <v>0</v>
      </c>
      <c r="AB183" s="1804">
        <v>0</v>
      </c>
      <c r="AC183" s="1804">
        <v>0</v>
      </c>
      <c r="AD183" s="1804">
        <v>0</v>
      </c>
      <c r="AE183" s="1804">
        <v>0</v>
      </c>
      <c r="AF183" s="1804">
        <v>0</v>
      </c>
      <c r="AG183" s="1804">
        <v>0</v>
      </c>
      <c r="AH183" s="1804">
        <v>0</v>
      </c>
      <c r="AI183" s="1804">
        <v>0</v>
      </c>
      <c r="AJ183" s="1804">
        <v>0</v>
      </c>
      <c r="AK183" s="1804">
        <v>0</v>
      </c>
      <c r="AL183" s="1804">
        <v>0</v>
      </c>
      <c r="AM183" s="1804">
        <v>0</v>
      </c>
      <c r="AN183" s="1804">
        <v>0</v>
      </c>
      <c r="AO183" s="1804">
        <v>0</v>
      </c>
      <c r="AP183" s="1804">
        <v>0</v>
      </c>
      <c r="AQ183" s="1804">
        <v>0</v>
      </c>
      <c r="AR183" s="1804">
        <v>0</v>
      </c>
      <c r="AS183" s="1804">
        <v>0</v>
      </c>
      <c r="AT183" s="1804">
        <v>0</v>
      </c>
      <c r="AU183" s="1804">
        <v>0</v>
      </c>
      <c r="AV183" s="1804">
        <v>0</v>
      </c>
      <c r="AW183" s="1804">
        <v>0</v>
      </c>
      <c r="AX183" s="1804">
        <v>0</v>
      </c>
      <c r="AY183" s="1804">
        <v>0</v>
      </c>
      <c r="AZ183" s="1804">
        <v>0</v>
      </c>
      <c r="BA183" s="1804">
        <v>0</v>
      </c>
      <c r="BB183" s="1804">
        <v>0</v>
      </c>
      <c r="BC183" s="1804">
        <v>0</v>
      </c>
      <c r="BD183" s="1804">
        <v>0</v>
      </c>
      <c r="BE183" s="1804">
        <v>0</v>
      </c>
      <c r="BF183" s="1804">
        <v>0</v>
      </c>
      <c r="BG183" s="1804">
        <v>0</v>
      </c>
      <c r="BH183" s="1804">
        <v>0</v>
      </c>
      <c r="BI183" s="1804">
        <v>0</v>
      </c>
      <c r="BJ183" s="1804">
        <v>0</v>
      </c>
      <c r="BK183" s="1804">
        <v>0</v>
      </c>
      <c r="BL183" s="1804">
        <v>0</v>
      </c>
      <c r="BM183" s="1804">
        <v>0</v>
      </c>
      <c r="BN183" s="1804">
        <v>0</v>
      </c>
      <c r="BO183" s="1804">
        <v>0</v>
      </c>
      <c r="BP183" s="1804">
        <v>0</v>
      </c>
      <c r="BQ183" s="1804">
        <v>0</v>
      </c>
      <c r="BR183" s="1804">
        <v>0</v>
      </c>
      <c r="BS183" s="1804">
        <v>0</v>
      </c>
      <c r="BT183" s="1804">
        <v>0</v>
      </c>
      <c r="BU183" s="1804">
        <v>0</v>
      </c>
      <c r="BV183" s="1804">
        <v>0</v>
      </c>
      <c r="BW183" s="1804">
        <v>0</v>
      </c>
      <c r="BX183" s="1804">
        <v>0</v>
      </c>
      <c r="BY183" s="1804">
        <v>0</v>
      </c>
      <c r="BZ183" s="1804">
        <v>0</v>
      </c>
      <c r="CA183" s="1804">
        <v>0</v>
      </c>
      <c r="CB183" s="1804">
        <v>0</v>
      </c>
      <c r="CC183" s="1804">
        <v>0</v>
      </c>
      <c r="CD183" s="1804">
        <v>0</v>
      </c>
      <c r="CE183" s="1804">
        <v>0</v>
      </c>
      <c r="CF183" s="1804">
        <v>0</v>
      </c>
      <c r="CG183" s="1804">
        <v>0</v>
      </c>
      <c r="CH183" s="1804">
        <v>0</v>
      </c>
      <c r="CI183" s="1804">
        <v>0</v>
      </c>
      <c r="CJ183" s="1804">
        <v>0</v>
      </c>
      <c r="CK183" s="1804">
        <v>0</v>
      </c>
      <c r="CL183" s="1804">
        <v>0</v>
      </c>
      <c r="CM183" s="1804">
        <v>0</v>
      </c>
      <c r="CN183" s="1804">
        <v>0</v>
      </c>
      <c r="CO183" s="1804">
        <v>0</v>
      </c>
      <c r="CP183" s="1804">
        <v>0</v>
      </c>
      <c r="CQ183" s="1804">
        <v>0</v>
      </c>
      <c r="CR183" s="1804">
        <v>0</v>
      </c>
      <c r="CS183" s="1804">
        <v>0</v>
      </c>
      <c r="CT183" s="1804">
        <v>0</v>
      </c>
      <c r="CU183" s="1804">
        <v>0</v>
      </c>
      <c r="CV183" s="1804">
        <v>0</v>
      </c>
      <c r="CW183" s="1804">
        <v>0</v>
      </c>
      <c r="CX183" s="1804">
        <v>0</v>
      </c>
      <c r="CY183" s="1804">
        <v>0</v>
      </c>
      <c r="CZ183" s="1804">
        <v>0</v>
      </c>
      <c r="DA183" s="1804">
        <v>0</v>
      </c>
      <c r="DB183" s="1804">
        <v>0</v>
      </c>
      <c r="DC183" s="1804">
        <v>0</v>
      </c>
      <c r="DD183" s="1804">
        <v>0</v>
      </c>
      <c r="DE183" s="1804">
        <v>0</v>
      </c>
      <c r="DF183" s="1804">
        <v>0</v>
      </c>
      <c r="DG183" s="1804">
        <v>0</v>
      </c>
      <c r="DH183" s="1804">
        <v>0</v>
      </c>
      <c r="DI183" s="1804">
        <v>0</v>
      </c>
      <c r="DJ183" s="1804">
        <v>0</v>
      </c>
      <c r="DK183" s="1804">
        <v>0</v>
      </c>
      <c r="DL183" s="1804">
        <v>0</v>
      </c>
      <c r="DM183" s="1804">
        <v>0</v>
      </c>
      <c r="DN183" s="1804">
        <v>0</v>
      </c>
      <c r="DO183" s="1804">
        <v>0</v>
      </c>
      <c r="DP183" s="1804">
        <v>0</v>
      </c>
      <c r="DQ183" s="1804">
        <v>0</v>
      </c>
      <c r="DR183" s="1804">
        <v>0</v>
      </c>
      <c r="DS183" s="1804">
        <v>0</v>
      </c>
      <c r="DT183" s="1804">
        <v>0</v>
      </c>
      <c r="DU183" s="1804">
        <v>0</v>
      </c>
      <c r="DV183" s="1804">
        <v>0</v>
      </c>
      <c r="DW183" s="1804">
        <v>0</v>
      </c>
      <c r="DX183" s="1804">
        <v>0</v>
      </c>
      <c r="DY183" s="1804">
        <v>0</v>
      </c>
      <c r="DZ183" s="1804">
        <v>0</v>
      </c>
      <c r="EA183" s="1804">
        <v>0</v>
      </c>
      <c r="EB183" s="1804">
        <v>0</v>
      </c>
      <c r="EC183" s="1804">
        <v>0</v>
      </c>
      <c r="ED183" s="1804">
        <v>0</v>
      </c>
      <c r="EE183" s="1804">
        <v>0</v>
      </c>
      <c r="EF183" s="1804">
        <v>0</v>
      </c>
      <c r="EG183" s="1804">
        <v>0</v>
      </c>
      <c r="EH183" s="1804">
        <v>0</v>
      </c>
      <c r="EI183" s="1804">
        <v>0</v>
      </c>
      <c r="EJ183" s="1804">
        <v>0</v>
      </c>
      <c r="EK183" s="1804">
        <v>0</v>
      </c>
      <c r="EL183" s="1804">
        <v>0</v>
      </c>
      <c r="EM183" s="1804">
        <v>0</v>
      </c>
      <c r="EN183" s="1804">
        <v>0</v>
      </c>
      <c r="EO183" s="1804">
        <v>0</v>
      </c>
      <c r="EP183" s="1804">
        <v>0</v>
      </c>
      <c r="EQ183" s="1804">
        <v>0</v>
      </c>
      <c r="ER183" s="1804">
        <v>0</v>
      </c>
      <c r="ES183" s="1804">
        <v>0</v>
      </c>
      <c r="ET183" s="1804">
        <v>0</v>
      </c>
      <c r="EU183" s="1804">
        <v>0</v>
      </c>
      <c r="EV183" s="1804">
        <v>0</v>
      </c>
      <c r="EW183" s="1804">
        <v>0</v>
      </c>
      <c r="EX183" s="1804">
        <v>0</v>
      </c>
      <c r="EY183" s="1804">
        <v>0</v>
      </c>
      <c r="EZ183" s="1804">
        <v>0</v>
      </c>
      <c r="FA183" s="1804">
        <v>0</v>
      </c>
      <c r="FB183" s="1804">
        <v>0</v>
      </c>
      <c r="FC183" s="1804">
        <v>0</v>
      </c>
      <c r="FD183" s="1804">
        <v>0</v>
      </c>
      <c r="FE183" s="1804">
        <v>0</v>
      </c>
      <c r="FF183" s="1804">
        <v>0</v>
      </c>
      <c r="FG183" s="1804">
        <v>0</v>
      </c>
      <c r="FH183" s="1804">
        <v>0</v>
      </c>
      <c r="FI183" s="1804">
        <v>0</v>
      </c>
      <c r="FJ183" s="1804">
        <v>0</v>
      </c>
      <c r="FK183" s="1804">
        <v>0</v>
      </c>
      <c r="FL183" s="1804">
        <v>0</v>
      </c>
      <c r="FM183" s="1804">
        <v>0</v>
      </c>
      <c r="FN183" s="1804">
        <v>0</v>
      </c>
      <c r="FO183" s="1804">
        <v>0</v>
      </c>
      <c r="FP183" s="1804">
        <v>0</v>
      </c>
      <c r="FQ183" s="1804">
        <v>0</v>
      </c>
      <c r="FR183" s="1804">
        <v>0</v>
      </c>
      <c r="FS183" s="1804">
        <v>0</v>
      </c>
      <c r="FT183" s="1804">
        <v>0</v>
      </c>
      <c r="FU183" s="1804">
        <v>0</v>
      </c>
      <c r="FV183" s="1804">
        <v>0</v>
      </c>
      <c r="FW183" s="1804">
        <v>0</v>
      </c>
      <c r="FX183" s="1804">
        <v>0</v>
      </c>
      <c r="FY183" s="1804">
        <v>0</v>
      </c>
      <c r="FZ183" s="1804">
        <v>0</v>
      </c>
      <c r="GA183" s="1804">
        <v>0</v>
      </c>
      <c r="GB183" s="1804">
        <v>0</v>
      </c>
      <c r="GC183" s="1804">
        <v>0</v>
      </c>
      <c r="GD183" s="1804">
        <v>0</v>
      </c>
      <c r="GE183" s="1804">
        <v>0</v>
      </c>
      <c r="GF183" s="1804">
        <v>0</v>
      </c>
      <c r="GG183" s="1804">
        <v>0</v>
      </c>
      <c r="GH183" s="1804">
        <v>0</v>
      </c>
      <c r="GI183" s="1804">
        <v>0</v>
      </c>
      <c r="GJ183" s="1804">
        <v>0</v>
      </c>
      <c r="GK183" s="1804">
        <v>0</v>
      </c>
      <c r="GL183" s="1804">
        <v>0</v>
      </c>
      <c r="GM183" s="1804">
        <v>0</v>
      </c>
      <c r="GN183" s="1804">
        <v>0</v>
      </c>
      <c r="GO183" s="1804">
        <v>0</v>
      </c>
      <c r="GP183" s="1804">
        <v>0</v>
      </c>
      <c r="GQ183" s="1804">
        <v>0</v>
      </c>
      <c r="GR183" s="1804">
        <v>0</v>
      </c>
      <c r="GS183" s="1804">
        <v>0</v>
      </c>
      <c r="GT183" s="1804">
        <v>0</v>
      </c>
      <c r="GU183" s="1804">
        <v>0</v>
      </c>
      <c r="GV183" s="1804">
        <v>0</v>
      </c>
      <c r="GW183" s="1804">
        <v>0</v>
      </c>
      <c r="GX183" s="1804">
        <v>0</v>
      </c>
      <c r="GY183" s="1804">
        <v>0</v>
      </c>
      <c r="GZ183" s="1804">
        <v>0</v>
      </c>
      <c r="HA183" s="1804">
        <v>0</v>
      </c>
      <c r="HB183" s="1804">
        <v>0</v>
      </c>
      <c r="HC183" s="1804">
        <v>0</v>
      </c>
      <c r="HD183" s="1804">
        <v>0</v>
      </c>
      <c r="HE183" s="1804">
        <v>0</v>
      </c>
    </row>
    <row r="184" spans="1:213" ht="21" customHeight="1" thickBot="1" x14ac:dyDescent="0.25">
      <c r="A184" s="1995" t="s">
        <v>2364</v>
      </c>
      <c r="B184" s="1994" t="s">
        <v>297</v>
      </c>
      <c r="C184" s="1704" t="s">
        <v>815</v>
      </c>
      <c r="D184" s="1880"/>
      <c r="E184" s="1984"/>
      <c r="F184" s="1865"/>
      <c r="G184" s="1866"/>
      <c r="H184" s="1866"/>
      <c r="I184" s="1866"/>
      <c r="J184" s="1866"/>
      <c r="K184" s="1866"/>
      <c r="L184" s="1866"/>
      <c r="M184" s="1866"/>
      <c r="N184" s="1866"/>
      <c r="O184" s="1866"/>
      <c r="P184" s="1866"/>
      <c r="Q184" s="1866"/>
      <c r="R184" s="1866"/>
      <c r="S184" s="1866"/>
      <c r="T184" s="1866"/>
      <c r="U184" s="1866"/>
      <c r="V184" s="1866"/>
      <c r="W184" s="1866"/>
      <c r="X184" s="1866"/>
      <c r="Y184" s="1866"/>
      <c r="Z184" s="1866"/>
      <c r="AA184" s="1866"/>
      <c r="AB184" s="1866"/>
      <c r="AC184" s="1866"/>
      <c r="AD184" s="1866"/>
      <c r="AE184" s="1866"/>
      <c r="AF184" s="1866"/>
      <c r="AG184" s="1866"/>
      <c r="AH184" s="1866"/>
      <c r="AI184" s="1866"/>
      <c r="AJ184" s="1866"/>
      <c r="AK184" s="1866"/>
      <c r="AL184" s="1866"/>
      <c r="AM184" s="1866"/>
      <c r="AN184" s="1866"/>
      <c r="AO184" s="1866"/>
      <c r="AP184" s="1866"/>
      <c r="AQ184" s="1866"/>
      <c r="AR184" s="1866"/>
      <c r="AS184" s="1866"/>
      <c r="AT184" s="1866"/>
      <c r="AU184" s="1866"/>
      <c r="AV184" s="1866"/>
      <c r="AW184" s="1866"/>
      <c r="AX184" s="1866"/>
      <c r="AY184" s="1866"/>
      <c r="AZ184" s="1866"/>
      <c r="BA184" s="1866"/>
      <c r="BB184" s="1866"/>
      <c r="BC184" s="1866"/>
      <c r="BD184" s="1866"/>
      <c r="BE184" s="1866"/>
      <c r="BF184" s="1866"/>
      <c r="BG184" s="1866"/>
      <c r="BH184" s="1866"/>
      <c r="BI184" s="1866"/>
      <c r="BJ184" s="1866"/>
      <c r="BK184" s="1866"/>
      <c r="BL184" s="1866"/>
      <c r="BM184" s="1866"/>
      <c r="BN184" s="1866"/>
      <c r="BO184" s="1866"/>
      <c r="BP184" s="1866"/>
      <c r="BQ184" s="1866"/>
      <c r="BR184" s="1866"/>
      <c r="BS184" s="1866"/>
      <c r="BT184" s="1866"/>
      <c r="BU184" s="1866"/>
      <c r="BV184" s="1866"/>
      <c r="BW184" s="1866"/>
      <c r="BX184" s="1866"/>
      <c r="BY184" s="1866"/>
      <c r="BZ184" s="1866"/>
      <c r="CA184" s="1866"/>
      <c r="CB184" s="1866"/>
      <c r="CC184" s="1866"/>
      <c r="CD184" s="1866"/>
      <c r="CE184" s="1866"/>
      <c r="CF184" s="1866"/>
      <c r="CG184" s="1866"/>
      <c r="CH184" s="1866"/>
      <c r="CI184" s="1866"/>
      <c r="CJ184" s="1866"/>
      <c r="CK184" s="1866"/>
      <c r="CL184" s="1866"/>
      <c r="CM184" s="1866"/>
      <c r="CN184" s="1866"/>
      <c r="CO184" s="1866"/>
      <c r="CP184" s="1866"/>
      <c r="CQ184" s="1866"/>
      <c r="CR184" s="1866"/>
      <c r="CS184" s="1866"/>
      <c r="CT184" s="1866"/>
      <c r="CU184" s="1866"/>
      <c r="CV184" s="1866"/>
      <c r="CW184" s="1866"/>
      <c r="CX184" s="1866"/>
      <c r="CY184" s="1866"/>
      <c r="CZ184" s="1866"/>
      <c r="DA184" s="1866"/>
      <c r="DB184" s="1866"/>
      <c r="DC184" s="1866"/>
      <c r="DD184" s="1866"/>
      <c r="DE184" s="1866"/>
      <c r="DF184" s="1866"/>
      <c r="DG184" s="1866"/>
      <c r="DH184" s="1866"/>
      <c r="DI184" s="1866"/>
      <c r="DJ184" s="1866"/>
      <c r="DK184" s="1866"/>
      <c r="DL184" s="1866"/>
      <c r="DM184" s="1866"/>
      <c r="DN184" s="1866"/>
      <c r="DO184" s="1866"/>
      <c r="DP184" s="1866"/>
      <c r="DQ184" s="1866"/>
      <c r="DR184" s="1866"/>
      <c r="DS184" s="1866"/>
      <c r="DT184" s="1866"/>
      <c r="DU184" s="1866"/>
      <c r="DV184" s="1866"/>
      <c r="DW184" s="1866"/>
      <c r="DX184" s="1866"/>
      <c r="DY184" s="1866"/>
      <c r="DZ184" s="1866"/>
      <c r="EA184" s="1866"/>
      <c r="EB184" s="1866"/>
      <c r="EC184" s="1866"/>
      <c r="ED184" s="1866"/>
      <c r="EE184" s="1866"/>
      <c r="EF184" s="1866"/>
      <c r="EG184" s="1866"/>
      <c r="EH184" s="1866"/>
      <c r="EI184" s="1866"/>
      <c r="EJ184" s="1866"/>
      <c r="EK184" s="1866"/>
      <c r="EL184" s="1866"/>
      <c r="EM184" s="1866"/>
      <c r="EN184" s="1866"/>
      <c r="EO184" s="1866"/>
      <c r="EP184" s="1866"/>
      <c r="EQ184" s="1866"/>
      <c r="ER184" s="1866"/>
      <c r="ES184" s="1866"/>
      <c r="ET184" s="1866"/>
      <c r="EU184" s="1866"/>
      <c r="EV184" s="1866"/>
      <c r="EW184" s="1866"/>
      <c r="EX184" s="1866"/>
      <c r="EY184" s="1866"/>
      <c r="EZ184" s="1866"/>
      <c r="FA184" s="1866"/>
      <c r="FB184" s="1866"/>
      <c r="FC184" s="1866"/>
      <c r="FD184" s="1866"/>
      <c r="FE184" s="1866"/>
      <c r="FF184" s="1866"/>
      <c r="FG184" s="1866"/>
      <c r="FH184" s="1866"/>
      <c r="FI184" s="1866"/>
      <c r="FJ184" s="1866"/>
      <c r="FK184" s="1866"/>
      <c r="FL184" s="1866"/>
      <c r="FM184" s="1866"/>
      <c r="FN184" s="1866"/>
      <c r="FO184" s="1866"/>
      <c r="FP184" s="1866"/>
      <c r="FQ184" s="1866"/>
      <c r="FR184" s="1866"/>
      <c r="FS184" s="1866"/>
      <c r="FT184" s="1866"/>
      <c r="FU184" s="1866"/>
      <c r="FV184" s="1866"/>
      <c r="FW184" s="1866"/>
      <c r="FX184" s="1866"/>
      <c r="FY184" s="1866"/>
      <c r="FZ184" s="1866"/>
      <c r="GA184" s="1866"/>
      <c r="GB184" s="1866"/>
      <c r="GC184" s="1866"/>
      <c r="GD184" s="1866"/>
      <c r="GE184" s="1866"/>
      <c r="GF184" s="1866"/>
      <c r="GG184" s="1866"/>
      <c r="GH184" s="1866"/>
      <c r="GI184" s="1866"/>
      <c r="GJ184" s="1866"/>
      <c r="GK184" s="1866"/>
      <c r="GL184" s="1866"/>
      <c r="GM184" s="1866"/>
      <c r="GN184" s="1866"/>
      <c r="GO184" s="1866"/>
      <c r="GP184" s="1866"/>
      <c r="GQ184" s="1866"/>
      <c r="GR184" s="1866"/>
      <c r="GS184" s="1866"/>
      <c r="GT184" s="1866"/>
      <c r="GU184" s="1866"/>
      <c r="GV184" s="1866"/>
      <c r="GW184" s="1866"/>
      <c r="GX184" s="1866"/>
      <c r="GY184" s="1866"/>
      <c r="GZ184" s="1866"/>
      <c r="HA184" s="1866"/>
      <c r="HB184" s="1866"/>
      <c r="HC184" s="1866"/>
      <c r="HD184" s="1866"/>
      <c r="HE184" s="1866"/>
    </row>
    <row r="185" spans="1:213" ht="15" customHeight="1" x14ac:dyDescent="0.2">
      <c r="A185" s="1995"/>
      <c r="B185" s="1994"/>
      <c r="C185" s="1696" t="s">
        <v>2365</v>
      </c>
      <c r="D185" s="1883"/>
      <c r="E185" s="1984"/>
      <c r="F185" s="1838">
        <v>0</v>
      </c>
      <c r="G185" s="1804">
        <v>0</v>
      </c>
      <c r="H185" s="1804">
        <v>0</v>
      </c>
      <c r="I185" s="1804">
        <v>0</v>
      </c>
      <c r="J185" s="1804">
        <v>0</v>
      </c>
      <c r="K185" s="1804">
        <v>0</v>
      </c>
      <c r="L185" s="1804">
        <v>0</v>
      </c>
      <c r="M185" s="1804">
        <v>0</v>
      </c>
      <c r="N185" s="1804">
        <v>0</v>
      </c>
      <c r="O185" s="1804">
        <v>0</v>
      </c>
      <c r="P185" s="1804">
        <v>0</v>
      </c>
      <c r="Q185" s="1804">
        <v>0</v>
      </c>
      <c r="R185" s="1804">
        <v>0</v>
      </c>
      <c r="S185" s="1804">
        <v>0</v>
      </c>
      <c r="T185" s="1804">
        <v>0</v>
      </c>
      <c r="U185" s="1804">
        <v>0</v>
      </c>
      <c r="V185" s="1804">
        <v>0</v>
      </c>
      <c r="W185" s="1804">
        <v>0</v>
      </c>
      <c r="X185" s="1804">
        <v>0</v>
      </c>
      <c r="Y185" s="1804">
        <v>0</v>
      </c>
      <c r="Z185" s="1804">
        <v>0</v>
      </c>
      <c r="AA185" s="1804">
        <v>0</v>
      </c>
      <c r="AB185" s="1804">
        <v>0</v>
      </c>
      <c r="AC185" s="1804">
        <v>0</v>
      </c>
      <c r="AD185" s="1804">
        <v>0</v>
      </c>
      <c r="AE185" s="1804">
        <v>0</v>
      </c>
      <c r="AF185" s="1804">
        <v>0</v>
      </c>
      <c r="AG185" s="1804">
        <v>0</v>
      </c>
      <c r="AH185" s="1804">
        <v>0</v>
      </c>
      <c r="AI185" s="1804">
        <v>0</v>
      </c>
      <c r="AJ185" s="1804">
        <v>0</v>
      </c>
      <c r="AK185" s="1804">
        <v>0</v>
      </c>
      <c r="AL185" s="1804">
        <v>0</v>
      </c>
      <c r="AM185" s="1804">
        <v>0</v>
      </c>
      <c r="AN185" s="1804">
        <v>0</v>
      </c>
      <c r="AO185" s="1804">
        <v>0</v>
      </c>
      <c r="AP185" s="1804">
        <v>0</v>
      </c>
      <c r="AQ185" s="1804">
        <v>0</v>
      </c>
      <c r="AR185" s="1804">
        <v>0</v>
      </c>
      <c r="AS185" s="1804">
        <v>0</v>
      </c>
      <c r="AT185" s="1804">
        <v>0</v>
      </c>
      <c r="AU185" s="1804">
        <v>0</v>
      </c>
      <c r="AV185" s="1804">
        <v>0</v>
      </c>
      <c r="AW185" s="1804">
        <v>0</v>
      </c>
      <c r="AX185" s="1804">
        <v>0</v>
      </c>
      <c r="AY185" s="1804">
        <v>0</v>
      </c>
      <c r="AZ185" s="1804">
        <v>0</v>
      </c>
      <c r="BA185" s="1804">
        <v>0</v>
      </c>
      <c r="BB185" s="1804">
        <v>0</v>
      </c>
      <c r="BC185" s="1804">
        <v>0</v>
      </c>
      <c r="BD185" s="1804">
        <v>0</v>
      </c>
      <c r="BE185" s="1804">
        <v>0</v>
      </c>
      <c r="BF185" s="1804">
        <v>0</v>
      </c>
      <c r="BG185" s="1804">
        <v>0</v>
      </c>
      <c r="BH185" s="1804">
        <v>0</v>
      </c>
      <c r="BI185" s="1804">
        <v>0</v>
      </c>
      <c r="BJ185" s="1804">
        <v>0</v>
      </c>
      <c r="BK185" s="1804">
        <v>0</v>
      </c>
      <c r="BL185" s="1804">
        <v>0</v>
      </c>
      <c r="BM185" s="1804">
        <v>0</v>
      </c>
      <c r="BN185" s="1804">
        <v>0</v>
      </c>
      <c r="BO185" s="1804">
        <v>0</v>
      </c>
      <c r="BP185" s="1804">
        <v>0</v>
      </c>
      <c r="BQ185" s="1804">
        <v>0</v>
      </c>
      <c r="BR185" s="1804">
        <v>0</v>
      </c>
      <c r="BS185" s="1804">
        <v>0</v>
      </c>
      <c r="BT185" s="1804">
        <v>0</v>
      </c>
      <c r="BU185" s="1804">
        <v>0</v>
      </c>
      <c r="BV185" s="1804">
        <v>0</v>
      </c>
      <c r="BW185" s="1804">
        <v>0</v>
      </c>
      <c r="BX185" s="1804">
        <v>0</v>
      </c>
      <c r="BY185" s="1804">
        <v>0</v>
      </c>
      <c r="BZ185" s="1804">
        <v>0</v>
      </c>
      <c r="CA185" s="1804">
        <v>0</v>
      </c>
      <c r="CB185" s="1804">
        <v>0</v>
      </c>
      <c r="CC185" s="1804">
        <v>0</v>
      </c>
      <c r="CD185" s="1804">
        <v>0</v>
      </c>
      <c r="CE185" s="1804">
        <v>0</v>
      </c>
      <c r="CF185" s="1804">
        <v>0</v>
      </c>
      <c r="CG185" s="1804">
        <v>0</v>
      </c>
      <c r="CH185" s="1804">
        <v>0</v>
      </c>
      <c r="CI185" s="1804">
        <v>0</v>
      </c>
      <c r="CJ185" s="1804">
        <v>0</v>
      </c>
      <c r="CK185" s="1804">
        <v>0</v>
      </c>
      <c r="CL185" s="1804">
        <v>0</v>
      </c>
      <c r="CM185" s="1804">
        <v>0</v>
      </c>
      <c r="CN185" s="1804">
        <v>0</v>
      </c>
      <c r="CO185" s="1804">
        <v>0</v>
      </c>
      <c r="CP185" s="1804">
        <v>0</v>
      </c>
      <c r="CQ185" s="1804">
        <v>0</v>
      </c>
      <c r="CR185" s="1804">
        <v>0</v>
      </c>
      <c r="CS185" s="1804">
        <v>0</v>
      </c>
      <c r="CT185" s="1804">
        <v>0</v>
      </c>
      <c r="CU185" s="1804">
        <v>0</v>
      </c>
      <c r="CV185" s="1804">
        <v>0</v>
      </c>
      <c r="CW185" s="1804">
        <v>0</v>
      </c>
      <c r="CX185" s="1804">
        <v>0</v>
      </c>
      <c r="CY185" s="1804">
        <v>0</v>
      </c>
      <c r="CZ185" s="1804">
        <v>0</v>
      </c>
      <c r="DA185" s="1804">
        <v>0</v>
      </c>
      <c r="DB185" s="1804">
        <v>0</v>
      </c>
      <c r="DC185" s="1804">
        <v>0</v>
      </c>
      <c r="DD185" s="1804">
        <v>0</v>
      </c>
      <c r="DE185" s="1804">
        <v>0</v>
      </c>
      <c r="DF185" s="1804">
        <v>0</v>
      </c>
      <c r="DG185" s="1804">
        <v>0</v>
      </c>
      <c r="DH185" s="1804">
        <v>0</v>
      </c>
      <c r="DI185" s="1804">
        <v>0</v>
      </c>
      <c r="DJ185" s="1804">
        <v>0</v>
      </c>
      <c r="DK185" s="1804">
        <v>0</v>
      </c>
      <c r="DL185" s="1804">
        <v>0</v>
      </c>
      <c r="DM185" s="1804">
        <v>0</v>
      </c>
      <c r="DN185" s="1804">
        <v>0</v>
      </c>
      <c r="DO185" s="1804">
        <v>0</v>
      </c>
      <c r="DP185" s="1804">
        <v>0</v>
      </c>
      <c r="DQ185" s="1804">
        <v>0</v>
      </c>
      <c r="DR185" s="1804">
        <v>0</v>
      </c>
      <c r="DS185" s="1804">
        <v>0</v>
      </c>
      <c r="DT185" s="1804">
        <v>0</v>
      </c>
      <c r="DU185" s="1804">
        <v>0</v>
      </c>
      <c r="DV185" s="1804">
        <v>0</v>
      </c>
      <c r="DW185" s="1804">
        <v>0</v>
      </c>
      <c r="DX185" s="1804">
        <v>0</v>
      </c>
      <c r="DY185" s="1804">
        <v>0</v>
      </c>
      <c r="DZ185" s="1804">
        <v>0</v>
      </c>
      <c r="EA185" s="1804">
        <v>0</v>
      </c>
      <c r="EB185" s="1804">
        <v>0</v>
      </c>
      <c r="EC185" s="1804">
        <v>0</v>
      </c>
      <c r="ED185" s="1804">
        <v>0</v>
      </c>
      <c r="EE185" s="1804">
        <v>0</v>
      </c>
      <c r="EF185" s="1804">
        <v>0</v>
      </c>
      <c r="EG185" s="1804">
        <v>0</v>
      </c>
      <c r="EH185" s="1804">
        <v>0</v>
      </c>
      <c r="EI185" s="1804">
        <v>0</v>
      </c>
      <c r="EJ185" s="1804">
        <v>0</v>
      </c>
      <c r="EK185" s="1804">
        <v>0</v>
      </c>
      <c r="EL185" s="1804">
        <v>0</v>
      </c>
      <c r="EM185" s="1804">
        <v>0</v>
      </c>
      <c r="EN185" s="1804">
        <v>0</v>
      </c>
      <c r="EO185" s="1804">
        <v>0</v>
      </c>
      <c r="EP185" s="1804">
        <v>0</v>
      </c>
      <c r="EQ185" s="1804">
        <v>0</v>
      </c>
      <c r="ER185" s="1804">
        <v>0</v>
      </c>
      <c r="ES185" s="1804">
        <v>0</v>
      </c>
      <c r="ET185" s="1804">
        <v>0</v>
      </c>
      <c r="EU185" s="1804">
        <v>0</v>
      </c>
      <c r="EV185" s="1804">
        <v>0</v>
      </c>
      <c r="EW185" s="1804">
        <v>0</v>
      </c>
      <c r="EX185" s="1804">
        <v>0</v>
      </c>
      <c r="EY185" s="1804">
        <v>0</v>
      </c>
      <c r="EZ185" s="1804">
        <v>0</v>
      </c>
      <c r="FA185" s="1804">
        <v>0</v>
      </c>
      <c r="FB185" s="1804">
        <v>0</v>
      </c>
      <c r="FC185" s="1804">
        <v>0</v>
      </c>
      <c r="FD185" s="1804">
        <v>0</v>
      </c>
      <c r="FE185" s="1804">
        <v>0</v>
      </c>
      <c r="FF185" s="1804">
        <v>0</v>
      </c>
      <c r="FG185" s="1804">
        <v>0</v>
      </c>
      <c r="FH185" s="1804">
        <v>0</v>
      </c>
      <c r="FI185" s="1804">
        <v>0</v>
      </c>
      <c r="FJ185" s="1804">
        <v>0</v>
      </c>
      <c r="FK185" s="1804">
        <v>0</v>
      </c>
      <c r="FL185" s="1804">
        <v>0</v>
      </c>
      <c r="FM185" s="1804">
        <v>0</v>
      </c>
      <c r="FN185" s="1804">
        <v>0</v>
      </c>
      <c r="FO185" s="1804">
        <v>0</v>
      </c>
      <c r="FP185" s="1804">
        <v>0</v>
      </c>
      <c r="FQ185" s="1804">
        <v>0</v>
      </c>
      <c r="FR185" s="1804">
        <v>0</v>
      </c>
      <c r="FS185" s="1804">
        <v>0</v>
      </c>
      <c r="FT185" s="1804">
        <v>0</v>
      </c>
      <c r="FU185" s="1804">
        <v>0</v>
      </c>
      <c r="FV185" s="1804">
        <v>0</v>
      </c>
      <c r="FW185" s="1804">
        <v>0</v>
      </c>
      <c r="FX185" s="1804">
        <v>0</v>
      </c>
      <c r="FY185" s="1804">
        <v>0</v>
      </c>
      <c r="FZ185" s="1804">
        <v>0</v>
      </c>
      <c r="GA185" s="1804">
        <v>0</v>
      </c>
      <c r="GB185" s="1804">
        <v>0</v>
      </c>
      <c r="GC185" s="1804">
        <v>0</v>
      </c>
      <c r="GD185" s="1804">
        <v>0</v>
      </c>
      <c r="GE185" s="1804">
        <v>0</v>
      </c>
      <c r="GF185" s="1804">
        <v>0</v>
      </c>
      <c r="GG185" s="1804">
        <v>0</v>
      </c>
      <c r="GH185" s="1804">
        <v>0</v>
      </c>
      <c r="GI185" s="1804">
        <v>0</v>
      </c>
      <c r="GJ185" s="1804">
        <v>0</v>
      </c>
      <c r="GK185" s="1804">
        <v>0</v>
      </c>
      <c r="GL185" s="1804">
        <v>0</v>
      </c>
      <c r="GM185" s="1804">
        <v>0</v>
      </c>
      <c r="GN185" s="1804">
        <v>0</v>
      </c>
      <c r="GO185" s="1804">
        <v>0</v>
      </c>
      <c r="GP185" s="1804">
        <v>0</v>
      </c>
      <c r="GQ185" s="1804">
        <v>0</v>
      </c>
      <c r="GR185" s="1804">
        <v>0</v>
      </c>
      <c r="GS185" s="1804">
        <v>0</v>
      </c>
      <c r="GT185" s="1804">
        <v>0</v>
      </c>
      <c r="GU185" s="1804">
        <v>0</v>
      </c>
      <c r="GV185" s="1804">
        <v>0</v>
      </c>
      <c r="GW185" s="1804">
        <v>0</v>
      </c>
      <c r="GX185" s="1804">
        <v>0</v>
      </c>
      <c r="GY185" s="1804">
        <v>0</v>
      </c>
      <c r="GZ185" s="1804">
        <v>0</v>
      </c>
      <c r="HA185" s="1804">
        <v>0</v>
      </c>
      <c r="HB185" s="1804">
        <v>0</v>
      </c>
      <c r="HC185" s="1804">
        <v>0</v>
      </c>
      <c r="HD185" s="1804">
        <v>0</v>
      </c>
      <c r="HE185" s="1804">
        <v>0</v>
      </c>
    </row>
    <row r="186" spans="1:213" ht="15" customHeight="1" x14ac:dyDescent="0.2">
      <c r="A186" s="1995"/>
      <c r="B186" s="1994"/>
      <c r="C186" s="1703" t="s">
        <v>814</v>
      </c>
      <c r="D186" s="1883"/>
      <c r="E186" s="1984"/>
      <c r="F186" s="1838">
        <v>0</v>
      </c>
      <c r="G186" s="1804">
        <v>0</v>
      </c>
      <c r="H186" s="1804">
        <v>0</v>
      </c>
      <c r="I186" s="1804">
        <v>0</v>
      </c>
      <c r="J186" s="1804">
        <v>0</v>
      </c>
      <c r="K186" s="1804">
        <v>0</v>
      </c>
      <c r="L186" s="1804">
        <v>0</v>
      </c>
      <c r="M186" s="1804">
        <v>0</v>
      </c>
      <c r="N186" s="1804">
        <v>0</v>
      </c>
      <c r="O186" s="1804">
        <v>0</v>
      </c>
      <c r="P186" s="1804">
        <v>0</v>
      </c>
      <c r="Q186" s="1804">
        <v>0</v>
      </c>
      <c r="R186" s="1804">
        <v>0</v>
      </c>
      <c r="S186" s="1804">
        <v>0</v>
      </c>
      <c r="T186" s="1804">
        <v>0</v>
      </c>
      <c r="U186" s="1804">
        <v>0</v>
      </c>
      <c r="V186" s="1804">
        <v>0</v>
      </c>
      <c r="W186" s="1804">
        <v>0</v>
      </c>
      <c r="X186" s="1804">
        <v>0</v>
      </c>
      <c r="Y186" s="1804">
        <v>0</v>
      </c>
      <c r="Z186" s="1804">
        <v>0</v>
      </c>
      <c r="AA186" s="1804">
        <v>0</v>
      </c>
      <c r="AB186" s="1804">
        <v>0</v>
      </c>
      <c r="AC186" s="1804">
        <v>0</v>
      </c>
      <c r="AD186" s="1804">
        <v>0</v>
      </c>
      <c r="AE186" s="1804">
        <v>0</v>
      </c>
      <c r="AF186" s="1804">
        <v>0</v>
      </c>
      <c r="AG186" s="1804">
        <v>0</v>
      </c>
      <c r="AH186" s="1804">
        <v>0</v>
      </c>
      <c r="AI186" s="1804">
        <v>0</v>
      </c>
      <c r="AJ186" s="1804">
        <v>0</v>
      </c>
      <c r="AK186" s="1804">
        <v>0</v>
      </c>
      <c r="AL186" s="1804">
        <v>0</v>
      </c>
      <c r="AM186" s="1804">
        <v>0</v>
      </c>
      <c r="AN186" s="1804">
        <v>0</v>
      </c>
      <c r="AO186" s="1804">
        <v>0</v>
      </c>
      <c r="AP186" s="1804">
        <v>0</v>
      </c>
      <c r="AQ186" s="1804">
        <v>0</v>
      </c>
      <c r="AR186" s="1804">
        <v>0</v>
      </c>
      <c r="AS186" s="1804">
        <v>0</v>
      </c>
      <c r="AT186" s="1804">
        <v>0</v>
      </c>
      <c r="AU186" s="1804">
        <v>0</v>
      </c>
      <c r="AV186" s="1804">
        <v>0</v>
      </c>
      <c r="AW186" s="1804">
        <v>0</v>
      </c>
      <c r="AX186" s="1804">
        <v>0</v>
      </c>
      <c r="AY186" s="1804">
        <v>0</v>
      </c>
      <c r="AZ186" s="1804">
        <v>0</v>
      </c>
      <c r="BA186" s="1804">
        <v>0</v>
      </c>
      <c r="BB186" s="1804">
        <v>0</v>
      </c>
      <c r="BC186" s="1804">
        <v>0</v>
      </c>
      <c r="BD186" s="1804">
        <v>0</v>
      </c>
      <c r="BE186" s="1804">
        <v>0</v>
      </c>
      <c r="BF186" s="1804">
        <v>0</v>
      </c>
      <c r="BG186" s="1804">
        <v>0</v>
      </c>
      <c r="BH186" s="1804">
        <v>0</v>
      </c>
      <c r="BI186" s="1804">
        <v>0</v>
      </c>
      <c r="BJ186" s="1804">
        <v>0</v>
      </c>
      <c r="BK186" s="1804">
        <v>0</v>
      </c>
      <c r="BL186" s="1804">
        <v>0</v>
      </c>
      <c r="BM186" s="1804">
        <v>0</v>
      </c>
      <c r="BN186" s="1804">
        <v>0</v>
      </c>
      <c r="BO186" s="1804">
        <v>0</v>
      </c>
      <c r="BP186" s="1804">
        <v>0</v>
      </c>
      <c r="BQ186" s="1804">
        <v>0</v>
      </c>
      <c r="BR186" s="1804">
        <v>0</v>
      </c>
      <c r="BS186" s="1804">
        <v>0</v>
      </c>
      <c r="BT186" s="1804">
        <v>0</v>
      </c>
      <c r="BU186" s="1804">
        <v>0</v>
      </c>
      <c r="BV186" s="1804">
        <v>0</v>
      </c>
      <c r="BW186" s="1804">
        <v>0</v>
      </c>
      <c r="BX186" s="1804">
        <v>0</v>
      </c>
      <c r="BY186" s="1804">
        <v>0</v>
      </c>
      <c r="BZ186" s="1804">
        <v>0</v>
      </c>
      <c r="CA186" s="1804">
        <v>0</v>
      </c>
      <c r="CB186" s="1804">
        <v>0</v>
      </c>
      <c r="CC186" s="1804">
        <v>0</v>
      </c>
      <c r="CD186" s="1804">
        <v>0</v>
      </c>
      <c r="CE186" s="1804">
        <v>0</v>
      </c>
      <c r="CF186" s="1804">
        <v>0</v>
      </c>
      <c r="CG186" s="1804">
        <v>0</v>
      </c>
      <c r="CH186" s="1804">
        <v>0</v>
      </c>
      <c r="CI186" s="1804">
        <v>0</v>
      </c>
      <c r="CJ186" s="1804">
        <v>0</v>
      </c>
      <c r="CK186" s="1804">
        <v>0</v>
      </c>
      <c r="CL186" s="1804">
        <v>0</v>
      </c>
      <c r="CM186" s="1804">
        <v>0</v>
      </c>
      <c r="CN186" s="1804">
        <v>0</v>
      </c>
      <c r="CO186" s="1804">
        <v>0</v>
      </c>
      <c r="CP186" s="1804">
        <v>0</v>
      </c>
      <c r="CQ186" s="1804">
        <v>0</v>
      </c>
      <c r="CR186" s="1804">
        <v>0</v>
      </c>
      <c r="CS186" s="1804">
        <v>0</v>
      </c>
      <c r="CT186" s="1804">
        <v>0</v>
      </c>
      <c r="CU186" s="1804">
        <v>0</v>
      </c>
      <c r="CV186" s="1804">
        <v>0</v>
      </c>
      <c r="CW186" s="1804">
        <v>0</v>
      </c>
      <c r="CX186" s="1804">
        <v>0</v>
      </c>
      <c r="CY186" s="1804">
        <v>0</v>
      </c>
      <c r="CZ186" s="1804">
        <v>0</v>
      </c>
      <c r="DA186" s="1804">
        <v>0</v>
      </c>
      <c r="DB186" s="1804">
        <v>0</v>
      </c>
      <c r="DC186" s="1804">
        <v>0</v>
      </c>
      <c r="DD186" s="1804">
        <v>0</v>
      </c>
      <c r="DE186" s="1804">
        <v>0</v>
      </c>
      <c r="DF186" s="1804">
        <v>0</v>
      </c>
      <c r="DG186" s="1804">
        <v>0</v>
      </c>
      <c r="DH186" s="1804">
        <v>0</v>
      </c>
      <c r="DI186" s="1804">
        <v>0</v>
      </c>
      <c r="DJ186" s="1804">
        <v>0</v>
      </c>
      <c r="DK186" s="1804">
        <v>0</v>
      </c>
      <c r="DL186" s="1804">
        <v>0</v>
      </c>
      <c r="DM186" s="1804">
        <v>0</v>
      </c>
      <c r="DN186" s="1804">
        <v>0</v>
      </c>
      <c r="DO186" s="1804">
        <v>0</v>
      </c>
      <c r="DP186" s="1804">
        <v>0</v>
      </c>
      <c r="DQ186" s="1804">
        <v>0</v>
      </c>
      <c r="DR186" s="1804">
        <v>0</v>
      </c>
      <c r="DS186" s="1804">
        <v>0</v>
      </c>
      <c r="DT186" s="1804">
        <v>0</v>
      </c>
      <c r="DU186" s="1804">
        <v>0</v>
      </c>
      <c r="DV186" s="1804">
        <v>0</v>
      </c>
      <c r="DW186" s="1804">
        <v>0</v>
      </c>
      <c r="DX186" s="1804">
        <v>0</v>
      </c>
      <c r="DY186" s="1804">
        <v>0</v>
      </c>
      <c r="DZ186" s="1804">
        <v>0</v>
      </c>
      <c r="EA186" s="1804">
        <v>0</v>
      </c>
      <c r="EB186" s="1804">
        <v>0</v>
      </c>
      <c r="EC186" s="1804">
        <v>0</v>
      </c>
      <c r="ED186" s="1804">
        <v>0</v>
      </c>
      <c r="EE186" s="1804">
        <v>0</v>
      </c>
      <c r="EF186" s="1804">
        <v>0</v>
      </c>
      <c r="EG186" s="1804">
        <v>0</v>
      </c>
      <c r="EH186" s="1804">
        <v>0</v>
      </c>
      <c r="EI186" s="1804">
        <v>0</v>
      </c>
      <c r="EJ186" s="1804">
        <v>0</v>
      </c>
      <c r="EK186" s="1804">
        <v>0</v>
      </c>
      <c r="EL186" s="1804">
        <v>0</v>
      </c>
      <c r="EM186" s="1804">
        <v>0</v>
      </c>
      <c r="EN186" s="1804">
        <v>0</v>
      </c>
      <c r="EO186" s="1804">
        <v>0</v>
      </c>
      <c r="EP186" s="1804">
        <v>0</v>
      </c>
      <c r="EQ186" s="1804">
        <v>0</v>
      </c>
      <c r="ER186" s="1804">
        <v>0</v>
      </c>
      <c r="ES186" s="1804">
        <v>0</v>
      </c>
      <c r="ET186" s="1804">
        <v>0</v>
      </c>
      <c r="EU186" s="1804">
        <v>0</v>
      </c>
      <c r="EV186" s="1804">
        <v>0</v>
      </c>
      <c r="EW186" s="1804">
        <v>0</v>
      </c>
      <c r="EX186" s="1804">
        <v>0</v>
      </c>
      <c r="EY186" s="1804">
        <v>0</v>
      </c>
      <c r="EZ186" s="1804">
        <v>0</v>
      </c>
      <c r="FA186" s="1804">
        <v>0</v>
      </c>
      <c r="FB186" s="1804">
        <v>0</v>
      </c>
      <c r="FC186" s="1804">
        <v>0</v>
      </c>
      <c r="FD186" s="1804">
        <v>0</v>
      </c>
      <c r="FE186" s="1804">
        <v>0</v>
      </c>
      <c r="FF186" s="1804">
        <v>0</v>
      </c>
      <c r="FG186" s="1804">
        <v>0</v>
      </c>
      <c r="FH186" s="1804">
        <v>0</v>
      </c>
      <c r="FI186" s="1804">
        <v>0</v>
      </c>
      <c r="FJ186" s="1804">
        <v>0</v>
      </c>
      <c r="FK186" s="1804">
        <v>0</v>
      </c>
      <c r="FL186" s="1804">
        <v>0</v>
      </c>
      <c r="FM186" s="1804">
        <v>0</v>
      </c>
      <c r="FN186" s="1804">
        <v>0</v>
      </c>
      <c r="FO186" s="1804">
        <v>0</v>
      </c>
      <c r="FP186" s="1804">
        <v>0</v>
      </c>
      <c r="FQ186" s="1804">
        <v>0</v>
      </c>
      <c r="FR186" s="1804">
        <v>0</v>
      </c>
      <c r="FS186" s="1804">
        <v>0</v>
      </c>
      <c r="FT186" s="1804">
        <v>0</v>
      </c>
      <c r="FU186" s="1804">
        <v>0</v>
      </c>
      <c r="FV186" s="1804">
        <v>0</v>
      </c>
      <c r="FW186" s="1804">
        <v>0</v>
      </c>
      <c r="FX186" s="1804">
        <v>0</v>
      </c>
      <c r="FY186" s="1804">
        <v>0</v>
      </c>
      <c r="FZ186" s="1804">
        <v>0</v>
      </c>
      <c r="GA186" s="1804">
        <v>0</v>
      </c>
      <c r="GB186" s="1804">
        <v>0</v>
      </c>
      <c r="GC186" s="1804">
        <v>0</v>
      </c>
      <c r="GD186" s="1804">
        <v>0</v>
      </c>
      <c r="GE186" s="1804">
        <v>0</v>
      </c>
      <c r="GF186" s="1804">
        <v>0</v>
      </c>
      <c r="GG186" s="1804">
        <v>0</v>
      </c>
      <c r="GH186" s="1804">
        <v>0</v>
      </c>
      <c r="GI186" s="1804">
        <v>0</v>
      </c>
      <c r="GJ186" s="1804">
        <v>0</v>
      </c>
      <c r="GK186" s="1804">
        <v>0</v>
      </c>
      <c r="GL186" s="1804">
        <v>0</v>
      </c>
      <c r="GM186" s="1804">
        <v>0</v>
      </c>
      <c r="GN186" s="1804">
        <v>0</v>
      </c>
      <c r="GO186" s="1804">
        <v>0</v>
      </c>
      <c r="GP186" s="1804">
        <v>0</v>
      </c>
      <c r="GQ186" s="1804">
        <v>0</v>
      </c>
      <c r="GR186" s="1804">
        <v>0</v>
      </c>
      <c r="GS186" s="1804">
        <v>0</v>
      </c>
      <c r="GT186" s="1804">
        <v>0</v>
      </c>
      <c r="GU186" s="1804">
        <v>0</v>
      </c>
      <c r="GV186" s="1804">
        <v>0</v>
      </c>
      <c r="GW186" s="1804">
        <v>0</v>
      </c>
      <c r="GX186" s="1804">
        <v>0</v>
      </c>
      <c r="GY186" s="1804">
        <v>0</v>
      </c>
      <c r="GZ186" s="1804">
        <v>0</v>
      </c>
      <c r="HA186" s="1804">
        <v>0</v>
      </c>
      <c r="HB186" s="1804">
        <v>0</v>
      </c>
      <c r="HC186" s="1804">
        <v>0</v>
      </c>
      <c r="HD186" s="1804">
        <v>0</v>
      </c>
      <c r="HE186" s="1804">
        <v>0</v>
      </c>
    </row>
    <row r="187" spans="1:213" ht="15" customHeight="1" thickBot="1" x14ac:dyDescent="0.25">
      <c r="A187" s="1950"/>
      <c r="B187" s="1952"/>
      <c r="C187" s="1697" t="s">
        <v>86</v>
      </c>
      <c r="D187" s="1883"/>
      <c r="E187" s="1984"/>
      <c r="F187" s="1838">
        <v>0</v>
      </c>
      <c r="G187" s="1804">
        <v>0</v>
      </c>
      <c r="H187" s="1804">
        <v>0</v>
      </c>
      <c r="I187" s="1804">
        <v>0</v>
      </c>
      <c r="J187" s="1804">
        <v>0</v>
      </c>
      <c r="K187" s="1804">
        <v>0</v>
      </c>
      <c r="L187" s="1804">
        <v>0</v>
      </c>
      <c r="M187" s="1804">
        <v>0</v>
      </c>
      <c r="N187" s="1804">
        <v>0</v>
      </c>
      <c r="O187" s="1804">
        <v>0</v>
      </c>
      <c r="P187" s="1804">
        <v>0</v>
      </c>
      <c r="Q187" s="1804">
        <v>0</v>
      </c>
      <c r="R187" s="1804">
        <v>0</v>
      </c>
      <c r="S187" s="1804">
        <v>0</v>
      </c>
      <c r="T187" s="1804">
        <v>0</v>
      </c>
      <c r="U187" s="1804">
        <v>0</v>
      </c>
      <c r="V187" s="1804">
        <v>0</v>
      </c>
      <c r="W187" s="1804">
        <v>0</v>
      </c>
      <c r="X187" s="1804">
        <v>0</v>
      </c>
      <c r="Y187" s="1804">
        <v>0</v>
      </c>
      <c r="Z187" s="1804">
        <v>0</v>
      </c>
      <c r="AA187" s="1804">
        <v>0</v>
      </c>
      <c r="AB187" s="1804">
        <v>0</v>
      </c>
      <c r="AC187" s="1804">
        <v>0</v>
      </c>
      <c r="AD187" s="1804">
        <v>0</v>
      </c>
      <c r="AE187" s="1804">
        <v>0</v>
      </c>
      <c r="AF187" s="1804">
        <v>0</v>
      </c>
      <c r="AG187" s="1804">
        <v>0</v>
      </c>
      <c r="AH187" s="1804">
        <v>0</v>
      </c>
      <c r="AI187" s="1804">
        <v>0</v>
      </c>
      <c r="AJ187" s="1804">
        <v>0</v>
      </c>
      <c r="AK187" s="1804">
        <v>0</v>
      </c>
      <c r="AL187" s="1804">
        <v>0</v>
      </c>
      <c r="AM187" s="1804">
        <v>0</v>
      </c>
      <c r="AN187" s="1804">
        <v>0</v>
      </c>
      <c r="AO187" s="1804">
        <v>0</v>
      </c>
      <c r="AP187" s="1804">
        <v>0</v>
      </c>
      <c r="AQ187" s="1804">
        <v>0</v>
      </c>
      <c r="AR187" s="1804">
        <v>0</v>
      </c>
      <c r="AS187" s="1804">
        <v>0</v>
      </c>
      <c r="AT187" s="1804">
        <v>0</v>
      </c>
      <c r="AU187" s="1804">
        <v>0</v>
      </c>
      <c r="AV187" s="1804">
        <v>0</v>
      </c>
      <c r="AW187" s="1804">
        <v>0</v>
      </c>
      <c r="AX187" s="1804">
        <v>0</v>
      </c>
      <c r="AY187" s="1804">
        <v>0</v>
      </c>
      <c r="AZ187" s="1804">
        <v>0</v>
      </c>
      <c r="BA187" s="1804">
        <v>0</v>
      </c>
      <c r="BB187" s="1804">
        <v>0</v>
      </c>
      <c r="BC187" s="1804">
        <v>0</v>
      </c>
      <c r="BD187" s="1804">
        <v>0</v>
      </c>
      <c r="BE187" s="1804">
        <v>0</v>
      </c>
      <c r="BF187" s="1804">
        <v>0</v>
      </c>
      <c r="BG187" s="1804">
        <v>0</v>
      </c>
      <c r="BH187" s="1804">
        <v>0</v>
      </c>
      <c r="BI187" s="1804">
        <v>0</v>
      </c>
      <c r="BJ187" s="1804">
        <v>0</v>
      </c>
      <c r="BK187" s="1804">
        <v>0</v>
      </c>
      <c r="BL187" s="1804">
        <v>0</v>
      </c>
      <c r="BM187" s="1804">
        <v>0</v>
      </c>
      <c r="BN187" s="1804">
        <v>0</v>
      </c>
      <c r="BO187" s="1804">
        <v>0</v>
      </c>
      <c r="BP187" s="1804">
        <v>0</v>
      </c>
      <c r="BQ187" s="1804">
        <v>0</v>
      </c>
      <c r="BR187" s="1804">
        <v>0</v>
      </c>
      <c r="BS187" s="1804">
        <v>0</v>
      </c>
      <c r="BT187" s="1804">
        <v>0</v>
      </c>
      <c r="BU187" s="1804">
        <v>0</v>
      </c>
      <c r="BV187" s="1804">
        <v>0</v>
      </c>
      <c r="BW187" s="1804">
        <v>0</v>
      </c>
      <c r="BX187" s="1804">
        <v>0</v>
      </c>
      <c r="BY187" s="1804">
        <v>0</v>
      </c>
      <c r="BZ187" s="1804">
        <v>0</v>
      </c>
      <c r="CA187" s="1804">
        <v>0</v>
      </c>
      <c r="CB187" s="1804">
        <v>0</v>
      </c>
      <c r="CC187" s="1804">
        <v>0</v>
      </c>
      <c r="CD187" s="1804">
        <v>0</v>
      </c>
      <c r="CE187" s="1804">
        <v>0</v>
      </c>
      <c r="CF187" s="1804">
        <v>0</v>
      </c>
      <c r="CG187" s="1804">
        <v>0</v>
      </c>
      <c r="CH187" s="1804">
        <v>0</v>
      </c>
      <c r="CI187" s="1804">
        <v>0</v>
      </c>
      <c r="CJ187" s="1804">
        <v>0</v>
      </c>
      <c r="CK187" s="1804">
        <v>0</v>
      </c>
      <c r="CL187" s="1804">
        <v>0</v>
      </c>
      <c r="CM187" s="1804">
        <v>0</v>
      </c>
      <c r="CN187" s="1804">
        <v>0</v>
      </c>
      <c r="CO187" s="1804">
        <v>0</v>
      </c>
      <c r="CP187" s="1804">
        <v>0</v>
      </c>
      <c r="CQ187" s="1804">
        <v>0</v>
      </c>
      <c r="CR187" s="1804">
        <v>0</v>
      </c>
      <c r="CS187" s="1804">
        <v>0</v>
      </c>
      <c r="CT187" s="1804">
        <v>0</v>
      </c>
      <c r="CU187" s="1804">
        <v>0</v>
      </c>
      <c r="CV187" s="1804">
        <v>0</v>
      </c>
      <c r="CW187" s="1804">
        <v>0</v>
      </c>
      <c r="CX187" s="1804">
        <v>0</v>
      </c>
      <c r="CY187" s="1804">
        <v>0</v>
      </c>
      <c r="CZ187" s="1804">
        <v>0</v>
      </c>
      <c r="DA187" s="1804">
        <v>0</v>
      </c>
      <c r="DB187" s="1804">
        <v>0</v>
      </c>
      <c r="DC187" s="1804">
        <v>0</v>
      </c>
      <c r="DD187" s="1804">
        <v>0</v>
      </c>
      <c r="DE187" s="1804">
        <v>0</v>
      </c>
      <c r="DF187" s="1804">
        <v>0</v>
      </c>
      <c r="DG187" s="1804">
        <v>0</v>
      </c>
      <c r="DH187" s="1804">
        <v>0</v>
      </c>
      <c r="DI187" s="1804">
        <v>0</v>
      </c>
      <c r="DJ187" s="1804">
        <v>0</v>
      </c>
      <c r="DK187" s="1804">
        <v>0</v>
      </c>
      <c r="DL187" s="1804">
        <v>0</v>
      </c>
      <c r="DM187" s="1804">
        <v>0</v>
      </c>
      <c r="DN187" s="1804">
        <v>0</v>
      </c>
      <c r="DO187" s="1804">
        <v>0</v>
      </c>
      <c r="DP187" s="1804">
        <v>0</v>
      </c>
      <c r="DQ187" s="1804">
        <v>0</v>
      </c>
      <c r="DR187" s="1804">
        <v>0</v>
      </c>
      <c r="DS187" s="1804">
        <v>0</v>
      </c>
      <c r="DT187" s="1804">
        <v>0</v>
      </c>
      <c r="DU187" s="1804">
        <v>0</v>
      </c>
      <c r="DV187" s="1804">
        <v>0</v>
      </c>
      <c r="DW187" s="1804">
        <v>0</v>
      </c>
      <c r="DX187" s="1804">
        <v>0</v>
      </c>
      <c r="DY187" s="1804">
        <v>0</v>
      </c>
      <c r="DZ187" s="1804">
        <v>0</v>
      </c>
      <c r="EA187" s="1804">
        <v>0</v>
      </c>
      <c r="EB187" s="1804">
        <v>0</v>
      </c>
      <c r="EC187" s="1804">
        <v>0</v>
      </c>
      <c r="ED187" s="1804">
        <v>0</v>
      </c>
      <c r="EE187" s="1804">
        <v>0</v>
      </c>
      <c r="EF187" s="1804">
        <v>0</v>
      </c>
      <c r="EG187" s="1804">
        <v>0</v>
      </c>
      <c r="EH187" s="1804">
        <v>0</v>
      </c>
      <c r="EI187" s="1804">
        <v>0</v>
      </c>
      <c r="EJ187" s="1804">
        <v>0</v>
      </c>
      <c r="EK187" s="1804">
        <v>0</v>
      </c>
      <c r="EL187" s="1804">
        <v>0</v>
      </c>
      <c r="EM187" s="1804">
        <v>0</v>
      </c>
      <c r="EN187" s="1804">
        <v>0</v>
      </c>
      <c r="EO187" s="1804">
        <v>0</v>
      </c>
      <c r="EP187" s="1804">
        <v>0</v>
      </c>
      <c r="EQ187" s="1804">
        <v>0</v>
      </c>
      <c r="ER187" s="1804">
        <v>0</v>
      </c>
      <c r="ES187" s="1804">
        <v>0</v>
      </c>
      <c r="ET187" s="1804">
        <v>0</v>
      </c>
      <c r="EU187" s="1804">
        <v>0</v>
      </c>
      <c r="EV187" s="1804">
        <v>0</v>
      </c>
      <c r="EW187" s="1804">
        <v>0</v>
      </c>
      <c r="EX187" s="1804">
        <v>0</v>
      </c>
      <c r="EY187" s="1804">
        <v>0</v>
      </c>
      <c r="EZ187" s="1804">
        <v>0</v>
      </c>
      <c r="FA187" s="1804">
        <v>0</v>
      </c>
      <c r="FB187" s="1804">
        <v>0</v>
      </c>
      <c r="FC187" s="1804">
        <v>0</v>
      </c>
      <c r="FD187" s="1804">
        <v>0</v>
      </c>
      <c r="FE187" s="1804">
        <v>0</v>
      </c>
      <c r="FF187" s="1804">
        <v>0</v>
      </c>
      <c r="FG187" s="1804">
        <v>0</v>
      </c>
      <c r="FH187" s="1804">
        <v>0</v>
      </c>
      <c r="FI187" s="1804">
        <v>0</v>
      </c>
      <c r="FJ187" s="1804">
        <v>0</v>
      </c>
      <c r="FK187" s="1804">
        <v>0</v>
      </c>
      <c r="FL187" s="1804">
        <v>0</v>
      </c>
      <c r="FM187" s="1804">
        <v>0</v>
      </c>
      <c r="FN187" s="1804">
        <v>0</v>
      </c>
      <c r="FO187" s="1804">
        <v>0</v>
      </c>
      <c r="FP187" s="1804">
        <v>0</v>
      </c>
      <c r="FQ187" s="1804">
        <v>0</v>
      </c>
      <c r="FR187" s="1804">
        <v>0</v>
      </c>
      <c r="FS187" s="1804">
        <v>0</v>
      </c>
      <c r="FT187" s="1804">
        <v>0</v>
      </c>
      <c r="FU187" s="1804">
        <v>0</v>
      </c>
      <c r="FV187" s="1804">
        <v>0</v>
      </c>
      <c r="FW187" s="1804">
        <v>0</v>
      </c>
      <c r="FX187" s="1804">
        <v>0</v>
      </c>
      <c r="FY187" s="1804">
        <v>0</v>
      </c>
      <c r="FZ187" s="1804">
        <v>0</v>
      </c>
      <c r="GA187" s="1804">
        <v>0</v>
      </c>
      <c r="GB187" s="1804">
        <v>0</v>
      </c>
      <c r="GC187" s="1804">
        <v>0</v>
      </c>
      <c r="GD187" s="1804">
        <v>0</v>
      </c>
      <c r="GE187" s="1804">
        <v>0</v>
      </c>
      <c r="GF187" s="1804">
        <v>0</v>
      </c>
      <c r="GG187" s="1804">
        <v>0</v>
      </c>
      <c r="GH187" s="1804">
        <v>0</v>
      </c>
      <c r="GI187" s="1804">
        <v>0</v>
      </c>
      <c r="GJ187" s="1804">
        <v>0</v>
      </c>
      <c r="GK187" s="1804">
        <v>0</v>
      </c>
      <c r="GL187" s="1804">
        <v>0</v>
      </c>
      <c r="GM187" s="1804">
        <v>0</v>
      </c>
      <c r="GN187" s="1804">
        <v>0</v>
      </c>
      <c r="GO187" s="1804">
        <v>0</v>
      </c>
      <c r="GP187" s="1804">
        <v>0</v>
      </c>
      <c r="GQ187" s="1804">
        <v>0</v>
      </c>
      <c r="GR187" s="1804">
        <v>0</v>
      </c>
      <c r="GS187" s="1804">
        <v>0</v>
      </c>
      <c r="GT187" s="1804">
        <v>0</v>
      </c>
      <c r="GU187" s="1804">
        <v>0</v>
      </c>
      <c r="GV187" s="1804">
        <v>0</v>
      </c>
      <c r="GW187" s="1804">
        <v>0</v>
      </c>
      <c r="GX187" s="1804">
        <v>0</v>
      </c>
      <c r="GY187" s="1804">
        <v>0</v>
      </c>
      <c r="GZ187" s="1804">
        <v>0</v>
      </c>
      <c r="HA187" s="1804">
        <v>0</v>
      </c>
      <c r="HB187" s="1804">
        <v>0</v>
      </c>
      <c r="HC187" s="1804">
        <v>0</v>
      </c>
      <c r="HD187" s="1804">
        <v>0</v>
      </c>
      <c r="HE187" s="1804">
        <v>0</v>
      </c>
    </row>
    <row r="188" spans="1:213" ht="21" customHeight="1" thickBot="1" x14ac:dyDescent="0.25">
      <c r="A188" s="1963" t="s">
        <v>2366</v>
      </c>
      <c r="B188" s="1988" t="s">
        <v>584</v>
      </c>
      <c r="C188" s="1699" t="s">
        <v>991</v>
      </c>
      <c r="D188" s="1880"/>
      <c r="E188" s="1984"/>
      <c r="F188" s="1865"/>
      <c r="G188" s="1866"/>
      <c r="H188" s="1866"/>
      <c r="I188" s="1866"/>
      <c r="J188" s="1866"/>
      <c r="K188" s="1866"/>
      <c r="L188" s="1866"/>
      <c r="M188" s="1866"/>
      <c r="N188" s="1866"/>
      <c r="O188" s="1866"/>
      <c r="P188" s="1866"/>
      <c r="Q188" s="1866"/>
      <c r="R188" s="1866"/>
      <c r="S188" s="1866"/>
      <c r="T188" s="1866"/>
      <c r="U188" s="1866"/>
      <c r="V188" s="1866"/>
      <c r="W188" s="1866"/>
      <c r="X188" s="1866"/>
      <c r="Y188" s="1866"/>
      <c r="Z188" s="1866"/>
      <c r="AA188" s="1866"/>
      <c r="AB188" s="1866"/>
      <c r="AC188" s="1866"/>
      <c r="AD188" s="1866"/>
      <c r="AE188" s="1866"/>
      <c r="AF188" s="1866"/>
      <c r="AG188" s="1866"/>
      <c r="AH188" s="1866"/>
      <c r="AI188" s="1866"/>
      <c r="AJ188" s="1866"/>
      <c r="AK188" s="1866"/>
      <c r="AL188" s="1866"/>
      <c r="AM188" s="1866"/>
      <c r="AN188" s="1866"/>
      <c r="AO188" s="1866"/>
      <c r="AP188" s="1866"/>
      <c r="AQ188" s="1866"/>
      <c r="AR188" s="1866"/>
      <c r="AS188" s="1866"/>
      <c r="AT188" s="1866"/>
      <c r="AU188" s="1866"/>
      <c r="AV188" s="1866"/>
      <c r="AW188" s="1866"/>
      <c r="AX188" s="1866"/>
      <c r="AY188" s="1866"/>
      <c r="AZ188" s="1866"/>
      <c r="BA188" s="1866"/>
      <c r="BB188" s="1866"/>
      <c r="BC188" s="1866"/>
      <c r="BD188" s="1866"/>
      <c r="BE188" s="1866"/>
      <c r="BF188" s="1866"/>
      <c r="BG188" s="1866"/>
      <c r="BH188" s="1866"/>
      <c r="BI188" s="1866"/>
      <c r="BJ188" s="1866"/>
      <c r="BK188" s="1866"/>
      <c r="BL188" s="1866"/>
      <c r="BM188" s="1866"/>
      <c r="BN188" s="1866"/>
      <c r="BO188" s="1866"/>
      <c r="BP188" s="1866"/>
      <c r="BQ188" s="1866"/>
      <c r="BR188" s="1866"/>
      <c r="BS188" s="1866"/>
      <c r="BT188" s="1866"/>
      <c r="BU188" s="1866"/>
      <c r="BV188" s="1866"/>
      <c r="BW188" s="1866"/>
      <c r="BX188" s="1866"/>
      <c r="BY188" s="1866"/>
      <c r="BZ188" s="1866"/>
      <c r="CA188" s="1866"/>
      <c r="CB188" s="1866"/>
      <c r="CC188" s="1866"/>
      <c r="CD188" s="1866"/>
      <c r="CE188" s="1866"/>
      <c r="CF188" s="1866"/>
      <c r="CG188" s="1866"/>
      <c r="CH188" s="1866"/>
      <c r="CI188" s="1866"/>
      <c r="CJ188" s="1866"/>
      <c r="CK188" s="1866"/>
      <c r="CL188" s="1866"/>
      <c r="CM188" s="1866"/>
      <c r="CN188" s="1866"/>
      <c r="CO188" s="1866"/>
      <c r="CP188" s="1866"/>
      <c r="CQ188" s="1866"/>
      <c r="CR188" s="1866"/>
      <c r="CS188" s="1866"/>
      <c r="CT188" s="1866"/>
      <c r="CU188" s="1866"/>
      <c r="CV188" s="1866"/>
      <c r="CW188" s="1866"/>
      <c r="CX188" s="1866"/>
      <c r="CY188" s="1866"/>
      <c r="CZ188" s="1866"/>
      <c r="DA188" s="1866"/>
      <c r="DB188" s="1866"/>
      <c r="DC188" s="1866"/>
      <c r="DD188" s="1866"/>
      <c r="DE188" s="1866"/>
      <c r="DF188" s="1866"/>
      <c r="DG188" s="1866"/>
      <c r="DH188" s="1866"/>
      <c r="DI188" s="1866"/>
      <c r="DJ188" s="1866"/>
      <c r="DK188" s="1866"/>
      <c r="DL188" s="1866"/>
      <c r="DM188" s="1866"/>
      <c r="DN188" s="1866"/>
      <c r="DO188" s="1866"/>
      <c r="DP188" s="1866"/>
      <c r="DQ188" s="1866"/>
      <c r="DR188" s="1866"/>
      <c r="DS188" s="1866"/>
      <c r="DT188" s="1866"/>
      <c r="DU188" s="1866"/>
      <c r="DV188" s="1866"/>
      <c r="DW188" s="1866"/>
      <c r="DX188" s="1866"/>
      <c r="DY188" s="1866"/>
      <c r="DZ188" s="1866"/>
      <c r="EA188" s="1866"/>
      <c r="EB188" s="1866"/>
      <c r="EC188" s="1866"/>
      <c r="ED188" s="1866"/>
      <c r="EE188" s="1866"/>
      <c r="EF188" s="1866"/>
      <c r="EG188" s="1866"/>
      <c r="EH188" s="1866"/>
      <c r="EI188" s="1866"/>
      <c r="EJ188" s="1866"/>
      <c r="EK188" s="1866"/>
      <c r="EL188" s="1866"/>
      <c r="EM188" s="1866"/>
      <c r="EN188" s="1866"/>
      <c r="EO188" s="1866"/>
      <c r="EP188" s="1866"/>
      <c r="EQ188" s="1866"/>
      <c r="ER188" s="1866"/>
      <c r="ES188" s="1866"/>
      <c r="ET188" s="1866"/>
      <c r="EU188" s="1866"/>
      <c r="EV188" s="1866"/>
      <c r="EW188" s="1866"/>
      <c r="EX188" s="1866"/>
      <c r="EY188" s="1866"/>
      <c r="EZ188" s="1866"/>
      <c r="FA188" s="1866"/>
      <c r="FB188" s="1866"/>
      <c r="FC188" s="1866"/>
      <c r="FD188" s="1866"/>
      <c r="FE188" s="1866"/>
      <c r="FF188" s="1866"/>
      <c r="FG188" s="1866"/>
      <c r="FH188" s="1866"/>
      <c r="FI188" s="1866"/>
      <c r="FJ188" s="1866"/>
      <c r="FK188" s="1866"/>
      <c r="FL188" s="1866"/>
      <c r="FM188" s="1866"/>
      <c r="FN188" s="1866"/>
      <c r="FO188" s="1866"/>
      <c r="FP188" s="1866"/>
      <c r="FQ188" s="1866"/>
      <c r="FR188" s="1866"/>
      <c r="FS188" s="1866"/>
      <c r="FT188" s="1866"/>
      <c r="FU188" s="1866"/>
      <c r="FV188" s="1866"/>
      <c r="FW188" s="1866"/>
      <c r="FX188" s="1866"/>
      <c r="FY188" s="1866"/>
      <c r="FZ188" s="1866"/>
      <c r="GA188" s="1866"/>
      <c r="GB188" s="1866"/>
      <c r="GC188" s="1866"/>
      <c r="GD188" s="1866"/>
      <c r="GE188" s="1866"/>
      <c r="GF188" s="1866"/>
      <c r="GG188" s="1866"/>
      <c r="GH188" s="1866"/>
      <c r="GI188" s="1866"/>
      <c r="GJ188" s="1866"/>
      <c r="GK188" s="1866"/>
      <c r="GL188" s="1866"/>
      <c r="GM188" s="1866"/>
      <c r="GN188" s="1866"/>
      <c r="GO188" s="1866"/>
      <c r="GP188" s="1866"/>
      <c r="GQ188" s="1866"/>
      <c r="GR188" s="1866"/>
      <c r="GS188" s="1866"/>
      <c r="GT188" s="1866"/>
      <c r="GU188" s="1866"/>
      <c r="GV188" s="1866"/>
      <c r="GW188" s="1866"/>
      <c r="GX188" s="1866"/>
      <c r="GY188" s="1866"/>
      <c r="GZ188" s="1866"/>
      <c r="HA188" s="1866"/>
      <c r="HB188" s="1866"/>
      <c r="HC188" s="1866"/>
      <c r="HD188" s="1866"/>
      <c r="HE188" s="1866"/>
    </row>
    <row r="189" spans="1:213" ht="15" customHeight="1" x14ac:dyDescent="0.2">
      <c r="A189" s="1964"/>
      <c r="B189" s="1989"/>
      <c r="C189" s="1707" t="s">
        <v>992</v>
      </c>
      <c r="D189" s="1885"/>
      <c r="E189" s="1984"/>
      <c r="F189" s="1838">
        <v>0</v>
      </c>
      <c r="G189" s="1804">
        <v>0</v>
      </c>
      <c r="H189" s="1804">
        <v>0</v>
      </c>
      <c r="I189" s="1804">
        <v>0</v>
      </c>
      <c r="J189" s="1804">
        <v>0</v>
      </c>
      <c r="K189" s="1804">
        <v>0</v>
      </c>
      <c r="L189" s="1804">
        <v>0</v>
      </c>
      <c r="M189" s="1804">
        <v>0</v>
      </c>
      <c r="N189" s="1804">
        <v>0</v>
      </c>
      <c r="O189" s="1804">
        <v>0</v>
      </c>
      <c r="P189" s="1804">
        <v>0</v>
      </c>
      <c r="Q189" s="1804">
        <v>0</v>
      </c>
      <c r="R189" s="1804">
        <v>0</v>
      </c>
      <c r="S189" s="1804">
        <v>0</v>
      </c>
      <c r="T189" s="1804">
        <v>0</v>
      </c>
      <c r="U189" s="1804">
        <v>0</v>
      </c>
      <c r="V189" s="1804">
        <v>0</v>
      </c>
      <c r="W189" s="1804">
        <v>0</v>
      </c>
      <c r="X189" s="1804">
        <v>0</v>
      </c>
      <c r="Y189" s="1804">
        <v>0</v>
      </c>
      <c r="Z189" s="1804">
        <v>0</v>
      </c>
      <c r="AA189" s="1804">
        <v>0</v>
      </c>
      <c r="AB189" s="1804">
        <v>0</v>
      </c>
      <c r="AC189" s="1804">
        <v>0</v>
      </c>
      <c r="AD189" s="1804">
        <v>0</v>
      </c>
      <c r="AE189" s="1804">
        <v>0</v>
      </c>
      <c r="AF189" s="1804">
        <v>0</v>
      </c>
      <c r="AG189" s="1804">
        <v>0</v>
      </c>
      <c r="AH189" s="1804">
        <v>0</v>
      </c>
      <c r="AI189" s="1804">
        <v>0</v>
      </c>
      <c r="AJ189" s="1804">
        <v>0</v>
      </c>
      <c r="AK189" s="1804">
        <v>0</v>
      </c>
      <c r="AL189" s="1804">
        <v>0</v>
      </c>
      <c r="AM189" s="1804">
        <v>0</v>
      </c>
      <c r="AN189" s="1804">
        <v>0</v>
      </c>
      <c r="AO189" s="1804">
        <v>0</v>
      </c>
      <c r="AP189" s="1804">
        <v>0</v>
      </c>
      <c r="AQ189" s="1804">
        <v>0</v>
      </c>
      <c r="AR189" s="1804">
        <v>0</v>
      </c>
      <c r="AS189" s="1804">
        <v>0</v>
      </c>
      <c r="AT189" s="1804">
        <v>0</v>
      </c>
      <c r="AU189" s="1804">
        <v>0</v>
      </c>
      <c r="AV189" s="1804">
        <v>0</v>
      </c>
      <c r="AW189" s="1804">
        <v>0</v>
      </c>
      <c r="AX189" s="1804">
        <v>0</v>
      </c>
      <c r="AY189" s="1804">
        <v>0</v>
      </c>
      <c r="AZ189" s="1804">
        <v>0</v>
      </c>
      <c r="BA189" s="1804">
        <v>0</v>
      </c>
      <c r="BB189" s="1804">
        <v>0</v>
      </c>
      <c r="BC189" s="1804">
        <v>0</v>
      </c>
      <c r="BD189" s="1804">
        <v>0</v>
      </c>
      <c r="BE189" s="1804">
        <v>0</v>
      </c>
      <c r="BF189" s="1804">
        <v>0</v>
      </c>
      <c r="BG189" s="1804">
        <v>0</v>
      </c>
      <c r="BH189" s="1804">
        <v>0</v>
      </c>
      <c r="BI189" s="1804">
        <v>0</v>
      </c>
      <c r="BJ189" s="1804">
        <v>0</v>
      </c>
      <c r="BK189" s="1804">
        <v>0</v>
      </c>
      <c r="BL189" s="1804">
        <v>0</v>
      </c>
      <c r="BM189" s="1804">
        <v>0</v>
      </c>
      <c r="BN189" s="1804">
        <v>0</v>
      </c>
      <c r="BO189" s="1804">
        <v>0</v>
      </c>
      <c r="BP189" s="1804">
        <v>0</v>
      </c>
      <c r="BQ189" s="1804">
        <v>0</v>
      </c>
      <c r="BR189" s="1804">
        <v>0</v>
      </c>
      <c r="BS189" s="1804">
        <v>0</v>
      </c>
      <c r="BT189" s="1804">
        <v>0</v>
      </c>
      <c r="BU189" s="1804">
        <v>0</v>
      </c>
      <c r="BV189" s="1804">
        <v>0</v>
      </c>
      <c r="BW189" s="1804">
        <v>0</v>
      </c>
      <c r="BX189" s="1804">
        <v>0</v>
      </c>
      <c r="BY189" s="1804">
        <v>0</v>
      </c>
      <c r="BZ189" s="1804">
        <v>0</v>
      </c>
      <c r="CA189" s="1804">
        <v>0</v>
      </c>
      <c r="CB189" s="1804">
        <v>0</v>
      </c>
      <c r="CC189" s="1804">
        <v>0</v>
      </c>
      <c r="CD189" s="1804">
        <v>0</v>
      </c>
      <c r="CE189" s="1804">
        <v>0</v>
      </c>
      <c r="CF189" s="1804">
        <v>0</v>
      </c>
      <c r="CG189" s="1804">
        <v>0</v>
      </c>
      <c r="CH189" s="1804">
        <v>0</v>
      </c>
      <c r="CI189" s="1804">
        <v>0</v>
      </c>
      <c r="CJ189" s="1804">
        <v>0</v>
      </c>
      <c r="CK189" s="1804">
        <v>0</v>
      </c>
      <c r="CL189" s="1804">
        <v>0</v>
      </c>
      <c r="CM189" s="1804">
        <v>0</v>
      </c>
      <c r="CN189" s="1804">
        <v>0</v>
      </c>
      <c r="CO189" s="1804">
        <v>0</v>
      </c>
      <c r="CP189" s="1804">
        <v>0</v>
      </c>
      <c r="CQ189" s="1804">
        <v>0</v>
      </c>
      <c r="CR189" s="1804">
        <v>0</v>
      </c>
      <c r="CS189" s="1804">
        <v>0</v>
      </c>
      <c r="CT189" s="1804">
        <v>0</v>
      </c>
      <c r="CU189" s="1804">
        <v>0</v>
      </c>
      <c r="CV189" s="1804">
        <v>0</v>
      </c>
      <c r="CW189" s="1804">
        <v>0</v>
      </c>
      <c r="CX189" s="1804">
        <v>0</v>
      </c>
      <c r="CY189" s="1804">
        <v>0</v>
      </c>
      <c r="CZ189" s="1804">
        <v>0</v>
      </c>
      <c r="DA189" s="1804">
        <v>0</v>
      </c>
      <c r="DB189" s="1804">
        <v>0</v>
      </c>
      <c r="DC189" s="1804">
        <v>0</v>
      </c>
      <c r="DD189" s="1804">
        <v>0</v>
      </c>
      <c r="DE189" s="1804">
        <v>0</v>
      </c>
      <c r="DF189" s="1804">
        <v>0</v>
      </c>
      <c r="DG189" s="1804">
        <v>0</v>
      </c>
      <c r="DH189" s="1804">
        <v>0</v>
      </c>
      <c r="DI189" s="1804">
        <v>0</v>
      </c>
      <c r="DJ189" s="1804">
        <v>0</v>
      </c>
      <c r="DK189" s="1804">
        <v>0</v>
      </c>
      <c r="DL189" s="1804">
        <v>0</v>
      </c>
      <c r="DM189" s="1804">
        <v>0</v>
      </c>
      <c r="DN189" s="1804">
        <v>0</v>
      </c>
      <c r="DO189" s="1804">
        <v>0</v>
      </c>
      <c r="DP189" s="1804">
        <v>0</v>
      </c>
      <c r="DQ189" s="1804">
        <v>0</v>
      </c>
      <c r="DR189" s="1804">
        <v>0</v>
      </c>
      <c r="DS189" s="1804">
        <v>0</v>
      </c>
      <c r="DT189" s="1804">
        <v>0</v>
      </c>
      <c r="DU189" s="1804">
        <v>0</v>
      </c>
      <c r="DV189" s="1804">
        <v>0</v>
      </c>
      <c r="DW189" s="1804">
        <v>0</v>
      </c>
      <c r="DX189" s="1804">
        <v>0</v>
      </c>
      <c r="DY189" s="1804">
        <v>0</v>
      </c>
      <c r="DZ189" s="1804">
        <v>0</v>
      </c>
      <c r="EA189" s="1804">
        <v>0</v>
      </c>
      <c r="EB189" s="1804">
        <v>0</v>
      </c>
      <c r="EC189" s="1804">
        <v>0</v>
      </c>
      <c r="ED189" s="1804">
        <v>0</v>
      </c>
      <c r="EE189" s="1804">
        <v>0</v>
      </c>
      <c r="EF189" s="1804">
        <v>0</v>
      </c>
      <c r="EG189" s="1804">
        <v>0</v>
      </c>
      <c r="EH189" s="1804">
        <v>0</v>
      </c>
      <c r="EI189" s="1804">
        <v>0</v>
      </c>
      <c r="EJ189" s="1804">
        <v>0</v>
      </c>
      <c r="EK189" s="1804">
        <v>0</v>
      </c>
      <c r="EL189" s="1804">
        <v>0</v>
      </c>
      <c r="EM189" s="1804">
        <v>0</v>
      </c>
      <c r="EN189" s="1804">
        <v>0</v>
      </c>
      <c r="EO189" s="1804">
        <v>0</v>
      </c>
      <c r="EP189" s="1804">
        <v>0</v>
      </c>
      <c r="EQ189" s="1804">
        <v>0</v>
      </c>
      <c r="ER189" s="1804">
        <v>0</v>
      </c>
      <c r="ES189" s="1804">
        <v>0</v>
      </c>
      <c r="ET189" s="1804">
        <v>0</v>
      </c>
      <c r="EU189" s="1804">
        <v>0</v>
      </c>
      <c r="EV189" s="1804">
        <v>0</v>
      </c>
      <c r="EW189" s="1804">
        <v>0</v>
      </c>
      <c r="EX189" s="1804">
        <v>0</v>
      </c>
      <c r="EY189" s="1804">
        <v>0</v>
      </c>
      <c r="EZ189" s="1804">
        <v>0</v>
      </c>
      <c r="FA189" s="1804">
        <v>0</v>
      </c>
      <c r="FB189" s="1804">
        <v>0</v>
      </c>
      <c r="FC189" s="1804">
        <v>0</v>
      </c>
      <c r="FD189" s="1804">
        <v>0</v>
      </c>
      <c r="FE189" s="1804">
        <v>0</v>
      </c>
      <c r="FF189" s="1804">
        <v>0</v>
      </c>
      <c r="FG189" s="1804">
        <v>0</v>
      </c>
      <c r="FH189" s="1804">
        <v>0</v>
      </c>
      <c r="FI189" s="1804">
        <v>0</v>
      </c>
      <c r="FJ189" s="1804">
        <v>0</v>
      </c>
      <c r="FK189" s="1804">
        <v>0</v>
      </c>
      <c r="FL189" s="1804">
        <v>0</v>
      </c>
      <c r="FM189" s="1804">
        <v>0</v>
      </c>
      <c r="FN189" s="1804">
        <v>0</v>
      </c>
      <c r="FO189" s="1804">
        <v>0</v>
      </c>
      <c r="FP189" s="1804">
        <v>0</v>
      </c>
      <c r="FQ189" s="1804">
        <v>0</v>
      </c>
      <c r="FR189" s="1804">
        <v>0</v>
      </c>
      <c r="FS189" s="1804">
        <v>0</v>
      </c>
      <c r="FT189" s="1804">
        <v>0</v>
      </c>
      <c r="FU189" s="1804">
        <v>0</v>
      </c>
      <c r="FV189" s="1804">
        <v>0</v>
      </c>
      <c r="FW189" s="1804">
        <v>0</v>
      </c>
      <c r="FX189" s="1804">
        <v>0</v>
      </c>
      <c r="FY189" s="1804">
        <v>0</v>
      </c>
      <c r="FZ189" s="1804">
        <v>0</v>
      </c>
      <c r="GA189" s="1804">
        <v>0</v>
      </c>
      <c r="GB189" s="1804">
        <v>0</v>
      </c>
      <c r="GC189" s="1804">
        <v>0</v>
      </c>
      <c r="GD189" s="1804">
        <v>0</v>
      </c>
      <c r="GE189" s="1804">
        <v>0</v>
      </c>
      <c r="GF189" s="1804">
        <v>0</v>
      </c>
      <c r="GG189" s="1804">
        <v>0</v>
      </c>
      <c r="GH189" s="1804">
        <v>0</v>
      </c>
      <c r="GI189" s="1804">
        <v>0</v>
      </c>
      <c r="GJ189" s="1804">
        <v>0</v>
      </c>
      <c r="GK189" s="1804">
        <v>0</v>
      </c>
      <c r="GL189" s="1804">
        <v>0</v>
      </c>
      <c r="GM189" s="1804">
        <v>0</v>
      </c>
      <c r="GN189" s="1804">
        <v>0</v>
      </c>
      <c r="GO189" s="1804">
        <v>0</v>
      </c>
      <c r="GP189" s="1804">
        <v>0</v>
      </c>
      <c r="GQ189" s="1804">
        <v>0</v>
      </c>
      <c r="GR189" s="1804">
        <v>0</v>
      </c>
      <c r="GS189" s="1804">
        <v>0</v>
      </c>
      <c r="GT189" s="1804">
        <v>0</v>
      </c>
      <c r="GU189" s="1804">
        <v>0</v>
      </c>
      <c r="GV189" s="1804">
        <v>0</v>
      </c>
      <c r="GW189" s="1804">
        <v>0</v>
      </c>
      <c r="GX189" s="1804">
        <v>0</v>
      </c>
      <c r="GY189" s="1804">
        <v>0</v>
      </c>
      <c r="GZ189" s="1804">
        <v>0</v>
      </c>
      <c r="HA189" s="1804">
        <v>0</v>
      </c>
      <c r="HB189" s="1804">
        <v>0</v>
      </c>
      <c r="HC189" s="1804">
        <v>0</v>
      </c>
      <c r="HD189" s="1804">
        <v>0</v>
      </c>
      <c r="HE189" s="1804">
        <v>0</v>
      </c>
    </row>
    <row r="190" spans="1:213" ht="15" customHeight="1" x14ac:dyDescent="0.2">
      <c r="A190" s="1964"/>
      <c r="B190" s="1989"/>
      <c r="C190" s="1816" t="s">
        <v>993</v>
      </c>
      <c r="D190" s="1885"/>
      <c r="E190" s="1984"/>
      <c r="F190" s="1838">
        <v>0</v>
      </c>
      <c r="G190" s="1804">
        <v>0</v>
      </c>
      <c r="H190" s="1804">
        <v>0</v>
      </c>
      <c r="I190" s="1804">
        <v>0</v>
      </c>
      <c r="J190" s="1804">
        <v>0</v>
      </c>
      <c r="K190" s="1804">
        <v>0</v>
      </c>
      <c r="L190" s="1804">
        <v>0</v>
      </c>
      <c r="M190" s="1804">
        <v>0</v>
      </c>
      <c r="N190" s="1804">
        <v>0</v>
      </c>
      <c r="O190" s="1804">
        <v>0</v>
      </c>
      <c r="P190" s="1804">
        <v>0</v>
      </c>
      <c r="Q190" s="1804">
        <v>0</v>
      </c>
      <c r="R190" s="1804">
        <v>0</v>
      </c>
      <c r="S190" s="1804">
        <v>0</v>
      </c>
      <c r="T190" s="1804">
        <v>0</v>
      </c>
      <c r="U190" s="1804">
        <v>0</v>
      </c>
      <c r="V190" s="1804">
        <v>0</v>
      </c>
      <c r="W190" s="1804">
        <v>0</v>
      </c>
      <c r="X190" s="1804">
        <v>0</v>
      </c>
      <c r="Y190" s="1804">
        <v>0</v>
      </c>
      <c r="Z190" s="1804">
        <v>0</v>
      </c>
      <c r="AA190" s="1804">
        <v>0</v>
      </c>
      <c r="AB190" s="1804">
        <v>0</v>
      </c>
      <c r="AC190" s="1804">
        <v>0</v>
      </c>
      <c r="AD190" s="1804">
        <v>0</v>
      </c>
      <c r="AE190" s="1804">
        <v>0</v>
      </c>
      <c r="AF190" s="1804">
        <v>0</v>
      </c>
      <c r="AG190" s="1804">
        <v>0</v>
      </c>
      <c r="AH190" s="1804">
        <v>0</v>
      </c>
      <c r="AI190" s="1804">
        <v>0</v>
      </c>
      <c r="AJ190" s="1804">
        <v>0</v>
      </c>
      <c r="AK190" s="1804">
        <v>0</v>
      </c>
      <c r="AL190" s="1804">
        <v>0</v>
      </c>
      <c r="AM190" s="1804">
        <v>0</v>
      </c>
      <c r="AN190" s="1804">
        <v>0</v>
      </c>
      <c r="AO190" s="1804">
        <v>0</v>
      </c>
      <c r="AP190" s="1804">
        <v>0</v>
      </c>
      <c r="AQ190" s="1804">
        <v>0</v>
      </c>
      <c r="AR190" s="1804">
        <v>0</v>
      </c>
      <c r="AS190" s="1804">
        <v>0</v>
      </c>
      <c r="AT190" s="1804">
        <v>0</v>
      </c>
      <c r="AU190" s="1804">
        <v>0</v>
      </c>
      <c r="AV190" s="1804">
        <v>0</v>
      </c>
      <c r="AW190" s="1804">
        <v>0</v>
      </c>
      <c r="AX190" s="1804">
        <v>0</v>
      </c>
      <c r="AY190" s="1804">
        <v>0</v>
      </c>
      <c r="AZ190" s="1804">
        <v>0</v>
      </c>
      <c r="BA190" s="1804">
        <v>0</v>
      </c>
      <c r="BB190" s="1804">
        <v>0</v>
      </c>
      <c r="BC190" s="1804">
        <v>0</v>
      </c>
      <c r="BD190" s="1804">
        <v>0</v>
      </c>
      <c r="BE190" s="1804">
        <v>0</v>
      </c>
      <c r="BF190" s="1804">
        <v>0</v>
      </c>
      <c r="BG190" s="1804">
        <v>0</v>
      </c>
      <c r="BH190" s="1804">
        <v>0</v>
      </c>
      <c r="BI190" s="1804">
        <v>0</v>
      </c>
      <c r="BJ190" s="1804">
        <v>0</v>
      </c>
      <c r="BK190" s="1804">
        <v>0</v>
      </c>
      <c r="BL190" s="1804">
        <v>0</v>
      </c>
      <c r="BM190" s="1804">
        <v>0</v>
      </c>
      <c r="BN190" s="1804">
        <v>0</v>
      </c>
      <c r="BO190" s="1804">
        <v>0</v>
      </c>
      <c r="BP190" s="1804">
        <v>0</v>
      </c>
      <c r="BQ190" s="1804">
        <v>0</v>
      </c>
      <c r="BR190" s="1804">
        <v>0</v>
      </c>
      <c r="BS190" s="1804">
        <v>0</v>
      </c>
      <c r="BT190" s="1804">
        <v>0</v>
      </c>
      <c r="BU190" s="1804">
        <v>0</v>
      </c>
      <c r="BV190" s="1804">
        <v>0</v>
      </c>
      <c r="BW190" s="1804">
        <v>0</v>
      </c>
      <c r="BX190" s="1804">
        <v>0</v>
      </c>
      <c r="BY190" s="1804">
        <v>0</v>
      </c>
      <c r="BZ190" s="1804">
        <v>0</v>
      </c>
      <c r="CA190" s="1804">
        <v>0</v>
      </c>
      <c r="CB190" s="1804">
        <v>0</v>
      </c>
      <c r="CC190" s="1804">
        <v>0</v>
      </c>
      <c r="CD190" s="1804">
        <v>0</v>
      </c>
      <c r="CE190" s="1804">
        <v>0</v>
      </c>
      <c r="CF190" s="1804">
        <v>0</v>
      </c>
      <c r="CG190" s="1804">
        <v>0</v>
      </c>
      <c r="CH190" s="1804">
        <v>0</v>
      </c>
      <c r="CI190" s="1804">
        <v>0</v>
      </c>
      <c r="CJ190" s="1804">
        <v>0</v>
      </c>
      <c r="CK190" s="1804">
        <v>0</v>
      </c>
      <c r="CL190" s="1804">
        <v>0</v>
      </c>
      <c r="CM190" s="1804">
        <v>0</v>
      </c>
      <c r="CN190" s="1804">
        <v>0</v>
      </c>
      <c r="CO190" s="1804">
        <v>0</v>
      </c>
      <c r="CP190" s="1804">
        <v>0</v>
      </c>
      <c r="CQ190" s="1804">
        <v>0</v>
      </c>
      <c r="CR190" s="1804">
        <v>0</v>
      </c>
      <c r="CS190" s="1804">
        <v>0</v>
      </c>
      <c r="CT190" s="1804">
        <v>0</v>
      </c>
      <c r="CU190" s="1804">
        <v>0</v>
      </c>
      <c r="CV190" s="1804">
        <v>0</v>
      </c>
      <c r="CW190" s="1804">
        <v>0</v>
      </c>
      <c r="CX190" s="1804">
        <v>0</v>
      </c>
      <c r="CY190" s="1804">
        <v>0</v>
      </c>
      <c r="CZ190" s="1804">
        <v>0</v>
      </c>
      <c r="DA190" s="1804">
        <v>0</v>
      </c>
      <c r="DB190" s="1804">
        <v>0</v>
      </c>
      <c r="DC190" s="1804">
        <v>0</v>
      </c>
      <c r="DD190" s="1804">
        <v>0</v>
      </c>
      <c r="DE190" s="1804">
        <v>0</v>
      </c>
      <c r="DF190" s="1804">
        <v>0</v>
      </c>
      <c r="DG190" s="1804">
        <v>0</v>
      </c>
      <c r="DH190" s="1804">
        <v>0</v>
      </c>
      <c r="DI190" s="1804">
        <v>0</v>
      </c>
      <c r="DJ190" s="1804">
        <v>0</v>
      </c>
      <c r="DK190" s="1804">
        <v>0</v>
      </c>
      <c r="DL190" s="1804">
        <v>0</v>
      </c>
      <c r="DM190" s="1804">
        <v>0</v>
      </c>
      <c r="DN190" s="1804">
        <v>0</v>
      </c>
      <c r="DO190" s="1804">
        <v>0</v>
      </c>
      <c r="DP190" s="1804">
        <v>0</v>
      </c>
      <c r="DQ190" s="1804">
        <v>0</v>
      </c>
      <c r="DR190" s="1804">
        <v>0</v>
      </c>
      <c r="DS190" s="1804">
        <v>0</v>
      </c>
      <c r="DT190" s="1804">
        <v>0</v>
      </c>
      <c r="DU190" s="1804">
        <v>0</v>
      </c>
      <c r="DV190" s="1804">
        <v>0</v>
      </c>
      <c r="DW190" s="1804">
        <v>0</v>
      </c>
      <c r="DX190" s="1804">
        <v>0</v>
      </c>
      <c r="DY190" s="1804">
        <v>0</v>
      </c>
      <c r="DZ190" s="1804">
        <v>0</v>
      </c>
      <c r="EA190" s="1804">
        <v>0</v>
      </c>
      <c r="EB190" s="1804">
        <v>0</v>
      </c>
      <c r="EC190" s="1804">
        <v>0</v>
      </c>
      <c r="ED190" s="1804">
        <v>0</v>
      </c>
      <c r="EE190" s="1804">
        <v>0</v>
      </c>
      <c r="EF190" s="1804">
        <v>0</v>
      </c>
      <c r="EG190" s="1804">
        <v>0</v>
      </c>
      <c r="EH190" s="1804">
        <v>0</v>
      </c>
      <c r="EI190" s="1804">
        <v>0</v>
      </c>
      <c r="EJ190" s="1804">
        <v>0</v>
      </c>
      <c r="EK190" s="1804">
        <v>0</v>
      </c>
      <c r="EL190" s="1804">
        <v>0</v>
      </c>
      <c r="EM190" s="1804">
        <v>0</v>
      </c>
      <c r="EN190" s="1804">
        <v>0</v>
      </c>
      <c r="EO190" s="1804">
        <v>0</v>
      </c>
      <c r="EP190" s="1804">
        <v>0</v>
      </c>
      <c r="EQ190" s="1804">
        <v>0</v>
      </c>
      <c r="ER190" s="1804">
        <v>0</v>
      </c>
      <c r="ES190" s="1804">
        <v>0</v>
      </c>
      <c r="ET190" s="1804">
        <v>0</v>
      </c>
      <c r="EU190" s="1804">
        <v>0</v>
      </c>
      <c r="EV190" s="1804">
        <v>0</v>
      </c>
      <c r="EW190" s="1804">
        <v>0</v>
      </c>
      <c r="EX190" s="1804">
        <v>0</v>
      </c>
      <c r="EY190" s="1804">
        <v>0</v>
      </c>
      <c r="EZ190" s="1804">
        <v>0</v>
      </c>
      <c r="FA190" s="1804">
        <v>0</v>
      </c>
      <c r="FB190" s="1804">
        <v>0</v>
      </c>
      <c r="FC190" s="1804">
        <v>0</v>
      </c>
      <c r="FD190" s="1804">
        <v>0</v>
      </c>
      <c r="FE190" s="1804">
        <v>0</v>
      </c>
      <c r="FF190" s="1804">
        <v>0</v>
      </c>
      <c r="FG190" s="1804">
        <v>0</v>
      </c>
      <c r="FH190" s="1804">
        <v>0</v>
      </c>
      <c r="FI190" s="1804">
        <v>0</v>
      </c>
      <c r="FJ190" s="1804">
        <v>0</v>
      </c>
      <c r="FK190" s="1804">
        <v>0</v>
      </c>
      <c r="FL190" s="1804">
        <v>0</v>
      </c>
      <c r="FM190" s="1804">
        <v>0</v>
      </c>
      <c r="FN190" s="1804">
        <v>0</v>
      </c>
      <c r="FO190" s="1804">
        <v>0</v>
      </c>
      <c r="FP190" s="1804">
        <v>0</v>
      </c>
      <c r="FQ190" s="1804">
        <v>0</v>
      </c>
      <c r="FR190" s="1804">
        <v>0</v>
      </c>
      <c r="FS190" s="1804">
        <v>0</v>
      </c>
      <c r="FT190" s="1804">
        <v>0</v>
      </c>
      <c r="FU190" s="1804">
        <v>0</v>
      </c>
      <c r="FV190" s="1804">
        <v>0</v>
      </c>
      <c r="FW190" s="1804">
        <v>0</v>
      </c>
      <c r="FX190" s="1804">
        <v>0</v>
      </c>
      <c r="FY190" s="1804">
        <v>0</v>
      </c>
      <c r="FZ190" s="1804">
        <v>0</v>
      </c>
      <c r="GA190" s="1804">
        <v>0</v>
      </c>
      <c r="GB190" s="1804">
        <v>0</v>
      </c>
      <c r="GC190" s="1804">
        <v>0</v>
      </c>
      <c r="GD190" s="1804">
        <v>0</v>
      </c>
      <c r="GE190" s="1804">
        <v>0</v>
      </c>
      <c r="GF190" s="1804">
        <v>0</v>
      </c>
      <c r="GG190" s="1804">
        <v>0</v>
      </c>
      <c r="GH190" s="1804">
        <v>0</v>
      </c>
      <c r="GI190" s="1804">
        <v>0</v>
      </c>
      <c r="GJ190" s="1804">
        <v>0</v>
      </c>
      <c r="GK190" s="1804">
        <v>0</v>
      </c>
      <c r="GL190" s="1804">
        <v>0</v>
      </c>
      <c r="GM190" s="1804">
        <v>0</v>
      </c>
      <c r="GN190" s="1804">
        <v>0</v>
      </c>
      <c r="GO190" s="1804">
        <v>0</v>
      </c>
      <c r="GP190" s="1804">
        <v>0</v>
      </c>
      <c r="GQ190" s="1804">
        <v>0</v>
      </c>
      <c r="GR190" s="1804">
        <v>0</v>
      </c>
      <c r="GS190" s="1804">
        <v>0</v>
      </c>
      <c r="GT190" s="1804">
        <v>0</v>
      </c>
      <c r="GU190" s="1804">
        <v>0</v>
      </c>
      <c r="GV190" s="1804">
        <v>0</v>
      </c>
      <c r="GW190" s="1804">
        <v>0</v>
      </c>
      <c r="GX190" s="1804">
        <v>0</v>
      </c>
      <c r="GY190" s="1804">
        <v>0</v>
      </c>
      <c r="GZ190" s="1804">
        <v>0</v>
      </c>
      <c r="HA190" s="1804">
        <v>0</v>
      </c>
      <c r="HB190" s="1804">
        <v>0</v>
      </c>
      <c r="HC190" s="1804">
        <v>0</v>
      </c>
      <c r="HD190" s="1804">
        <v>0</v>
      </c>
      <c r="HE190" s="1804">
        <v>0</v>
      </c>
    </row>
    <row r="191" spans="1:213" ht="15" customHeight="1" x14ac:dyDescent="0.2">
      <c r="A191" s="1964"/>
      <c r="B191" s="1989"/>
      <c r="C191" s="1816" t="s">
        <v>994</v>
      </c>
      <c r="D191" s="1885"/>
      <c r="E191" s="1984"/>
      <c r="F191" s="1838">
        <v>0</v>
      </c>
      <c r="G191" s="1804">
        <v>0</v>
      </c>
      <c r="H191" s="1804">
        <v>0</v>
      </c>
      <c r="I191" s="1804">
        <v>0</v>
      </c>
      <c r="J191" s="1804">
        <v>0</v>
      </c>
      <c r="K191" s="1804">
        <v>0</v>
      </c>
      <c r="L191" s="1804">
        <v>0</v>
      </c>
      <c r="M191" s="1804">
        <v>0</v>
      </c>
      <c r="N191" s="1804">
        <v>0</v>
      </c>
      <c r="O191" s="1804">
        <v>0</v>
      </c>
      <c r="P191" s="1804">
        <v>0</v>
      </c>
      <c r="Q191" s="1804">
        <v>0</v>
      </c>
      <c r="R191" s="1804">
        <v>0</v>
      </c>
      <c r="S191" s="1804">
        <v>0</v>
      </c>
      <c r="T191" s="1804">
        <v>0</v>
      </c>
      <c r="U191" s="1804">
        <v>0</v>
      </c>
      <c r="V191" s="1804">
        <v>0</v>
      </c>
      <c r="W191" s="1804">
        <v>0</v>
      </c>
      <c r="X191" s="1804">
        <v>0</v>
      </c>
      <c r="Y191" s="1804">
        <v>0</v>
      </c>
      <c r="Z191" s="1804">
        <v>0</v>
      </c>
      <c r="AA191" s="1804">
        <v>0</v>
      </c>
      <c r="AB191" s="1804">
        <v>0</v>
      </c>
      <c r="AC191" s="1804">
        <v>0</v>
      </c>
      <c r="AD191" s="1804">
        <v>0</v>
      </c>
      <c r="AE191" s="1804">
        <v>0</v>
      </c>
      <c r="AF191" s="1804">
        <v>0</v>
      </c>
      <c r="AG191" s="1804">
        <v>0</v>
      </c>
      <c r="AH191" s="1804">
        <v>0</v>
      </c>
      <c r="AI191" s="1804">
        <v>0</v>
      </c>
      <c r="AJ191" s="1804">
        <v>0</v>
      </c>
      <c r="AK191" s="1804">
        <v>0</v>
      </c>
      <c r="AL191" s="1804">
        <v>0</v>
      </c>
      <c r="AM191" s="1804">
        <v>0</v>
      </c>
      <c r="AN191" s="1804">
        <v>0</v>
      </c>
      <c r="AO191" s="1804">
        <v>0</v>
      </c>
      <c r="AP191" s="1804">
        <v>0</v>
      </c>
      <c r="AQ191" s="1804">
        <v>0</v>
      </c>
      <c r="AR191" s="1804">
        <v>0</v>
      </c>
      <c r="AS191" s="1804">
        <v>0</v>
      </c>
      <c r="AT191" s="1804">
        <v>0</v>
      </c>
      <c r="AU191" s="1804">
        <v>0</v>
      </c>
      <c r="AV191" s="1804">
        <v>0</v>
      </c>
      <c r="AW191" s="1804">
        <v>0</v>
      </c>
      <c r="AX191" s="1804">
        <v>0</v>
      </c>
      <c r="AY191" s="1804">
        <v>0</v>
      </c>
      <c r="AZ191" s="1804">
        <v>0</v>
      </c>
      <c r="BA191" s="1804">
        <v>0</v>
      </c>
      <c r="BB191" s="1804">
        <v>0</v>
      </c>
      <c r="BC191" s="1804">
        <v>0</v>
      </c>
      <c r="BD191" s="1804">
        <v>0</v>
      </c>
      <c r="BE191" s="1804">
        <v>0</v>
      </c>
      <c r="BF191" s="1804">
        <v>0</v>
      </c>
      <c r="BG191" s="1804">
        <v>0</v>
      </c>
      <c r="BH191" s="1804">
        <v>0</v>
      </c>
      <c r="BI191" s="1804">
        <v>0</v>
      </c>
      <c r="BJ191" s="1804">
        <v>0</v>
      </c>
      <c r="BK191" s="1804">
        <v>0</v>
      </c>
      <c r="BL191" s="1804">
        <v>0</v>
      </c>
      <c r="BM191" s="1804">
        <v>0</v>
      </c>
      <c r="BN191" s="1804">
        <v>0</v>
      </c>
      <c r="BO191" s="1804">
        <v>0</v>
      </c>
      <c r="BP191" s="1804">
        <v>0</v>
      </c>
      <c r="BQ191" s="1804">
        <v>0</v>
      </c>
      <c r="BR191" s="1804">
        <v>0</v>
      </c>
      <c r="BS191" s="1804">
        <v>0</v>
      </c>
      <c r="BT191" s="1804">
        <v>0</v>
      </c>
      <c r="BU191" s="1804">
        <v>0</v>
      </c>
      <c r="BV191" s="1804">
        <v>0</v>
      </c>
      <c r="BW191" s="1804">
        <v>0</v>
      </c>
      <c r="BX191" s="1804">
        <v>0</v>
      </c>
      <c r="BY191" s="1804">
        <v>0</v>
      </c>
      <c r="BZ191" s="1804">
        <v>0</v>
      </c>
      <c r="CA191" s="1804">
        <v>0</v>
      </c>
      <c r="CB191" s="1804">
        <v>0</v>
      </c>
      <c r="CC191" s="1804">
        <v>0</v>
      </c>
      <c r="CD191" s="1804">
        <v>0</v>
      </c>
      <c r="CE191" s="1804">
        <v>0</v>
      </c>
      <c r="CF191" s="1804">
        <v>0</v>
      </c>
      <c r="CG191" s="1804">
        <v>0</v>
      </c>
      <c r="CH191" s="1804">
        <v>0</v>
      </c>
      <c r="CI191" s="1804">
        <v>0</v>
      </c>
      <c r="CJ191" s="1804">
        <v>0</v>
      </c>
      <c r="CK191" s="1804">
        <v>0</v>
      </c>
      <c r="CL191" s="1804">
        <v>0</v>
      </c>
      <c r="CM191" s="1804">
        <v>0</v>
      </c>
      <c r="CN191" s="1804">
        <v>0</v>
      </c>
      <c r="CO191" s="1804">
        <v>0</v>
      </c>
      <c r="CP191" s="1804">
        <v>0</v>
      </c>
      <c r="CQ191" s="1804">
        <v>0</v>
      </c>
      <c r="CR191" s="1804">
        <v>0</v>
      </c>
      <c r="CS191" s="1804">
        <v>0</v>
      </c>
      <c r="CT191" s="1804">
        <v>0</v>
      </c>
      <c r="CU191" s="1804">
        <v>0</v>
      </c>
      <c r="CV191" s="1804">
        <v>0</v>
      </c>
      <c r="CW191" s="1804">
        <v>0</v>
      </c>
      <c r="CX191" s="1804">
        <v>0</v>
      </c>
      <c r="CY191" s="1804">
        <v>0</v>
      </c>
      <c r="CZ191" s="1804">
        <v>0</v>
      </c>
      <c r="DA191" s="1804">
        <v>0</v>
      </c>
      <c r="DB191" s="1804">
        <v>0</v>
      </c>
      <c r="DC191" s="1804">
        <v>0</v>
      </c>
      <c r="DD191" s="1804">
        <v>0</v>
      </c>
      <c r="DE191" s="1804">
        <v>0</v>
      </c>
      <c r="DF191" s="1804">
        <v>0</v>
      </c>
      <c r="DG191" s="1804">
        <v>0</v>
      </c>
      <c r="DH191" s="1804">
        <v>0</v>
      </c>
      <c r="DI191" s="1804">
        <v>0</v>
      </c>
      <c r="DJ191" s="1804">
        <v>0</v>
      </c>
      <c r="DK191" s="1804">
        <v>0</v>
      </c>
      <c r="DL191" s="1804">
        <v>0</v>
      </c>
      <c r="DM191" s="1804">
        <v>0</v>
      </c>
      <c r="DN191" s="1804">
        <v>0</v>
      </c>
      <c r="DO191" s="1804">
        <v>0</v>
      </c>
      <c r="DP191" s="1804">
        <v>0</v>
      </c>
      <c r="DQ191" s="1804">
        <v>0</v>
      </c>
      <c r="DR191" s="1804">
        <v>0</v>
      </c>
      <c r="DS191" s="1804">
        <v>0</v>
      </c>
      <c r="DT191" s="1804">
        <v>0</v>
      </c>
      <c r="DU191" s="1804">
        <v>0</v>
      </c>
      <c r="DV191" s="1804">
        <v>0</v>
      </c>
      <c r="DW191" s="1804">
        <v>0</v>
      </c>
      <c r="DX191" s="1804">
        <v>0</v>
      </c>
      <c r="DY191" s="1804">
        <v>0</v>
      </c>
      <c r="DZ191" s="1804">
        <v>0</v>
      </c>
      <c r="EA191" s="1804">
        <v>0</v>
      </c>
      <c r="EB191" s="1804">
        <v>0</v>
      </c>
      <c r="EC191" s="1804">
        <v>0</v>
      </c>
      <c r="ED191" s="1804">
        <v>0</v>
      </c>
      <c r="EE191" s="1804">
        <v>0</v>
      </c>
      <c r="EF191" s="1804">
        <v>0</v>
      </c>
      <c r="EG191" s="1804">
        <v>0</v>
      </c>
      <c r="EH191" s="1804">
        <v>0</v>
      </c>
      <c r="EI191" s="1804">
        <v>0</v>
      </c>
      <c r="EJ191" s="1804">
        <v>0</v>
      </c>
      <c r="EK191" s="1804">
        <v>0</v>
      </c>
      <c r="EL191" s="1804">
        <v>0</v>
      </c>
      <c r="EM191" s="1804">
        <v>0</v>
      </c>
      <c r="EN191" s="1804">
        <v>0</v>
      </c>
      <c r="EO191" s="1804">
        <v>0</v>
      </c>
      <c r="EP191" s="1804">
        <v>0</v>
      </c>
      <c r="EQ191" s="1804">
        <v>0</v>
      </c>
      <c r="ER191" s="1804">
        <v>0</v>
      </c>
      <c r="ES191" s="1804">
        <v>0</v>
      </c>
      <c r="ET191" s="1804">
        <v>0</v>
      </c>
      <c r="EU191" s="1804">
        <v>0</v>
      </c>
      <c r="EV191" s="1804">
        <v>0</v>
      </c>
      <c r="EW191" s="1804">
        <v>0</v>
      </c>
      <c r="EX191" s="1804">
        <v>0</v>
      </c>
      <c r="EY191" s="1804">
        <v>0</v>
      </c>
      <c r="EZ191" s="1804">
        <v>0</v>
      </c>
      <c r="FA191" s="1804">
        <v>0</v>
      </c>
      <c r="FB191" s="1804">
        <v>0</v>
      </c>
      <c r="FC191" s="1804">
        <v>0</v>
      </c>
      <c r="FD191" s="1804">
        <v>0</v>
      </c>
      <c r="FE191" s="1804">
        <v>0</v>
      </c>
      <c r="FF191" s="1804">
        <v>0</v>
      </c>
      <c r="FG191" s="1804">
        <v>0</v>
      </c>
      <c r="FH191" s="1804">
        <v>0</v>
      </c>
      <c r="FI191" s="1804">
        <v>0</v>
      </c>
      <c r="FJ191" s="1804">
        <v>0</v>
      </c>
      <c r="FK191" s="1804">
        <v>0</v>
      </c>
      <c r="FL191" s="1804">
        <v>0</v>
      </c>
      <c r="FM191" s="1804">
        <v>0</v>
      </c>
      <c r="FN191" s="1804">
        <v>0</v>
      </c>
      <c r="FO191" s="1804">
        <v>0</v>
      </c>
      <c r="FP191" s="1804">
        <v>0</v>
      </c>
      <c r="FQ191" s="1804">
        <v>0</v>
      </c>
      <c r="FR191" s="1804">
        <v>0</v>
      </c>
      <c r="FS191" s="1804">
        <v>0</v>
      </c>
      <c r="FT191" s="1804">
        <v>0</v>
      </c>
      <c r="FU191" s="1804">
        <v>0</v>
      </c>
      <c r="FV191" s="1804">
        <v>0</v>
      </c>
      <c r="FW191" s="1804">
        <v>0</v>
      </c>
      <c r="FX191" s="1804">
        <v>0</v>
      </c>
      <c r="FY191" s="1804">
        <v>0</v>
      </c>
      <c r="FZ191" s="1804">
        <v>0</v>
      </c>
      <c r="GA191" s="1804">
        <v>0</v>
      </c>
      <c r="GB191" s="1804">
        <v>0</v>
      </c>
      <c r="GC191" s="1804">
        <v>0</v>
      </c>
      <c r="GD191" s="1804">
        <v>0</v>
      </c>
      <c r="GE191" s="1804">
        <v>0</v>
      </c>
      <c r="GF191" s="1804">
        <v>0</v>
      </c>
      <c r="GG191" s="1804">
        <v>0</v>
      </c>
      <c r="GH191" s="1804">
        <v>0</v>
      </c>
      <c r="GI191" s="1804">
        <v>0</v>
      </c>
      <c r="GJ191" s="1804">
        <v>0</v>
      </c>
      <c r="GK191" s="1804">
        <v>0</v>
      </c>
      <c r="GL191" s="1804">
        <v>0</v>
      </c>
      <c r="GM191" s="1804">
        <v>0</v>
      </c>
      <c r="GN191" s="1804">
        <v>0</v>
      </c>
      <c r="GO191" s="1804">
        <v>0</v>
      </c>
      <c r="GP191" s="1804">
        <v>0</v>
      </c>
      <c r="GQ191" s="1804">
        <v>0</v>
      </c>
      <c r="GR191" s="1804">
        <v>0</v>
      </c>
      <c r="GS191" s="1804">
        <v>0</v>
      </c>
      <c r="GT191" s="1804">
        <v>0</v>
      </c>
      <c r="GU191" s="1804">
        <v>0</v>
      </c>
      <c r="GV191" s="1804">
        <v>0</v>
      </c>
      <c r="GW191" s="1804">
        <v>0</v>
      </c>
      <c r="GX191" s="1804">
        <v>0</v>
      </c>
      <c r="GY191" s="1804">
        <v>0</v>
      </c>
      <c r="GZ191" s="1804">
        <v>0</v>
      </c>
      <c r="HA191" s="1804">
        <v>0</v>
      </c>
      <c r="HB191" s="1804">
        <v>0</v>
      </c>
      <c r="HC191" s="1804">
        <v>0</v>
      </c>
      <c r="HD191" s="1804">
        <v>0</v>
      </c>
      <c r="HE191" s="1804">
        <v>0</v>
      </c>
    </row>
    <row r="192" spans="1:213" ht="15" customHeight="1" x14ac:dyDescent="0.2">
      <c r="A192" s="1964"/>
      <c r="B192" s="1989"/>
      <c r="C192" s="1816" t="s">
        <v>995</v>
      </c>
      <c r="D192" s="1885"/>
      <c r="E192" s="1984"/>
      <c r="F192" s="1838">
        <v>0</v>
      </c>
      <c r="G192" s="1804">
        <v>0</v>
      </c>
      <c r="H192" s="1804">
        <v>0</v>
      </c>
      <c r="I192" s="1804">
        <v>0</v>
      </c>
      <c r="J192" s="1804">
        <v>0</v>
      </c>
      <c r="K192" s="1804">
        <v>0</v>
      </c>
      <c r="L192" s="1804">
        <v>0</v>
      </c>
      <c r="M192" s="1804">
        <v>0</v>
      </c>
      <c r="N192" s="1804">
        <v>0</v>
      </c>
      <c r="O192" s="1804">
        <v>0</v>
      </c>
      <c r="P192" s="1804">
        <v>0</v>
      </c>
      <c r="Q192" s="1804">
        <v>0</v>
      </c>
      <c r="R192" s="1804">
        <v>0</v>
      </c>
      <c r="S192" s="1804">
        <v>0</v>
      </c>
      <c r="T192" s="1804">
        <v>0</v>
      </c>
      <c r="U192" s="1804">
        <v>0</v>
      </c>
      <c r="V192" s="1804">
        <v>0</v>
      </c>
      <c r="W192" s="1804">
        <v>0</v>
      </c>
      <c r="X192" s="1804">
        <v>0</v>
      </c>
      <c r="Y192" s="1804">
        <v>0</v>
      </c>
      <c r="Z192" s="1804">
        <v>0</v>
      </c>
      <c r="AA192" s="1804">
        <v>0</v>
      </c>
      <c r="AB192" s="1804">
        <v>0</v>
      </c>
      <c r="AC192" s="1804">
        <v>0</v>
      </c>
      <c r="AD192" s="1804">
        <v>0</v>
      </c>
      <c r="AE192" s="1804">
        <v>0</v>
      </c>
      <c r="AF192" s="1804">
        <v>0</v>
      </c>
      <c r="AG192" s="1804">
        <v>0</v>
      </c>
      <c r="AH192" s="1804">
        <v>0</v>
      </c>
      <c r="AI192" s="1804">
        <v>0</v>
      </c>
      <c r="AJ192" s="1804">
        <v>0</v>
      </c>
      <c r="AK192" s="1804">
        <v>0</v>
      </c>
      <c r="AL192" s="1804">
        <v>0</v>
      </c>
      <c r="AM192" s="1804">
        <v>0</v>
      </c>
      <c r="AN192" s="1804">
        <v>0</v>
      </c>
      <c r="AO192" s="1804">
        <v>0</v>
      </c>
      <c r="AP192" s="1804">
        <v>0</v>
      </c>
      <c r="AQ192" s="1804">
        <v>0</v>
      </c>
      <c r="AR192" s="1804">
        <v>0</v>
      </c>
      <c r="AS192" s="1804">
        <v>0</v>
      </c>
      <c r="AT192" s="1804">
        <v>0</v>
      </c>
      <c r="AU192" s="1804">
        <v>0</v>
      </c>
      <c r="AV192" s="1804">
        <v>0</v>
      </c>
      <c r="AW192" s="1804">
        <v>0</v>
      </c>
      <c r="AX192" s="1804">
        <v>0</v>
      </c>
      <c r="AY192" s="1804">
        <v>0</v>
      </c>
      <c r="AZ192" s="1804">
        <v>0</v>
      </c>
      <c r="BA192" s="1804">
        <v>0</v>
      </c>
      <c r="BB192" s="1804">
        <v>0</v>
      </c>
      <c r="BC192" s="1804">
        <v>0</v>
      </c>
      <c r="BD192" s="1804">
        <v>0</v>
      </c>
      <c r="BE192" s="1804">
        <v>0</v>
      </c>
      <c r="BF192" s="1804">
        <v>0</v>
      </c>
      <c r="BG192" s="1804">
        <v>0</v>
      </c>
      <c r="BH192" s="1804">
        <v>0</v>
      </c>
      <c r="BI192" s="1804">
        <v>0</v>
      </c>
      <c r="BJ192" s="1804">
        <v>0</v>
      </c>
      <c r="BK192" s="1804">
        <v>0</v>
      </c>
      <c r="BL192" s="1804">
        <v>0</v>
      </c>
      <c r="BM192" s="1804">
        <v>0</v>
      </c>
      <c r="BN192" s="1804">
        <v>0</v>
      </c>
      <c r="BO192" s="1804">
        <v>0</v>
      </c>
      <c r="BP192" s="1804">
        <v>0</v>
      </c>
      <c r="BQ192" s="1804">
        <v>0</v>
      </c>
      <c r="BR192" s="1804">
        <v>0</v>
      </c>
      <c r="BS192" s="1804">
        <v>0</v>
      </c>
      <c r="BT192" s="1804">
        <v>0</v>
      </c>
      <c r="BU192" s="1804">
        <v>0</v>
      </c>
      <c r="BV192" s="1804">
        <v>0</v>
      </c>
      <c r="BW192" s="1804">
        <v>0</v>
      </c>
      <c r="BX192" s="1804">
        <v>0</v>
      </c>
      <c r="BY192" s="1804">
        <v>0</v>
      </c>
      <c r="BZ192" s="1804">
        <v>0</v>
      </c>
      <c r="CA192" s="1804">
        <v>0</v>
      </c>
      <c r="CB192" s="1804">
        <v>0</v>
      </c>
      <c r="CC192" s="1804">
        <v>0</v>
      </c>
      <c r="CD192" s="1804">
        <v>0</v>
      </c>
      <c r="CE192" s="1804">
        <v>0</v>
      </c>
      <c r="CF192" s="1804">
        <v>0</v>
      </c>
      <c r="CG192" s="1804">
        <v>0</v>
      </c>
      <c r="CH192" s="1804">
        <v>0</v>
      </c>
      <c r="CI192" s="1804">
        <v>0</v>
      </c>
      <c r="CJ192" s="1804">
        <v>0</v>
      </c>
      <c r="CK192" s="1804">
        <v>0</v>
      </c>
      <c r="CL192" s="1804">
        <v>0</v>
      </c>
      <c r="CM192" s="1804">
        <v>0</v>
      </c>
      <c r="CN192" s="1804">
        <v>0</v>
      </c>
      <c r="CO192" s="1804">
        <v>0</v>
      </c>
      <c r="CP192" s="1804">
        <v>0</v>
      </c>
      <c r="CQ192" s="1804">
        <v>0</v>
      </c>
      <c r="CR192" s="1804">
        <v>0</v>
      </c>
      <c r="CS192" s="1804">
        <v>0</v>
      </c>
      <c r="CT192" s="1804">
        <v>0</v>
      </c>
      <c r="CU192" s="1804">
        <v>0</v>
      </c>
      <c r="CV192" s="1804">
        <v>0</v>
      </c>
      <c r="CW192" s="1804">
        <v>0</v>
      </c>
      <c r="CX192" s="1804">
        <v>0</v>
      </c>
      <c r="CY192" s="1804">
        <v>0</v>
      </c>
      <c r="CZ192" s="1804">
        <v>0</v>
      </c>
      <c r="DA192" s="1804">
        <v>0</v>
      </c>
      <c r="DB192" s="1804">
        <v>0</v>
      </c>
      <c r="DC192" s="1804">
        <v>0</v>
      </c>
      <c r="DD192" s="1804">
        <v>0</v>
      </c>
      <c r="DE192" s="1804">
        <v>0</v>
      </c>
      <c r="DF192" s="1804">
        <v>0</v>
      </c>
      <c r="DG192" s="1804">
        <v>0</v>
      </c>
      <c r="DH192" s="1804">
        <v>0</v>
      </c>
      <c r="DI192" s="1804">
        <v>0</v>
      </c>
      <c r="DJ192" s="1804">
        <v>0</v>
      </c>
      <c r="DK192" s="1804">
        <v>0</v>
      </c>
      <c r="DL192" s="1804">
        <v>0</v>
      </c>
      <c r="DM192" s="1804">
        <v>0</v>
      </c>
      <c r="DN192" s="1804">
        <v>0</v>
      </c>
      <c r="DO192" s="1804">
        <v>0</v>
      </c>
      <c r="DP192" s="1804">
        <v>0</v>
      </c>
      <c r="DQ192" s="1804">
        <v>0</v>
      </c>
      <c r="DR192" s="1804">
        <v>0</v>
      </c>
      <c r="DS192" s="1804">
        <v>0</v>
      </c>
      <c r="DT192" s="1804">
        <v>0</v>
      </c>
      <c r="DU192" s="1804">
        <v>0</v>
      </c>
      <c r="DV192" s="1804">
        <v>0</v>
      </c>
      <c r="DW192" s="1804">
        <v>0</v>
      </c>
      <c r="DX192" s="1804">
        <v>0</v>
      </c>
      <c r="DY192" s="1804">
        <v>0</v>
      </c>
      <c r="DZ192" s="1804">
        <v>0</v>
      </c>
      <c r="EA192" s="1804">
        <v>0</v>
      </c>
      <c r="EB192" s="1804">
        <v>0</v>
      </c>
      <c r="EC192" s="1804">
        <v>0</v>
      </c>
      <c r="ED192" s="1804">
        <v>0</v>
      </c>
      <c r="EE192" s="1804">
        <v>0</v>
      </c>
      <c r="EF192" s="1804">
        <v>0</v>
      </c>
      <c r="EG192" s="1804">
        <v>0</v>
      </c>
      <c r="EH192" s="1804">
        <v>0</v>
      </c>
      <c r="EI192" s="1804">
        <v>0</v>
      </c>
      <c r="EJ192" s="1804">
        <v>0</v>
      </c>
      <c r="EK192" s="1804">
        <v>0</v>
      </c>
      <c r="EL192" s="1804">
        <v>0</v>
      </c>
      <c r="EM192" s="1804">
        <v>0</v>
      </c>
      <c r="EN192" s="1804">
        <v>0</v>
      </c>
      <c r="EO192" s="1804">
        <v>0</v>
      </c>
      <c r="EP192" s="1804">
        <v>0</v>
      </c>
      <c r="EQ192" s="1804">
        <v>0</v>
      </c>
      <c r="ER192" s="1804">
        <v>0</v>
      </c>
      <c r="ES192" s="1804">
        <v>0</v>
      </c>
      <c r="ET192" s="1804">
        <v>0</v>
      </c>
      <c r="EU192" s="1804">
        <v>0</v>
      </c>
      <c r="EV192" s="1804">
        <v>0</v>
      </c>
      <c r="EW192" s="1804">
        <v>0</v>
      </c>
      <c r="EX192" s="1804">
        <v>0</v>
      </c>
      <c r="EY192" s="1804">
        <v>0</v>
      </c>
      <c r="EZ192" s="1804">
        <v>0</v>
      </c>
      <c r="FA192" s="1804">
        <v>0</v>
      </c>
      <c r="FB192" s="1804">
        <v>0</v>
      </c>
      <c r="FC192" s="1804">
        <v>0</v>
      </c>
      <c r="FD192" s="1804">
        <v>0</v>
      </c>
      <c r="FE192" s="1804">
        <v>0</v>
      </c>
      <c r="FF192" s="1804">
        <v>0</v>
      </c>
      <c r="FG192" s="1804">
        <v>0</v>
      </c>
      <c r="FH192" s="1804">
        <v>0</v>
      </c>
      <c r="FI192" s="1804">
        <v>0</v>
      </c>
      <c r="FJ192" s="1804">
        <v>0</v>
      </c>
      <c r="FK192" s="1804">
        <v>0</v>
      </c>
      <c r="FL192" s="1804">
        <v>0</v>
      </c>
      <c r="FM192" s="1804">
        <v>0</v>
      </c>
      <c r="FN192" s="1804">
        <v>0</v>
      </c>
      <c r="FO192" s="1804">
        <v>0</v>
      </c>
      <c r="FP192" s="1804">
        <v>0</v>
      </c>
      <c r="FQ192" s="1804">
        <v>0</v>
      </c>
      <c r="FR192" s="1804">
        <v>0</v>
      </c>
      <c r="FS192" s="1804">
        <v>0</v>
      </c>
      <c r="FT192" s="1804">
        <v>0</v>
      </c>
      <c r="FU192" s="1804">
        <v>0</v>
      </c>
      <c r="FV192" s="1804">
        <v>0</v>
      </c>
      <c r="FW192" s="1804">
        <v>0</v>
      </c>
      <c r="FX192" s="1804">
        <v>0</v>
      </c>
      <c r="FY192" s="1804">
        <v>0</v>
      </c>
      <c r="FZ192" s="1804">
        <v>0</v>
      </c>
      <c r="GA192" s="1804">
        <v>0</v>
      </c>
      <c r="GB192" s="1804">
        <v>0</v>
      </c>
      <c r="GC192" s="1804">
        <v>0</v>
      </c>
      <c r="GD192" s="1804">
        <v>0</v>
      </c>
      <c r="GE192" s="1804">
        <v>0</v>
      </c>
      <c r="GF192" s="1804">
        <v>0</v>
      </c>
      <c r="GG192" s="1804">
        <v>0</v>
      </c>
      <c r="GH192" s="1804">
        <v>0</v>
      </c>
      <c r="GI192" s="1804">
        <v>0</v>
      </c>
      <c r="GJ192" s="1804">
        <v>0</v>
      </c>
      <c r="GK192" s="1804">
        <v>0</v>
      </c>
      <c r="GL192" s="1804">
        <v>0</v>
      </c>
      <c r="GM192" s="1804">
        <v>0</v>
      </c>
      <c r="GN192" s="1804">
        <v>0</v>
      </c>
      <c r="GO192" s="1804">
        <v>0</v>
      </c>
      <c r="GP192" s="1804">
        <v>0</v>
      </c>
      <c r="GQ192" s="1804">
        <v>0</v>
      </c>
      <c r="GR192" s="1804">
        <v>0</v>
      </c>
      <c r="GS192" s="1804">
        <v>0</v>
      </c>
      <c r="GT192" s="1804">
        <v>0</v>
      </c>
      <c r="GU192" s="1804">
        <v>0</v>
      </c>
      <c r="GV192" s="1804">
        <v>0</v>
      </c>
      <c r="GW192" s="1804">
        <v>0</v>
      </c>
      <c r="GX192" s="1804">
        <v>0</v>
      </c>
      <c r="GY192" s="1804">
        <v>0</v>
      </c>
      <c r="GZ192" s="1804">
        <v>0</v>
      </c>
      <c r="HA192" s="1804">
        <v>0</v>
      </c>
      <c r="HB192" s="1804">
        <v>0</v>
      </c>
      <c r="HC192" s="1804">
        <v>0</v>
      </c>
      <c r="HD192" s="1804">
        <v>0</v>
      </c>
      <c r="HE192" s="1804">
        <v>0</v>
      </c>
    </row>
    <row r="193" spans="1:213" ht="15" customHeight="1" thickBot="1" x14ac:dyDescent="0.25">
      <c r="A193" s="1965"/>
      <c r="B193" s="1991"/>
      <c r="C193" s="1691" t="s">
        <v>996</v>
      </c>
      <c r="D193" s="1885"/>
      <c r="E193" s="1984"/>
      <c r="F193" s="1838">
        <v>0</v>
      </c>
      <c r="G193" s="1804">
        <v>0</v>
      </c>
      <c r="H193" s="1804">
        <v>0</v>
      </c>
      <c r="I193" s="1804">
        <v>0</v>
      </c>
      <c r="J193" s="1804">
        <v>0</v>
      </c>
      <c r="K193" s="1804">
        <v>0</v>
      </c>
      <c r="L193" s="1804">
        <v>0</v>
      </c>
      <c r="M193" s="1804">
        <v>0</v>
      </c>
      <c r="N193" s="1804">
        <v>0</v>
      </c>
      <c r="O193" s="1804">
        <v>0</v>
      </c>
      <c r="P193" s="1804">
        <v>0</v>
      </c>
      <c r="Q193" s="1804">
        <v>0</v>
      </c>
      <c r="R193" s="1804">
        <v>0</v>
      </c>
      <c r="S193" s="1804">
        <v>0</v>
      </c>
      <c r="T193" s="1804">
        <v>0</v>
      </c>
      <c r="U193" s="1804">
        <v>0</v>
      </c>
      <c r="V193" s="1804">
        <v>0</v>
      </c>
      <c r="W193" s="1804">
        <v>0</v>
      </c>
      <c r="X193" s="1804">
        <v>0</v>
      </c>
      <c r="Y193" s="1804">
        <v>0</v>
      </c>
      <c r="Z193" s="1804">
        <v>0</v>
      </c>
      <c r="AA193" s="1804">
        <v>0</v>
      </c>
      <c r="AB193" s="1804">
        <v>0</v>
      </c>
      <c r="AC193" s="1804">
        <v>0</v>
      </c>
      <c r="AD193" s="1804">
        <v>0</v>
      </c>
      <c r="AE193" s="1804">
        <v>0</v>
      </c>
      <c r="AF193" s="1804">
        <v>0</v>
      </c>
      <c r="AG193" s="1804">
        <v>0</v>
      </c>
      <c r="AH193" s="1804">
        <v>0</v>
      </c>
      <c r="AI193" s="1804">
        <v>0</v>
      </c>
      <c r="AJ193" s="1804">
        <v>0</v>
      </c>
      <c r="AK193" s="1804">
        <v>0</v>
      </c>
      <c r="AL193" s="1804">
        <v>0</v>
      </c>
      <c r="AM193" s="1804">
        <v>0</v>
      </c>
      <c r="AN193" s="1804">
        <v>0</v>
      </c>
      <c r="AO193" s="1804">
        <v>0</v>
      </c>
      <c r="AP193" s="1804">
        <v>0</v>
      </c>
      <c r="AQ193" s="1804">
        <v>0</v>
      </c>
      <c r="AR193" s="1804">
        <v>0</v>
      </c>
      <c r="AS193" s="1804">
        <v>0</v>
      </c>
      <c r="AT193" s="1804">
        <v>0</v>
      </c>
      <c r="AU193" s="1804">
        <v>0</v>
      </c>
      <c r="AV193" s="1804">
        <v>0</v>
      </c>
      <c r="AW193" s="1804">
        <v>0</v>
      </c>
      <c r="AX193" s="1804">
        <v>0</v>
      </c>
      <c r="AY193" s="1804">
        <v>0</v>
      </c>
      <c r="AZ193" s="1804">
        <v>0</v>
      </c>
      <c r="BA193" s="1804">
        <v>0</v>
      </c>
      <c r="BB193" s="1804">
        <v>0</v>
      </c>
      <c r="BC193" s="1804">
        <v>0</v>
      </c>
      <c r="BD193" s="1804">
        <v>0</v>
      </c>
      <c r="BE193" s="1804">
        <v>0</v>
      </c>
      <c r="BF193" s="1804">
        <v>0</v>
      </c>
      <c r="BG193" s="1804">
        <v>0</v>
      </c>
      <c r="BH193" s="1804">
        <v>0</v>
      </c>
      <c r="BI193" s="1804">
        <v>0</v>
      </c>
      <c r="BJ193" s="1804">
        <v>0</v>
      </c>
      <c r="BK193" s="1804">
        <v>0</v>
      </c>
      <c r="BL193" s="1804">
        <v>0</v>
      </c>
      <c r="BM193" s="1804">
        <v>0</v>
      </c>
      <c r="BN193" s="1804">
        <v>0</v>
      </c>
      <c r="BO193" s="1804">
        <v>0</v>
      </c>
      <c r="BP193" s="1804">
        <v>0</v>
      </c>
      <c r="BQ193" s="1804">
        <v>0</v>
      </c>
      <c r="BR193" s="1804">
        <v>0</v>
      </c>
      <c r="BS193" s="1804">
        <v>0</v>
      </c>
      <c r="BT193" s="1804">
        <v>0</v>
      </c>
      <c r="BU193" s="1804">
        <v>0</v>
      </c>
      <c r="BV193" s="1804">
        <v>0</v>
      </c>
      <c r="BW193" s="1804">
        <v>0</v>
      </c>
      <c r="BX193" s="1804">
        <v>0</v>
      </c>
      <c r="BY193" s="1804">
        <v>0</v>
      </c>
      <c r="BZ193" s="1804">
        <v>0</v>
      </c>
      <c r="CA193" s="1804">
        <v>0</v>
      </c>
      <c r="CB193" s="1804">
        <v>0</v>
      </c>
      <c r="CC193" s="1804">
        <v>0</v>
      </c>
      <c r="CD193" s="1804">
        <v>0</v>
      </c>
      <c r="CE193" s="1804">
        <v>0</v>
      </c>
      <c r="CF193" s="1804">
        <v>0</v>
      </c>
      <c r="CG193" s="1804">
        <v>0</v>
      </c>
      <c r="CH193" s="1804">
        <v>0</v>
      </c>
      <c r="CI193" s="1804">
        <v>0</v>
      </c>
      <c r="CJ193" s="1804">
        <v>0</v>
      </c>
      <c r="CK193" s="1804">
        <v>0</v>
      </c>
      <c r="CL193" s="1804">
        <v>0</v>
      </c>
      <c r="CM193" s="1804">
        <v>0</v>
      </c>
      <c r="CN193" s="1804">
        <v>0</v>
      </c>
      <c r="CO193" s="1804">
        <v>0</v>
      </c>
      <c r="CP193" s="1804">
        <v>0</v>
      </c>
      <c r="CQ193" s="1804">
        <v>0</v>
      </c>
      <c r="CR193" s="1804">
        <v>0</v>
      </c>
      <c r="CS193" s="1804">
        <v>0</v>
      </c>
      <c r="CT193" s="1804">
        <v>0</v>
      </c>
      <c r="CU193" s="1804">
        <v>0</v>
      </c>
      <c r="CV193" s="1804">
        <v>0</v>
      </c>
      <c r="CW193" s="1804">
        <v>0</v>
      </c>
      <c r="CX193" s="1804">
        <v>0</v>
      </c>
      <c r="CY193" s="1804">
        <v>0</v>
      </c>
      <c r="CZ193" s="1804">
        <v>0</v>
      </c>
      <c r="DA193" s="1804">
        <v>0</v>
      </c>
      <c r="DB193" s="1804">
        <v>0</v>
      </c>
      <c r="DC193" s="1804">
        <v>0</v>
      </c>
      <c r="DD193" s="1804">
        <v>0</v>
      </c>
      <c r="DE193" s="1804">
        <v>0</v>
      </c>
      <c r="DF193" s="1804">
        <v>0</v>
      </c>
      <c r="DG193" s="1804">
        <v>0</v>
      </c>
      <c r="DH193" s="1804">
        <v>0</v>
      </c>
      <c r="DI193" s="1804">
        <v>0</v>
      </c>
      <c r="DJ193" s="1804">
        <v>0</v>
      </c>
      <c r="DK193" s="1804">
        <v>0</v>
      </c>
      <c r="DL193" s="1804">
        <v>0</v>
      </c>
      <c r="DM193" s="1804">
        <v>0</v>
      </c>
      <c r="DN193" s="1804">
        <v>0</v>
      </c>
      <c r="DO193" s="1804">
        <v>0</v>
      </c>
      <c r="DP193" s="1804">
        <v>0</v>
      </c>
      <c r="DQ193" s="1804">
        <v>0</v>
      </c>
      <c r="DR193" s="1804">
        <v>0</v>
      </c>
      <c r="DS193" s="1804">
        <v>0</v>
      </c>
      <c r="DT193" s="1804">
        <v>0</v>
      </c>
      <c r="DU193" s="1804">
        <v>0</v>
      </c>
      <c r="DV193" s="1804">
        <v>0</v>
      </c>
      <c r="DW193" s="1804">
        <v>0</v>
      </c>
      <c r="DX193" s="1804">
        <v>0</v>
      </c>
      <c r="DY193" s="1804">
        <v>0</v>
      </c>
      <c r="DZ193" s="1804">
        <v>0</v>
      </c>
      <c r="EA193" s="1804">
        <v>0</v>
      </c>
      <c r="EB193" s="1804">
        <v>0</v>
      </c>
      <c r="EC193" s="1804">
        <v>0</v>
      </c>
      <c r="ED193" s="1804">
        <v>0</v>
      </c>
      <c r="EE193" s="1804">
        <v>0</v>
      </c>
      <c r="EF193" s="1804">
        <v>0</v>
      </c>
      <c r="EG193" s="1804">
        <v>0</v>
      </c>
      <c r="EH193" s="1804">
        <v>0</v>
      </c>
      <c r="EI193" s="1804">
        <v>0</v>
      </c>
      <c r="EJ193" s="1804">
        <v>0</v>
      </c>
      <c r="EK193" s="1804">
        <v>0</v>
      </c>
      <c r="EL193" s="1804">
        <v>0</v>
      </c>
      <c r="EM193" s="1804">
        <v>0</v>
      </c>
      <c r="EN193" s="1804">
        <v>0</v>
      </c>
      <c r="EO193" s="1804">
        <v>0</v>
      </c>
      <c r="EP193" s="1804">
        <v>0</v>
      </c>
      <c r="EQ193" s="1804">
        <v>0</v>
      </c>
      <c r="ER193" s="1804">
        <v>0</v>
      </c>
      <c r="ES193" s="1804">
        <v>0</v>
      </c>
      <c r="ET193" s="1804">
        <v>0</v>
      </c>
      <c r="EU193" s="1804">
        <v>0</v>
      </c>
      <c r="EV193" s="1804">
        <v>0</v>
      </c>
      <c r="EW193" s="1804">
        <v>0</v>
      </c>
      <c r="EX193" s="1804">
        <v>0</v>
      </c>
      <c r="EY193" s="1804">
        <v>0</v>
      </c>
      <c r="EZ193" s="1804">
        <v>0</v>
      </c>
      <c r="FA193" s="1804">
        <v>0</v>
      </c>
      <c r="FB193" s="1804">
        <v>0</v>
      </c>
      <c r="FC193" s="1804">
        <v>0</v>
      </c>
      <c r="FD193" s="1804">
        <v>0</v>
      </c>
      <c r="FE193" s="1804">
        <v>0</v>
      </c>
      <c r="FF193" s="1804">
        <v>0</v>
      </c>
      <c r="FG193" s="1804">
        <v>0</v>
      </c>
      <c r="FH193" s="1804">
        <v>0</v>
      </c>
      <c r="FI193" s="1804">
        <v>0</v>
      </c>
      <c r="FJ193" s="1804">
        <v>0</v>
      </c>
      <c r="FK193" s="1804">
        <v>0</v>
      </c>
      <c r="FL193" s="1804">
        <v>0</v>
      </c>
      <c r="FM193" s="1804">
        <v>0</v>
      </c>
      <c r="FN193" s="1804">
        <v>0</v>
      </c>
      <c r="FO193" s="1804">
        <v>0</v>
      </c>
      <c r="FP193" s="1804">
        <v>0</v>
      </c>
      <c r="FQ193" s="1804">
        <v>0</v>
      </c>
      <c r="FR193" s="1804">
        <v>0</v>
      </c>
      <c r="FS193" s="1804">
        <v>0</v>
      </c>
      <c r="FT193" s="1804">
        <v>0</v>
      </c>
      <c r="FU193" s="1804">
        <v>0</v>
      </c>
      <c r="FV193" s="1804">
        <v>0</v>
      </c>
      <c r="FW193" s="1804">
        <v>0</v>
      </c>
      <c r="FX193" s="1804">
        <v>0</v>
      </c>
      <c r="FY193" s="1804">
        <v>0</v>
      </c>
      <c r="FZ193" s="1804">
        <v>0</v>
      </c>
      <c r="GA193" s="1804">
        <v>0</v>
      </c>
      <c r="GB193" s="1804">
        <v>0</v>
      </c>
      <c r="GC193" s="1804">
        <v>0</v>
      </c>
      <c r="GD193" s="1804">
        <v>0</v>
      </c>
      <c r="GE193" s="1804">
        <v>0</v>
      </c>
      <c r="GF193" s="1804">
        <v>0</v>
      </c>
      <c r="GG193" s="1804">
        <v>0</v>
      </c>
      <c r="GH193" s="1804">
        <v>0</v>
      </c>
      <c r="GI193" s="1804">
        <v>0</v>
      </c>
      <c r="GJ193" s="1804">
        <v>0</v>
      </c>
      <c r="GK193" s="1804">
        <v>0</v>
      </c>
      <c r="GL193" s="1804">
        <v>0</v>
      </c>
      <c r="GM193" s="1804">
        <v>0</v>
      </c>
      <c r="GN193" s="1804">
        <v>0</v>
      </c>
      <c r="GO193" s="1804">
        <v>0</v>
      </c>
      <c r="GP193" s="1804">
        <v>0</v>
      </c>
      <c r="GQ193" s="1804">
        <v>0</v>
      </c>
      <c r="GR193" s="1804">
        <v>0</v>
      </c>
      <c r="GS193" s="1804">
        <v>0</v>
      </c>
      <c r="GT193" s="1804">
        <v>0</v>
      </c>
      <c r="GU193" s="1804">
        <v>0</v>
      </c>
      <c r="GV193" s="1804">
        <v>0</v>
      </c>
      <c r="GW193" s="1804">
        <v>0</v>
      </c>
      <c r="GX193" s="1804">
        <v>0</v>
      </c>
      <c r="GY193" s="1804">
        <v>0</v>
      </c>
      <c r="GZ193" s="1804">
        <v>0</v>
      </c>
      <c r="HA193" s="1804">
        <v>0</v>
      </c>
      <c r="HB193" s="1804">
        <v>0</v>
      </c>
      <c r="HC193" s="1804">
        <v>0</v>
      </c>
      <c r="HD193" s="1804">
        <v>0</v>
      </c>
      <c r="HE193" s="1804">
        <v>0</v>
      </c>
    </row>
    <row r="194" spans="1:213" ht="21" customHeight="1" thickBot="1" x14ac:dyDescent="0.25">
      <c r="A194" s="1968" t="s">
        <v>2367</v>
      </c>
      <c r="B194" s="1988" t="s">
        <v>1374</v>
      </c>
      <c r="C194" s="1699" t="s">
        <v>963</v>
      </c>
      <c r="D194" s="1880"/>
      <c r="E194" s="1984"/>
      <c r="F194" s="1865"/>
      <c r="G194" s="1866"/>
      <c r="H194" s="1866"/>
      <c r="I194" s="1866"/>
      <c r="J194" s="1866"/>
      <c r="K194" s="1866"/>
      <c r="L194" s="1866"/>
      <c r="M194" s="1866"/>
      <c r="N194" s="1866"/>
      <c r="O194" s="1866"/>
      <c r="P194" s="1866"/>
      <c r="Q194" s="1866"/>
      <c r="R194" s="1866"/>
      <c r="S194" s="1866"/>
      <c r="T194" s="1866"/>
      <c r="U194" s="1866"/>
      <c r="V194" s="1866"/>
      <c r="W194" s="1866"/>
      <c r="X194" s="1866"/>
      <c r="Y194" s="1866"/>
      <c r="Z194" s="1866"/>
      <c r="AA194" s="1866"/>
      <c r="AB194" s="1866"/>
      <c r="AC194" s="1866"/>
      <c r="AD194" s="1866"/>
      <c r="AE194" s="1866"/>
      <c r="AF194" s="1866"/>
      <c r="AG194" s="1866"/>
      <c r="AH194" s="1866"/>
      <c r="AI194" s="1866"/>
      <c r="AJ194" s="1866"/>
      <c r="AK194" s="1866"/>
      <c r="AL194" s="1866"/>
      <c r="AM194" s="1866"/>
      <c r="AN194" s="1866"/>
      <c r="AO194" s="1866"/>
      <c r="AP194" s="1866"/>
      <c r="AQ194" s="1866"/>
      <c r="AR194" s="1866"/>
      <c r="AS194" s="1866"/>
      <c r="AT194" s="1866"/>
      <c r="AU194" s="1866"/>
      <c r="AV194" s="1866"/>
      <c r="AW194" s="1866"/>
      <c r="AX194" s="1866"/>
      <c r="AY194" s="1866"/>
      <c r="AZ194" s="1866"/>
      <c r="BA194" s="1866"/>
      <c r="BB194" s="1866"/>
      <c r="BC194" s="1866"/>
      <c r="BD194" s="1866"/>
      <c r="BE194" s="1866"/>
      <c r="BF194" s="1866"/>
      <c r="BG194" s="1866"/>
      <c r="BH194" s="1866"/>
      <c r="BI194" s="1866"/>
      <c r="BJ194" s="1866"/>
      <c r="BK194" s="1866"/>
      <c r="BL194" s="1866"/>
      <c r="BM194" s="1866"/>
      <c r="BN194" s="1866"/>
      <c r="BO194" s="1866"/>
      <c r="BP194" s="1866"/>
      <c r="BQ194" s="1866"/>
      <c r="BR194" s="1866"/>
      <c r="BS194" s="1866"/>
      <c r="BT194" s="1866"/>
      <c r="BU194" s="1866"/>
      <c r="BV194" s="1866"/>
      <c r="BW194" s="1866"/>
      <c r="BX194" s="1866"/>
      <c r="BY194" s="1866"/>
      <c r="BZ194" s="1866"/>
      <c r="CA194" s="1866"/>
      <c r="CB194" s="1866"/>
      <c r="CC194" s="1866"/>
      <c r="CD194" s="1866"/>
      <c r="CE194" s="1866"/>
      <c r="CF194" s="1866"/>
      <c r="CG194" s="1866"/>
      <c r="CH194" s="1866"/>
      <c r="CI194" s="1866"/>
      <c r="CJ194" s="1866"/>
      <c r="CK194" s="1866"/>
      <c r="CL194" s="1866"/>
      <c r="CM194" s="1866"/>
      <c r="CN194" s="1866"/>
      <c r="CO194" s="1866"/>
      <c r="CP194" s="1866"/>
      <c r="CQ194" s="1866"/>
      <c r="CR194" s="1866"/>
      <c r="CS194" s="1866"/>
      <c r="CT194" s="1866"/>
      <c r="CU194" s="1866"/>
      <c r="CV194" s="1866"/>
      <c r="CW194" s="1866"/>
      <c r="CX194" s="1866"/>
      <c r="CY194" s="1866"/>
      <c r="CZ194" s="1866"/>
      <c r="DA194" s="1866"/>
      <c r="DB194" s="1866"/>
      <c r="DC194" s="1866"/>
      <c r="DD194" s="1866"/>
      <c r="DE194" s="1866"/>
      <c r="DF194" s="1866"/>
      <c r="DG194" s="1866"/>
      <c r="DH194" s="1866"/>
      <c r="DI194" s="1866"/>
      <c r="DJ194" s="1866"/>
      <c r="DK194" s="1866"/>
      <c r="DL194" s="1866"/>
      <c r="DM194" s="1866"/>
      <c r="DN194" s="1866"/>
      <c r="DO194" s="1866"/>
      <c r="DP194" s="1866"/>
      <c r="DQ194" s="1866"/>
      <c r="DR194" s="1866"/>
      <c r="DS194" s="1866"/>
      <c r="DT194" s="1866"/>
      <c r="DU194" s="1866"/>
      <c r="DV194" s="1866"/>
      <c r="DW194" s="1866"/>
      <c r="DX194" s="1866"/>
      <c r="DY194" s="1866"/>
      <c r="DZ194" s="1866"/>
      <c r="EA194" s="1866"/>
      <c r="EB194" s="1866"/>
      <c r="EC194" s="1866"/>
      <c r="ED194" s="1866"/>
      <c r="EE194" s="1866"/>
      <c r="EF194" s="1866"/>
      <c r="EG194" s="1866"/>
      <c r="EH194" s="1866"/>
      <c r="EI194" s="1866"/>
      <c r="EJ194" s="1866"/>
      <c r="EK194" s="1866"/>
      <c r="EL194" s="1866"/>
      <c r="EM194" s="1866"/>
      <c r="EN194" s="1866"/>
      <c r="EO194" s="1866"/>
      <c r="EP194" s="1866"/>
      <c r="EQ194" s="1866"/>
      <c r="ER194" s="1866"/>
      <c r="ES194" s="1866"/>
      <c r="ET194" s="1866"/>
      <c r="EU194" s="1866"/>
      <c r="EV194" s="1866"/>
      <c r="EW194" s="1866"/>
      <c r="EX194" s="1866"/>
      <c r="EY194" s="1866"/>
      <c r="EZ194" s="1866"/>
      <c r="FA194" s="1866"/>
      <c r="FB194" s="1866"/>
      <c r="FC194" s="1866"/>
      <c r="FD194" s="1866"/>
      <c r="FE194" s="1866"/>
      <c r="FF194" s="1866"/>
      <c r="FG194" s="1866"/>
      <c r="FH194" s="1866"/>
      <c r="FI194" s="1866"/>
      <c r="FJ194" s="1866"/>
      <c r="FK194" s="1866"/>
      <c r="FL194" s="1866"/>
      <c r="FM194" s="1866"/>
      <c r="FN194" s="1866"/>
      <c r="FO194" s="1866"/>
      <c r="FP194" s="1866"/>
      <c r="FQ194" s="1866"/>
      <c r="FR194" s="1866"/>
      <c r="FS194" s="1866"/>
      <c r="FT194" s="1866"/>
      <c r="FU194" s="1866"/>
      <c r="FV194" s="1866"/>
      <c r="FW194" s="1866"/>
      <c r="FX194" s="1866"/>
      <c r="FY194" s="1866"/>
      <c r="FZ194" s="1866"/>
      <c r="GA194" s="1866"/>
      <c r="GB194" s="1866"/>
      <c r="GC194" s="1866"/>
      <c r="GD194" s="1866"/>
      <c r="GE194" s="1866"/>
      <c r="GF194" s="1866"/>
      <c r="GG194" s="1866"/>
      <c r="GH194" s="1866"/>
      <c r="GI194" s="1866"/>
      <c r="GJ194" s="1866"/>
      <c r="GK194" s="1866"/>
      <c r="GL194" s="1866"/>
      <c r="GM194" s="1866"/>
      <c r="GN194" s="1866"/>
      <c r="GO194" s="1866"/>
      <c r="GP194" s="1866"/>
      <c r="GQ194" s="1866"/>
      <c r="GR194" s="1866"/>
      <c r="GS194" s="1866"/>
      <c r="GT194" s="1866"/>
      <c r="GU194" s="1866"/>
      <c r="GV194" s="1866"/>
      <c r="GW194" s="1866"/>
      <c r="GX194" s="1866"/>
      <c r="GY194" s="1866"/>
      <c r="GZ194" s="1866"/>
      <c r="HA194" s="1866"/>
      <c r="HB194" s="1866"/>
      <c r="HC194" s="1866"/>
      <c r="HD194" s="1866"/>
      <c r="HE194" s="1866"/>
    </row>
    <row r="195" spans="1:213" ht="27" customHeight="1" x14ac:dyDescent="0.2">
      <c r="A195" s="1966"/>
      <c r="B195" s="1989"/>
      <c r="C195" s="1823" t="s">
        <v>917</v>
      </c>
      <c r="D195" s="1883"/>
      <c r="E195" s="1984"/>
      <c r="F195" s="1838">
        <v>0</v>
      </c>
      <c r="G195" s="1804">
        <v>0</v>
      </c>
      <c r="H195" s="1804">
        <v>0</v>
      </c>
      <c r="I195" s="1804">
        <v>0</v>
      </c>
      <c r="J195" s="1804">
        <v>0</v>
      </c>
      <c r="K195" s="1804">
        <v>0</v>
      </c>
      <c r="L195" s="1804">
        <v>0</v>
      </c>
      <c r="M195" s="1804">
        <v>0</v>
      </c>
      <c r="N195" s="1804">
        <v>0</v>
      </c>
      <c r="O195" s="1804">
        <v>0</v>
      </c>
      <c r="P195" s="1804">
        <v>0</v>
      </c>
      <c r="Q195" s="1804">
        <v>0</v>
      </c>
      <c r="R195" s="1804">
        <v>0</v>
      </c>
      <c r="S195" s="1804">
        <v>0</v>
      </c>
      <c r="T195" s="1804">
        <v>0</v>
      </c>
      <c r="U195" s="1804">
        <v>0</v>
      </c>
      <c r="V195" s="1804">
        <v>0</v>
      </c>
      <c r="W195" s="1804">
        <v>0</v>
      </c>
      <c r="X195" s="1804">
        <v>0</v>
      </c>
      <c r="Y195" s="1804">
        <v>0</v>
      </c>
      <c r="Z195" s="1804">
        <v>0</v>
      </c>
      <c r="AA195" s="1804">
        <v>0</v>
      </c>
      <c r="AB195" s="1804">
        <v>0</v>
      </c>
      <c r="AC195" s="1804">
        <v>0</v>
      </c>
      <c r="AD195" s="1804">
        <v>0</v>
      </c>
      <c r="AE195" s="1804">
        <v>0</v>
      </c>
      <c r="AF195" s="1804">
        <v>0</v>
      </c>
      <c r="AG195" s="1804">
        <v>0</v>
      </c>
      <c r="AH195" s="1804">
        <v>0</v>
      </c>
      <c r="AI195" s="1804">
        <v>0</v>
      </c>
      <c r="AJ195" s="1804">
        <v>0</v>
      </c>
      <c r="AK195" s="1804">
        <v>0</v>
      </c>
      <c r="AL195" s="1804">
        <v>0</v>
      </c>
      <c r="AM195" s="1804">
        <v>0</v>
      </c>
      <c r="AN195" s="1804">
        <v>0</v>
      </c>
      <c r="AO195" s="1804">
        <v>0</v>
      </c>
      <c r="AP195" s="1804">
        <v>0</v>
      </c>
      <c r="AQ195" s="1804">
        <v>0</v>
      </c>
      <c r="AR195" s="1804">
        <v>0</v>
      </c>
      <c r="AS195" s="1804">
        <v>0</v>
      </c>
      <c r="AT195" s="1804">
        <v>0</v>
      </c>
      <c r="AU195" s="1804">
        <v>0</v>
      </c>
      <c r="AV195" s="1804">
        <v>0</v>
      </c>
      <c r="AW195" s="1804">
        <v>0</v>
      </c>
      <c r="AX195" s="1804">
        <v>0</v>
      </c>
      <c r="AY195" s="1804">
        <v>0</v>
      </c>
      <c r="AZ195" s="1804">
        <v>0</v>
      </c>
      <c r="BA195" s="1804">
        <v>0</v>
      </c>
      <c r="BB195" s="1804">
        <v>0</v>
      </c>
      <c r="BC195" s="1804">
        <v>0</v>
      </c>
      <c r="BD195" s="1804">
        <v>0</v>
      </c>
      <c r="BE195" s="1804">
        <v>0</v>
      </c>
      <c r="BF195" s="1804">
        <v>0</v>
      </c>
      <c r="BG195" s="1804">
        <v>0</v>
      </c>
      <c r="BH195" s="1804">
        <v>0</v>
      </c>
      <c r="BI195" s="1804">
        <v>0</v>
      </c>
      <c r="BJ195" s="1804">
        <v>0</v>
      </c>
      <c r="BK195" s="1804">
        <v>0</v>
      </c>
      <c r="BL195" s="1804">
        <v>0</v>
      </c>
      <c r="BM195" s="1804">
        <v>0</v>
      </c>
      <c r="BN195" s="1804">
        <v>0</v>
      </c>
      <c r="BO195" s="1804">
        <v>0</v>
      </c>
      <c r="BP195" s="1804">
        <v>0</v>
      </c>
      <c r="BQ195" s="1804">
        <v>0</v>
      </c>
      <c r="BR195" s="1804">
        <v>0</v>
      </c>
      <c r="BS195" s="1804">
        <v>0</v>
      </c>
      <c r="BT195" s="1804">
        <v>0</v>
      </c>
      <c r="BU195" s="1804">
        <v>0</v>
      </c>
      <c r="BV195" s="1804">
        <v>0</v>
      </c>
      <c r="BW195" s="1804">
        <v>0</v>
      </c>
      <c r="BX195" s="1804">
        <v>0</v>
      </c>
      <c r="BY195" s="1804">
        <v>0</v>
      </c>
      <c r="BZ195" s="1804">
        <v>0</v>
      </c>
      <c r="CA195" s="1804">
        <v>0</v>
      </c>
      <c r="CB195" s="1804">
        <v>0</v>
      </c>
      <c r="CC195" s="1804">
        <v>0</v>
      </c>
      <c r="CD195" s="1804">
        <v>0</v>
      </c>
      <c r="CE195" s="1804">
        <v>0</v>
      </c>
      <c r="CF195" s="1804">
        <v>0</v>
      </c>
      <c r="CG195" s="1804">
        <v>0</v>
      </c>
      <c r="CH195" s="1804">
        <v>0</v>
      </c>
      <c r="CI195" s="1804">
        <v>0</v>
      </c>
      <c r="CJ195" s="1804">
        <v>0</v>
      </c>
      <c r="CK195" s="1804">
        <v>0</v>
      </c>
      <c r="CL195" s="1804">
        <v>0</v>
      </c>
      <c r="CM195" s="1804">
        <v>0</v>
      </c>
      <c r="CN195" s="1804">
        <v>0</v>
      </c>
      <c r="CO195" s="1804">
        <v>0</v>
      </c>
      <c r="CP195" s="1804">
        <v>0</v>
      </c>
      <c r="CQ195" s="1804">
        <v>0</v>
      </c>
      <c r="CR195" s="1804">
        <v>0</v>
      </c>
      <c r="CS195" s="1804">
        <v>0</v>
      </c>
      <c r="CT195" s="1804">
        <v>0</v>
      </c>
      <c r="CU195" s="1804">
        <v>0</v>
      </c>
      <c r="CV195" s="1804">
        <v>0</v>
      </c>
      <c r="CW195" s="1804">
        <v>0</v>
      </c>
      <c r="CX195" s="1804">
        <v>0</v>
      </c>
      <c r="CY195" s="1804">
        <v>0</v>
      </c>
      <c r="CZ195" s="1804">
        <v>0</v>
      </c>
      <c r="DA195" s="1804">
        <v>0</v>
      </c>
      <c r="DB195" s="1804">
        <v>0</v>
      </c>
      <c r="DC195" s="1804">
        <v>0</v>
      </c>
      <c r="DD195" s="1804">
        <v>0</v>
      </c>
      <c r="DE195" s="1804">
        <v>0</v>
      </c>
      <c r="DF195" s="1804">
        <v>0</v>
      </c>
      <c r="DG195" s="1804">
        <v>0</v>
      </c>
      <c r="DH195" s="1804">
        <v>0</v>
      </c>
      <c r="DI195" s="1804">
        <v>0</v>
      </c>
      <c r="DJ195" s="1804">
        <v>0</v>
      </c>
      <c r="DK195" s="1804">
        <v>0</v>
      </c>
      <c r="DL195" s="1804">
        <v>0</v>
      </c>
      <c r="DM195" s="1804">
        <v>0</v>
      </c>
      <c r="DN195" s="1804">
        <v>0</v>
      </c>
      <c r="DO195" s="1804">
        <v>0</v>
      </c>
      <c r="DP195" s="1804">
        <v>0</v>
      </c>
      <c r="DQ195" s="1804">
        <v>0</v>
      </c>
      <c r="DR195" s="1804">
        <v>0</v>
      </c>
      <c r="DS195" s="1804">
        <v>0</v>
      </c>
      <c r="DT195" s="1804">
        <v>0</v>
      </c>
      <c r="DU195" s="1804">
        <v>0</v>
      </c>
      <c r="DV195" s="1804">
        <v>0</v>
      </c>
      <c r="DW195" s="1804">
        <v>0</v>
      </c>
      <c r="DX195" s="1804">
        <v>0</v>
      </c>
      <c r="DY195" s="1804">
        <v>0</v>
      </c>
      <c r="DZ195" s="1804">
        <v>0</v>
      </c>
      <c r="EA195" s="1804">
        <v>0</v>
      </c>
      <c r="EB195" s="1804">
        <v>0</v>
      </c>
      <c r="EC195" s="1804">
        <v>0</v>
      </c>
      <c r="ED195" s="1804">
        <v>0</v>
      </c>
      <c r="EE195" s="1804">
        <v>0</v>
      </c>
      <c r="EF195" s="1804">
        <v>0</v>
      </c>
      <c r="EG195" s="1804">
        <v>0</v>
      </c>
      <c r="EH195" s="1804">
        <v>0</v>
      </c>
      <c r="EI195" s="1804">
        <v>0</v>
      </c>
      <c r="EJ195" s="1804">
        <v>0</v>
      </c>
      <c r="EK195" s="1804">
        <v>0</v>
      </c>
      <c r="EL195" s="1804">
        <v>0</v>
      </c>
      <c r="EM195" s="1804">
        <v>0</v>
      </c>
      <c r="EN195" s="1804">
        <v>0</v>
      </c>
      <c r="EO195" s="1804">
        <v>0</v>
      </c>
      <c r="EP195" s="1804">
        <v>0</v>
      </c>
      <c r="EQ195" s="1804">
        <v>0</v>
      </c>
      <c r="ER195" s="1804">
        <v>0</v>
      </c>
      <c r="ES195" s="1804">
        <v>0</v>
      </c>
      <c r="ET195" s="1804">
        <v>0</v>
      </c>
      <c r="EU195" s="1804">
        <v>0</v>
      </c>
      <c r="EV195" s="1804">
        <v>0</v>
      </c>
      <c r="EW195" s="1804">
        <v>0</v>
      </c>
      <c r="EX195" s="1804">
        <v>0</v>
      </c>
      <c r="EY195" s="1804">
        <v>0</v>
      </c>
      <c r="EZ195" s="1804">
        <v>0</v>
      </c>
      <c r="FA195" s="1804">
        <v>0</v>
      </c>
      <c r="FB195" s="1804">
        <v>0</v>
      </c>
      <c r="FC195" s="1804">
        <v>0</v>
      </c>
      <c r="FD195" s="1804">
        <v>0</v>
      </c>
      <c r="FE195" s="1804">
        <v>0</v>
      </c>
      <c r="FF195" s="1804">
        <v>0</v>
      </c>
      <c r="FG195" s="1804">
        <v>0</v>
      </c>
      <c r="FH195" s="1804">
        <v>0</v>
      </c>
      <c r="FI195" s="1804">
        <v>0</v>
      </c>
      <c r="FJ195" s="1804">
        <v>0</v>
      </c>
      <c r="FK195" s="1804">
        <v>0</v>
      </c>
      <c r="FL195" s="1804">
        <v>0</v>
      </c>
      <c r="FM195" s="1804">
        <v>0</v>
      </c>
      <c r="FN195" s="1804">
        <v>0</v>
      </c>
      <c r="FO195" s="1804">
        <v>0</v>
      </c>
      <c r="FP195" s="1804">
        <v>0</v>
      </c>
      <c r="FQ195" s="1804">
        <v>0</v>
      </c>
      <c r="FR195" s="1804">
        <v>0</v>
      </c>
      <c r="FS195" s="1804">
        <v>0</v>
      </c>
      <c r="FT195" s="1804">
        <v>0</v>
      </c>
      <c r="FU195" s="1804">
        <v>0</v>
      </c>
      <c r="FV195" s="1804">
        <v>0</v>
      </c>
      <c r="FW195" s="1804">
        <v>0</v>
      </c>
      <c r="FX195" s="1804">
        <v>0</v>
      </c>
      <c r="FY195" s="1804">
        <v>0</v>
      </c>
      <c r="FZ195" s="1804">
        <v>0</v>
      </c>
      <c r="GA195" s="1804">
        <v>0</v>
      </c>
      <c r="GB195" s="1804">
        <v>0</v>
      </c>
      <c r="GC195" s="1804">
        <v>0</v>
      </c>
      <c r="GD195" s="1804">
        <v>0</v>
      </c>
      <c r="GE195" s="1804">
        <v>0</v>
      </c>
      <c r="GF195" s="1804">
        <v>0</v>
      </c>
      <c r="GG195" s="1804">
        <v>0</v>
      </c>
      <c r="GH195" s="1804">
        <v>0</v>
      </c>
      <c r="GI195" s="1804">
        <v>0</v>
      </c>
      <c r="GJ195" s="1804">
        <v>0</v>
      </c>
      <c r="GK195" s="1804">
        <v>0</v>
      </c>
      <c r="GL195" s="1804">
        <v>0</v>
      </c>
      <c r="GM195" s="1804">
        <v>0</v>
      </c>
      <c r="GN195" s="1804">
        <v>0</v>
      </c>
      <c r="GO195" s="1804">
        <v>0</v>
      </c>
      <c r="GP195" s="1804">
        <v>0</v>
      </c>
      <c r="GQ195" s="1804">
        <v>0</v>
      </c>
      <c r="GR195" s="1804">
        <v>0</v>
      </c>
      <c r="GS195" s="1804">
        <v>0</v>
      </c>
      <c r="GT195" s="1804">
        <v>0</v>
      </c>
      <c r="GU195" s="1804">
        <v>0</v>
      </c>
      <c r="GV195" s="1804">
        <v>0</v>
      </c>
      <c r="GW195" s="1804">
        <v>0</v>
      </c>
      <c r="GX195" s="1804">
        <v>0</v>
      </c>
      <c r="GY195" s="1804">
        <v>0</v>
      </c>
      <c r="GZ195" s="1804">
        <v>0</v>
      </c>
      <c r="HA195" s="1804">
        <v>0</v>
      </c>
      <c r="HB195" s="1804">
        <v>0</v>
      </c>
      <c r="HC195" s="1804">
        <v>0</v>
      </c>
      <c r="HD195" s="1804">
        <v>0</v>
      </c>
      <c r="HE195" s="1804">
        <v>0</v>
      </c>
    </row>
    <row r="196" spans="1:213" ht="15" customHeight="1" x14ac:dyDescent="0.2">
      <c r="A196" s="1966"/>
      <c r="B196" s="1989"/>
      <c r="C196" s="1824" t="s">
        <v>918</v>
      </c>
      <c r="D196" s="1883"/>
      <c r="E196" s="1984"/>
      <c r="F196" s="1838">
        <v>0</v>
      </c>
      <c r="G196" s="1804">
        <v>0</v>
      </c>
      <c r="H196" s="1804">
        <v>0</v>
      </c>
      <c r="I196" s="1804">
        <v>0</v>
      </c>
      <c r="J196" s="1804">
        <v>0</v>
      </c>
      <c r="K196" s="1804">
        <v>0</v>
      </c>
      <c r="L196" s="1804">
        <v>0</v>
      </c>
      <c r="M196" s="1804">
        <v>0</v>
      </c>
      <c r="N196" s="1804">
        <v>0</v>
      </c>
      <c r="O196" s="1804">
        <v>0</v>
      </c>
      <c r="P196" s="1804">
        <v>0</v>
      </c>
      <c r="Q196" s="1804">
        <v>0</v>
      </c>
      <c r="R196" s="1804">
        <v>0</v>
      </c>
      <c r="S196" s="1804">
        <v>0</v>
      </c>
      <c r="T196" s="1804">
        <v>0</v>
      </c>
      <c r="U196" s="1804">
        <v>0</v>
      </c>
      <c r="V196" s="1804">
        <v>0</v>
      </c>
      <c r="W196" s="1804">
        <v>0</v>
      </c>
      <c r="X196" s="1804">
        <v>0</v>
      </c>
      <c r="Y196" s="1804">
        <v>0</v>
      </c>
      <c r="Z196" s="1804">
        <v>0</v>
      </c>
      <c r="AA196" s="1804">
        <v>0</v>
      </c>
      <c r="AB196" s="1804">
        <v>0</v>
      </c>
      <c r="AC196" s="1804">
        <v>0</v>
      </c>
      <c r="AD196" s="1804">
        <v>0</v>
      </c>
      <c r="AE196" s="1804">
        <v>0</v>
      </c>
      <c r="AF196" s="1804">
        <v>0</v>
      </c>
      <c r="AG196" s="1804">
        <v>0</v>
      </c>
      <c r="AH196" s="1804">
        <v>0</v>
      </c>
      <c r="AI196" s="1804">
        <v>0</v>
      </c>
      <c r="AJ196" s="1804">
        <v>0</v>
      </c>
      <c r="AK196" s="1804">
        <v>0</v>
      </c>
      <c r="AL196" s="1804">
        <v>0</v>
      </c>
      <c r="AM196" s="1804">
        <v>0</v>
      </c>
      <c r="AN196" s="1804">
        <v>0</v>
      </c>
      <c r="AO196" s="1804">
        <v>0</v>
      </c>
      <c r="AP196" s="1804">
        <v>0</v>
      </c>
      <c r="AQ196" s="1804">
        <v>0</v>
      </c>
      <c r="AR196" s="1804">
        <v>0</v>
      </c>
      <c r="AS196" s="1804">
        <v>0</v>
      </c>
      <c r="AT196" s="1804">
        <v>0</v>
      </c>
      <c r="AU196" s="1804">
        <v>0</v>
      </c>
      <c r="AV196" s="1804">
        <v>0</v>
      </c>
      <c r="AW196" s="1804">
        <v>0</v>
      </c>
      <c r="AX196" s="1804">
        <v>0</v>
      </c>
      <c r="AY196" s="1804">
        <v>0</v>
      </c>
      <c r="AZ196" s="1804">
        <v>0</v>
      </c>
      <c r="BA196" s="1804">
        <v>0</v>
      </c>
      <c r="BB196" s="1804">
        <v>0</v>
      </c>
      <c r="BC196" s="1804">
        <v>0</v>
      </c>
      <c r="BD196" s="1804">
        <v>0</v>
      </c>
      <c r="BE196" s="1804">
        <v>0</v>
      </c>
      <c r="BF196" s="1804">
        <v>0</v>
      </c>
      <c r="BG196" s="1804">
        <v>0</v>
      </c>
      <c r="BH196" s="1804">
        <v>0</v>
      </c>
      <c r="BI196" s="1804">
        <v>0</v>
      </c>
      <c r="BJ196" s="1804">
        <v>0</v>
      </c>
      <c r="BK196" s="1804">
        <v>0</v>
      </c>
      <c r="BL196" s="1804">
        <v>0</v>
      </c>
      <c r="BM196" s="1804">
        <v>0</v>
      </c>
      <c r="BN196" s="1804">
        <v>0</v>
      </c>
      <c r="BO196" s="1804">
        <v>0</v>
      </c>
      <c r="BP196" s="1804">
        <v>0</v>
      </c>
      <c r="BQ196" s="1804">
        <v>0</v>
      </c>
      <c r="BR196" s="1804">
        <v>0</v>
      </c>
      <c r="BS196" s="1804">
        <v>0</v>
      </c>
      <c r="BT196" s="1804">
        <v>0</v>
      </c>
      <c r="BU196" s="1804">
        <v>0</v>
      </c>
      <c r="BV196" s="1804">
        <v>0</v>
      </c>
      <c r="BW196" s="1804">
        <v>0</v>
      </c>
      <c r="BX196" s="1804">
        <v>0</v>
      </c>
      <c r="BY196" s="1804">
        <v>0</v>
      </c>
      <c r="BZ196" s="1804">
        <v>0</v>
      </c>
      <c r="CA196" s="1804">
        <v>0</v>
      </c>
      <c r="CB196" s="1804">
        <v>0</v>
      </c>
      <c r="CC196" s="1804">
        <v>0</v>
      </c>
      <c r="CD196" s="1804">
        <v>0</v>
      </c>
      <c r="CE196" s="1804">
        <v>0</v>
      </c>
      <c r="CF196" s="1804">
        <v>0</v>
      </c>
      <c r="CG196" s="1804">
        <v>0</v>
      </c>
      <c r="CH196" s="1804">
        <v>0</v>
      </c>
      <c r="CI196" s="1804">
        <v>0</v>
      </c>
      <c r="CJ196" s="1804">
        <v>0</v>
      </c>
      <c r="CK196" s="1804">
        <v>0</v>
      </c>
      <c r="CL196" s="1804">
        <v>0</v>
      </c>
      <c r="CM196" s="1804">
        <v>0</v>
      </c>
      <c r="CN196" s="1804">
        <v>0</v>
      </c>
      <c r="CO196" s="1804">
        <v>0</v>
      </c>
      <c r="CP196" s="1804">
        <v>0</v>
      </c>
      <c r="CQ196" s="1804">
        <v>0</v>
      </c>
      <c r="CR196" s="1804">
        <v>0</v>
      </c>
      <c r="CS196" s="1804">
        <v>0</v>
      </c>
      <c r="CT196" s="1804">
        <v>0</v>
      </c>
      <c r="CU196" s="1804">
        <v>0</v>
      </c>
      <c r="CV196" s="1804">
        <v>0</v>
      </c>
      <c r="CW196" s="1804">
        <v>0</v>
      </c>
      <c r="CX196" s="1804">
        <v>0</v>
      </c>
      <c r="CY196" s="1804">
        <v>0</v>
      </c>
      <c r="CZ196" s="1804">
        <v>0</v>
      </c>
      <c r="DA196" s="1804">
        <v>0</v>
      </c>
      <c r="DB196" s="1804">
        <v>0</v>
      </c>
      <c r="DC196" s="1804">
        <v>0</v>
      </c>
      <c r="DD196" s="1804">
        <v>0</v>
      </c>
      <c r="DE196" s="1804">
        <v>0</v>
      </c>
      <c r="DF196" s="1804">
        <v>0</v>
      </c>
      <c r="DG196" s="1804">
        <v>0</v>
      </c>
      <c r="DH196" s="1804">
        <v>0</v>
      </c>
      <c r="DI196" s="1804">
        <v>0</v>
      </c>
      <c r="DJ196" s="1804">
        <v>0</v>
      </c>
      <c r="DK196" s="1804">
        <v>0</v>
      </c>
      <c r="DL196" s="1804">
        <v>0</v>
      </c>
      <c r="DM196" s="1804">
        <v>0</v>
      </c>
      <c r="DN196" s="1804">
        <v>0</v>
      </c>
      <c r="DO196" s="1804">
        <v>0</v>
      </c>
      <c r="DP196" s="1804">
        <v>0</v>
      </c>
      <c r="DQ196" s="1804">
        <v>0</v>
      </c>
      <c r="DR196" s="1804">
        <v>0</v>
      </c>
      <c r="DS196" s="1804">
        <v>0</v>
      </c>
      <c r="DT196" s="1804">
        <v>0</v>
      </c>
      <c r="DU196" s="1804">
        <v>0</v>
      </c>
      <c r="DV196" s="1804">
        <v>0</v>
      </c>
      <c r="DW196" s="1804">
        <v>0</v>
      </c>
      <c r="DX196" s="1804">
        <v>0</v>
      </c>
      <c r="DY196" s="1804">
        <v>0</v>
      </c>
      <c r="DZ196" s="1804">
        <v>0</v>
      </c>
      <c r="EA196" s="1804">
        <v>0</v>
      </c>
      <c r="EB196" s="1804">
        <v>0</v>
      </c>
      <c r="EC196" s="1804">
        <v>0</v>
      </c>
      <c r="ED196" s="1804">
        <v>0</v>
      </c>
      <c r="EE196" s="1804">
        <v>0</v>
      </c>
      <c r="EF196" s="1804">
        <v>0</v>
      </c>
      <c r="EG196" s="1804">
        <v>0</v>
      </c>
      <c r="EH196" s="1804">
        <v>0</v>
      </c>
      <c r="EI196" s="1804">
        <v>0</v>
      </c>
      <c r="EJ196" s="1804">
        <v>0</v>
      </c>
      <c r="EK196" s="1804">
        <v>0</v>
      </c>
      <c r="EL196" s="1804">
        <v>0</v>
      </c>
      <c r="EM196" s="1804">
        <v>0</v>
      </c>
      <c r="EN196" s="1804">
        <v>0</v>
      </c>
      <c r="EO196" s="1804">
        <v>0</v>
      </c>
      <c r="EP196" s="1804">
        <v>0</v>
      </c>
      <c r="EQ196" s="1804">
        <v>0</v>
      </c>
      <c r="ER196" s="1804">
        <v>0</v>
      </c>
      <c r="ES196" s="1804">
        <v>0</v>
      </c>
      <c r="ET196" s="1804">
        <v>0</v>
      </c>
      <c r="EU196" s="1804">
        <v>0</v>
      </c>
      <c r="EV196" s="1804">
        <v>0</v>
      </c>
      <c r="EW196" s="1804">
        <v>0</v>
      </c>
      <c r="EX196" s="1804">
        <v>0</v>
      </c>
      <c r="EY196" s="1804">
        <v>0</v>
      </c>
      <c r="EZ196" s="1804">
        <v>0</v>
      </c>
      <c r="FA196" s="1804">
        <v>0</v>
      </c>
      <c r="FB196" s="1804">
        <v>0</v>
      </c>
      <c r="FC196" s="1804">
        <v>0</v>
      </c>
      <c r="FD196" s="1804">
        <v>0</v>
      </c>
      <c r="FE196" s="1804">
        <v>0</v>
      </c>
      <c r="FF196" s="1804">
        <v>0</v>
      </c>
      <c r="FG196" s="1804">
        <v>0</v>
      </c>
      <c r="FH196" s="1804">
        <v>0</v>
      </c>
      <c r="FI196" s="1804">
        <v>0</v>
      </c>
      <c r="FJ196" s="1804">
        <v>0</v>
      </c>
      <c r="FK196" s="1804">
        <v>0</v>
      </c>
      <c r="FL196" s="1804">
        <v>0</v>
      </c>
      <c r="FM196" s="1804">
        <v>0</v>
      </c>
      <c r="FN196" s="1804">
        <v>0</v>
      </c>
      <c r="FO196" s="1804">
        <v>0</v>
      </c>
      <c r="FP196" s="1804">
        <v>0</v>
      </c>
      <c r="FQ196" s="1804">
        <v>0</v>
      </c>
      <c r="FR196" s="1804">
        <v>0</v>
      </c>
      <c r="FS196" s="1804">
        <v>0</v>
      </c>
      <c r="FT196" s="1804">
        <v>0</v>
      </c>
      <c r="FU196" s="1804">
        <v>0</v>
      </c>
      <c r="FV196" s="1804">
        <v>0</v>
      </c>
      <c r="FW196" s="1804">
        <v>0</v>
      </c>
      <c r="FX196" s="1804">
        <v>0</v>
      </c>
      <c r="FY196" s="1804">
        <v>0</v>
      </c>
      <c r="FZ196" s="1804">
        <v>0</v>
      </c>
      <c r="GA196" s="1804">
        <v>0</v>
      </c>
      <c r="GB196" s="1804">
        <v>0</v>
      </c>
      <c r="GC196" s="1804">
        <v>0</v>
      </c>
      <c r="GD196" s="1804">
        <v>0</v>
      </c>
      <c r="GE196" s="1804">
        <v>0</v>
      </c>
      <c r="GF196" s="1804">
        <v>0</v>
      </c>
      <c r="GG196" s="1804">
        <v>0</v>
      </c>
      <c r="GH196" s="1804">
        <v>0</v>
      </c>
      <c r="GI196" s="1804">
        <v>0</v>
      </c>
      <c r="GJ196" s="1804">
        <v>0</v>
      </c>
      <c r="GK196" s="1804">
        <v>0</v>
      </c>
      <c r="GL196" s="1804">
        <v>0</v>
      </c>
      <c r="GM196" s="1804">
        <v>0</v>
      </c>
      <c r="GN196" s="1804">
        <v>0</v>
      </c>
      <c r="GO196" s="1804">
        <v>0</v>
      </c>
      <c r="GP196" s="1804">
        <v>0</v>
      </c>
      <c r="GQ196" s="1804">
        <v>0</v>
      </c>
      <c r="GR196" s="1804">
        <v>0</v>
      </c>
      <c r="GS196" s="1804">
        <v>0</v>
      </c>
      <c r="GT196" s="1804">
        <v>0</v>
      </c>
      <c r="GU196" s="1804">
        <v>0</v>
      </c>
      <c r="GV196" s="1804">
        <v>0</v>
      </c>
      <c r="GW196" s="1804">
        <v>0</v>
      </c>
      <c r="GX196" s="1804">
        <v>0</v>
      </c>
      <c r="GY196" s="1804">
        <v>0</v>
      </c>
      <c r="GZ196" s="1804">
        <v>0</v>
      </c>
      <c r="HA196" s="1804">
        <v>0</v>
      </c>
      <c r="HB196" s="1804">
        <v>0</v>
      </c>
      <c r="HC196" s="1804">
        <v>0</v>
      </c>
      <c r="HD196" s="1804">
        <v>0</v>
      </c>
      <c r="HE196" s="1804">
        <v>0</v>
      </c>
    </row>
    <row r="197" spans="1:213" ht="15" customHeight="1" x14ac:dyDescent="0.2">
      <c r="A197" s="1966"/>
      <c r="B197" s="1989"/>
      <c r="C197" s="1816" t="s">
        <v>919</v>
      </c>
      <c r="D197" s="1883"/>
      <c r="E197" s="1984"/>
      <c r="F197" s="1838">
        <v>0</v>
      </c>
      <c r="G197" s="1804">
        <v>0</v>
      </c>
      <c r="H197" s="1804">
        <v>0</v>
      </c>
      <c r="I197" s="1804">
        <v>0</v>
      </c>
      <c r="J197" s="1804">
        <v>0</v>
      </c>
      <c r="K197" s="1804">
        <v>0</v>
      </c>
      <c r="L197" s="1804">
        <v>0</v>
      </c>
      <c r="M197" s="1804">
        <v>0</v>
      </c>
      <c r="N197" s="1804">
        <v>0</v>
      </c>
      <c r="O197" s="1804">
        <v>0</v>
      </c>
      <c r="P197" s="1804">
        <v>0</v>
      </c>
      <c r="Q197" s="1804">
        <v>0</v>
      </c>
      <c r="R197" s="1804">
        <v>0</v>
      </c>
      <c r="S197" s="1804">
        <v>0</v>
      </c>
      <c r="T197" s="1804">
        <v>0</v>
      </c>
      <c r="U197" s="1804">
        <v>0</v>
      </c>
      <c r="V197" s="1804">
        <v>0</v>
      </c>
      <c r="W197" s="1804">
        <v>0</v>
      </c>
      <c r="X197" s="1804">
        <v>0</v>
      </c>
      <c r="Y197" s="1804">
        <v>0</v>
      </c>
      <c r="Z197" s="1804">
        <v>0</v>
      </c>
      <c r="AA197" s="1804">
        <v>0</v>
      </c>
      <c r="AB197" s="1804">
        <v>0</v>
      </c>
      <c r="AC197" s="1804">
        <v>0</v>
      </c>
      <c r="AD197" s="1804">
        <v>0</v>
      </c>
      <c r="AE197" s="1804">
        <v>0</v>
      </c>
      <c r="AF197" s="1804">
        <v>0</v>
      </c>
      <c r="AG197" s="1804">
        <v>0</v>
      </c>
      <c r="AH197" s="1804">
        <v>0</v>
      </c>
      <c r="AI197" s="1804">
        <v>0</v>
      </c>
      <c r="AJ197" s="1804">
        <v>0</v>
      </c>
      <c r="AK197" s="1804">
        <v>0</v>
      </c>
      <c r="AL197" s="1804">
        <v>0</v>
      </c>
      <c r="AM197" s="1804">
        <v>0</v>
      </c>
      <c r="AN197" s="1804">
        <v>0</v>
      </c>
      <c r="AO197" s="1804">
        <v>0</v>
      </c>
      <c r="AP197" s="1804">
        <v>0</v>
      </c>
      <c r="AQ197" s="1804">
        <v>0</v>
      </c>
      <c r="AR197" s="1804">
        <v>0</v>
      </c>
      <c r="AS197" s="1804">
        <v>0</v>
      </c>
      <c r="AT197" s="1804">
        <v>0</v>
      </c>
      <c r="AU197" s="1804">
        <v>0</v>
      </c>
      <c r="AV197" s="1804">
        <v>0</v>
      </c>
      <c r="AW197" s="1804">
        <v>0</v>
      </c>
      <c r="AX197" s="1804">
        <v>0</v>
      </c>
      <c r="AY197" s="1804">
        <v>0</v>
      </c>
      <c r="AZ197" s="1804">
        <v>0</v>
      </c>
      <c r="BA197" s="1804">
        <v>0</v>
      </c>
      <c r="BB197" s="1804">
        <v>0</v>
      </c>
      <c r="BC197" s="1804">
        <v>0</v>
      </c>
      <c r="BD197" s="1804">
        <v>0</v>
      </c>
      <c r="BE197" s="1804">
        <v>0</v>
      </c>
      <c r="BF197" s="1804">
        <v>0</v>
      </c>
      <c r="BG197" s="1804">
        <v>0</v>
      </c>
      <c r="BH197" s="1804">
        <v>0</v>
      </c>
      <c r="BI197" s="1804">
        <v>0</v>
      </c>
      <c r="BJ197" s="1804">
        <v>0</v>
      </c>
      <c r="BK197" s="1804">
        <v>0</v>
      </c>
      <c r="BL197" s="1804">
        <v>0</v>
      </c>
      <c r="BM197" s="1804">
        <v>0</v>
      </c>
      <c r="BN197" s="1804">
        <v>0</v>
      </c>
      <c r="BO197" s="1804">
        <v>0</v>
      </c>
      <c r="BP197" s="1804">
        <v>0</v>
      </c>
      <c r="BQ197" s="1804">
        <v>0</v>
      </c>
      <c r="BR197" s="1804">
        <v>0</v>
      </c>
      <c r="BS197" s="1804">
        <v>0</v>
      </c>
      <c r="BT197" s="1804">
        <v>0</v>
      </c>
      <c r="BU197" s="1804">
        <v>0</v>
      </c>
      <c r="BV197" s="1804">
        <v>0</v>
      </c>
      <c r="BW197" s="1804">
        <v>0</v>
      </c>
      <c r="BX197" s="1804">
        <v>0</v>
      </c>
      <c r="BY197" s="1804">
        <v>0</v>
      </c>
      <c r="BZ197" s="1804">
        <v>0</v>
      </c>
      <c r="CA197" s="1804">
        <v>0</v>
      </c>
      <c r="CB197" s="1804">
        <v>0</v>
      </c>
      <c r="CC197" s="1804">
        <v>0</v>
      </c>
      <c r="CD197" s="1804">
        <v>0</v>
      </c>
      <c r="CE197" s="1804">
        <v>0</v>
      </c>
      <c r="CF197" s="1804">
        <v>0</v>
      </c>
      <c r="CG197" s="1804">
        <v>0</v>
      </c>
      <c r="CH197" s="1804">
        <v>0</v>
      </c>
      <c r="CI197" s="1804">
        <v>0</v>
      </c>
      <c r="CJ197" s="1804">
        <v>0</v>
      </c>
      <c r="CK197" s="1804">
        <v>0</v>
      </c>
      <c r="CL197" s="1804">
        <v>0</v>
      </c>
      <c r="CM197" s="1804">
        <v>0</v>
      </c>
      <c r="CN197" s="1804">
        <v>0</v>
      </c>
      <c r="CO197" s="1804">
        <v>0</v>
      </c>
      <c r="CP197" s="1804">
        <v>0</v>
      </c>
      <c r="CQ197" s="1804">
        <v>0</v>
      </c>
      <c r="CR197" s="1804">
        <v>0</v>
      </c>
      <c r="CS197" s="1804">
        <v>0</v>
      </c>
      <c r="CT197" s="1804">
        <v>0</v>
      </c>
      <c r="CU197" s="1804">
        <v>0</v>
      </c>
      <c r="CV197" s="1804">
        <v>0</v>
      </c>
      <c r="CW197" s="1804">
        <v>0</v>
      </c>
      <c r="CX197" s="1804">
        <v>0</v>
      </c>
      <c r="CY197" s="1804">
        <v>0</v>
      </c>
      <c r="CZ197" s="1804">
        <v>0</v>
      </c>
      <c r="DA197" s="1804">
        <v>0</v>
      </c>
      <c r="DB197" s="1804">
        <v>0</v>
      </c>
      <c r="DC197" s="1804">
        <v>0</v>
      </c>
      <c r="DD197" s="1804">
        <v>0</v>
      </c>
      <c r="DE197" s="1804">
        <v>0</v>
      </c>
      <c r="DF197" s="1804">
        <v>0</v>
      </c>
      <c r="DG197" s="1804">
        <v>0</v>
      </c>
      <c r="DH197" s="1804">
        <v>0</v>
      </c>
      <c r="DI197" s="1804">
        <v>0</v>
      </c>
      <c r="DJ197" s="1804">
        <v>0</v>
      </c>
      <c r="DK197" s="1804">
        <v>0</v>
      </c>
      <c r="DL197" s="1804">
        <v>0</v>
      </c>
      <c r="DM197" s="1804">
        <v>0</v>
      </c>
      <c r="DN197" s="1804">
        <v>0</v>
      </c>
      <c r="DO197" s="1804">
        <v>0</v>
      </c>
      <c r="DP197" s="1804">
        <v>0</v>
      </c>
      <c r="DQ197" s="1804">
        <v>0</v>
      </c>
      <c r="DR197" s="1804">
        <v>0</v>
      </c>
      <c r="DS197" s="1804">
        <v>0</v>
      </c>
      <c r="DT197" s="1804">
        <v>0</v>
      </c>
      <c r="DU197" s="1804">
        <v>0</v>
      </c>
      <c r="DV197" s="1804">
        <v>0</v>
      </c>
      <c r="DW197" s="1804">
        <v>0</v>
      </c>
      <c r="DX197" s="1804">
        <v>0</v>
      </c>
      <c r="DY197" s="1804">
        <v>0</v>
      </c>
      <c r="DZ197" s="1804">
        <v>0</v>
      </c>
      <c r="EA197" s="1804">
        <v>0</v>
      </c>
      <c r="EB197" s="1804">
        <v>0</v>
      </c>
      <c r="EC197" s="1804">
        <v>0</v>
      </c>
      <c r="ED197" s="1804">
        <v>0</v>
      </c>
      <c r="EE197" s="1804">
        <v>0</v>
      </c>
      <c r="EF197" s="1804">
        <v>0</v>
      </c>
      <c r="EG197" s="1804">
        <v>0</v>
      </c>
      <c r="EH197" s="1804">
        <v>0</v>
      </c>
      <c r="EI197" s="1804">
        <v>0</v>
      </c>
      <c r="EJ197" s="1804">
        <v>0</v>
      </c>
      <c r="EK197" s="1804">
        <v>0</v>
      </c>
      <c r="EL197" s="1804">
        <v>0</v>
      </c>
      <c r="EM197" s="1804">
        <v>0</v>
      </c>
      <c r="EN197" s="1804">
        <v>0</v>
      </c>
      <c r="EO197" s="1804">
        <v>0</v>
      </c>
      <c r="EP197" s="1804">
        <v>0</v>
      </c>
      <c r="EQ197" s="1804">
        <v>0</v>
      </c>
      <c r="ER197" s="1804">
        <v>0</v>
      </c>
      <c r="ES197" s="1804">
        <v>0</v>
      </c>
      <c r="ET197" s="1804">
        <v>0</v>
      </c>
      <c r="EU197" s="1804">
        <v>0</v>
      </c>
      <c r="EV197" s="1804">
        <v>0</v>
      </c>
      <c r="EW197" s="1804">
        <v>0</v>
      </c>
      <c r="EX197" s="1804">
        <v>0</v>
      </c>
      <c r="EY197" s="1804">
        <v>0</v>
      </c>
      <c r="EZ197" s="1804">
        <v>0</v>
      </c>
      <c r="FA197" s="1804">
        <v>0</v>
      </c>
      <c r="FB197" s="1804">
        <v>0</v>
      </c>
      <c r="FC197" s="1804">
        <v>0</v>
      </c>
      <c r="FD197" s="1804">
        <v>0</v>
      </c>
      <c r="FE197" s="1804">
        <v>0</v>
      </c>
      <c r="FF197" s="1804">
        <v>0</v>
      </c>
      <c r="FG197" s="1804">
        <v>0</v>
      </c>
      <c r="FH197" s="1804">
        <v>0</v>
      </c>
      <c r="FI197" s="1804">
        <v>0</v>
      </c>
      <c r="FJ197" s="1804">
        <v>0</v>
      </c>
      <c r="FK197" s="1804">
        <v>0</v>
      </c>
      <c r="FL197" s="1804">
        <v>0</v>
      </c>
      <c r="FM197" s="1804">
        <v>0</v>
      </c>
      <c r="FN197" s="1804">
        <v>0</v>
      </c>
      <c r="FO197" s="1804">
        <v>0</v>
      </c>
      <c r="FP197" s="1804">
        <v>0</v>
      </c>
      <c r="FQ197" s="1804">
        <v>0</v>
      </c>
      <c r="FR197" s="1804">
        <v>0</v>
      </c>
      <c r="FS197" s="1804">
        <v>0</v>
      </c>
      <c r="FT197" s="1804">
        <v>0</v>
      </c>
      <c r="FU197" s="1804">
        <v>0</v>
      </c>
      <c r="FV197" s="1804">
        <v>0</v>
      </c>
      <c r="FW197" s="1804">
        <v>0</v>
      </c>
      <c r="FX197" s="1804">
        <v>0</v>
      </c>
      <c r="FY197" s="1804">
        <v>0</v>
      </c>
      <c r="FZ197" s="1804">
        <v>0</v>
      </c>
      <c r="GA197" s="1804">
        <v>0</v>
      </c>
      <c r="GB197" s="1804">
        <v>0</v>
      </c>
      <c r="GC197" s="1804">
        <v>0</v>
      </c>
      <c r="GD197" s="1804">
        <v>0</v>
      </c>
      <c r="GE197" s="1804">
        <v>0</v>
      </c>
      <c r="GF197" s="1804">
        <v>0</v>
      </c>
      <c r="GG197" s="1804">
        <v>0</v>
      </c>
      <c r="GH197" s="1804">
        <v>0</v>
      </c>
      <c r="GI197" s="1804">
        <v>0</v>
      </c>
      <c r="GJ197" s="1804">
        <v>0</v>
      </c>
      <c r="GK197" s="1804">
        <v>0</v>
      </c>
      <c r="GL197" s="1804">
        <v>0</v>
      </c>
      <c r="GM197" s="1804">
        <v>0</v>
      </c>
      <c r="GN197" s="1804">
        <v>0</v>
      </c>
      <c r="GO197" s="1804">
        <v>0</v>
      </c>
      <c r="GP197" s="1804">
        <v>0</v>
      </c>
      <c r="GQ197" s="1804">
        <v>0</v>
      </c>
      <c r="GR197" s="1804">
        <v>0</v>
      </c>
      <c r="GS197" s="1804">
        <v>0</v>
      </c>
      <c r="GT197" s="1804">
        <v>0</v>
      </c>
      <c r="GU197" s="1804">
        <v>0</v>
      </c>
      <c r="GV197" s="1804">
        <v>0</v>
      </c>
      <c r="GW197" s="1804">
        <v>0</v>
      </c>
      <c r="GX197" s="1804">
        <v>0</v>
      </c>
      <c r="GY197" s="1804">
        <v>0</v>
      </c>
      <c r="GZ197" s="1804">
        <v>0</v>
      </c>
      <c r="HA197" s="1804">
        <v>0</v>
      </c>
      <c r="HB197" s="1804">
        <v>0</v>
      </c>
      <c r="HC197" s="1804">
        <v>0</v>
      </c>
      <c r="HD197" s="1804">
        <v>0</v>
      </c>
      <c r="HE197" s="1804">
        <v>0</v>
      </c>
    </row>
    <row r="198" spans="1:213" ht="15" customHeight="1" x14ac:dyDescent="0.2">
      <c r="A198" s="1966"/>
      <c r="B198" s="1989"/>
      <c r="C198" s="1816" t="s">
        <v>900</v>
      </c>
      <c r="D198" s="1883"/>
      <c r="E198" s="1984"/>
      <c r="F198" s="1838">
        <v>0</v>
      </c>
      <c r="G198" s="1804">
        <v>0</v>
      </c>
      <c r="H198" s="1804">
        <v>0</v>
      </c>
      <c r="I198" s="1804">
        <v>0</v>
      </c>
      <c r="J198" s="1804">
        <v>0</v>
      </c>
      <c r="K198" s="1804">
        <v>0</v>
      </c>
      <c r="L198" s="1804">
        <v>0</v>
      </c>
      <c r="M198" s="1804">
        <v>0</v>
      </c>
      <c r="N198" s="1804">
        <v>0</v>
      </c>
      <c r="O198" s="1804">
        <v>0</v>
      </c>
      <c r="P198" s="1804">
        <v>0</v>
      </c>
      <c r="Q198" s="1804">
        <v>0</v>
      </c>
      <c r="R198" s="1804">
        <v>0</v>
      </c>
      <c r="S198" s="1804">
        <v>0</v>
      </c>
      <c r="T198" s="1804">
        <v>0</v>
      </c>
      <c r="U198" s="1804">
        <v>0</v>
      </c>
      <c r="V198" s="1804">
        <v>0</v>
      </c>
      <c r="W198" s="1804">
        <v>0</v>
      </c>
      <c r="X198" s="1804">
        <v>0</v>
      </c>
      <c r="Y198" s="1804">
        <v>0</v>
      </c>
      <c r="Z198" s="1804">
        <v>0</v>
      </c>
      <c r="AA198" s="1804">
        <v>0</v>
      </c>
      <c r="AB198" s="1804">
        <v>0</v>
      </c>
      <c r="AC198" s="1804">
        <v>0</v>
      </c>
      <c r="AD198" s="1804">
        <v>0</v>
      </c>
      <c r="AE198" s="1804">
        <v>0</v>
      </c>
      <c r="AF198" s="1804">
        <v>0</v>
      </c>
      <c r="AG198" s="1804">
        <v>0</v>
      </c>
      <c r="AH198" s="1804">
        <v>0</v>
      </c>
      <c r="AI198" s="1804">
        <v>0</v>
      </c>
      <c r="AJ198" s="1804">
        <v>0</v>
      </c>
      <c r="AK198" s="1804">
        <v>0</v>
      </c>
      <c r="AL198" s="1804">
        <v>0</v>
      </c>
      <c r="AM198" s="1804">
        <v>0</v>
      </c>
      <c r="AN198" s="1804">
        <v>0</v>
      </c>
      <c r="AO198" s="1804">
        <v>0</v>
      </c>
      <c r="AP198" s="1804">
        <v>0</v>
      </c>
      <c r="AQ198" s="1804">
        <v>0</v>
      </c>
      <c r="AR198" s="1804">
        <v>0</v>
      </c>
      <c r="AS198" s="1804">
        <v>0</v>
      </c>
      <c r="AT198" s="1804">
        <v>0</v>
      </c>
      <c r="AU198" s="1804">
        <v>0</v>
      </c>
      <c r="AV198" s="1804">
        <v>0</v>
      </c>
      <c r="AW198" s="1804">
        <v>0</v>
      </c>
      <c r="AX198" s="1804">
        <v>0</v>
      </c>
      <c r="AY198" s="1804">
        <v>0</v>
      </c>
      <c r="AZ198" s="1804">
        <v>0</v>
      </c>
      <c r="BA198" s="1804">
        <v>0</v>
      </c>
      <c r="BB198" s="1804">
        <v>0</v>
      </c>
      <c r="BC198" s="1804">
        <v>0</v>
      </c>
      <c r="BD198" s="1804">
        <v>0</v>
      </c>
      <c r="BE198" s="1804">
        <v>0</v>
      </c>
      <c r="BF198" s="1804">
        <v>0</v>
      </c>
      <c r="BG198" s="1804">
        <v>0</v>
      </c>
      <c r="BH198" s="1804">
        <v>0</v>
      </c>
      <c r="BI198" s="1804">
        <v>0</v>
      </c>
      <c r="BJ198" s="1804">
        <v>0</v>
      </c>
      <c r="BK198" s="1804">
        <v>0</v>
      </c>
      <c r="BL198" s="1804">
        <v>0</v>
      </c>
      <c r="BM198" s="1804">
        <v>0</v>
      </c>
      <c r="BN198" s="1804">
        <v>0</v>
      </c>
      <c r="BO198" s="1804">
        <v>0</v>
      </c>
      <c r="BP198" s="1804">
        <v>0</v>
      </c>
      <c r="BQ198" s="1804">
        <v>0</v>
      </c>
      <c r="BR198" s="1804">
        <v>0</v>
      </c>
      <c r="BS198" s="1804">
        <v>0</v>
      </c>
      <c r="BT198" s="1804">
        <v>0</v>
      </c>
      <c r="BU198" s="1804">
        <v>0</v>
      </c>
      <c r="BV198" s="1804">
        <v>0</v>
      </c>
      <c r="BW198" s="1804">
        <v>0</v>
      </c>
      <c r="BX198" s="1804">
        <v>0</v>
      </c>
      <c r="BY198" s="1804">
        <v>0</v>
      </c>
      <c r="BZ198" s="1804">
        <v>0</v>
      </c>
      <c r="CA198" s="1804">
        <v>0</v>
      </c>
      <c r="CB198" s="1804">
        <v>0</v>
      </c>
      <c r="CC198" s="1804">
        <v>0</v>
      </c>
      <c r="CD198" s="1804">
        <v>0</v>
      </c>
      <c r="CE198" s="1804">
        <v>0</v>
      </c>
      <c r="CF198" s="1804">
        <v>0</v>
      </c>
      <c r="CG198" s="1804">
        <v>0</v>
      </c>
      <c r="CH198" s="1804">
        <v>0</v>
      </c>
      <c r="CI198" s="1804">
        <v>0</v>
      </c>
      <c r="CJ198" s="1804">
        <v>0</v>
      </c>
      <c r="CK198" s="1804">
        <v>0</v>
      </c>
      <c r="CL198" s="1804">
        <v>0</v>
      </c>
      <c r="CM198" s="1804">
        <v>0</v>
      </c>
      <c r="CN198" s="1804">
        <v>0</v>
      </c>
      <c r="CO198" s="1804">
        <v>0</v>
      </c>
      <c r="CP198" s="1804">
        <v>0</v>
      </c>
      <c r="CQ198" s="1804">
        <v>0</v>
      </c>
      <c r="CR198" s="1804">
        <v>0</v>
      </c>
      <c r="CS198" s="1804">
        <v>0</v>
      </c>
      <c r="CT198" s="1804">
        <v>0</v>
      </c>
      <c r="CU198" s="1804">
        <v>0</v>
      </c>
      <c r="CV198" s="1804">
        <v>0</v>
      </c>
      <c r="CW198" s="1804">
        <v>0</v>
      </c>
      <c r="CX198" s="1804">
        <v>0</v>
      </c>
      <c r="CY198" s="1804">
        <v>0</v>
      </c>
      <c r="CZ198" s="1804">
        <v>0</v>
      </c>
      <c r="DA198" s="1804">
        <v>0</v>
      </c>
      <c r="DB198" s="1804">
        <v>0</v>
      </c>
      <c r="DC198" s="1804">
        <v>0</v>
      </c>
      <c r="DD198" s="1804">
        <v>0</v>
      </c>
      <c r="DE198" s="1804">
        <v>0</v>
      </c>
      <c r="DF198" s="1804">
        <v>0</v>
      </c>
      <c r="DG198" s="1804">
        <v>0</v>
      </c>
      <c r="DH198" s="1804">
        <v>0</v>
      </c>
      <c r="DI198" s="1804">
        <v>0</v>
      </c>
      <c r="DJ198" s="1804">
        <v>0</v>
      </c>
      <c r="DK198" s="1804">
        <v>0</v>
      </c>
      <c r="DL198" s="1804">
        <v>0</v>
      </c>
      <c r="DM198" s="1804">
        <v>0</v>
      </c>
      <c r="DN198" s="1804">
        <v>0</v>
      </c>
      <c r="DO198" s="1804">
        <v>0</v>
      </c>
      <c r="DP198" s="1804">
        <v>0</v>
      </c>
      <c r="DQ198" s="1804">
        <v>0</v>
      </c>
      <c r="DR198" s="1804">
        <v>0</v>
      </c>
      <c r="DS198" s="1804">
        <v>0</v>
      </c>
      <c r="DT198" s="1804">
        <v>0</v>
      </c>
      <c r="DU198" s="1804">
        <v>0</v>
      </c>
      <c r="DV198" s="1804">
        <v>0</v>
      </c>
      <c r="DW198" s="1804">
        <v>0</v>
      </c>
      <c r="DX198" s="1804">
        <v>0</v>
      </c>
      <c r="DY198" s="1804">
        <v>0</v>
      </c>
      <c r="DZ198" s="1804">
        <v>0</v>
      </c>
      <c r="EA198" s="1804">
        <v>0</v>
      </c>
      <c r="EB198" s="1804">
        <v>0</v>
      </c>
      <c r="EC198" s="1804">
        <v>0</v>
      </c>
      <c r="ED198" s="1804">
        <v>0</v>
      </c>
      <c r="EE198" s="1804">
        <v>0</v>
      </c>
      <c r="EF198" s="1804">
        <v>0</v>
      </c>
      <c r="EG198" s="1804">
        <v>0</v>
      </c>
      <c r="EH198" s="1804">
        <v>0</v>
      </c>
      <c r="EI198" s="1804">
        <v>0</v>
      </c>
      <c r="EJ198" s="1804">
        <v>0</v>
      </c>
      <c r="EK198" s="1804">
        <v>0</v>
      </c>
      <c r="EL198" s="1804">
        <v>0</v>
      </c>
      <c r="EM198" s="1804">
        <v>0</v>
      </c>
      <c r="EN198" s="1804">
        <v>0</v>
      </c>
      <c r="EO198" s="1804">
        <v>0</v>
      </c>
      <c r="EP198" s="1804">
        <v>0</v>
      </c>
      <c r="EQ198" s="1804">
        <v>0</v>
      </c>
      <c r="ER198" s="1804">
        <v>0</v>
      </c>
      <c r="ES198" s="1804">
        <v>0</v>
      </c>
      <c r="ET198" s="1804">
        <v>0</v>
      </c>
      <c r="EU198" s="1804">
        <v>0</v>
      </c>
      <c r="EV198" s="1804">
        <v>0</v>
      </c>
      <c r="EW198" s="1804">
        <v>0</v>
      </c>
      <c r="EX198" s="1804">
        <v>0</v>
      </c>
      <c r="EY198" s="1804">
        <v>0</v>
      </c>
      <c r="EZ198" s="1804">
        <v>0</v>
      </c>
      <c r="FA198" s="1804">
        <v>0</v>
      </c>
      <c r="FB198" s="1804">
        <v>0</v>
      </c>
      <c r="FC198" s="1804">
        <v>0</v>
      </c>
      <c r="FD198" s="1804">
        <v>0</v>
      </c>
      <c r="FE198" s="1804">
        <v>0</v>
      </c>
      <c r="FF198" s="1804">
        <v>0</v>
      </c>
      <c r="FG198" s="1804">
        <v>0</v>
      </c>
      <c r="FH198" s="1804">
        <v>0</v>
      </c>
      <c r="FI198" s="1804">
        <v>0</v>
      </c>
      <c r="FJ198" s="1804">
        <v>0</v>
      </c>
      <c r="FK198" s="1804">
        <v>0</v>
      </c>
      <c r="FL198" s="1804">
        <v>0</v>
      </c>
      <c r="FM198" s="1804">
        <v>0</v>
      </c>
      <c r="FN198" s="1804">
        <v>0</v>
      </c>
      <c r="FO198" s="1804">
        <v>0</v>
      </c>
      <c r="FP198" s="1804">
        <v>0</v>
      </c>
      <c r="FQ198" s="1804">
        <v>0</v>
      </c>
      <c r="FR198" s="1804">
        <v>0</v>
      </c>
      <c r="FS198" s="1804">
        <v>0</v>
      </c>
      <c r="FT198" s="1804">
        <v>0</v>
      </c>
      <c r="FU198" s="1804">
        <v>0</v>
      </c>
      <c r="FV198" s="1804">
        <v>0</v>
      </c>
      <c r="FW198" s="1804">
        <v>0</v>
      </c>
      <c r="FX198" s="1804">
        <v>0</v>
      </c>
      <c r="FY198" s="1804">
        <v>0</v>
      </c>
      <c r="FZ198" s="1804">
        <v>0</v>
      </c>
      <c r="GA198" s="1804">
        <v>0</v>
      </c>
      <c r="GB198" s="1804">
        <v>0</v>
      </c>
      <c r="GC198" s="1804">
        <v>0</v>
      </c>
      <c r="GD198" s="1804">
        <v>0</v>
      </c>
      <c r="GE198" s="1804">
        <v>0</v>
      </c>
      <c r="GF198" s="1804">
        <v>0</v>
      </c>
      <c r="GG198" s="1804">
        <v>0</v>
      </c>
      <c r="GH198" s="1804">
        <v>0</v>
      </c>
      <c r="GI198" s="1804">
        <v>0</v>
      </c>
      <c r="GJ198" s="1804">
        <v>0</v>
      </c>
      <c r="GK198" s="1804">
        <v>0</v>
      </c>
      <c r="GL198" s="1804">
        <v>0</v>
      </c>
      <c r="GM198" s="1804">
        <v>0</v>
      </c>
      <c r="GN198" s="1804">
        <v>0</v>
      </c>
      <c r="GO198" s="1804">
        <v>0</v>
      </c>
      <c r="GP198" s="1804">
        <v>0</v>
      </c>
      <c r="GQ198" s="1804">
        <v>0</v>
      </c>
      <c r="GR198" s="1804">
        <v>0</v>
      </c>
      <c r="GS198" s="1804">
        <v>0</v>
      </c>
      <c r="GT198" s="1804">
        <v>0</v>
      </c>
      <c r="GU198" s="1804">
        <v>0</v>
      </c>
      <c r="GV198" s="1804">
        <v>0</v>
      </c>
      <c r="GW198" s="1804">
        <v>0</v>
      </c>
      <c r="GX198" s="1804">
        <v>0</v>
      </c>
      <c r="GY198" s="1804">
        <v>0</v>
      </c>
      <c r="GZ198" s="1804">
        <v>0</v>
      </c>
      <c r="HA198" s="1804">
        <v>0</v>
      </c>
      <c r="HB198" s="1804">
        <v>0</v>
      </c>
      <c r="HC198" s="1804">
        <v>0</v>
      </c>
      <c r="HD198" s="1804">
        <v>0</v>
      </c>
      <c r="HE198" s="1804">
        <v>0</v>
      </c>
    </row>
    <row r="199" spans="1:213" ht="15" customHeight="1" thickBot="1" x14ac:dyDescent="0.25">
      <c r="A199" s="1967"/>
      <c r="B199" s="1991"/>
      <c r="C199" s="1816" t="s">
        <v>920</v>
      </c>
      <c r="D199" s="1881"/>
      <c r="E199" s="1984"/>
      <c r="F199" s="1838">
        <v>0</v>
      </c>
      <c r="G199" s="1804">
        <v>0</v>
      </c>
      <c r="H199" s="1804">
        <v>0</v>
      </c>
      <c r="I199" s="1804">
        <v>0</v>
      </c>
      <c r="J199" s="1804">
        <v>0</v>
      </c>
      <c r="K199" s="1804">
        <v>0</v>
      </c>
      <c r="L199" s="1804">
        <v>0</v>
      </c>
      <c r="M199" s="1804">
        <v>0</v>
      </c>
      <c r="N199" s="1804">
        <v>0</v>
      </c>
      <c r="O199" s="1804">
        <v>0</v>
      </c>
      <c r="P199" s="1804">
        <v>0</v>
      </c>
      <c r="Q199" s="1804">
        <v>0</v>
      </c>
      <c r="R199" s="1804">
        <v>0</v>
      </c>
      <c r="S199" s="1804">
        <v>0</v>
      </c>
      <c r="T199" s="1804">
        <v>0</v>
      </c>
      <c r="U199" s="1804">
        <v>0</v>
      </c>
      <c r="V199" s="1804">
        <v>0</v>
      </c>
      <c r="W199" s="1804">
        <v>0</v>
      </c>
      <c r="X199" s="1804">
        <v>0</v>
      </c>
      <c r="Y199" s="1804">
        <v>0</v>
      </c>
      <c r="Z199" s="1804">
        <v>0</v>
      </c>
      <c r="AA199" s="1804">
        <v>0</v>
      </c>
      <c r="AB199" s="1804">
        <v>0</v>
      </c>
      <c r="AC199" s="1804">
        <v>0</v>
      </c>
      <c r="AD199" s="1804">
        <v>0</v>
      </c>
      <c r="AE199" s="1804">
        <v>0</v>
      </c>
      <c r="AF199" s="1804">
        <v>0</v>
      </c>
      <c r="AG199" s="1804">
        <v>0</v>
      </c>
      <c r="AH199" s="1804">
        <v>0</v>
      </c>
      <c r="AI199" s="1804">
        <v>0</v>
      </c>
      <c r="AJ199" s="1804">
        <v>0</v>
      </c>
      <c r="AK199" s="1804">
        <v>0</v>
      </c>
      <c r="AL199" s="1804">
        <v>0</v>
      </c>
      <c r="AM199" s="1804">
        <v>0</v>
      </c>
      <c r="AN199" s="1804">
        <v>0</v>
      </c>
      <c r="AO199" s="1804">
        <v>0</v>
      </c>
      <c r="AP199" s="1804">
        <v>0</v>
      </c>
      <c r="AQ199" s="1804">
        <v>0</v>
      </c>
      <c r="AR199" s="1804">
        <v>0</v>
      </c>
      <c r="AS199" s="1804">
        <v>0</v>
      </c>
      <c r="AT199" s="1804">
        <v>0</v>
      </c>
      <c r="AU199" s="1804">
        <v>0</v>
      </c>
      <c r="AV199" s="1804">
        <v>0</v>
      </c>
      <c r="AW199" s="1804">
        <v>0</v>
      </c>
      <c r="AX199" s="1804">
        <v>0</v>
      </c>
      <c r="AY199" s="1804">
        <v>0</v>
      </c>
      <c r="AZ199" s="1804">
        <v>0</v>
      </c>
      <c r="BA199" s="1804">
        <v>0</v>
      </c>
      <c r="BB199" s="1804">
        <v>0</v>
      </c>
      <c r="BC199" s="1804">
        <v>0</v>
      </c>
      <c r="BD199" s="1804">
        <v>0</v>
      </c>
      <c r="BE199" s="1804">
        <v>0</v>
      </c>
      <c r="BF199" s="1804">
        <v>0</v>
      </c>
      <c r="BG199" s="1804">
        <v>0</v>
      </c>
      <c r="BH199" s="1804">
        <v>0</v>
      </c>
      <c r="BI199" s="1804">
        <v>0</v>
      </c>
      <c r="BJ199" s="1804">
        <v>0</v>
      </c>
      <c r="BK199" s="1804">
        <v>0</v>
      </c>
      <c r="BL199" s="1804">
        <v>0</v>
      </c>
      <c r="BM199" s="1804">
        <v>0</v>
      </c>
      <c r="BN199" s="1804">
        <v>0</v>
      </c>
      <c r="BO199" s="1804">
        <v>0</v>
      </c>
      <c r="BP199" s="1804">
        <v>0</v>
      </c>
      <c r="BQ199" s="1804">
        <v>0</v>
      </c>
      <c r="BR199" s="1804">
        <v>0</v>
      </c>
      <c r="BS199" s="1804">
        <v>0</v>
      </c>
      <c r="BT199" s="1804">
        <v>0</v>
      </c>
      <c r="BU199" s="1804">
        <v>0</v>
      </c>
      <c r="BV199" s="1804">
        <v>0</v>
      </c>
      <c r="BW199" s="1804">
        <v>0</v>
      </c>
      <c r="BX199" s="1804">
        <v>0</v>
      </c>
      <c r="BY199" s="1804">
        <v>0</v>
      </c>
      <c r="BZ199" s="1804">
        <v>0</v>
      </c>
      <c r="CA199" s="1804">
        <v>0</v>
      </c>
      <c r="CB199" s="1804">
        <v>0</v>
      </c>
      <c r="CC199" s="1804">
        <v>0</v>
      </c>
      <c r="CD199" s="1804">
        <v>0</v>
      </c>
      <c r="CE199" s="1804">
        <v>0</v>
      </c>
      <c r="CF199" s="1804">
        <v>0</v>
      </c>
      <c r="CG199" s="1804">
        <v>0</v>
      </c>
      <c r="CH199" s="1804">
        <v>0</v>
      </c>
      <c r="CI199" s="1804">
        <v>0</v>
      </c>
      <c r="CJ199" s="1804">
        <v>0</v>
      </c>
      <c r="CK199" s="1804">
        <v>0</v>
      </c>
      <c r="CL199" s="1804">
        <v>0</v>
      </c>
      <c r="CM199" s="1804">
        <v>0</v>
      </c>
      <c r="CN199" s="1804">
        <v>0</v>
      </c>
      <c r="CO199" s="1804">
        <v>0</v>
      </c>
      <c r="CP199" s="1804">
        <v>0</v>
      </c>
      <c r="CQ199" s="1804">
        <v>0</v>
      </c>
      <c r="CR199" s="1804">
        <v>0</v>
      </c>
      <c r="CS199" s="1804">
        <v>0</v>
      </c>
      <c r="CT199" s="1804">
        <v>0</v>
      </c>
      <c r="CU199" s="1804">
        <v>0</v>
      </c>
      <c r="CV199" s="1804">
        <v>0</v>
      </c>
      <c r="CW199" s="1804">
        <v>0</v>
      </c>
      <c r="CX199" s="1804">
        <v>0</v>
      </c>
      <c r="CY199" s="1804">
        <v>0</v>
      </c>
      <c r="CZ199" s="1804">
        <v>0</v>
      </c>
      <c r="DA199" s="1804">
        <v>0</v>
      </c>
      <c r="DB199" s="1804">
        <v>0</v>
      </c>
      <c r="DC199" s="1804">
        <v>0</v>
      </c>
      <c r="DD199" s="1804">
        <v>0</v>
      </c>
      <c r="DE199" s="1804">
        <v>0</v>
      </c>
      <c r="DF199" s="1804">
        <v>0</v>
      </c>
      <c r="DG199" s="1804">
        <v>0</v>
      </c>
      <c r="DH199" s="1804">
        <v>0</v>
      </c>
      <c r="DI199" s="1804">
        <v>0</v>
      </c>
      <c r="DJ199" s="1804">
        <v>0</v>
      </c>
      <c r="DK199" s="1804">
        <v>0</v>
      </c>
      <c r="DL199" s="1804">
        <v>0</v>
      </c>
      <c r="DM199" s="1804">
        <v>0</v>
      </c>
      <c r="DN199" s="1804">
        <v>0</v>
      </c>
      <c r="DO199" s="1804">
        <v>0</v>
      </c>
      <c r="DP199" s="1804">
        <v>0</v>
      </c>
      <c r="DQ199" s="1804">
        <v>0</v>
      </c>
      <c r="DR199" s="1804">
        <v>0</v>
      </c>
      <c r="DS199" s="1804">
        <v>0</v>
      </c>
      <c r="DT199" s="1804">
        <v>0</v>
      </c>
      <c r="DU199" s="1804">
        <v>0</v>
      </c>
      <c r="DV199" s="1804">
        <v>0</v>
      </c>
      <c r="DW199" s="1804">
        <v>0</v>
      </c>
      <c r="DX199" s="1804">
        <v>0</v>
      </c>
      <c r="DY199" s="1804">
        <v>0</v>
      </c>
      <c r="DZ199" s="1804">
        <v>0</v>
      </c>
      <c r="EA199" s="1804">
        <v>0</v>
      </c>
      <c r="EB199" s="1804">
        <v>0</v>
      </c>
      <c r="EC199" s="1804">
        <v>0</v>
      </c>
      <c r="ED199" s="1804">
        <v>0</v>
      </c>
      <c r="EE199" s="1804">
        <v>0</v>
      </c>
      <c r="EF199" s="1804">
        <v>0</v>
      </c>
      <c r="EG199" s="1804">
        <v>0</v>
      </c>
      <c r="EH199" s="1804">
        <v>0</v>
      </c>
      <c r="EI199" s="1804">
        <v>0</v>
      </c>
      <c r="EJ199" s="1804">
        <v>0</v>
      </c>
      <c r="EK199" s="1804">
        <v>0</v>
      </c>
      <c r="EL199" s="1804">
        <v>0</v>
      </c>
      <c r="EM199" s="1804">
        <v>0</v>
      </c>
      <c r="EN199" s="1804">
        <v>0</v>
      </c>
      <c r="EO199" s="1804">
        <v>0</v>
      </c>
      <c r="EP199" s="1804">
        <v>0</v>
      </c>
      <c r="EQ199" s="1804">
        <v>0</v>
      </c>
      <c r="ER199" s="1804">
        <v>0</v>
      </c>
      <c r="ES199" s="1804">
        <v>0</v>
      </c>
      <c r="ET199" s="1804">
        <v>0</v>
      </c>
      <c r="EU199" s="1804">
        <v>0</v>
      </c>
      <c r="EV199" s="1804">
        <v>0</v>
      </c>
      <c r="EW199" s="1804">
        <v>0</v>
      </c>
      <c r="EX199" s="1804">
        <v>0</v>
      </c>
      <c r="EY199" s="1804">
        <v>0</v>
      </c>
      <c r="EZ199" s="1804">
        <v>0</v>
      </c>
      <c r="FA199" s="1804">
        <v>0</v>
      </c>
      <c r="FB199" s="1804">
        <v>0</v>
      </c>
      <c r="FC199" s="1804">
        <v>0</v>
      </c>
      <c r="FD199" s="1804">
        <v>0</v>
      </c>
      <c r="FE199" s="1804">
        <v>0</v>
      </c>
      <c r="FF199" s="1804">
        <v>0</v>
      </c>
      <c r="FG199" s="1804">
        <v>0</v>
      </c>
      <c r="FH199" s="1804">
        <v>0</v>
      </c>
      <c r="FI199" s="1804">
        <v>0</v>
      </c>
      <c r="FJ199" s="1804">
        <v>0</v>
      </c>
      <c r="FK199" s="1804">
        <v>0</v>
      </c>
      <c r="FL199" s="1804">
        <v>0</v>
      </c>
      <c r="FM199" s="1804">
        <v>0</v>
      </c>
      <c r="FN199" s="1804">
        <v>0</v>
      </c>
      <c r="FO199" s="1804">
        <v>0</v>
      </c>
      <c r="FP199" s="1804">
        <v>0</v>
      </c>
      <c r="FQ199" s="1804">
        <v>0</v>
      </c>
      <c r="FR199" s="1804">
        <v>0</v>
      </c>
      <c r="FS199" s="1804">
        <v>0</v>
      </c>
      <c r="FT199" s="1804">
        <v>0</v>
      </c>
      <c r="FU199" s="1804">
        <v>0</v>
      </c>
      <c r="FV199" s="1804">
        <v>0</v>
      </c>
      <c r="FW199" s="1804">
        <v>0</v>
      </c>
      <c r="FX199" s="1804">
        <v>0</v>
      </c>
      <c r="FY199" s="1804">
        <v>0</v>
      </c>
      <c r="FZ199" s="1804">
        <v>0</v>
      </c>
      <c r="GA199" s="1804">
        <v>0</v>
      </c>
      <c r="GB199" s="1804">
        <v>0</v>
      </c>
      <c r="GC199" s="1804">
        <v>0</v>
      </c>
      <c r="GD199" s="1804">
        <v>0</v>
      </c>
      <c r="GE199" s="1804">
        <v>0</v>
      </c>
      <c r="GF199" s="1804">
        <v>0</v>
      </c>
      <c r="GG199" s="1804">
        <v>0</v>
      </c>
      <c r="GH199" s="1804">
        <v>0</v>
      </c>
      <c r="GI199" s="1804">
        <v>0</v>
      </c>
      <c r="GJ199" s="1804">
        <v>0</v>
      </c>
      <c r="GK199" s="1804">
        <v>0</v>
      </c>
      <c r="GL199" s="1804">
        <v>0</v>
      </c>
      <c r="GM199" s="1804">
        <v>0</v>
      </c>
      <c r="GN199" s="1804">
        <v>0</v>
      </c>
      <c r="GO199" s="1804">
        <v>0</v>
      </c>
      <c r="GP199" s="1804">
        <v>0</v>
      </c>
      <c r="GQ199" s="1804">
        <v>0</v>
      </c>
      <c r="GR199" s="1804">
        <v>0</v>
      </c>
      <c r="GS199" s="1804">
        <v>0</v>
      </c>
      <c r="GT199" s="1804">
        <v>0</v>
      </c>
      <c r="GU199" s="1804">
        <v>0</v>
      </c>
      <c r="GV199" s="1804">
        <v>0</v>
      </c>
      <c r="GW199" s="1804">
        <v>0</v>
      </c>
      <c r="GX199" s="1804">
        <v>0</v>
      </c>
      <c r="GY199" s="1804">
        <v>0</v>
      </c>
      <c r="GZ199" s="1804">
        <v>0</v>
      </c>
      <c r="HA199" s="1804">
        <v>0</v>
      </c>
      <c r="HB199" s="1804">
        <v>0</v>
      </c>
      <c r="HC199" s="1804">
        <v>0</v>
      </c>
      <c r="HD199" s="1804">
        <v>0</v>
      </c>
      <c r="HE199" s="1804">
        <v>0</v>
      </c>
    </row>
    <row r="200" spans="1:213" ht="30" customHeight="1" thickBot="1" x14ac:dyDescent="0.25">
      <c r="A200" s="1966" t="s">
        <v>33</v>
      </c>
      <c r="B200" s="1989" t="s">
        <v>200</v>
      </c>
      <c r="C200" s="1699" t="s">
        <v>689</v>
      </c>
      <c r="D200" s="1880"/>
      <c r="E200" s="1984"/>
      <c r="F200" s="1865"/>
      <c r="G200" s="1866"/>
      <c r="H200" s="1866"/>
      <c r="I200" s="1866"/>
      <c r="J200" s="1866"/>
      <c r="K200" s="1866"/>
      <c r="L200" s="1866"/>
      <c r="M200" s="1866"/>
      <c r="N200" s="1866"/>
      <c r="O200" s="1866"/>
      <c r="P200" s="1866"/>
      <c r="Q200" s="1866"/>
      <c r="R200" s="1866"/>
      <c r="S200" s="1866"/>
      <c r="T200" s="1866"/>
      <c r="U200" s="1866"/>
      <c r="V200" s="1866"/>
      <c r="W200" s="1866"/>
      <c r="X200" s="1866"/>
      <c r="Y200" s="1866"/>
      <c r="Z200" s="1866"/>
      <c r="AA200" s="1866"/>
      <c r="AB200" s="1866"/>
      <c r="AC200" s="1866"/>
      <c r="AD200" s="1866"/>
      <c r="AE200" s="1866"/>
      <c r="AF200" s="1866"/>
      <c r="AG200" s="1866"/>
      <c r="AH200" s="1866"/>
      <c r="AI200" s="1866"/>
      <c r="AJ200" s="1866"/>
      <c r="AK200" s="1866"/>
      <c r="AL200" s="1866"/>
      <c r="AM200" s="1866"/>
      <c r="AN200" s="1866"/>
      <c r="AO200" s="1866"/>
      <c r="AP200" s="1866"/>
      <c r="AQ200" s="1866"/>
      <c r="AR200" s="1866"/>
      <c r="AS200" s="1866"/>
      <c r="AT200" s="1866"/>
      <c r="AU200" s="1866"/>
      <c r="AV200" s="1866"/>
      <c r="AW200" s="1866"/>
      <c r="AX200" s="1866"/>
      <c r="AY200" s="1866"/>
      <c r="AZ200" s="1866"/>
      <c r="BA200" s="1866"/>
      <c r="BB200" s="1866"/>
      <c r="BC200" s="1866"/>
      <c r="BD200" s="1866"/>
      <c r="BE200" s="1866"/>
      <c r="BF200" s="1866"/>
      <c r="BG200" s="1866"/>
      <c r="BH200" s="1866"/>
      <c r="BI200" s="1866"/>
      <c r="BJ200" s="1866"/>
      <c r="BK200" s="1866"/>
      <c r="BL200" s="1866"/>
      <c r="BM200" s="1866"/>
      <c r="BN200" s="1866"/>
      <c r="BO200" s="1866"/>
      <c r="BP200" s="1866"/>
      <c r="BQ200" s="1866"/>
      <c r="BR200" s="1866"/>
      <c r="BS200" s="1866"/>
      <c r="BT200" s="1866"/>
      <c r="BU200" s="1866"/>
      <c r="BV200" s="1866"/>
      <c r="BW200" s="1866"/>
      <c r="BX200" s="1866"/>
      <c r="BY200" s="1866"/>
      <c r="BZ200" s="1866"/>
      <c r="CA200" s="1866"/>
      <c r="CB200" s="1866"/>
      <c r="CC200" s="1866"/>
      <c r="CD200" s="1866"/>
      <c r="CE200" s="1866"/>
      <c r="CF200" s="1866"/>
      <c r="CG200" s="1866"/>
      <c r="CH200" s="1866"/>
      <c r="CI200" s="1866"/>
      <c r="CJ200" s="1866"/>
      <c r="CK200" s="1866"/>
      <c r="CL200" s="1866"/>
      <c r="CM200" s="1866"/>
      <c r="CN200" s="1866"/>
      <c r="CO200" s="1866"/>
      <c r="CP200" s="1866"/>
      <c r="CQ200" s="1866"/>
      <c r="CR200" s="1866"/>
      <c r="CS200" s="1866"/>
      <c r="CT200" s="1866"/>
      <c r="CU200" s="1866"/>
      <c r="CV200" s="1866"/>
      <c r="CW200" s="1866"/>
      <c r="CX200" s="1866"/>
      <c r="CY200" s="1866"/>
      <c r="CZ200" s="1866"/>
      <c r="DA200" s="1866"/>
      <c r="DB200" s="1866"/>
      <c r="DC200" s="1866"/>
      <c r="DD200" s="1866"/>
      <c r="DE200" s="1866"/>
      <c r="DF200" s="1866"/>
      <c r="DG200" s="1866"/>
      <c r="DH200" s="1866"/>
      <c r="DI200" s="1866"/>
      <c r="DJ200" s="1866"/>
      <c r="DK200" s="1866"/>
      <c r="DL200" s="1866"/>
      <c r="DM200" s="1866"/>
      <c r="DN200" s="1866"/>
      <c r="DO200" s="1866"/>
      <c r="DP200" s="1866"/>
      <c r="DQ200" s="1866"/>
      <c r="DR200" s="1866"/>
      <c r="DS200" s="1866"/>
      <c r="DT200" s="1866"/>
      <c r="DU200" s="1866"/>
      <c r="DV200" s="1866"/>
      <c r="DW200" s="1866"/>
      <c r="DX200" s="1866"/>
      <c r="DY200" s="1866"/>
      <c r="DZ200" s="1866"/>
      <c r="EA200" s="1866"/>
      <c r="EB200" s="1866"/>
      <c r="EC200" s="1866"/>
      <c r="ED200" s="1866"/>
      <c r="EE200" s="1866"/>
      <c r="EF200" s="1866"/>
      <c r="EG200" s="1866"/>
      <c r="EH200" s="1866"/>
      <c r="EI200" s="1866"/>
      <c r="EJ200" s="1866"/>
      <c r="EK200" s="1866"/>
      <c r="EL200" s="1866"/>
      <c r="EM200" s="1866"/>
      <c r="EN200" s="1866"/>
      <c r="EO200" s="1866"/>
      <c r="EP200" s="1866"/>
      <c r="EQ200" s="1866"/>
      <c r="ER200" s="1866"/>
      <c r="ES200" s="1866"/>
      <c r="ET200" s="1866"/>
      <c r="EU200" s="1866"/>
      <c r="EV200" s="1866"/>
      <c r="EW200" s="1866"/>
      <c r="EX200" s="1866"/>
      <c r="EY200" s="1866"/>
      <c r="EZ200" s="1866"/>
      <c r="FA200" s="1866"/>
      <c r="FB200" s="1866"/>
      <c r="FC200" s="1866"/>
      <c r="FD200" s="1866"/>
      <c r="FE200" s="1866"/>
      <c r="FF200" s="1866"/>
      <c r="FG200" s="1866"/>
      <c r="FH200" s="1866"/>
      <c r="FI200" s="1866"/>
      <c r="FJ200" s="1866"/>
      <c r="FK200" s="1866"/>
      <c r="FL200" s="1866"/>
      <c r="FM200" s="1866"/>
      <c r="FN200" s="1866"/>
      <c r="FO200" s="1866"/>
      <c r="FP200" s="1866"/>
      <c r="FQ200" s="1866"/>
      <c r="FR200" s="1866"/>
      <c r="FS200" s="1866"/>
      <c r="FT200" s="1866"/>
      <c r="FU200" s="1866"/>
      <c r="FV200" s="1866"/>
      <c r="FW200" s="1866"/>
      <c r="FX200" s="1866"/>
      <c r="FY200" s="1866"/>
      <c r="FZ200" s="1866"/>
      <c r="GA200" s="1866"/>
      <c r="GB200" s="1866"/>
      <c r="GC200" s="1866"/>
      <c r="GD200" s="1866"/>
      <c r="GE200" s="1866"/>
      <c r="GF200" s="1866"/>
      <c r="GG200" s="1866"/>
      <c r="GH200" s="1866"/>
      <c r="GI200" s="1866"/>
      <c r="GJ200" s="1866"/>
      <c r="GK200" s="1866"/>
      <c r="GL200" s="1866"/>
      <c r="GM200" s="1866"/>
      <c r="GN200" s="1866"/>
      <c r="GO200" s="1866"/>
      <c r="GP200" s="1866"/>
      <c r="GQ200" s="1866"/>
      <c r="GR200" s="1866"/>
      <c r="GS200" s="1866"/>
      <c r="GT200" s="1866"/>
      <c r="GU200" s="1866"/>
      <c r="GV200" s="1866"/>
      <c r="GW200" s="1866"/>
      <c r="GX200" s="1866"/>
      <c r="GY200" s="1866"/>
      <c r="GZ200" s="1866"/>
      <c r="HA200" s="1866"/>
      <c r="HB200" s="1866"/>
      <c r="HC200" s="1866"/>
      <c r="HD200" s="1866"/>
      <c r="HE200" s="1866"/>
    </row>
    <row r="201" spans="1:213" ht="15" customHeight="1" x14ac:dyDescent="0.2">
      <c r="A201" s="1966"/>
      <c r="B201" s="1989"/>
      <c r="C201" s="1705" t="s">
        <v>703</v>
      </c>
      <c r="D201" s="1883"/>
      <c r="E201" s="1984"/>
      <c r="F201" s="1838">
        <v>0</v>
      </c>
      <c r="G201" s="1804">
        <v>0</v>
      </c>
      <c r="H201" s="1804">
        <v>0</v>
      </c>
      <c r="I201" s="1804">
        <v>0</v>
      </c>
      <c r="J201" s="1804">
        <v>0</v>
      </c>
      <c r="K201" s="1804">
        <v>0</v>
      </c>
      <c r="L201" s="1804">
        <v>0</v>
      </c>
      <c r="M201" s="1804">
        <v>0</v>
      </c>
      <c r="N201" s="1804">
        <v>0</v>
      </c>
      <c r="O201" s="1804">
        <v>0</v>
      </c>
      <c r="P201" s="1804">
        <v>0</v>
      </c>
      <c r="Q201" s="1804">
        <v>0</v>
      </c>
      <c r="R201" s="1804">
        <v>0</v>
      </c>
      <c r="S201" s="1804">
        <v>0</v>
      </c>
      <c r="T201" s="1804">
        <v>0</v>
      </c>
      <c r="U201" s="1804">
        <v>0</v>
      </c>
      <c r="V201" s="1804">
        <v>0</v>
      </c>
      <c r="W201" s="1804">
        <v>0</v>
      </c>
      <c r="X201" s="1804">
        <v>0</v>
      </c>
      <c r="Y201" s="1804">
        <v>0</v>
      </c>
      <c r="Z201" s="1804">
        <v>0</v>
      </c>
      <c r="AA201" s="1804">
        <v>0</v>
      </c>
      <c r="AB201" s="1804">
        <v>0</v>
      </c>
      <c r="AC201" s="1804">
        <v>0</v>
      </c>
      <c r="AD201" s="1804">
        <v>0</v>
      </c>
      <c r="AE201" s="1804">
        <v>0</v>
      </c>
      <c r="AF201" s="1804">
        <v>0</v>
      </c>
      <c r="AG201" s="1804">
        <v>0</v>
      </c>
      <c r="AH201" s="1804">
        <v>0</v>
      </c>
      <c r="AI201" s="1804">
        <v>0</v>
      </c>
      <c r="AJ201" s="1804">
        <v>0</v>
      </c>
      <c r="AK201" s="1804">
        <v>0</v>
      </c>
      <c r="AL201" s="1804">
        <v>0</v>
      </c>
      <c r="AM201" s="1804">
        <v>0</v>
      </c>
      <c r="AN201" s="1804">
        <v>0</v>
      </c>
      <c r="AO201" s="1804">
        <v>0</v>
      </c>
      <c r="AP201" s="1804">
        <v>0</v>
      </c>
      <c r="AQ201" s="1804">
        <v>0</v>
      </c>
      <c r="AR201" s="1804">
        <v>0</v>
      </c>
      <c r="AS201" s="1804">
        <v>0</v>
      </c>
      <c r="AT201" s="1804">
        <v>0</v>
      </c>
      <c r="AU201" s="1804">
        <v>0</v>
      </c>
      <c r="AV201" s="1804">
        <v>0</v>
      </c>
      <c r="AW201" s="1804">
        <v>0</v>
      </c>
      <c r="AX201" s="1804">
        <v>0</v>
      </c>
      <c r="AY201" s="1804">
        <v>0</v>
      </c>
      <c r="AZ201" s="1804">
        <v>0</v>
      </c>
      <c r="BA201" s="1804">
        <v>0</v>
      </c>
      <c r="BB201" s="1804">
        <v>0</v>
      </c>
      <c r="BC201" s="1804">
        <v>0</v>
      </c>
      <c r="BD201" s="1804">
        <v>0</v>
      </c>
      <c r="BE201" s="1804">
        <v>0</v>
      </c>
      <c r="BF201" s="1804">
        <v>0</v>
      </c>
      <c r="BG201" s="1804">
        <v>0</v>
      </c>
      <c r="BH201" s="1804">
        <v>0</v>
      </c>
      <c r="BI201" s="1804">
        <v>0</v>
      </c>
      <c r="BJ201" s="1804">
        <v>0</v>
      </c>
      <c r="BK201" s="1804">
        <v>0</v>
      </c>
      <c r="BL201" s="1804">
        <v>0</v>
      </c>
      <c r="BM201" s="1804">
        <v>0</v>
      </c>
      <c r="BN201" s="1804">
        <v>0</v>
      </c>
      <c r="BO201" s="1804">
        <v>0</v>
      </c>
      <c r="BP201" s="1804">
        <v>0</v>
      </c>
      <c r="BQ201" s="1804">
        <v>0</v>
      </c>
      <c r="BR201" s="1804">
        <v>0</v>
      </c>
      <c r="BS201" s="1804">
        <v>0</v>
      </c>
      <c r="BT201" s="1804">
        <v>0</v>
      </c>
      <c r="BU201" s="1804">
        <v>0</v>
      </c>
      <c r="BV201" s="1804">
        <v>0</v>
      </c>
      <c r="BW201" s="1804">
        <v>0</v>
      </c>
      <c r="BX201" s="1804">
        <v>0</v>
      </c>
      <c r="BY201" s="1804">
        <v>0</v>
      </c>
      <c r="BZ201" s="1804">
        <v>0</v>
      </c>
      <c r="CA201" s="1804">
        <v>0</v>
      </c>
      <c r="CB201" s="1804">
        <v>0</v>
      </c>
      <c r="CC201" s="1804">
        <v>0</v>
      </c>
      <c r="CD201" s="1804">
        <v>0</v>
      </c>
      <c r="CE201" s="1804">
        <v>0</v>
      </c>
      <c r="CF201" s="1804">
        <v>0</v>
      </c>
      <c r="CG201" s="1804">
        <v>0</v>
      </c>
      <c r="CH201" s="1804">
        <v>0</v>
      </c>
      <c r="CI201" s="1804">
        <v>0</v>
      </c>
      <c r="CJ201" s="1804">
        <v>0</v>
      </c>
      <c r="CK201" s="1804">
        <v>0</v>
      </c>
      <c r="CL201" s="1804">
        <v>0</v>
      </c>
      <c r="CM201" s="1804">
        <v>0</v>
      </c>
      <c r="CN201" s="1804">
        <v>0</v>
      </c>
      <c r="CO201" s="1804">
        <v>0</v>
      </c>
      <c r="CP201" s="1804">
        <v>0</v>
      </c>
      <c r="CQ201" s="1804">
        <v>0</v>
      </c>
      <c r="CR201" s="1804">
        <v>0</v>
      </c>
      <c r="CS201" s="1804">
        <v>0</v>
      </c>
      <c r="CT201" s="1804">
        <v>0</v>
      </c>
      <c r="CU201" s="1804">
        <v>0</v>
      </c>
      <c r="CV201" s="1804">
        <v>0</v>
      </c>
      <c r="CW201" s="1804">
        <v>0</v>
      </c>
      <c r="CX201" s="1804">
        <v>0</v>
      </c>
      <c r="CY201" s="1804">
        <v>0</v>
      </c>
      <c r="CZ201" s="1804">
        <v>0</v>
      </c>
      <c r="DA201" s="1804">
        <v>0</v>
      </c>
      <c r="DB201" s="1804">
        <v>0</v>
      </c>
      <c r="DC201" s="1804">
        <v>0</v>
      </c>
      <c r="DD201" s="1804">
        <v>0</v>
      </c>
      <c r="DE201" s="1804">
        <v>0</v>
      </c>
      <c r="DF201" s="1804">
        <v>0</v>
      </c>
      <c r="DG201" s="1804">
        <v>0</v>
      </c>
      <c r="DH201" s="1804">
        <v>0</v>
      </c>
      <c r="DI201" s="1804">
        <v>0</v>
      </c>
      <c r="DJ201" s="1804">
        <v>0</v>
      </c>
      <c r="DK201" s="1804">
        <v>0</v>
      </c>
      <c r="DL201" s="1804">
        <v>0</v>
      </c>
      <c r="DM201" s="1804">
        <v>0</v>
      </c>
      <c r="DN201" s="1804">
        <v>0</v>
      </c>
      <c r="DO201" s="1804">
        <v>0</v>
      </c>
      <c r="DP201" s="1804">
        <v>0</v>
      </c>
      <c r="DQ201" s="1804">
        <v>0</v>
      </c>
      <c r="DR201" s="1804">
        <v>0</v>
      </c>
      <c r="DS201" s="1804">
        <v>0</v>
      </c>
      <c r="DT201" s="1804">
        <v>0</v>
      </c>
      <c r="DU201" s="1804">
        <v>0</v>
      </c>
      <c r="DV201" s="1804">
        <v>0</v>
      </c>
      <c r="DW201" s="1804">
        <v>0</v>
      </c>
      <c r="DX201" s="1804">
        <v>0</v>
      </c>
      <c r="DY201" s="1804">
        <v>0</v>
      </c>
      <c r="DZ201" s="1804">
        <v>0</v>
      </c>
      <c r="EA201" s="1804">
        <v>0</v>
      </c>
      <c r="EB201" s="1804">
        <v>0</v>
      </c>
      <c r="EC201" s="1804">
        <v>0</v>
      </c>
      <c r="ED201" s="1804">
        <v>0</v>
      </c>
      <c r="EE201" s="1804">
        <v>0</v>
      </c>
      <c r="EF201" s="1804">
        <v>0</v>
      </c>
      <c r="EG201" s="1804">
        <v>0</v>
      </c>
      <c r="EH201" s="1804">
        <v>0</v>
      </c>
      <c r="EI201" s="1804">
        <v>0</v>
      </c>
      <c r="EJ201" s="1804">
        <v>0</v>
      </c>
      <c r="EK201" s="1804">
        <v>0</v>
      </c>
      <c r="EL201" s="1804">
        <v>0</v>
      </c>
      <c r="EM201" s="1804">
        <v>0</v>
      </c>
      <c r="EN201" s="1804">
        <v>0</v>
      </c>
      <c r="EO201" s="1804">
        <v>0</v>
      </c>
      <c r="EP201" s="1804">
        <v>0</v>
      </c>
      <c r="EQ201" s="1804">
        <v>0</v>
      </c>
      <c r="ER201" s="1804">
        <v>0</v>
      </c>
      <c r="ES201" s="1804">
        <v>0</v>
      </c>
      <c r="ET201" s="1804">
        <v>0</v>
      </c>
      <c r="EU201" s="1804">
        <v>0</v>
      </c>
      <c r="EV201" s="1804">
        <v>0</v>
      </c>
      <c r="EW201" s="1804">
        <v>0</v>
      </c>
      <c r="EX201" s="1804">
        <v>0</v>
      </c>
      <c r="EY201" s="1804">
        <v>0</v>
      </c>
      <c r="EZ201" s="1804">
        <v>0</v>
      </c>
      <c r="FA201" s="1804">
        <v>0</v>
      </c>
      <c r="FB201" s="1804">
        <v>0</v>
      </c>
      <c r="FC201" s="1804">
        <v>0</v>
      </c>
      <c r="FD201" s="1804">
        <v>0</v>
      </c>
      <c r="FE201" s="1804">
        <v>0</v>
      </c>
      <c r="FF201" s="1804">
        <v>0</v>
      </c>
      <c r="FG201" s="1804">
        <v>0</v>
      </c>
      <c r="FH201" s="1804">
        <v>0</v>
      </c>
      <c r="FI201" s="1804">
        <v>0</v>
      </c>
      <c r="FJ201" s="1804">
        <v>0</v>
      </c>
      <c r="FK201" s="1804">
        <v>0</v>
      </c>
      <c r="FL201" s="1804">
        <v>0</v>
      </c>
      <c r="FM201" s="1804">
        <v>0</v>
      </c>
      <c r="FN201" s="1804">
        <v>0</v>
      </c>
      <c r="FO201" s="1804">
        <v>0</v>
      </c>
      <c r="FP201" s="1804">
        <v>0</v>
      </c>
      <c r="FQ201" s="1804">
        <v>0</v>
      </c>
      <c r="FR201" s="1804">
        <v>0</v>
      </c>
      <c r="FS201" s="1804">
        <v>0</v>
      </c>
      <c r="FT201" s="1804">
        <v>0</v>
      </c>
      <c r="FU201" s="1804">
        <v>0</v>
      </c>
      <c r="FV201" s="1804">
        <v>0</v>
      </c>
      <c r="FW201" s="1804">
        <v>0</v>
      </c>
      <c r="FX201" s="1804">
        <v>0</v>
      </c>
      <c r="FY201" s="1804">
        <v>0</v>
      </c>
      <c r="FZ201" s="1804">
        <v>0</v>
      </c>
      <c r="GA201" s="1804">
        <v>0</v>
      </c>
      <c r="GB201" s="1804">
        <v>0</v>
      </c>
      <c r="GC201" s="1804">
        <v>0</v>
      </c>
      <c r="GD201" s="1804">
        <v>0</v>
      </c>
      <c r="GE201" s="1804">
        <v>0</v>
      </c>
      <c r="GF201" s="1804">
        <v>0</v>
      </c>
      <c r="GG201" s="1804">
        <v>0</v>
      </c>
      <c r="GH201" s="1804">
        <v>0</v>
      </c>
      <c r="GI201" s="1804">
        <v>0</v>
      </c>
      <c r="GJ201" s="1804">
        <v>0</v>
      </c>
      <c r="GK201" s="1804">
        <v>0</v>
      </c>
      <c r="GL201" s="1804">
        <v>0</v>
      </c>
      <c r="GM201" s="1804">
        <v>0</v>
      </c>
      <c r="GN201" s="1804">
        <v>0</v>
      </c>
      <c r="GO201" s="1804">
        <v>0</v>
      </c>
      <c r="GP201" s="1804">
        <v>0</v>
      </c>
      <c r="GQ201" s="1804">
        <v>0</v>
      </c>
      <c r="GR201" s="1804">
        <v>0</v>
      </c>
      <c r="GS201" s="1804">
        <v>0</v>
      </c>
      <c r="GT201" s="1804">
        <v>0</v>
      </c>
      <c r="GU201" s="1804">
        <v>0</v>
      </c>
      <c r="GV201" s="1804">
        <v>0</v>
      </c>
      <c r="GW201" s="1804">
        <v>0</v>
      </c>
      <c r="GX201" s="1804">
        <v>0</v>
      </c>
      <c r="GY201" s="1804">
        <v>0</v>
      </c>
      <c r="GZ201" s="1804">
        <v>0</v>
      </c>
      <c r="HA201" s="1804">
        <v>0</v>
      </c>
      <c r="HB201" s="1804">
        <v>0</v>
      </c>
      <c r="HC201" s="1804">
        <v>0</v>
      </c>
      <c r="HD201" s="1804">
        <v>0</v>
      </c>
      <c r="HE201" s="1804">
        <v>0</v>
      </c>
    </row>
    <row r="202" spans="1:213" ht="15" customHeight="1" x14ac:dyDescent="0.2">
      <c r="A202" s="1966"/>
      <c r="B202" s="1989"/>
      <c r="C202" s="1818" t="s">
        <v>198</v>
      </c>
      <c r="D202" s="1883"/>
      <c r="E202" s="1984"/>
      <c r="F202" s="1838">
        <v>0</v>
      </c>
      <c r="G202" s="1804">
        <v>0</v>
      </c>
      <c r="H202" s="1804">
        <v>0</v>
      </c>
      <c r="I202" s="1804">
        <v>0</v>
      </c>
      <c r="J202" s="1804">
        <v>0</v>
      </c>
      <c r="K202" s="1804">
        <v>0</v>
      </c>
      <c r="L202" s="1804">
        <v>0</v>
      </c>
      <c r="M202" s="1804">
        <v>0</v>
      </c>
      <c r="N202" s="1804">
        <v>0</v>
      </c>
      <c r="O202" s="1804">
        <v>0</v>
      </c>
      <c r="P202" s="1804">
        <v>0</v>
      </c>
      <c r="Q202" s="1804">
        <v>0</v>
      </c>
      <c r="R202" s="1804">
        <v>0</v>
      </c>
      <c r="S202" s="1804">
        <v>0</v>
      </c>
      <c r="T202" s="1804">
        <v>0</v>
      </c>
      <c r="U202" s="1804">
        <v>0</v>
      </c>
      <c r="V202" s="1804">
        <v>0</v>
      </c>
      <c r="W202" s="1804">
        <v>0</v>
      </c>
      <c r="X202" s="1804">
        <v>0</v>
      </c>
      <c r="Y202" s="1804">
        <v>0</v>
      </c>
      <c r="Z202" s="1804">
        <v>0</v>
      </c>
      <c r="AA202" s="1804">
        <v>0</v>
      </c>
      <c r="AB202" s="1804">
        <v>0</v>
      </c>
      <c r="AC202" s="1804">
        <v>0</v>
      </c>
      <c r="AD202" s="1804">
        <v>0</v>
      </c>
      <c r="AE202" s="1804">
        <v>0</v>
      </c>
      <c r="AF202" s="1804">
        <v>0</v>
      </c>
      <c r="AG202" s="1804">
        <v>0</v>
      </c>
      <c r="AH202" s="1804">
        <v>0</v>
      </c>
      <c r="AI202" s="1804">
        <v>0</v>
      </c>
      <c r="AJ202" s="1804">
        <v>0</v>
      </c>
      <c r="AK202" s="1804">
        <v>0</v>
      </c>
      <c r="AL202" s="1804">
        <v>0</v>
      </c>
      <c r="AM202" s="1804">
        <v>0</v>
      </c>
      <c r="AN202" s="1804">
        <v>0</v>
      </c>
      <c r="AO202" s="1804">
        <v>0</v>
      </c>
      <c r="AP202" s="1804">
        <v>0</v>
      </c>
      <c r="AQ202" s="1804">
        <v>0</v>
      </c>
      <c r="AR202" s="1804">
        <v>0</v>
      </c>
      <c r="AS202" s="1804">
        <v>0</v>
      </c>
      <c r="AT202" s="1804">
        <v>0</v>
      </c>
      <c r="AU202" s="1804">
        <v>0</v>
      </c>
      <c r="AV202" s="1804">
        <v>0</v>
      </c>
      <c r="AW202" s="1804">
        <v>0</v>
      </c>
      <c r="AX202" s="1804">
        <v>0</v>
      </c>
      <c r="AY202" s="1804">
        <v>0</v>
      </c>
      <c r="AZ202" s="1804">
        <v>0</v>
      </c>
      <c r="BA202" s="1804">
        <v>0</v>
      </c>
      <c r="BB202" s="1804">
        <v>0</v>
      </c>
      <c r="BC202" s="1804">
        <v>0</v>
      </c>
      <c r="BD202" s="1804">
        <v>0</v>
      </c>
      <c r="BE202" s="1804">
        <v>0</v>
      </c>
      <c r="BF202" s="1804">
        <v>0</v>
      </c>
      <c r="BG202" s="1804">
        <v>0</v>
      </c>
      <c r="BH202" s="1804">
        <v>0</v>
      </c>
      <c r="BI202" s="1804">
        <v>0</v>
      </c>
      <c r="BJ202" s="1804">
        <v>0</v>
      </c>
      <c r="BK202" s="1804">
        <v>0</v>
      </c>
      <c r="BL202" s="1804">
        <v>0</v>
      </c>
      <c r="BM202" s="1804">
        <v>0</v>
      </c>
      <c r="BN202" s="1804">
        <v>0</v>
      </c>
      <c r="BO202" s="1804">
        <v>0</v>
      </c>
      <c r="BP202" s="1804">
        <v>0</v>
      </c>
      <c r="BQ202" s="1804">
        <v>0</v>
      </c>
      <c r="BR202" s="1804">
        <v>0</v>
      </c>
      <c r="BS202" s="1804">
        <v>0</v>
      </c>
      <c r="BT202" s="1804">
        <v>0</v>
      </c>
      <c r="BU202" s="1804">
        <v>0</v>
      </c>
      <c r="BV202" s="1804">
        <v>0</v>
      </c>
      <c r="BW202" s="1804">
        <v>0</v>
      </c>
      <c r="BX202" s="1804">
        <v>0</v>
      </c>
      <c r="BY202" s="1804">
        <v>0</v>
      </c>
      <c r="BZ202" s="1804">
        <v>0</v>
      </c>
      <c r="CA202" s="1804">
        <v>0</v>
      </c>
      <c r="CB202" s="1804">
        <v>0</v>
      </c>
      <c r="CC202" s="1804">
        <v>0</v>
      </c>
      <c r="CD202" s="1804">
        <v>0</v>
      </c>
      <c r="CE202" s="1804">
        <v>0</v>
      </c>
      <c r="CF202" s="1804">
        <v>0</v>
      </c>
      <c r="CG202" s="1804">
        <v>0</v>
      </c>
      <c r="CH202" s="1804">
        <v>0</v>
      </c>
      <c r="CI202" s="1804">
        <v>0</v>
      </c>
      <c r="CJ202" s="1804">
        <v>0</v>
      </c>
      <c r="CK202" s="1804">
        <v>0</v>
      </c>
      <c r="CL202" s="1804">
        <v>0</v>
      </c>
      <c r="CM202" s="1804">
        <v>0</v>
      </c>
      <c r="CN202" s="1804">
        <v>0</v>
      </c>
      <c r="CO202" s="1804">
        <v>0</v>
      </c>
      <c r="CP202" s="1804">
        <v>0</v>
      </c>
      <c r="CQ202" s="1804">
        <v>0</v>
      </c>
      <c r="CR202" s="1804">
        <v>0</v>
      </c>
      <c r="CS202" s="1804">
        <v>0</v>
      </c>
      <c r="CT202" s="1804">
        <v>0</v>
      </c>
      <c r="CU202" s="1804">
        <v>0</v>
      </c>
      <c r="CV202" s="1804">
        <v>0</v>
      </c>
      <c r="CW202" s="1804">
        <v>0</v>
      </c>
      <c r="CX202" s="1804">
        <v>0</v>
      </c>
      <c r="CY202" s="1804">
        <v>0</v>
      </c>
      <c r="CZ202" s="1804">
        <v>0</v>
      </c>
      <c r="DA202" s="1804">
        <v>0</v>
      </c>
      <c r="DB202" s="1804">
        <v>0</v>
      </c>
      <c r="DC202" s="1804">
        <v>0</v>
      </c>
      <c r="DD202" s="1804">
        <v>0</v>
      </c>
      <c r="DE202" s="1804">
        <v>0</v>
      </c>
      <c r="DF202" s="1804">
        <v>0</v>
      </c>
      <c r="DG202" s="1804">
        <v>0</v>
      </c>
      <c r="DH202" s="1804">
        <v>0</v>
      </c>
      <c r="DI202" s="1804">
        <v>0</v>
      </c>
      <c r="DJ202" s="1804">
        <v>0</v>
      </c>
      <c r="DK202" s="1804">
        <v>0</v>
      </c>
      <c r="DL202" s="1804">
        <v>0</v>
      </c>
      <c r="DM202" s="1804">
        <v>0</v>
      </c>
      <c r="DN202" s="1804">
        <v>0</v>
      </c>
      <c r="DO202" s="1804">
        <v>0</v>
      </c>
      <c r="DP202" s="1804">
        <v>0</v>
      </c>
      <c r="DQ202" s="1804">
        <v>0</v>
      </c>
      <c r="DR202" s="1804">
        <v>0</v>
      </c>
      <c r="DS202" s="1804">
        <v>0</v>
      </c>
      <c r="DT202" s="1804">
        <v>0</v>
      </c>
      <c r="DU202" s="1804">
        <v>0</v>
      </c>
      <c r="DV202" s="1804">
        <v>0</v>
      </c>
      <c r="DW202" s="1804">
        <v>0</v>
      </c>
      <c r="DX202" s="1804">
        <v>0</v>
      </c>
      <c r="DY202" s="1804">
        <v>0</v>
      </c>
      <c r="DZ202" s="1804">
        <v>0</v>
      </c>
      <c r="EA202" s="1804">
        <v>0</v>
      </c>
      <c r="EB202" s="1804">
        <v>0</v>
      </c>
      <c r="EC202" s="1804">
        <v>0</v>
      </c>
      <c r="ED202" s="1804">
        <v>0</v>
      </c>
      <c r="EE202" s="1804">
        <v>0</v>
      </c>
      <c r="EF202" s="1804">
        <v>0</v>
      </c>
      <c r="EG202" s="1804">
        <v>0</v>
      </c>
      <c r="EH202" s="1804">
        <v>0</v>
      </c>
      <c r="EI202" s="1804">
        <v>0</v>
      </c>
      <c r="EJ202" s="1804">
        <v>0</v>
      </c>
      <c r="EK202" s="1804">
        <v>0</v>
      </c>
      <c r="EL202" s="1804">
        <v>0</v>
      </c>
      <c r="EM202" s="1804">
        <v>0</v>
      </c>
      <c r="EN202" s="1804">
        <v>0</v>
      </c>
      <c r="EO202" s="1804">
        <v>0</v>
      </c>
      <c r="EP202" s="1804">
        <v>0</v>
      </c>
      <c r="EQ202" s="1804">
        <v>0</v>
      </c>
      <c r="ER202" s="1804">
        <v>0</v>
      </c>
      <c r="ES202" s="1804">
        <v>0</v>
      </c>
      <c r="ET202" s="1804">
        <v>0</v>
      </c>
      <c r="EU202" s="1804">
        <v>0</v>
      </c>
      <c r="EV202" s="1804">
        <v>0</v>
      </c>
      <c r="EW202" s="1804">
        <v>0</v>
      </c>
      <c r="EX202" s="1804">
        <v>0</v>
      </c>
      <c r="EY202" s="1804">
        <v>0</v>
      </c>
      <c r="EZ202" s="1804">
        <v>0</v>
      </c>
      <c r="FA202" s="1804">
        <v>0</v>
      </c>
      <c r="FB202" s="1804">
        <v>0</v>
      </c>
      <c r="FC202" s="1804">
        <v>0</v>
      </c>
      <c r="FD202" s="1804">
        <v>0</v>
      </c>
      <c r="FE202" s="1804">
        <v>0</v>
      </c>
      <c r="FF202" s="1804">
        <v>0</v>
      </c>
      <c r="FG202" s="1804">
        <v>0</v>
      </c>
      <c r="FH202" s="1804">
        <v>0</v>
      </c>
      <c r="FI202" s="1804">
        <v>0</v>
      </c>
      <c r="FJ202" s="1804">
        <v>0</v>
      </c>
      <c r="FK202" s="1804">
        <v>0</v>
      </c>
      <c r="FL202" s="1804">
        <v>0</v>
      </c>
      <c r="FM202" s="1804">
        <v>0</v>
      </c>
      <c r="FN202" s="1804">
        <v>0</v>
      </c>
      <c r="FO202" s="1804">
        <v>0</v>
      </c>
      <c r="FP202" s="1804">
        <v>0</v>
      </c>
      <c r="FQ202" s="1804">
        <v>0</v>
      </c>
      <c r="FR202" s="1804">
        <v>0</v>
      </c>
      <c r="FS202" s="1804">
        <v>0</v>
      </c>
      <c r="FT202" s="1804">
        <v>0</v>
      </c>
      <c r="FU202" s="1804">
        <v>0</v>
      </c>
      <c r="FV202" s="1804">
        <v>0</v>
      </c>
      <c r="FW202" s="1804">
        <v>0</v>
      </c>
      <c r="FX202" s="1804">
        <v>0</v>
      </c>
      <c r="FY202" s="1804">
        <v>0</v>
      </c>
      <c r="FZ202" s="1804">
        <v>0</v>
      </c>
      <c r="GA202" s="1804">
        <v>0</v>
      </c>
      <c r="GB202" s="1804">
        <v>0</v>
      </c>
      <c r="GC202" s="1804">
        <v>0</v>
      </c>
      <c r="GD202" s="1804">
        <v>0</v>
      </c>
      <c r="GE202" s="1804">
        <v>0</v>
      </c>
      <c r="GF202" s="1804">
        <v>0</v>
      </c>
      <c r="GG202" s="1804">
        <v>0</v>
      </c>
      <c r="GH202" s="1804">
        <v>0</v>
      </c>
      <c r="GI202" s="1804">
        <v>0</v>
      </c>
      <c r="GJ202" s="1804">
        <v>0</v>
      </c>
      <c r="GK202" s="1804">
        <v>0</v>
      </c>
      <c r="GL202" s="1804">
        <v>0</v>
      </c>
      <c r="GM202" s="1804">
        <v>0</v>
      </c>
      <c r="GN202" s="1804">
        <v>0</v>
      </c>
      <c r="GO202" s="1804">
        <v>0</v>
      </c>
      <c r="GP202" s="1804">
        <v>0</v>
      </c>
      <c r="GQ202" s="1804">
        <v>0</v>
      </c>
      <c r="GR202" s="1804">
        <v>0</v>
      </c>
      <c r="GS202" s="1804">
        <v>0</v>
      </c>
      <c r="GT202" s="1804">
        <v>0</v>
      </c>
      <c r="GU202" s="1804">
        <v>0</v>
      </c>
      <c r="GV202" s="1804">
        <v>0</v>
      </c>
      <c r="GW202" s="1804">
        <v>0</v>
      </c>
      <c r="GX202" s="1804">
        <v>0</v>
      </c>
      <c r="GY202" s="1804">
        <v>0</v>
      </c>
      <c r="GZ202" s="1804">
        <v>0</v>
      </c>
      <c r="HA202" s="1804">
        <v>0</v>
      </c>
      <c r="HB202" s="1804">
        <v>0</v>
      </c>
      <c r="HC202" s="1804">
        <v>0</v>
      </c>
      <c r="HD202" s="1804">
        <v>0</v>
      </c>
      <c r="HE202" s="1804">
        <v>0</v>
      </c>
    </row>
    <row r="203" spans="1:213" ht="15" customHeight="1" thickBot="1" x14ac:dyDescent="0.25">
      <c r="A203" s="1966"/>
      <c r="B203" s="1989"/>
      <c r="C203" s="1703" t="s">
        <v>29</v>
      </c>
      <c r="D203" s="1883"/>
      <c r="E203" s="1984"/>
      <c r="F203" s="1838">
        <v>0</v>
      </c>
      <c r="G203" s="1804">
        <v>0</v>
      </c>
      <c r="H203" s="1804">
        <v>0</v>
      </c>
      <c r="I203" s="1804">
        <v>0</v>
      </c>
      <c r="J203" s="1804">
        <v>0</v>
      </c>
      <c r="K203" s="1804">
        <v>0</v>
      </c>
      <c r="L203" s="1804">
        <v>0</v>
      </c>
      <c r="M203" s="1804">
        <v>0</v>
      </c>
      <c r="N203" s="1804">
        <v>0</v>
      </c>
      <c r="O203" s="1804">
        <v>0</v>
      </c>
      <c r="P203" s="1804">
        <v>0</v>
      </c>
      <c r="Q203" s="1804">
        <v>0</v>
      </c>
      <c r="R203" s="1804">
        <v>0</v>
      </c>
      <c r="S203" s="1804">
        <v>0</v>
      </c>
      <c r="T203" s="1804">
        <v>0</v>
      </c>
      <c r="U203" s="1804">
        <v>0</v>
      </c>
      <c r="V203" s="1804">
        <v>0</v>
      </c>
      <c r="W203" s="1804">
        <v>0</v>
      </c>
      <c r="X203" s="1804">
        <v>0</v>
      </c>
      <c r="Y203" s="1804">
        <v>0</v>
      </c>
      <c r="Z203" s="1804">
        <v>0</v>
      </c>
      <c r="AA203" s="1804">
        <v>0</v>
      </c>
      <c r="AB203" s="1804">
        <v>0</v>
      </c>
      <c r="AC203" s="1804">
        <v>0</v>
      </c>
      <c r="AD203" s="1804">
        <v>0</v>
      </c>
      <c r="AE203" s="1804">
        <v>0</v>
      </c>
      <c r="AF203" s="1804">
        <v>0</v>
      </c>
      <c r="AG203" s="1804">
        <v>0</v>
      </c>
      <c r="AH203" s="1804">
        <v>0</v>
      </c>
      <c r="AI203" s="1804">
        <v>0</v>
      </c>
      <c r="AJ203" s="1804">
        <v>0</v>
      </c>
      <c r="AK203" s="1804">
        <v>0</v>
      </c>
      <c r="AL203" s="1804">
        <v>0</v>
      </c>
      <c r="AM203" s="1804">
        <v>0</v>
      </c>
      <c r="AN203" s="1804">
        <v>0</v>
      </c>
      <c r="AO203" s="1804">
        <v>0</v>
      </c>
      <c r="AP203" s="1804">
        <v>0</v>
      </c>
      <c r="AQ203" s="1804">
        <v>0</v>
      </c>
      <c r="AR203" s="1804">
        <v>0</v>
      </c>
      <c r="AS203" s="1804">
        <v>0</v>
      </c>
      <c r="AT203" s="1804">
        <v>0</v>
      </c>
      <c r="AU203" s="1804">
        <v>0</v>
      </c>
      <c r="AV203" s="1804">
        <v>0</v>
      </c>
      <c r="AW203" s="1804">
        <v>0</v>
      </c>
      <c r="AX203" s="1804">
        <v>0</v>
      </c>
      <c r="AY203" s="1804">
        <v>0</v>
      </c>
      <c r="AZ203" s="1804">
        <v>0</v>
      </c>
      <c r="BA203" s="1804">
        <v>0</v>
      </c>
      <c r="BB203" s="1804">
        <v>0</v>
      </c>
      <c r="BC203" s="1804">
        <v>0</v>
      </c>
      <c r="BD203" s="1804">
        <v>0</v>
      </c>
      <c r="BE203" s="1804">
        <v>0</v>
      </c>
      <c r="BF203" s="1804">
        <v>0</v>
      </c>
      <c r="BG203" s="1804">
        <v>0</v>
      </c>
      <c r="BH203" s="1804">
        <v>0</v>
      </c>
      <c r="BI203" s="1804">
        <v>0</v>
      </c>
      <c r="BJ203" s="1804">
        <v>0</v>
      </c>
      <c r="BK203" s="1804">
        <v>0</v>
      </c>
      <c r="BL203" s="1804">
        <v>0</v>
      </c>
      <c r="BM203" s="1804">
        <v>0</v>
      </c>
      <c r="BN203" s="1804">
        <v>0</v>
      </c>
      <c r="BO203" s="1804">
        <v>0</v>
      </c>
      <c r="BP203" s="1804">
        <v>0</v>
      </c>
      <c r="BQ203" s="1804">
        <v>0</v>
      </c>
      <c r="BR203" s="1804">
        <v>0</v>
      </c>
      <c r="BS203" s="1804">
        <v>0</v>
      </c>
      <c r="BT203" s="1804">
        <v>0</v>
      </c>
      <c r="BU203" s="1804">
        <v>0</v>
      </c>
      <c r="BV203" s="1804">
        <v>0</v>
      </c>
      <c r="BW203" s="1804">
        <v>0</v>
      </c>
      <c r="BX203" s="1804">
        <v>0</v>
      </c>
      <c r="BY203" s="1804">
        <v>0</v>
      </c>
      <c r="BZ203" s="1804">
        <v>0</v>
      </c>
      <c r="CA203" s="1804">
        <v>0</v>
      </c>
      <c r="CB203" s="1804">
        <v>0</v>
      </c>
      <c r="CC203" s="1804">
        <v>0</v>
      </c>
      <c r="CD203" s="1804">
        <v>0</v>
      </c>
      <c r="CE203" s="1804">
        <v>0</v>
      </c>
      <c r="CF203" s="1804">
        <v>0</v>
      </c>
      <c r="CG203" s="1804">
        <v>0</v>
      </c>
      <c r="CH203" s="1804">
        <v>0</v>
      </c>
      <c r="CI203" s="1804">
        <v>0</v>
      </c>
      <c r="CJ203" s="1804">
        <v>0</v>
      </c>
      <c r="CK203" s="1804">
        <v>0</v>
      </c>
      <c r="CL203" s="1804">
        <v>0</v>
      </c>
      <c r="CM203" s="1804">
        <v>0</v>
      </c>
      <c r="CN203" s="1804">
        <v>0</v>
      </c>
      <c r="CO203" s="1804">
        <v>0</v>
      </c>
      <c r="CP203" s="1804">
        <v>0</v>
      </c>
      <c r="CQ203" s="1804">
        <v>0</v>
      </c>
      <c r="CR203" s="1804">
        <v>0</v>
      </c>
      <c r="CS203" s="1804">
        <v>0</v>
      </c>
      <c r="CT203" s="1804">
        <v>0</v>
      </c>
      <c r="CU203" s="1804">
        <v>0</v>
      </c>
      <c r="CV203" s="1804">
        <v>0</v>
      </c>
      <c r="CW203" s="1804">
        <v>0</v>
      </c>
      <c r="CX203" s="1804">
        <v>0</v>
      </c>
      <c r="CY203" s="1804">
        <v>0</v>
      </c>
      <c r="CZ203" s="1804">
        <v>0</v>
      </c>
      <c r="DA203" s="1804">
        <v>0</v>
      </c>
      <c r="DB203" s="1804">
        <v>0</v>
      </c>
      <c r="DC203" s="1804">
        <v>0</v>
      </c>
      <c r="DD203" s="1804">
        <v>0</v>
      </c>
      <c r="DE203" s="1804">
        <v>0</v>
      </c>
      <c r="DF203" s="1804">
        <v>0</v>
      </c>
      <c r="DG203" s="1804">
        <v>0</v>
      </c>
      <c r="DH203" s="1804">
        <v>0</v>
      </c>
      <c r="DI203" s="1804">
        <v>0</v>
      </c>
      <c r="DJ203" s="1804">
        <v>0</v>
      </c>
      <c r="DK203" s="1804">
        <v>0</v>
      </c>
      <c r="DL203" s="1804">
        <v>0</v>
      </c>
      <c r="DM203" s="1804">
        <v>0</v>
      </c>
      <c r="DN203" s="1804">
        <v>0</v>
      </c>
      <c r="DO203" s="1804">
        <v>0</v>
      </c>
      <c r="DP203" s="1804">
        <v>0</v>
      </c>
      <c r="DQ203" s="1804">
        <v>0</v>
      </c>
      <c r="DR203" s="1804">
        <v>0</v>
      </c>
      <c r="DS203" s="1804">
        <v>0</v>
      </c>
      <c r="DT203" s="1804">
        <v>0</v>
      </c>
      <c r="DU203" s="1804">
        <v>0</v>
      </c>
      <c r="DV203" s="1804">
        <v>0</v>
      </c>
      <c r="DW203" s="1804">
        <v>0</v>
      </c>
      <c r="DX203" s="1804">
        <v>0</v>
      </c>
      <c r="DY203" s="1804">
        <v>0</v>
      </c>
      <c r="DZ203" s="1804">
        <v>0</v>
      </c>
      <c r="EA203" s="1804">
        <v>0</v>
      </c>
      <c r="EB203" s="1804">
        <v>0</v>
      </c>
      <c r="EC203" s="1804">
        <v>0</v>
      </c>
      <c r="ED203" s="1804">
        <v>0</v>
      </c>
      <c r="EE203" s="1804">
        <v>0</v>
      </c>
      <c r="EF203" s="1804">
        <v>0</v>
      </c>
      <c r="EG203" s="1804">
        <v>0</v>
      </c>
      <c r="EH203" s="1804">
        <v>0</v>
      </c>
      <c r="EI203" s="1804">
        <v>0</v>
      </c>
      <c r="EJ203" s="1804">
        <v>0</v>
      </c>
      <c r="EK203" s="1804">
        <v>0</v>
      </c>
      <c r="EL203" s="1804">
        <v>0</v>
      </c>
      <c r="EM203" s="1804">
        <v>0</v>
      </c>
      <c r="EN203" s="1804">
        <v>0</v>
      </c>
      <c r="EO203" s="1804">
        <v>0</v>
      </c>
      <c r="EP203" s="1804">
        <v>0</v>
      </c>
      <c r="EQ203" s="1804">
        <v>0</v>
      </c>
      <c r="ER203" s="1804">
        <v>0</v>
      </c>
      <c r="ES203" s="1804">
        <v>0</v>
      </c>
      <c r="ET203" s="1804">
        <v>0</v>
      </c>
      <c r="EU203" s="1804">
        <v>0</v>
      </c>
      <c r="EV203" s="1804">
        <v>0</v>
      </c>
      <c r="EW203" s="1804">
        <v>0</v>
      </c>
      <c r="EX203" s="1804">
        <v>0</v>
      </c>
      <c r="EY203" s="1804">
        <v>0</v>
      </c>
      <c r="EZ203" s="1804">
        <v>0</v>
      </c>
      <c r="FA203" s="1804">
        <v>0</v>
      </c>
      <c r="FB203" s="1804">
        <v>0</v>
      </c>
      <c r="FC203" s="1804">
        <v>0</v>
      </c>
      <c r="FD203" s="1804">
        <v>0</v>
      </c>
      <c r="FE203" s="1804">
        <v>0</v>
      </c>
      <c r="FF203" s="1804">
        <v>0</v>
      </c>
      <c r="FG203" s="1804">
        <v>0</v>
      </c>
      <c r="FH203" s="1804">
        <v>0</v>
      </c>
      <c r="FI203" s="1804">
        <v>0</v>
      </c>
      <c r="FJ203" s="1804">
        <v>0</v>
      </c>
      <c r="FK203" s="1804">
        <v>0</v>
      </c>
      <c r="FL203" s="1804">
        <v>0</v>
      </c>
      <c r="FM203" s="1804">
        <v>0</v>
      </c>
      <c r="FN203" s="1804">
        <v>0</v>
      </c>
      <c r="FO203" s="1804">
        <v>0</v>
      </c>
      <c r="FP203" s="1804">
        <v>0</v>
      </c>
      <c r="FQ203" s="1804">
        <v>0</v>
      </c>
      <c r="FR203" s="1804">
        <v>0</v>
      </c>
      <c r="FS203" s="1804">
        <v>0</v>
      </c>
      <c r="FT203" s="1804">
        <v>0</v>
      </c>
      <c r="FU203" s="1804">
        <v>0</v>
      </c>
      <c r="FV203" s="1804">
        <v>0</v>
      </c>
      <c r="FW203" s="1804">
        <v>0</v>
      </c>
      <c r="FX203" s="1804">
        <v>0</v>
      </c>
      <c r="FY203" s="1804">
        <v>0</v>
      </c>
      <c r="FZ203" s="1804">
        <v>0</v>
      </c>
      <c r="GA203" s="1804">
        <v>0</v>
      </c>
      <c r="GB203" s="1804">
        <v>0</v>
      </c>
      <c r="GC203" s="1804">
        <v>0</v>
      </c>
      <c r="GD203" s="1804">
        <v>0</v>
      </c>
      <c r="GE203" s="1804">
        <v>0</v>
      </c>
      <c r="GF203" s="1804">
        <v>0</v>
      </c>
      <c r="GG203" s="1804">
        <v>0</v>
      </c>
      <c r="GH203" s="1804">
        <v>0</v>
      </c>
      <c r="GI203" s="1804">
        <v>0</v>
      </c>
      <c r="GJ203" s="1804">
        <v>0</v>
      </c>
      <c r="GK203" s="1804">
        <v>0</v>
      </c>
      <c r="GL203" s="1804">
        <v>0</v>
      </c>
      <c r="GM203" s="1804">
        <v>0</v>
      </c>
      <c r="GN203" s="1804">
        <v>0</v>
      </c>
      <c r="GO203" s="1804">
        <v>0</v>
      </c>
      <c r="GP203" s="1804">
        <v>0</v>
      </c>
      <c r="GQ203" s="1804">
        <v>0</v>
      </c>
      <c r="GR203" s="1804">
        <v>0</v>
      </c>
      <c r="GS203" s="1804">
        <v>0</v>
      </c>
      <c r="GT203" s="1804">
        <v>0</v>
      </c>
      <c r="GU203" s="1804">
        <v>0</v>
      </c>
      <c r="GV203" s="1804">
        <v>0</v>
      </c>
      <c r="GW203" s="1804">
        <v>0</v>
      </c>
      <c r="GX203" s="1804">
        <v>0</v>
      </c>
      <c r="GY203" s="1804">
        <v>0</v>
      </c>
      <c r="GZ203" s="1804">
        <v>0</v>
      </c>
      <c r="HA203" s="1804">
        <v>0</v>
      </c>
      <c r="HB203" s="1804">
        <v>0</v>
      </c>
      <c r="HC203" s="1804">
        <v>0</v>
      </c>
      <c r="HD203" s="1804">
        <v>0</v>
      </c>
      <c r="HE203" s="1804">
        <v>0</v>
      </c>
    </row>
    <row r="204" spans="1:213" ht="21" customHeight="1" thickBot="1" x14ac:dyDescent="0.25">
      <c r="A204" s="1968" t="s">
        <v>34</v>
      </c>
      <c r="B204" s="1988" t="s">
        <v>69</v>
      </c>
      <c r="C204" s="1699" t="s">
        <v>819</v>
      </c>
      <c r="D204" s="1880"/>
      <c r="E204" s="1984"/>
      <c r="F204" s="1865"/>
      <c r="G204" s="1866"/>
      <c r="H204" s="1866"/>
      <c r="I204" s="1866"/>
      <c r="J204" s="1866"/>
      <c r="K204" s="1866"/>
      <c r="L204" s="1866"/>
      <c r="M204" s="1866"/>
      <c r="N204" s="1866"/>
      <c r="O204" s="1866"/>
      <c r="P204" s="1866"/>
      <c r="Q204" s="1866"/>
      <c r="R204" s="1866"/>
      <c r="S204" s="1866"/>
      <c r="T204" s="1866"/>
      <c r="U204" s="1866"/>
      <c r="V204" s="1866"/>
      <c r="W204" s="1866"/>
      <c r="X204" s="1866"/>
      <c r="Y204" s="1866"/>
      <c r="Z204" s="1866"/>
      <c r="AA204" s="1866"/>
      <c r="AB204" s="1866"/>
      <c r="AC204" s="1866"/>
      <c r="AD204" s="1866"/>
      <c r="AE204" s="1866"/>
      <c r="AF204" s="1866"/>
      <c r="AG204" s="1866"/>
      <c r="AH204" s="1866"/>
      <c r="AI204" s="1866"/>
      <c r="AJ204" s="1866"/>
      <c r="AK204" s="1866"/>
      <c r="AL204" s="1866"/>
      <c r="AM204" s="1866"/>
      <c r="AN204" s="1866"/>
      <c r="AO204" s="1866"/>
      <c r="AP204" s="1866"/>
      <c r="AQ204" s="1866"/>
      <c r="AR204" s="1866"/>
      <c r="AS204" s="1866"/>
      <c r="AT204" s="1866"/>
      <c r="AU204" s="1866"/>
      <c r="AV204" s="1866"/>
      <c r="AW204" s="1866"/>
      <c r="AX204" s="1866"/>
      <c r="AY204" s="1866"/>
      <c r="AZ204" s="1866"/>
      <c r="BA204" s="1866"/>
      <c r="BB204" s="1866"/>
      <c r="BC204" s="1866"/>
      <c r="BD204" s="1866"/>
      <c r="BE204" s="1866"/>
      <c r="BF204" s="1866"/>
      <c r="BG204" s="1866"/>
      <c r="BH204" s="1866"/>
      <c r="BI204" s="1866"/>
      <c r="BJ204" s="1866"/>
      <c r="BK204" s="1866"/>
      <c r="BL204" s="1866"/>
      <c r="BM204" s="1866"/>
      <c r="BN204" s="1866"/>
      <c r="BO204" s="1866"/>
      <c r="BP204" s="1866"/>
      <c r="BQ204" s="1866"/>
      <c r="BR204" s="1866"/>
      <c r="BS204" s="1866"/>
      <c r="BT204" s="1866"/>
      <c r="BU204" s="1866"/>
      <c r="BV204" s="1866"/>
      <c r="BW204" s="1866"/>
      <c r="BX204" s="1866"/>
      <c r="BY204" s="1866"/>
      <c r="BZ204" s="1866"/>
      <c r="CA204" s="1866"/>
      <c r="CB204" s="1866"/>
      <c r="CC204" s="1866"/>
      <c r="CD204" s="1866"/>
      <c r="CE204" s="1866"/>
      <c r="CF204" s="1866"/>
      <c r="CG204" s="1866"/>
      <c r="CH204" s="1866"/>
      <c r="CI204" s="1866"/>
      <c r="CJ204" s="1866"/>
      <c r="CK204" s="1866"/>
      <c r="CL204" s="1866"/>
      <c r="CM204" s="1866"/>
      <c r="CN204" s="1866"/>
      <c r="CO204" s="1866"/>
      <c r="CP204" s="1866"/>
      <c r="CQ204" s="1866"/>
      <c r="CR204" s="1866"/>
      <c r="CS204" s="1866"/>
      <c r="CT204" s="1866"/>
      <c r="CU204" s="1866"/>
      <c r="CV204" s="1866"/>
      <c r="CW204" s="1866"/>
      <c r="CX204" s="1866"/>
      <c r="CY204" s="1866"/>
      <c r="CZ204" s="1866"/>
      <c r="DA204" s="1866"/>
      <c r="DB204" s="1866"/>
      <c r="DC204" s="1866"/>
      <c r="DD204" s="1866"/>
      <c r="DE204" s="1866"/>
      <c r="DF204" s="1866"/>
      <c r="DG204" s="1866"/>
      <c r="DH204" s="1866"/>
      <c r="DI204" s="1866"/>
      <c r="DJ204" s="1866"/>
      <c r="DK204" s="1866"/>
      <c r="DL204" s="1866"/>
      <c r="DM204" s="1866"/>
      <c r="DN204" s="1866"/>
      <c r="DO204" s="1866"/>
      <c r="DP204" s="1866"/>
      <c r="DQ204" s="1866"/>
      <c r="DR204" s="1866"/>
      <c r="DS204" s="1866"/>
      <c r="DT204" s="1866"/>
      <c r="DU204" s="1866"/>
      <c r="DV204" s="1866"/>
      <c r="DW204" s="1866"/>
      <c r="DX204" s="1866"/>
      <c r="DY204" s="1866"/>
      <c r="DZ204" s="1866"/>
      <c r="EA204" s="1866"/>
      <c r="EB204" s="1866"/>
      <c r="EC204" s="1866"/>
      <c r="ED204" s="1866"/>
      <c r="EE204" s="1866"/>
      <c r="EF204" s="1866"/>
      <c r="EG204" s="1866"/>
      <c r="EH204" s="1866"/>
      <c r="EI204" s="1866"/>
      <c r="EJ204" s="1866"/>
      <c r="EK204" s="1866"/>
      <c r="EL204" s="1866"/>
      <c r="EM204" s="1866"/>
      <c r="EN204" s="1866"/>
      <c r="EO204" s="1866"/>
      <c r="EP204" s="1866"/>
      <c r="EQ204" s="1866"/>
      <c r="ER204" s="1866"/>
      <c r="ES204" s="1866"/>
      <c r="ET204" s="1866"/>
      <c r="EU204" s="1866"/>
      <c r="EV204" s="1866"/>
      <c r="EW204" s="1866"/>
      <c r="EX204" s="1866"/>
      <c r="EY204" s="1866"/>
      <c r="EZ204" s="1866"/>
      <c r="FA204" s="1866"/>
      <c r="FB204" s="1866"/>
      <c r="FC204" s="1866"/>
      <c r="FD204" s="1866"/>
      <c r="FE204" s="1866"/>
      <c r="FF204" s="1866"/>
      <c r="FG204" s="1866"/>
      <c r="FH204" s="1866"/>
      <c r="FI204" s="1866"/>
      <c r="FJ204" s="1866"/>
      <c r="FK204" s="1866"/>
      <c r="FL204" s="1866"/>
      <c r="FM204" s="1866"/>
      <c r="FN204" s="1866"/>
      <c r="FO204" s="1866"/>
      <c r="FP204" s="1866"/>
      <c r="FQ204" s="1866"/>
      <c r="FR204" s="1866"/>
      <c r="FS204" s="1866"/>
      <c r="FT204" s="1866"/>
      <c r="FU204" s="1866"/>
      <c r="FV204" s="1866"/>
      <c r="FW204" s="1866"/>
      <c r="FX204" s="1866"/>
      <c r="FY204" s="1866"/>
      <c r="FZ204" s="1866"/>
      <c r="GA204" s="1866"/>
      <c r="GB204" s="1866"/>
      <c r="GC204" s="1866"/>
      <c r="GD204" s="1866"/>
      <c r="GE204" s="1866"/>
      <c r="GF204" s="1866"/>
      <c r="GG204" s="1866"/>
      <c r="GH204" s="1866"/>
      <c r="GI204" s="1866"/>
      <c r="GJ204" s="1866"/>
      <c r="GK204" s="1866"/>
      <c r="GL204" s="1866"/>
      <c r="GM204" s="1866"/>
      <c r="GN204" s="1866"/>
      <c r="GO204" s="1866"/>
      <c r="GP204" s="1866"/>
      <c r="GQ204" s="1866"/>
      <c r="GR204" s="1866"/>
      <c r="GS204" s="1866"/>
      <c r="GT204" s="1866"/>
      <c r="GU204" s="1866"/>
      <c r="GV204" s="1866"/>
      <c r="GW204" s="1866"/>
      <c r="GX204" s="1866"/>
      <c r="GY204" s="1866"/>
      <c r="GZ204" s="1866"/>
      <c r="HA204" s="1866"/>
      <c r="HB204" s="1866"/>
      <c r="HC204" s="1866"/>
      <c r="HD204" s="1866"/>
      <c r="HE204" s="1866"/>
    </row>
    <row r="205" spans="1:213" ht="15" customHeight="1" x14ac:dyDescent="0.2">
      <c r="A205" s="1966"/>
      <c r="B205" s="1989"/>
      <c r="C205" s="1706" t="s">
        <v>27</v>
      </c>
      <c r="D205" s="1883"/>
      <c r="E205" s="1984"/>
      <c r="F205" s="1838">
        <v>0</v>
      </c>
      <c r="G205" s="1804">
        <v>0</v>
      </c>
      <c r="H205" s="1804">
        <v>0</v>
      </c>
      <c r="I205" s="1804">
        <v>0</v>
      </c>
      <c r="J205" s="1804">
        <v>0</v>
      </c>
      <c r="K205" s="1804">
        <v>0</v>
      </c>
      <c r="L205" s="1804">
        <v>0</v>
      </c>
      <c r="M205" s="1804">
        <v>0</v>
      </c>
      <c r="N205" s="1804">
        <v>0</v>
      </c>
      <c r="O205" s="1804">
        <v>0</v>
      </c>
      <c r="P205" s="1804">
        <v>0</v>
      </c>
      <c r="Q205" s="1804">
        <v>0</v>
      </c>
      <c r="R205" s="1804">
        <v>0</v>
      </c>
      <c r="S205" s="1804">
        <v>0</v>
      </c>
      <c r="T205" s="1804">
        <v>0</v>
      </c>
      <c r="U205" s="1804">
        <v>0</v>
      </c>
      <c r="V205" s="1804">
        <v>0</v>
      </c>
      <c r="W205" s="1804">
        <v>0</v>
      </c>
      <c r="X205" s="1804">
        <v>0</v>
      </c>
      <c r="Y205" s="1804">
        <v>0</v>
      </c>
      <c r="Z205" s="1804">
        <v>0</v>
      </c>
      <c r="AA205" s="1804">
        <v>0</v>
      </c>
      <c r="AB205" s="1804">
        <v>0</v>
      </c>
      <c r="AC205" s="1804">
        <v>0</v>
      </c>
      <c r="AD205" s="1804">
        <v>0</v>
      </c>
      <c r="AE205" s="1804">
        <v>0</v>
      </c>
      <c r="AF205" s="1804">
        <v>0</v>
      </c>
      <c r="AG205" s="1804">
        <v>0</v>
      </c>
      <c r="AH205" s="1804">
        <v>0</v>
      </c>
      <c r="AI205" s="1804">
        <v>0</v>
      </c>
      <c r="AJ205" s="1804">
        <v>0</v>
      </c>
      <c r="AK205" s="1804">
        <v>0</v>
      </c>
      <c r="AL205" s="1804">
        <v>0</v>
      </c>
      <c r="AM205" s="1804">
        <v>0</v>
      </c>
      <c r="AN205" s="1804">
        <v>0</v>
      </c>
      <c r="AO205" s="1804">
        <v>0</v>
      </c>
      <c r="AP205" s="1804">
        <v>0</v>
      </c>
      <c r="AQ205" s="1804">
        <v>0</v>
      </c>
      <c r="AR205" s="1804">
        <v>0</v>
      </c>
      <c r="AS205" s="1804">
        <v>0</v>
      </c>
      <c r="AT205" s="1804">
        <v>0</v>
      </c>
      <c r="AU205" s="1804">
        <v>0</v>
      </c>
      <c r="AV205" s="1804">
        <v>0</v>
      </c>
      <c r="AW205" s="1804">
        <v>0</v>
      </c>
      <c r="AX205" s="1804">
        <v>0</v>
      </c>
      <c r="AY205" s="1804">
        <v>0</v>
      </c>
      <c r="AZ205" s="1804">
        <v>0</v>
      </c>
      <c r="BA205" s="1804">
        <v>0</v>
      </c>
      <c r="BB205" s="1804">
        <v>0</v>
      </c>
      <c r="BC205" s="1804">
        <v>0</v>
      </c>
      <c r="BD205" s="1804">
        <v>0</v>
      </c>
      <c r="BE205" s="1804">
        <v>0</v>
      </c>
      <c r="BF205" s="1804">
        <v>0</v>
      </c>
      <c r="BG205" s="1804">
        <v>0</v>
      </c>
      <c r="BH205" s="1804">
        <v>0</v>
      </c>
      <c r="BI205" s="1804">
        <v>0</v>
      </c>
      <c r="BJ205" s="1804">
        <v>0</v>
      </c>
      <c r="BK205" s="1804">
        <v>0</v>
      </c>
      <c r="BL205" s="1804">
        <v>0</v>
      </c>
      <c r="BM205" s="1804">
        <v>0</v>
      </c>
      <c r="BN205" s="1804">
        <v>0</v>
      </c>
      <c r="BO205" s="1804">
        <v>0</v>
      </c>
      <c r="BP205" s="1804">
        <v>0</v>
      </c>
      <c r="BQ205" s="1804">
        <v>0</v>
      </c>
      <c r="BR205" s="1804">
        <v>0</v>
      </c>
      <c r="BS205" s="1804">
        <v>0</v>
      </c>
      <c r="BT205" s="1804">
        <v>0</v>
      </c>
      <c r="BU205" s="1804">
        <v>0</v>
      </c>
      <c r="BV205" s="1804">
        <v>0</v>
      </c>
      <c r="BW205" s="1804">
        <v>0</v>
      </c>
      <c r="BX205" s="1804">
        <v>0</v>
      </c>
      <c r="BY205" s="1804">
        <v>0</v>
      </c>
      <c r="BZ205" s="1804">
        <v>0</v>
      </c>
      <c r="CA205" s="1804">
        <v>0</v>
      </c>
      <c r="CB205" s="1804">
        <v>0</v>
      </c>
      <c r="CC205" s="1804">
        <v>0</v>
      </c>
      <c r="CD205" s="1804">
        <v>0</v>
      </c>
      <c r="CE205" s="1804">
        <v>0</v>
      </c>
      <c r="CF205" s="1804">
        <v>0</v>
      </c>
      <c r="CG205" s="1804">
        <v>0</v>
      </c>
      <c r="CH205" s="1804">
        <v>0</v>
      </c>
      <c r="CI205" s="1804">
        <v>0</v>
      </c>
      <c r="CJ205" s="1804">
        <v>0</v>
      </c>
      <c r="CK205" s="1804">
        <v>0</v>
      </c>
      <c r="CL205" s="1804">
        <v>0</v>
      </c>
      <c r="CM205" s="1804">
        <v>0</v>
      </c>
      <c r="CN205" s="1804">
        <v>0</v>
      </c>
      <c r="CO205" s="1804">
        <v>0</v>
      </c>
      <c r="CP205" s="1804">
        <v>0</v>
      </c>
      <c r="CQ205" s="1804">
        <v>0</v>
      </c>
      <c r="CR205" s="1804">
        <v>0</v>
      </c>
      <c r="CS205" s="1804">
        <v>0</v>
      </c>
      <c r="CT205" s="1804">
        <v>0</v>
      </c>
      <c r="CU205" s="1804">
        <v>0</v>
      </c>
      <c r="CV205" s="1804">
        <v>0</v>
      </c>
      <c r="CW205" s="1804">
        <v>0</v>
      </c>
      <c r="CX205" s="1804">
        <v>0</v>
      </c>
      <c r="CY205" s="1804">
        <v>0</v>
      </c>
      <c r="CZ205" s="1804">
        <v>0</v>
      </c>
      <c r="DA205" s="1804">
        <v>0</v>
      </c>
      <c r="DB205" s="1804">
        <v>0</v>
      </c>
      <c r="DC205" s="1804">
        <v>0</v>
      </c>
      <c r="DD205" s="1804">
        <v>0</v>
      </c>
      <c r="DE205" s="1804">
        <v>0</v>
      </c>
      <c r="DF205" s="1804">
        <v>0</v>
      </c>
      <c r="DG205" s="1804">
        <v>0</v>
      </c>
      <c r="DH205" s="1804">
        <v>0</v>
      </c>
      <c r="DI205" s="1804">
        <v>0</v>
      </c>
      <c r="DJ205" s="1804">
        <v>0</v>
      </c>
      <c r="DK205" s="1804">
        <v>0</v>
      </c>
      <c r="DL205" s="1804">
        <v>0</v>
      </c>
      <c r="DM205" s="1804">
        <v>0</v>
      </c>
      <c r="DN205" s="1804">
        <v>0</v>
      </c>
      <c r="DO205" s="1804">
        <v>0</v>
      </c>
      <c r="DP205" s="1804">
        <v>0</v>
      </c>
      <c r="DQ205" s="1804">
        <v>0</v>
      </c>
      <c r="DR205" s="1804">
        <v>0</v>
      </c>
      <c r="DS205" s="1804">
        <v>0</v>
      </c>
      <c r="DT205" s="1804">
        <v>0</v>
      </c>
      <c r="DU205" s="1804">
        <v>0</v>
      </c>
      <c r="DV205" s="1804">
        <v>0</v>
      </c>
      <c r="DW205" s="1804">
        <v>0</v>
      </c>
      <c r="DX205" s="1804">
        <v>0</v>
      </c>
      <c r="DY205" s="1804">
        <v>0</v>
      </c>
      <c r="DZ205" s="1804">
        <v>0</v>
      </c>
      <c r="EA205" s="1804">
        <v>0</v>
      </c>
      <c r="EB205" s="1804">
        <v>0</v>
      </c>
      <c r="EC205" s="1804">
        <v>0</v>
      </c>
      <c r="ED205" s="1804">
        <v>0</v>
      </c>
      <c r="EE205" s="1804">
        <v>0</v>
      </c>
      <c r="EF205" s="1804">
        <v>0</v>
      </c>
      <c r="EG205" s="1804">
        <v>0</v>
      </c>
      <c r="EH205" s="1804">
        <v>0</v>
      </c>
      <c r="EI205" s="1804">
        <v>0</v>
      </c>
      <c r="EJ205" s="1804">
        <v>0</v>
      </c>
      <c r="EK205" s="1804">
        <v>0</v>
      </c>
      <c r="EL205" s="1804">
        <v>0</v>
      </c>
      <c r="EM205" s="1804">
        <v>0</v>
      </c>
      <c r="EN205" s="1804">
        <v>0</v>
      </c>
      <c r="EO205" s="1804">
        <v>0</v>
      </c>
      <c r="EP205" s="1804">
        <v>0</v>
      </c>
      <c r="EQ205" s="1804">
        <v>0</v>
      </c>
      <c r="ER205" s="1804">
        <v>0</v>
      </c>
      <c r="ES205" s="1804">
        <v>0</v>
      </c>
      <c r="ET205" s="1804">
        <v>0</v>
      </c>
      <c r="EU205" s="1804">
        <v>0</v>
      </c>
      <c r="EV205" s="1804">
        <v>0</v>
      </c>
      <c r="EW205" s="1804">
        <v>0</v>
      </c>
      <c r="EX205" s="1804">
        <v>0</v>
      </c>
      <c r="EY205" s="1804">
        <v>0</v>
      </c>
      <c r="EZ205" s="1804">
        <v>0</v>
      </c>
      <c r="FA205" s="1804">
        <v>0</v>
      </c>
      <c r="FB205" s="1804">
        <v>0</v>
      </c>
      <c r="FC205" s="1804">
        <v>0</v>
      </c>
      <c r="FD205" s="1804">
        <v>0</v>
      </c>
      <c r="FE205" s="1804">
        <v>0</v>
      </c>
      <c r="FF205" s="1804">
        <v>0</v>
      </c>
      <c r="FG205" s="1804">
        <v>0</v>
      </c>
      <c r="FH205" s="1804">
        <v>0</v>
      </c>
      <c r="FI205" s="1804">
        <v>0</v>
      </c>
      <c r="FJ205" s="1804">
        <v>0</v>
      </c>
      <c r="FK205" s="1804">
        <v>0</v>
      </c>
      <c r="FL205" s="1804">
        <v>0</v>
      </c>
      <c r="FM205" s="1804">
        <v>0</v>
      </c>
      <c r="FN205" s="1804">
        <v>0</v>
      </c>
      <c r="FO205" s="1804">
        <v>0</v>
      </c>
      <c r="FP205" s="1804">
        <v>0</v>
      </c>
      <c r="FQ205" s="1804">
        <v>0</v>
      </c>
      <c r="FR205" s="1804">
        <v>0</v>
      </c>
      <c r="FS205" s="1804">
        <v>0</v>
      </c>
      <c r="FT205" s="1804">
        <v>0</v>
      </c>
      <c r="FU205" s="1804">
        <v>0</v>
      </c>
      <c r="FV205" s="1804">
        <v>0</v>
      </c>
      <c r="FW205" s="1804">
        <v>0</v>
      </c>
      <c r="FX205" s="1804">
        <v>0</v>
      </c>
      <c r="FY205" s="1804">
        <v>0</v>
      </c>
      <c r="FZ205" s="1804">
        <v>0</v>
      </c>
      <c r="GA205" s="1804">
        <v>0</v>
      </c>
      <c r="GB205" s="1804">
        <v>0</v>
      </c>
      <c r="GC205" s="1804">
        <v>0</v>
      </c>
      <c r="GD205" s="1804">
        <v>0</v>
      </c>
      <c r="GE205" s="1804">
        <v>0</v>
      </c>
      <c r="GF205" s="1804">
        <v>0</v>
      </c>
      <c r="GG205" s="1804">
        <v>0</v>
      </c>
      <c r="GH205" s="1804">
        <v>0</v>
      </c>
      <c r="GI205" s="1804">
        <v>0</v>
      </c>
      <c r="GJ205" s="1804">
        <v>0</v>
      </c>
      <c r="GK205" s="1804">
        <v>0</v>
      </c>
      <c r="GL205" s="1804">
        <v>0</v>
      </c>
      <c r="GM205" s="1804">
        <v>0</v>
      </c>
      <c r="GN205" s="1804">
        <v>0</v>
      </c>
      <c r="GO205" s="1804">
        <v>0</v>
      </c>
      <c r="GP205" s="1804">
        <v>0</v>
      </c>
      <c r="GQ205" s="1804">
        <v>0</v>
      </c>
      <c r="GR205" s="1804">
        <v>0</v>
      </c>
      <c r="GS205" s="1804">
        <v>0</v>
      </c>
      <c r="GT205" s="1804">
        <v>0</v>
      </c>
      <c r="GU205" s="1804">
        <v>0</v>
      </c>
      <c r="GV205" s="1804">
        <v>0</v>
      </c>
      <c r="GW205" s="1804">
        <v>0</v>
      </c>
      <c r="GX205" s="1804">
        <v>0</v>
      </c>
      <c r="GY205" s="1804">
        <v>0</v>
      </c>
      <c r="GZ205" s="1804">
        <v>0</v>
      </c>
      <c r="HA205" s="1804">
        <v>0</v>
      </c>
      <c r="HB205" s="1804">
        <v>0</v>
      </c>
      <c r="HC205" s="1804">
        <v>0</v>
      </c>
      <c r="HD205" s="1804">
        <v>0</v>
      </c>
      <c r="HE205" s="1804">
        <v>0</v>
      </c>
    </row>
    <row r="206" spans="1:213" ht="15" customHeight="1" x14ac:dyDescent="0.2">
      <c r="A206" s="1966"/>
      <c r="B206" s="1989"/>
      <c r="C206" s="1822" t="s">
        <v>701</v>
      </c>
      <c r="D206" s="1883"/>
      <c r="E206" s="1984"/>
      <c r="F206" s="1838">
        <v>0</v>
      </c>
      <c r="G206" s="1804">
        <v>0</v>
      </c>
      <c r="H206" s="1804">
        <v>0</v>
      </c>
      <c r="I206" s="1804">
        <v>0</v>
      </c>
      <c r="J206" s="1804">
        <v>0</v>
      </c>
      <c r="K206" s="1804">
        <v>0</v>
      </c>
      <c r="L206" s="1804">
        <v>0</v>
      </c>
      <c r="M206" s="1804">
        <v>0</v>
      </c>
      <c r="N206" s="1804">
        <v>0</v>
      </c>
      <c r="O206" s="1804">
        <v>0</v>
      </c>
      <c r="P206" s="1804">
        <v>0</v>
      </c>
      <c r="Q206" s="1804">
        <v>0</v>
      </c>
      <c r="R206" s="1804">
        <v>0</v>
      </c>
      <c r="S206" s="1804">
        <v>0</v>
      </c>
      <c r="T206" s="1804">
        <v>0</v>
      </c>
      <c r="U206" s="1804">
        <v>0</v>
      </c>
      <c r="V206" s="1804">
        <v>0</v>
      </c>
      <c r="W206" s="1804">
        <v>0</v>
      </c>
      <c r="X206" s="1804">
        <v>0</v>
      </c>
      <c r="Y206" s="1804">
        <v>0</v>
      </c>
      <c r="Z206" s="1804">
        <v>0</v>
      </c>
      <c r="AA206" s="1804">
        <v>0</v>
      </c>
      <c r="AB206" s="1804">
        <v>0</v>
      </c>
      <c r="AC206" s="1804">
        <v>0</v>
      </c>
      <c r="AD206" s="1804">
        <v>0</v>
      </c>
      <c r="AE206" s="1804">
        <v>0</v>
      </c>
      <c r="AF206" s="1804">
        <v>0</v>
      </c>
      <c r="AG206" s="1804">
        <v>0</v>
      </c>
      <c r="AH206" s="1804">
        <v>0</v>
      </c>
      <c r="AI206" s="1804">
        <v>0</v>
      </c>
      <c r="AJ206" s="1804">
        <v>0</v>
      </c>
      <c r="AK206" s="1804">
        <v>0</v>
      </c>
      <c r="AL206" s="1804">
        <v>0</v>
      </c>
      <c r="AM206" s="1804">
        <v>0</v>
      </c>
      <c r="AN206" s="1804">
        <v>0</v>
      </c>
      <c r="AO206" s="1804">
        <v>0</v>
      </c>
      <c r="AP206" s="1804">
        <v>0</v>
      </c>
      <c r="AQ206" s="1804">
        <v>0</v>
      </c>
      <c r="AR206" s="1804">
        <v>0</v>
      </c>
      <c r="AS206" s="1804">
        <v>0</v>
      </c>
      <c r="AT206" s="1804">
        <v>0</v>
      </c>
      <c r="AU206" s="1804">
        <v>0</v>
      </c>
      <c r="AV206" s="1804">
        <v>0</v>
      </c>
      <c r="AW206" s="1804">
        <v>0</v>
      </c>
      <c r="AX206" s="1804">
        <v>0</v>
      </c>
      <c r="AY206" s="1804">
        <v>0</v>
      </c>
      <c r="AZ206" s="1804">
        <v>0</v>
      </c>
      <c r="BA206" s="1804">
        <v>0</v>
      </c>
      <c r="BB206" s="1804">
        <v>0</v>
      </c>
      <c r="BC206" s="1804">
        <v>0</v>
      </c>
      <c r="BD206" s="1804">
        <v>0</v>
      </c>
      <c r="BE206" s="1804">
        <v>0</v>
      </c>
      <c r="BF206" s="1804">
        <v>0</v>
      </c>
      <c r="BG206" s="1804">
        <v>0</v>
      </c>
      <c r="BH206" s="1804">
        <v>0</v>
      </c>
      <c r="BI206" s="1804">
        <v>0</v>
      </c>
      <c r="BJ206" s="1804">
        <v>0</v>
      </c>
      <c r="BK206" s="1804">
        <v>0</v>
      </c>
      <c r="BL206" s="1804">
        <v>0</v>
      </c>
      <c r="BM206" s="1804">
        <v>0</v>
      </c>
      <c r="BN206" s="1804">
        <v>0</v>
      </c>
      <c r="BO206" s="1804">
        <v>0</v>
      </c>
      <c r="BP206" s="1804">
        <v>0</v>
      </c>
      <c r="BQ206" s="1804">
        <v>0</v>
      </c>
      <c r="BR206" s="1804">
        <v>0</v>
      </c>
      <c r="BS206" s="1804">
        <v>0</v>
      </c>
      <c r="BT206" s="1804">
        <v>0</v>
      </c>
      <c r="BU206" s="1804">
        <v>0</v>
      </c>
      <c r="BV206" s="1804">
        <v>0</v>
      </c>
      <c r="BW206" s="1804">
        <v>0</v>
      </c>
      <c r="BX206" s="1804">
        <v>0</v>
      </c>
      <c r="BY206" s="1804">
        <v>0</v>
      </c>
      <c r="BZ206" s="1804">
        <v>0</v>
      </c>
      <c r="CA206" s="1804">
        <v>0</v>
      </c>
      <c r="CB206" s="1804">
        <v>0</v>
      </c>
      <c r="CC206" s="1804">
        <v>0</v>
      </c>
      <c r="CD206" s="1804">
        <v>0</v>
      </c>
      <c r="CE206" s="1804">
        <v>0</v>
      </c>
      <c r="CF206" s="1804">
        <v>0</v>
      </c>
      <c r="CG206" s="1804">
        <v>0</v>
      </c>
      <c r="CH206" s="1804">
        <v>0</v>
      </c>
      <c r="CI206" s="1804">
        <v>0</v>
      </c>
      <c r="CJ206" s="1804">
        <v>0</v>
      </c>
      <c r="CK206" s="1804">
        <v>0</v>
      </c>
      <c r="CL206" s="1804">
        <v>0</v>
      </c>
      <c r="CM206" s="1804">
        <v>0</v>
      </c>
      <c r="CN206" s="1804">
        <v>0</v>
      </c>
      <c r="CO206" s="1804">
        <v>0</v>
      </c>
      <c r="CP206" s="1804">
        <v>0</v>
      </c>
      <c r="CQ206" s="1804">
        <v>0</v>
      </c>
      <c r="CR206" s="1804">
        <v>0</v>
      </c>
      <c r="CS206" s="1804">
        <v>0</v>
      </c>
      <c r="CT206" s="1804">
        <v>0</v>
      </c>
      <c r="CU206" s="1804">
        <v>0</v>
      </c>
      <c r="CV206" s="1804">
        <v>0</v>
      </c>
      <c r="CW206" s="1804">
        <v>0</v>
      </c>
      <c r="CX206" s="1804">
        <v>0</v>
      </c>
      <c r="CY206" s="1804">
        <v>0</v>
      </c>
      <c r="CZ206" s="1804">
        <v>0</v>
      </c>
      <c r="DA206" s="1804">
        <v>0</v>
      </c>
      <c r="DB206" s="1804">
        <v>0</v>
      </c>
      <c r="DC206" s="1804">
        <v>0</v>
      </c>
      <c r="DD206" s="1804">
        <v>0</v>
      </c>
      <c r="DE206" s="1804">
        <v>0</v>
      </c>
      <c r="DF206" s="1804">
        <v>0</v>
      </c>
      <c r="DG206" s="1804">
        <v>0</v>
      </c>
      <c r="DH206" s="1804">
        <v>0</v>
      </c>
      <c r="DI206" s="1804">
        <v>0</v>
      </c>
      <c r="DJ206" s="1804">
        <v>0</v>
      </c>
      <c r="DK206" s="1804">
        <v>0</v>
      </c>
      <c r="DL206" s="1804">
        <v>0</v>
      </c>
      <c r="DM206" s="1804">
        <v>0</v>
      </c>
      <c r="DN206" s="1804">
        <v>0</v>
      </c>
      <c r="DO206" s="1804">
        <v>0</v>
      </c>
      <c r="DP206" s="1804">
        <v>0</v>
      </c>
      <c r="DQ206" s="1804">
        <v>0</v>
      </c>
      <c r="DR206" s="1804">
        <v>0</v>
      </c>
      <c r="DS206" s="1804">
        <v>0</v>
      </c>
      <c r="DT206" s="1804">
        <v>0</v>
      </c>
      <c r="DU206" s="1804">
        <v>0</v>
      </c>
      <c r="DV206" s="1804">
        <v>0</v>
      </c>
      <c r="DW206" s="1804">
        <v>0</v>
      </c>
      <c r="DX206" s="1804">
        <v>0</v>
      </c>
      <c r="DY206" s="1804">
        <v>0</v>
      </c>
      <c r="DZ206" s="1804">
        <v>0</v>
      </c>
      <c r="EA206" s="1804">
        <v>0</v>
      </c>
      <c r="EB206" s="1804">
        <v>0</v>
      </c>
      <c r="EC206" s="1804">
        <v>0</v>
      </c>
      <c r="ED206" s="1804">
        <v>0</v>
      </c>
      <c r="EE206" s="1804">
        <v>0</v>
      </c>
      <c r="EF206" s="1804">
        <v>0</v>
      </c>
      <c r="EG206" s="1804">
        <v>0</v>
      </c>
      <c r="EH206" s="1804">
        <v>0</v>
      </c>
      <c r="EI206" s="1804">
        <v>0</v>
      </c>
      <c r="EJ206" s="1804">
        <v>0</v>
      </c>
      <c r="EK206" s="1804">
        <v>0</v>
      </c>
      <c r="EL206" s="1804">
        <v>0</v>
      </c>
      <c r="EM206" s="1804">
        <v>0</v>
      </c>
      <c r="EN206" s="1804">
        <v>0</v>
      </c>
      <c r="EO206" s="1804">
        <v>0</v>
      </c>
      <c r="EP206" s="1804">
        <v>0</v>
      </c>
      <c r="EQ206" s="1804">
        <v>0</v>
      </c>
      <c r="ER206" s="1804">
        <v>0</v>
      </c>
      <c r="ES206" s="1804">
        <v>0</v>
      </c>
      <c r="ET206" s="1804">
        <v>0</v>
      </c>
      <c r="EU206" s="1804">
        <v>0</v>
      </c>
      <c r="EV206" s="1804">
        <v>0</v>
      </c>
      <c r="EW206" s="1804">
        <v>0</v>
      </c>
      <c r="EX206" s="1804">
        <v>0</v>
      </c>
      <c r="EY206" s="1804">
        <v>0</v>
      </c>
      <c r="EZ206" s="1804">
        <v>0</v>
      </c>
      <c r="FA206" s="1804">
        <v>0</v>
      </c>
      <c r="FB206" s="1804">
        <v>0</v>
      </c>
      <c r="FC206" s="1804">
        <v>0</v>
      </c>
      <c r="FD206" s="1804">
        <v>0</v>
      </c>
      <c r="FE206" s="1804">
        <v>0</v>
      </c>
      <c r="FF206" s="1804">
        <v>0</v>
      </c>
      <c r="FG206" s="1804">
        <v>0</v>
      </c>
      <c r="FH206" s="1804">
        <v>0</v>
      </c>
      <c r="FI206" s="1804">
        <v>0</v>
      </c>
      <c r="FJ206" s="1804">
        <v>0</v>
      </c>
      <c r="FK206" s="1804">
        <v>0</v>
      </c>
      <c r="FL206" s="1804">
        <v>0</v>
      </c>
      <c r="FM206" s="1804">
        <v>0</v>
      </c>
      <c r="FN206" s="1804">
        <v>0</v>
      </c>
      <c r="FO206" s="1804">
        <v>0</v>
      </c>
      <c r="FP206" s="1804">
        <v>0</v>
      </c>
      <c r="FQ206" s="1804">
        <v>0</v>
      </c>
      <c r="FR206" s="1804">
        <v>0</v>
      </c>
      <c r="FS206" s="1804">
        <v>0</v>
      </c>
      <c r="FT206" s="1804">
        <v>0</v>
      </c>
      <c r="FU206" s="1804">
        <v>0</v>
      </c>
      <c r="FV206" s="1804">
        <v>0</v>
      </c>
      <c r="FW206" s="1804">
        <v>0</v>
      </c>
      <c r="FX206" s="1804">
        <v>0</v>
      </c>
      <c r="FY206" s="1804">
        <v>0</v>
      </c>
      <c r="FZ206" s="1804">
        <v>0</v>
      </c>
      <c r="GA206" s="1804">
        <v>0</v>
      </c>
      <c r="GB206" s="1804">
        <v>0</v>
      </c>
      <c r="GC206" s="1804">
        <v>0</v>
      </c>
      <c r="GD206" s="1804">
        <v>0</v>
      </c>
      <c r="GE206" s="1804">
        <v>0</v>
      </c>
      <c r="GF206" s="1804">
        <v>0</v>
      </c>
      <c r="GG206" s="1804">
        <v>0</v>
      </c>
      <c r="GH206" s="1804">
        <v>0</v>
      </c>
      <c r="GI206" s="1804">
        <v>0</v>
      </c>
      <c r="GJ206" s="1804">
        <v>0</v>
      </c>
      <c r="GK206" s="1804">
        <v>0</v>
      </c>
      <c r="GL206" s="1804">
        <v>0</v>
      </c>
      <c r="GM206" s="1804">
        <v>0</v>
      </c>
      <c r="GN206" s="1804">
        <v>0</v>
      </c>
      <c r="GO206" s="1804">
        <v>0</v>
      </c>
      <c r="GP206" s="1804">
        <v>0</v>
      </c>
      <c r="GQ206" s="1804">
        <v>0</v>
      </c>
      <c r="GR206" s="1804">
        <v>0</v>
      </c>
      <c r="GS206" s="1804">
        <v>0</v>
      </c>
      <c r="GT206" s="1804">
        <v>0</v>
      </c>
      <c r="GU206" s="1804">
        <v>0</v>
      </c>
      <c r="GV206" s="1804">
        <v>0</v>
      </c>
      <c r="GW206" s="1804">
        <v>0</v>
      </c>
      <c r="GX206" s="1804">
        <v>0</v>
      </c>
      <c r="GY206" s="1804">
        <v>0</v>
      </c>
      <c r="GZ206" s="1804">
        <v>0</v>
      </c>
      <c r="HA206" s="1804">
        <v>0</v>
      </c>
      <c r="HB206" s="1804">
        <v>0</v>
      </c>
      <c r="HC206" s="1804">
        <v>0</v>
      </c>
      <c r="HD206" s="1804">
        <v>0</v>
      </c>
      <c r="HE206" s="1804">
        <v>0</v>
      </c>
    </row>
    <row r="207" spans="1:213" ht="15" customHeight="1" thickBot="1" x14ac:dyDescent="0.25">
      <c r="A207" s="1967"/>
      <c r="B207" s="1991"/>
      <c r="C207" s="1697" t="s">
        <v>702</v>
      </c>
      <c r="D207" s="1883"/>
      <c r="E207" s="1984"/>
      <c r="F207" s="1838">
        <v>0</v>
      </c>
      <c r="G207" s="1804">
        <v>0</v>
      </c>
      <c r="H207" s="1804">
        <v>0</v>
      </c>
      <c r="I207" s="1804">
        <v>0</v>
      </c>
      <c r="J207" s="1804">
        <v>0</v>
      </c>
      <c r="K207" s="1804">
        <v>0</v>
      </c>
      <c r="L207" s="1804">
        <v>0</v>
      </c>
      <c r="M207" s="1804">
        <v>0</v>
      </c>
      <c r="N207" s="1804">
        <v>0</v>
      </c>
      <c r="O207" s="1804">
        <v>0</v>
      </c>
      <c r="P207" s="1804">
        <v>0</v>
      </c>
      <c r="Q207" s="1804">
        <v>0</v>
      </c>
      <c r="R207" s="1804">
        <v>0</v>
      </c>
      <c r="S207" s="1804">
        <v>0</v>
      </c>
      <c r="T207" s="1804">
        <v>0</v>
      </c>
      <c r="U207" s="1804">
        <v>0</v>
      </c>
      <c r="V207" s="1804">
        <v>0</v>
      </c>
      <c r="W207" s="1804">
        <v>0</v>
      </c>
      <c r="X207" s="1804">
        <v>0</v>
      </c>
      <c r="Y207" s="1804">
        <v>0</v>
      </c>
      <c r="Z207" s="1804">
        <v>0</v>
      </c>
      <c r="AA207" s="1804">
        <v>0</v>
      </c>
      <c r="AB207" s="1804">
        <v>0</v>
      </c>
      <c r="AC207" s="1804">
        <v>0</v>
      </c>
      <c r="AD207" s="1804">
        <v>0</v>
      </c>
      <c r="AE207" s="1804">
        <v>0</v>
      </c>
      <c r="AF207" s="1804">
        <v>0</v>
      </c>
      <c r="AG207" s="1804">
        <v>0</v>
      </c>
      <c r="AH207" s="1804">
        <v>0</v>
      </c>
      <c r="AI207" s="1804">
        <v>0</v>
      </c>
      <c r="AJ207" s="1804">
        <v>0</v>
      </c>
      <c r="AK207" s="1804">
        <v>0</v>
      </c>
      <c r="AL207" s="1804">
        <v>0</v>
      </c>
      <c r="AM207" s="1804">
        <v>0</v>
      </c>
      <c r="AN207" s="1804">
        <v>0</v>
      </c>
      <c r="AO207" s="1804">
        <v>0</v>
      </c>
      <c r="AP207" s="1804">
        <v>0</v>
      </c>
      <c r="AQ207" s="1804">
        <v>0</v>
      </c>
      <c r="AR207" s="1804">
        <v>0</v>
      </c>
      <c r="AS207" s="1804">
        <v>0</v>
      </c>
      <c r="AT207" s="1804">
        <v>0</v>
      </c>
      <c r="AU207" s="1804">
        <v>0</v>
      </c>
      <c r="AV207" s="1804">
        <v>0</v>
      </c>
      <c r="AW207" s="1804">
        <v>0</v>
      </c>
      <c r="AX207" s="1804">
        <v>0</v>
      </c>
      <c r="AY207" s="1804">
        <v>0</v>
      </c>
      <c r="AZ207" s="1804">
        <v>0</v>
      </c>
      <c r="BA207" s="1804">
        <v>0</v>
      </c>
      <c r="BB207" s="1804">
        <v>0</v>
      </c>
      <c r="BC207" s="1804">
        <v>0</v>
      </c>
      <c r="BD207" s="1804">
        <v>0</v>
      </c>
      <c r="BE207" s="1804">
        <v>0</v>
      </c>
      <c r="BF207" s="1804">
        <v>0</v>
      </c>
      <c r="BG207" s="1804">
        <v>0</v>
      </c>
      <c r="BH207" s="1804">
        <v>0</v>
      </c>
      <c r="BI207" s="1804">
        <v>0</v>
      </c>
      <c r="BJ207" s="1804">
        <v>0</v>
      </c>
      <c r="BK207" s="1804">
        <v>0</v>
      </c>
      <c r="BL207" s="1804">
        <v>0</v>
      </c>
      <c r="BM207" s="1804">
        <v>0</v>
      </c>
      <c r="BN207" s="1804">
        <v>0</v>
      </c>
      <c r="BO207" s="1804">
        <v>0</v>
      </c>
      <c r="BP207" s="1804">
        <v>0</v>
      </c>
      <c r="BQ207" s="1804">
        <v>0</v>
      </c>
      <c r="BR207" s="1804">
        <v>0</v>
      </c>
      <c r="BS207" s="1804">
        <v>0</v>
      </c>
      <c r="BT207" s="1804">
        <v>0</v>
      </c>
      <c r="BU207" s="1804">
        <v>0</v>
      </c>
      <c r="BV207" s="1804">
        <v>0</v>
      </c>
      <c r="BW207" s="1804">
        <v>0</v>
      </c>
      <c r="BX207" s="1804">
        <v>0</v>
      </c>
      <c r="BY207" s="1804">
        <v>0</v>
      </c>
      <c r="BZ207" s="1804">
        <v>0</v>
      </c>
      <c r="CA207" s="1804">
        <v>0</v>
      </c>
      <c r="CB207" s="1804">
        <v>0</v>
      </c>
      <c r="CC207" s="1804">
        <v>0</v>
      </c>
      <c r="CD207" s="1804">
        <v>0</v>
      </c>
      <c r="CE207" s="1804">
        <v>0</v>
      </c>
      <c r="CF207" s="1804">
        <v>0</v>
      </c>
      <c r="CG207" s="1804">
        <v>0</v>
      </c>
      <c r="CH207" s="1804">
        <v>0</v>
      </c>
      <c r="CI207" s="1804">
        <v>0</v>
      </c>
      <c r="CJ207" s="1804">
        <v>0</v>
      </c>
      <c r="CK207" s="1804">
        <v>0</v>
      </c>
      <c r="CL207" s="1804">
        <v>0</v>
      </c>
      <c r="CM207" s="1804">
        <v>0</v>
      </c>
      <c r="CN207" s="1804">
        <v>0</v>
      </c>
      <c r="CO207" s="1804">
        <v>0</v>
      </c>
      <c r="CP207" s="1804">
        <v>0</v>
      </c>
      <c r="CQ207" s="1804">
        <v>0</v>
      </c>
      <c r="CR207" s="1804">
        <v>0</v>
      </c>
      <c r="CS207" s="1804">
        <v>0</v>
      </c>
      <c r="CT207" s="1804">
        <v>0</v>
      </c>
      <c r="CU207" s="1804">
        <v>0</v>
      </c>
      <c r="CV207" s="1804">
        <v>0</v>
      </c>
      <c r="CW207" s="1804">
        <v>0</v>
      </c>
      <c r="CX207" s="1804">
        <v>0</v>
      </c>
      <c r="CY207" s="1804">
        <v>0</v>
      </c>
      <c r="CZ207" s="1804">
        <v>0</v>
      </c>
      <c r="DA207" s="1804">
        <v>0</v>
      </c>
      <c r="DB207" s="1804">
        <v>0</v>
      </c>
      <c r="DC207" s="1804">
        <v>0</v>
      </c>
      <c r="DD207" s="1804">
        <v>0</v>
      </c>
      <c r="DE207" s="1804">
        <v>0</v>
      </c>
      <c r="DF207" s="1804">
        <v>0</v>
      </c>
      <c r="DG207" s="1804">
        <v>0</v>
      </c>
      <c r="DH207" s="1804">
        <v>0</v>
      </c>
      <c r="DI207" s="1804">
        <v>0</v>
      </c>
      <c r="DJ207" s="1804">
        <v>0</v>
      </c>
      <c r="DK207" s="1804">
        <v>0</v>
      </c>
      <c r="DL207" s="1804">
        <v>0</v>
      </c>
      <c r="DM207" s="1804">
        <v>0</v>
      </c>
      <c r="DN207" s="1804">
        <v>0</v>
      </c>
      <c r="DO207" s="1804">
        <v>0</v>
      </c>
      <c r="DP207" s="1804">
        <v>0</v>
      </c>
      <c r="DQ207" s="1804">
        <v>0</v>
      </c>
      <c r="DR207" s="1804">
        <v>0</v>
      </c>
      <c r="DS207" s="1804">
        <v>0</v>
      </c>
      <c r="DT207" s="1804">
        <v>0</v>
      </c>
      <c r="DU207" s="1804">
        <v>0</v>
      </c>
      <c r="DV207" s="1804">
        <v>0</v>
      </c>
      <c r="DW207" s="1804">
        <v>0</v>
      </c>
      <c r="DX207" s="1804">
        <v>0</v>
      </c>
      <c r="DY207" s="1804">
        <v>0</v>
      </c>
      <c r="DZ207" s="1804">
        <v>0</v>
      </c>
      <c r="EA207" s="1804">
        <v>0</v>
      </c>
      <c r="EB207" s="1804">
        <v>0</v>
      </c>
      <c r="EC207" s="1804">
        <v>0</v>
      </c>
      <c r="ED207" s="1804">
        <v>0</v>
      </c>
      <c r="EE207" s="1804">
        <v>0</v>
      </c>
      <c r="EF207" s="1804">
        <v>0</v>
      </c>
      <c r="EG207" s="1804">
        <v>0</v>
      </c>
      <c r="EH207" s="1804">
        <v>0</v>
      </c>
      <c r="EI207" s="1804">
        <v>0</v>
      </c>
      <c r="EJ207" s="1804">
        <v>0</v>
      </c>
      <c r="EK207" s="1804">
        <v>0</v>
      </c>
      <c r="EL207" s="1804">
        <v>0</v>
      </c>
      <c r="EM207" s="1804">
        <v>0</v>
      </c>
      <c r="EN207" s="1804">
        <v>0</v>
      </c>
      <c r="EO207" s="1804">
        <v>0</v>
      </c>
      <c r="EP207" s="1804">
        <v>0</v>
      </c>
      <c r="EQ207" s="1804">
        <v>0</v>
      </c>
      <c r="ER207" s="1804">
        <v>0</v>
      </c>
      <c r="ES207" s="1804">
        <v>0</v>
      </c>
      <c r="ET207" s="1804">
        <v>0</v>
      </c>
      <c r="EU207" s="1804">
        <v>0</v>
      </c>
      <c r="EV207" s="1804">
        <v>0</v>
      </c>
      <c r="EW207" s="1804">
        <v>0</v>
      </c>
      <c r="EX207" s="1804">
        <v>0</v>
      </c>
      <c r="EY207" s="1804">
        <v>0</v>
      </c>
      <c r="EZ207" s="1804">
        <v>0</v>
      </c>
      <c r="FA207" s="1804">
        <v>0</v>
      </c>
      <c r="FB207" s="1804">
        <v>0</v>
      </c>
      <c r="FC207" s="1804">
        <v>0</v>
      </c>
      <c r="FD207" s="1804">
        <v>0</v>
      </c>
      <c r="FE207" s="1804">
        <v>0</v>
      </c>
      <c r="FF207" s="1804">
        <v>0</v>
      </c>
      <c r="FG207" s="1804">
        <v>0</v>
      </c>
      <c r="FH207" s="1804">
        <v>0</v>
      </c>
      <c r="FI207" s="1804">
        <v>0</v>
      </c>
      <c r="FJ207" s="1804">
        <v>0</v>
      </c>
      <c r="FK207" s="1804">
        <v>0</v>
      </c>
      <c r="FL207" s="1804">
        <v>0</v>
      </c>
      <c r="FM207" s="1804">
        <v>0</v>
      </c>
      <c r="FN207" s="1804">
        <v>0</v>
      </c>
      <c r="FO207" s="1804">
        <v>0</v>
      </c>
      <c r="FP207" s="1804">
        <v>0</v>
      </c>
      <c r="FQ207" s="1804">
        <v>0</v>
      </c>
      <c r="FR207" s="1804">
        <v>0</v>
      </c>
      <c r="FS207" s="1804">
        <v>0</v>
      </c>
      <c r="FT207" s="1804">
        <v>0</v>
      </c>
      <c r="FU207" s="1804">
        <v>0</v>
      </c>
      <c r="FV207" s="1804">
        <v>0</v>
      </c>
      <c r="FW207" s="1804">
        <v>0</v>
      </c>
      <c r="FX207" s="1804">
        <v>0</v>
      </c>
      <c r="FY207" s="1804">
        <v>0</v>
      </c>
      <c r="FZ207" s="1804">
        <v>0</v>
      </c>
      <c r="GA207" s="1804">
        <v>0</v>
      </c>
      <c r="GB207" s="1804">
        <v>0</v>
      </c>
      <c r="GC207" s="1804">
        <v>0</v>
      </c>
      <c r="GD207" s="1804">
        <v>0</v>
      </c>
      <c r="GE207" s="1804">
        <v>0</v>
      </c>
      <c r="GF207" s="1804">
        <v>0</v>
      </c>
      <c r="GG207" s="1804">
        <v>0</v>
      </c>
      <c r="GH207" s="1804">
        <v>0</v>
      </c>
      <c r="GI207" s="1804">
        <v>0</v>
      </c>
      <c r="GJ207" s="1804">
        <v>0</v>
      </c>
      <c r="GK207" s="1804">
        <v>0</v>
      </c>
      <c r="GL207" s="1804">
        <v>0</v>
      </c>
      <c r="GM207" s="1804">
        <v>0</v>
      </c>
      <c r="GN207" s="1804">
        <v>0</v>
      </c>
      <c r="GO207" s="1804">
        <v>0</v>
      </c>
      <c r="GP207" s="1804">
        <v>0</v>
      </c>
      <c r="GQ207" s="1804">
        <v>0</v>
      </c>
      <c r="GR207" s="1804">
        <v>0</v>
      </c>
      <c r="GS207" s="1804">
        <v>0</v>
      </c>
      <c r="GT207" s="1804">
        <v>0</v>
      </c>
      <c r="GU207" s="1804">
        <v>0</v>
      </c>
      <c r="GV207" s="1804">
        <v>0</v>
      </c>
      <c r="GW207" s="1804">
        <v>0</v>
      </c>
      <c r="GX207" s="1804">
        <v>0</v>
      </c>
      <c r="GY207" s="1804">
        <v>0</v>
      </c>
      <c r="GZ207" s="1804">
        <v>0</v>
      </c>
      <c r="HA207" s="1804">
        <v>0</v>
      </c>
      <c r="HB207" s="1804">
        <v>0</v>
      </c>
      <c r="HC207" s="1804">
        <v>0</v>
      </c>
      <c r="HD207" s="1804">
        <v>0</v>
      </c>
      <c r="HE207" s="1804">
        <v>0</v>
      </c>
    </row>
    <row r="208" spans="1:213" ht="30" customHeight="1" thickBot="1" x14ac:dyDescent="0.25">
      <c r="A208" s="1968" t="s">
        <v>91</v>
      </c>
      <c r="B208" s="1988" t="s">
        <v>538</v>
      </c>
      <c r="C208" s="1699" t="s">
        <v>2237</v>
      </c>
      <c r="D208" s="1880"/>
      <c r="E208" s="1984"/>
      <c r="F208" s="1865"/>
      <c r="G208" s="1866"/>
      <c r="H208" s="1866"/>
      <c r="I208" s="1866"/>
      <c r="J208" s="1866"/>
      <c r="K208" s="1866"/>
      <c r="L208" s="1866"/>
      <c r="M208" s="1866"/>
      <c r="N208" s="1866"/>
      <c r="O208" s="1866"/>
      <c r="P208" s="1866"/>
      <c r="Q208" s="1866"/>
      <c r="R208" s="1866"/>
      <c r="S208" s="1866"/>
      <c r="T208" s="1866"/>
      <c r="U208" s="1866"/>
      <c r="V208" s="1866"/>
      <c r="W208" s="1866"/>
      <c r="X208" s="1866"/>
      <c r="Y208" s="1866"/>
      <c r="Z208" s="1866"/>
      <c r="AA208" s="1866"/>
      <c r="AB208" s="1866"/>
      <c r="AC208" s="1866"/>
      <c r="AD208" s="1866"/>
      <c r="AE208" s="1866"/>
      <c r="AF208" s="1866"/>
      <c r="AG208" s="1866"/>
      <c r="AH208" s="1866"/>
      <c r="AI208" s="1866"/>
      <c r="AJ208" s="1866"/>
      <c r="AK208" s="1866"/>
      <c r="AL208" s="1866"/>
      <c r="AM208" s="1866"/>
      <c r="AN208" s="1866"/>
      <c r="AO208" s="1866"/>
      <c r="AP208" s="1866"/>
      <c r="AQ208" s="1866"/>
      <c r="AR208" s="1866"/>
      <c r="AS208" s="1866"/>
      <c r="AT208" s="1866"/>
      <c r="AU208" s="1866"/>
      <c r="AV208" s="1866"/>
      <c r="AW208" s="1866"/>
      <c r="AX208" s="1866"/>
      <c r="AY208" s="1866"/>
      <c r="AZ208" s="1866"/>
      <c r="BA208" s="1866"/>
      <c r="BB208" s="1866"/>
      <c r="BC208" s="1866"/>
      <c r="BD208" s="1866"/>
      <c r="BE208" s="1866"/>
      <c r="BF208" s="1866"/>
      <c r="BG208" s="1866"/>
      <c r="BH208" s="1866"/>
      <c r="BI208" s="1866"/>
      <c r="BJ208" s="1866"/>
      <c r="BK208" s="1866"/>
      <c r="BL208" s="1866"/>
      <c r="BM208" s="1866"/>
      <c r="BN208" s="1866"/>
      <c r="BO208" s="1866"/>
      <c r="BP208" s="1866"/>
      <c r="BQ208" s="1866"/>
      <c r="BR208" s="1866"/>
      <c r="BS208" s="1866"/>
      <c r="BT208" s="1866"/>
      <c r="BU208" s="1866"/>
      <c r="BV208" s="1866"/>
      <c r="BW208" s="1866"/>
      <c r="BX208" s="1866"/>
      <c r="BY208" s="1866"/>
      <c r="BZ208" s="1866"/>
      <c r="CA208" s="1866"/>
      <c r="CB208" s="1866"/>
      <c r="CC208" s="1866"/>
      <c r="CD208" s="1866"/>
      <c r="CE208" s="1866"/>
      <c r="CF208" s="1866"/>
      <c r="CG208" s="1866"/>
      <c r="CH208" s="1866"/>
      <c r="CI208" s="1866"/>
      <c r="CJ208" s="1866"/>
      <c r="CK208" s="1866"/>
      <c r="CL208" s="1866"/>
      <c r="CM208" s="1866"/>
      <c r="CN208" s="1866"/>
      <c r="CO208" s="1866"/>
      <c r="CP208" s="1866"/>
      <c r="CQ208" s="1866"/>
      <c r="CR208" s="1866"/>
      <c r="CS208" s="1866"/>
      <c r="CT208" s="1866"/>
      <c r="CU208" s="1866"/>
      <c r="CV208" s="1866"/>
      <c r="CW208" s="1866"/>
      <c r="CX208" s="1866"/>
      <c r="CY208" s="1866"/>
      <c r="CZ208" s="1866"/>
      <c r="DA208" s="1866"/>
      <c r="DB208" s="1866"/>
      <c r="DC208" s="1866"/>
      <c r="DD208" s="1866"/>
      <c r="DE208" s="1866"/>
      <c r="DF208" s="1866"/>
      <c r="DG208" s="1866"/>
      <c r="DH208" s="1866"/>
      <c r="DI208" s="1866"/>
      <c r="DJ208" s="1866"/>
      <c r="DK208" s="1866"/>
      <c r="DL208" s="1866"/>
      <c r="DM208" s="1866"/>
      <c r="DN208" s="1866"/>
      <c r="DO208" s="1866"/>
      <c r="DP208" s="1866"/>
      <c r="DQ208" s="1866"/>
      <c r="DR208" s="1866"/>
      <c r="DS208" s="1866"/>
      <c r="DT208" s="1866"/>
      <c r="DU208" s="1866"/>
      <c r="DV208" s="1866"/>
      <c r="DW208" s="1866"/>
      <c r="DX208" s="1866"/>
      <c r="DY208" s="1866"/>
      <c r="DZ208" s="1866"/>
      <c r="EA208" s="1866"/>
      <c r="EB208" s="1866"/>
      <c r="EC208" s="1866"/>
      <c r="ED208" s="1866"/>
      <c r="EE208" s="1866"/>
      <c r="EF208" s="1866"/>
      <c r="EG208" s="1866"/>
      <c r="EH208" s="1866"/>
      <c r="EI208" s="1866"/>
      <c r="EJ208" s="1866"/>
      <c r="EK208" s="1866"/>
      <c r="EL208" s="1866"/>
      <c r="EM208" s="1866"/>
      <c r="EN208" s="1866"/>
      <c r="EO208" s="1866"/>
      <c r="EP208" s="1866"/>
      <c r="EQ208" s="1866"/>
      <c r="ER208" s="1866"/>
      <c r="ES208" s="1866"/>
      <c r="ET208" s="1866"/>
      <c r="EU208" s="1866"/>
      <c r="EV208" s="1866"/>
      <c r="EW208" s="1866"/>
      <c r="EX208" s="1866"/>
      <c r="EY208" s="1866"/>
      <c r="EZ208" s="1866"/>
      <c r="FA208" s="1866"/>
      <c r="FB208" s="1866"/>
      <c r="FC208" s="1866"/>
      <c r="FD208" s="1866"/>
      <c r="FE208" s="1866"/>
      <c r="FF208" s="1866"/>
      <c r="FG208" s="1866"/>
      <c r="FH208" s="1866"/>
      <c r="FI208" s="1866"/>
      <c r="FJ208" s="1866"/>
      <c r="FK208" s="1866"/>
      <c r="FL208" s="1866"/>
      <c r="FM208" s="1866"/>
      <c r="FN208" s="1866"/>
      <c r="FO208" s="1866"/>
      <c r="FP208" s="1866"/>
      <c r="FQ208" s="1866"/>
      <c r="FR208" s="1866"/>
      <c r="FS208" s="1866"/>
      <c r="FT208" s="1866"/>
      <c r="FU208" s="1866"/>
      <c r="FV208" s="1866"/>
      <c r="FW208" s="1866"/>
      <c r="FX208" s="1866"/>
      <c r="FY208" s="1866"/>
      <c r="FZ208" s="1866"/>
      <c r="GA208" s="1866"/>
      <c r="GB208" s="1866"/>
      <c r="GC208" s="1866"/>
      <c r="GD208" s="1866"/>
      <c r="GE208" s="1866"/>
      <c r="GF208" s="1866"/>
      <c r="GG208" s="1866"/>
      <c r="GH208" s="1866"/>
      <c r="GI208" s="1866"/>
      <c r="GJ208" s="1866"/>
      <c r="GK208" s="1866"/>
      <c r="GL208" s="1866"/>
      <c r="GM208" s="1866"/>
      <c r="GN208" s="1866"/>
      <c r="GO208" s="1866"/>
      <c r="GP208" s="1866"/>
      <c r="GQ208" s="1866"/>
      <c r="GR208" s="1866"/>
      <c r="GS208" s="1866"/>
      <c r="GT208" s="1866"/>
      <c r="GU208" s="1866"/>
      <c r="GV208" s="1866"/>
      <c r="GW208" s="1866"/>
      <c r="GX208" s="1866"/>
      <c r="GY208" s="1866"/>
      <c r="GZ208" s="1866"/>
      <c r="HA208" s="1866"/>
      <c r="HB208" s="1866"/>
      <c r="HC208" s="1866"/>
      <c r="HD208" s="1866"/>
      <c r="HE208" s="1866"/>
    </row>
    <row r="209" spans="1:356" ht="15" customHeight="1" x14ac:dyDescent="0.2">
      <c r="A209" s="1966"/>
      <c r="B209" s="1989"/>
      <c r="C209" s="1696" t="s">
        <v>536</v>
      </c>
      <c r="D209" s="1881"/>
      <c r="E209" s="1984"/>
      <c r="F209" s="1838">
        <v>0</v>
      </c>
      <c r="G209" s="1804">
        <v>0</v>
      </c>
      <c r="H209" s="1804">
        <v>0</v>
      </c>
      <c r="I209" s="1804">
        <v>0</v>
      </c>
      <c r="J209" s="1804">
        <v>0</v>
      </c>
      <c r="K209" s="1804">
        <v>0</v>
      </c>
      <c r="L209" s="1804">
        <v>0</v>
      </c>
      <c r="M209" s="1804">
        <v>0</v>
      </c>
      <c r="N209" s="1804">
        <v>0</v>
      </c>
      <c r="O209" s="1804">
        <v>0</v>
      </c>
      <c r="P209" s="1804">
        <v>0</v>
      </c>
      <c r="Q209" s="1804">
        <v>0</v>
      </c>
      <c r="R209" s="1804">
        <v>0</v>
      </c>
      <c r="S209" s="1804">
        <v>0</v>
      </c>
      <c r="T209" s="1804">
        <v>0</v>
      </c>
      <c r="U209" s="1804">
        <v>0</v>
      </c>
      <c r="V209" s="1804">
        <v>0</v>
      </c>
      <c r="W209" s="1804">
        <v>0</v>
      </c>
      <c r="X209" s="1804">
        <v>0</v>
      </c>
      <c r="Y209" s="1804">
        <v>0</v>
      </c>
      <c r="Z209" s="1804">
        <v>0</v>
      </c>
      <c r="AA209" s="1804">
        <v>0</v>
      </c>
      <c r="AB209" s="1804">
        <v>0</v>
      </c>
      <c r="AC209" s="1804">
        <v>0</v>
      </c>
      <c r="AD209" s="1804">
        <v>0</v>
      </c>
      <c r="AE209" s="1804">
        <v>0</v>
      </c>
      <c r="AF209" s="1804">
        <v>0</v>
      </c>
      <c r="AG209" s="1804">
        <v>0</v>
      </c>
      <c r="AH209" s="1804">
        <v>0</v>
      </c>
      <c r="AI209" s="1804">
        <v>0</v>
      </c>
      <c r="AJ209" s="1804">
        <v>0</v>
      </c>
      <c r="AK209" s="1804">
        <v>0</v>
      </c>
      <c r="AL209" s="1804">
        <v>0</v>
      </c>
      <c r="AM209" s="1804">
        <v>0</v>
      </c>
      <c r="AN209" s="1804">
        <v>0</v>
      </c>
      <c r="AO209" s="1804">
        <v>0</v>
      </c>
      <c r="AP209" s="1804">
        <v>0</v>
      </c>
      <c r="AQ209" s="1804">
        <v>0</v>
      </c>
      <c r="AR209" s="1804">
        <v>0</v>
      </c>
      <c r="AS209" s="1804">
        <v>0</v>
      </c>
      <c r="AT209" s="1804">
        <v>0</v>
      </c>
      <c r="AU209" s="1804">
        <v>0</v>
      </c>
      <c r="AV209" s="1804">
        <v>0</v>
      </c>
      <c r="AW209" s="1804">
        <v>0</v>
      </c>
      <c r="AX209" s="1804">
        <v>0</v>
      </c>
      <c r="AY209" s="1804">
        <v>0</v>
      </c>
      <c r="AZ209" s="1804">
        <v>0</v>
      </c>
      <c r="BA209" s="1804">
        <v>0</v>
      </c>
      <c r="BB209" s="1804">
        <v>0</v>
      </c>
      <c r="BC209" s="1804">
        <v>0</v>
      </c>
      <c r="BD209" s="1804">
        <v>0</v>
      </c>
      <c r="BE209" s="1804">
        <v>0</v>
      </c>
      <c r="BF209" s="1804">
        <v>0</v>
      </c>
      <c r="BG209" s="1804">
        <v>0</v>
      </c>
      <c r="BH209" s="1804">
        <v>0</v>
      </c>
      <c r="BI209" s="1804">
        <v>0</v>
      </c>
      <c r="BJ209" s="1804">
        <v>0</v>
      </c>
      <c r="BK209" s="1804">
        <v>0</v>
      </c>
      <c r="BL209" s="1804">
        <v>0</v>
      </c>
      <c r="BM209" s="1804">
        <v>0</v>
      </c>
      <c r="BN209" s="1804">
        <v>0</v>
      </c>
      <c r="BO209" s="1804">
        <v>0</v>
      </c>
      <c r="BP209" s="1804">
        <v>0</v>
      </c>
      <c r="BQ209" s="1804">
        <v>0</v>
      </c>
      <c r="BR209" s="1804">
        <v>0</v>
      </c>
      <c r="BS209" s="1804">
        <v>0</v>
      </c>
      <c r="BT209" s="1804">
        <v>0</v>
      </c>
      <c r="BU209" s="1804">
        <v>0</v>
      </c>
      <c r="BV209" s="1804">
        <v>0</v>
      </c>
      <c r="BW209" s="1804">
        <v>0</v>
      </c>
      <c r="BX209" s="1804">
        <v>0</v>
      </c>
      <c r="BY209" s="1804">
        <v>0</v>
      </c>
      <c r="BZ209" s="1804">
        <v>0</v>
      </c>
      <c r="CA209" s="1804">
        <v>0</v>
      </c>
      <c r="CB209" s="1804">
        <v>0</v>
      </c>
      <c r="CC209" s="1804">
        <v>0</v>
      </c>
      <c r="CD209" s="1804">
        <v>0</v>
      </c>
      <c r="CE209" s="1804">
        <v>0</v>
      </c>
      <c r="CF209" s="1804">
        <v>0</v>
      </c>
      <c r="CG209" s="1804">
        <v>0</v>
      </c>
      <c r="CH209" s="1804">
        <v>0</v>
      </c>
      <c r="CI209" s="1804">
        <v>0</v>
      </c>
      <c r="CJ209" s="1804">
        <v>0</v>
      </c>
      <c r="CK209" s="1804">
        <v>0</v>
      </c>
      <c r="CL209" s="1804">
        <v>0</v>
      </c>
      <c r="CM209" s="1804">
        <v>0</v>
      </c>
      <c r="CN209" s="1804">
        <v>0</v>
      </c>
      <c r="CO209" s="1804">
        <v>0</v>
      </c>
      <c r="CP209" s="1804">
        <v>0</v>
      </c>
      <c r="CQ209" s="1804">
        <v>0</v>
      </c>
      <c r="CR209" s="1804">
        <v>0</v>
      </c>
      <c r="CS209" s="1804">
        <v>0</v>
      </c>
      <c r="CT209" s="1804">
        <v>0</v>
      </c>
      <c r="CU209" s="1804">
        <v>0</v>
      </c>
      <c r="CV209" s="1804">
        <v>0</v>
      </c>
      <c r="CW209" s="1804">
        <v>0</v>
      </c>
      <c r="CX209" s="1804">
        <v>0</v>
      </c>
      <c r="CY209" s="1804">
        <v>0</v>
      </c>
      <c r="CZ209" s="1804">
        <v>0</v>
      </c>
      <c r="DA209" s="1804">
        <v>0</v>
      </c>
      <c r="DB209" s="1804">
        <v>0</v>
      </c>
      <c r="DC209" s="1804">
        <v>0</v>
      </c>
      <c r="DD209" s="1804">
        <v>0</v>
      </c>
      <c r="DE209" s="1804">
        <v>0</v>
      </c>
      <c r="DF209" s="1804">
        <v>0</v>
      </c>
      <c r="DG209" s="1804">
        <v>0</v>
      </c>
      <c r="DH209" s="1804">
        <v>0</v>
      </c>
      <c r="DI209" s="1804">
        <v>0</v>
      </c>
      <c r="DJ209" s="1804">
        <v>0</v>
      </c>
      <c r="DK209" s="1804">
        <v>0</v>
      </c>
      <c r="DL209" s="1804">
        <v>0</v>
      </c>
      <c r="DM209" s="1804">
        <v>0</v>
      </c>
      <c r="DN209" s="1804">
        <v>0</v>
      </c>
      <c r="DO209" s="1804">
        <v>0</v>
      </c>
      <c r="DP209" s="1804">
        <v>0</v>
      </c>
      <c r="DQ209" s="1804">
        <v>0</v>
      </c>
      <c r="DR209" s="1804">
        <v>0</v>
      </c>
      <c r="DS209" s="1804">
        <v>0</v>
      </c>
      <c r="DT209" s="1804">
        <v>0</v>
      </c>
      <c r="DU209" s="1804">
        <v>0</v>
      </c>
      <c r="DV209" s="1804">
        <v>0</v>
      </c>
      <c r="DW209" s="1804">
        <v>0</v>
      </c>
      <c r="DX209" s="1804">
        <v>0</v>
      </c>
      <c r="DY209" s="1804">
        <v>0</v>
      </c>
      <c r="DZ209" s="1804">
        <v>0</v>
      </c>
      <c r="EA209" s="1804">
        <v>0</v>
      </c>
      <c r="EB209" s="1804">
        <v>0</v>
      </c>
      <c r="EC209" s="1804">
        <v>0</v>
      </c>
      <c r="ED209" s="1804">
        <v>0</v>
      </c>
      <c r="EE209" s="1804">
        <v>0</v>
      </c>
      <c r="EF209" s="1804">
        <v>0</v>
      </c>
      <c r="EG209" s="1804">
        <v>0</v>
      </c>
      <c r="EH209" s="1804">
        <v>0</v>
      </c>
      <c r="EI209" s="1804">
        <v>0</v>
      </c>
      <c r="EJ209" s="1804">
        <v>0</v>
      </c>
      <c r="EK209" s="1804">
        <v>0</v>
      </c>
      <c r="EL209" s="1804">
        <v>0</v>
      </c>
      <c r="EM209" s="1804">
        <v>0</v>
      </c>
      <c r="EN209" s="1804">
        <v>0</v>
      </c>
      <c r="EO209" s="1804">
        <v>0</v>
      </c>
      <c r="EP209" s="1804">
        <v>0</v>
      </c>
      <c r="EQ209" s="1804">
        <v>0</v>
      </c>
      <c r="ER209" s="1804">
        <v>0</v>
      </c>
      <c r="ES209" s="1804">
        <v>0</v>
      </c>
      <c r="ET209" s="1804">
        <v>0</v>
      </c>
      <c r="EU209" s="1804">
        <v>0</v>
      </c>
      <c r="EV209" s="1804">
        <v>0</v>
      </c>
      <c r="EW209" s="1804">
        <v>0</v>
      </c>
      <c r="EX209" s="1804">
        <v>0</v>
      </c>
      <c r="EY209" s="1804">
        <v>0</v>
      </c>
      <c r="EZ209" s="1804">
        <v>0</v>
      </c>
      <c r="FA209" s="1804">
        <v>0</v>
      </c>
      <c r="FB209" s="1804">
        <v>0</v>
      </c>
      <c r="FC209" s="1804">
        <v>0</v>
      </c>
      <c r="FD209" s="1804">
        <v>0</v>
      </c>
      <c r="FE209" s="1804">
        <v>0</v>
      </c>
      <c r="FF209" s="1804">
        <v>0</v>
      </c>
      <c r="FG209" s="1804">
        <v>0</v>
      </c>
      <c r="FH209" s="1804">
        <v>0</v>
      </c>
      <c r="FI209" s="1804">
        <v>0</v>
      </c>
      <c r="FJ209" s="1804">
        <v>0</v>
      </c>
      <c r="FK209" s="1804">
        <v>0</v>
      </c>
      <c r="FL209" s="1804">
        <v>0</v>
      </c>
      <c r="FM209" s="1804">
        <v>0</v>
      </c>
      <c r="FN209" s="1804">
        <v>0</v>
      </c>
      <c r="FO209" s="1804">
        <v>0</v>
      </c>
      <c r="FP209" s="1804">
        <v>0</v>
      </c>
      <c r="FQ209" s="1804">
        <v>0</v>
      </c>
      <c r="FR209" s="1804">
        <v>0</v>
      </c>
      <c r="FS209" s="1804">
        <v>0</v>
      </c>
      <c r="FT209" s="1804">
        <v>0</v>
      </c>
      <c r="FU209" s="1804">
        <v>0</v>
      </c>
      <c r="FV209" s="1804">
        <v>0</v>
      </c>
      <c r="FW209" s="1804">
        <v>0</v>
      </c>
      <c r="FX209" s="1804">
        <v>0</v>
      </c>
      <c r="FY209" s="1804">
        <v>0</v>
      </c>
      <c r="FZ209" s="1804">
        <v>0</v>
      </c>
      <c r="GA209" s="1804">
        <v>0</v>
      </c>
      <c r="GB209" s="1804">
        <v>0</v>
      </c>
      <c r="GC209" s="1804">
        <v>0</v>
      </c>
      <c r="GD209" s="1804">
        <v>0</v>
      </c>
      <c r="GE209" s="1804">
        <v>0</v>
      </c>
      <c r="GF209" s="1804">
        <v>0</v>
      </c>
      <c r="GG209" s="1804">
        <v>0</v>
      </c>
      <c r="GH209" s="1804">
        <v>0</v>
      </c>
      <c r="GI209" s="1804">
        <v>0</v>
      </c>
      <c r="GJ209" s="1804">
        <v>0</v>
      </c>
      <c r="GK209" s="1804">
        <v>0</v>
      </c>
      <c r="GL209" s="1804">
        <v>0</v>
      </c>
      <c r="GM209" s="1804">
        <v>0</v>
      </c>
      <c r="GN209" s="1804">
        <v>0</v>
      </c>
      <c r="GO209" s="1804">
        <v>0</v>
      </c>
      <c r="GP209" s="1804">
        <v>0</v>
      </c>
      <c r="GQ209" s="1804">
        <v>0</v>
      </c>
      <c r="GR209" s="1804">
        <v>0</v>
      </c>
      <c r="GS209" s="1804">
        <v>0</v>
      </c>
      <c r="GT209" s="1804">
        <v>0</v>
      </c>
      <c r="GU209" s="1804">
        <v>0</v>
      </c>
      <c r="GV209" s="1804">
        <v>0</v>
      </c>
      <c r="GW209" s="1804">
        <v>0</v>
      </c>
      <c r="GX209" s="1804">
        <v>0</v>
      </c>
      <c r="GY209" s="1804">
        <v>0</v>
      </c>
      <c r="GZ209" s="1804">
        <v>0</v>
      </c>
      <c r="HA209" s="1804">
        <v>0</v>
      </c>
      <c r="HB209" s="1804">
        <v>0</v>
      </c>
      <c r="HC209" s="1804">
        <v>0</v>
      </c>
      <c r="HD209" s="1804">
        <v>0</v>
      </c>
      <c r="HE209" s="1804">
        <v>0</v>
      </c>
    </row>
    <row r="210" spans="1:356" ht="15" customHeight="1" x14ac:dyDescent="0.2">
      <c r="A210" s="1966"/>
      <c r="B210" s="1989"/>
      <c r="C210" s="1818" t="s">
        <v>686</v>
      </c>
      <c r="D210" s="1881"/>
      <c r="E210" s="1984"/>
      <c r="F210" s="1838">
        <v>0</v>
      </c>
      <c r="G210" s="1804">
        <v>0</v>
      </c>
      <c r="H210" s="1804">
        <v>0</v>
      </c>
      <c r="I210" s="1804">
        <v>0</v>
      </c>
      <c r="J210" s="1804">
        <v>0</v>
      </c>
      <c r="K210" s="1804">
        <v>0</v>
      </c>
      <c r="L210" s="1804">
        <v>0</v>
      </c>
      <c r="M210" s="1804">
        <v>0</v>
      </c>
      <c r="N210" s="1804">
        <v>0</v>
      </c>
      <c r="O210" s="1804">
        <v>0</v>
      </c>
      <c r="P210" s="1804">
        <v>0</v>
      </c>
      <c r="Q210" s="1804">
        <v>0</v>
      </c>
      <c r="R210" s="1804">
        <v>0</v>
      </c>
      <c r="S210" s="1804">
        <v>0</v>
      </c>
      <c r="T210" s="1804">
        <v>0</v>
      </c>
      <c r="U210" s="1804">
        <v>0</v>
      </c>
      <c r="V210" s="1804">
        <v>0</v>
      </c>
      <c r="W210" s="1804">
        <v>0</v>
      </c>
      <c r="X210" s="1804">
        <v>0</v>
      </c>
      <c r="Y210" s="1804">
        <v>0</v>
      </c>
      <c r="Z210" s="1804">
        <v>0</v>
      </c>
      <c r="AA210" s="1804">
        <v>0</v>
      </c>
      <c r="AB210" s="1804">
        <v>0</v>
      </c>
      <c r="AC210" s="1804">
        <v>0</v>
      </c>
      <c r="AD210" s="1804">
        <v>0</v>
      </c>
      <c r="AE210" s="1804">
        <v>0</v>
      </c>
      <c r="AF210" s="1804">
        <v>0</v>
      </c>
      <c r="AG210" s="1804">
        <v>0</v>
      </c>
      <c r="AH210" s="1804">
        <v>0</v>
      </c>
      <c r="AI210" s="1804">
        <v>0</v>
      </c>
      <c r="AJ210" s="1804">
        <v>0</v>
      </c>
      <c r="AK210" s="1804">
        <v>0</v>
      </c>
      <c r="AL210" s="1804">
        <v>0</v>
      </c>
      <c r="AM210" s="1804">
        <v>0</v>
      </c>
      <c r="AN210" s="1804">
        <v>0</v>
      </c>
      <c r="AO210" s="1804">
        <v>0</v>
      </c>
      <c r="AP210" s="1804">
        <v>0</v>
      </c>
      <c r="AQ210" s="1804">
        <v>0</v>
      </c>
      <c r="AR210" s="1804">
        <v>0</v>
      </c>
      <c r="AS210" s="1804">
        <v>0</v>
      </c>
      <c r="AT210" s="1804">
        <v>0</v>
      </c>
      <c r="AU210" s="1804">
        <v>0</v>
      </c>
      <c r="AV210" s="1804">
        <v>0</v>
      </c>
      <c r="AW210" s="1804">
        <v>0</v>
      </c>
      <c r="AX210" s="1804">
        <v>0</v>
      </c>
      <c r="AY210" s="1804">
        <v>0</v>
      </c>
      <c r="AZ210" s="1804">
        <v>0</v>
      </c>
      <c r="BA210" s="1804">
        <v>0</v>
      </c>
      <c r="BB210" s="1804">
        <v>0</v>
      </c>
      <c r="BC210" s="1804">
        <v>0</v>
      </c>
      <c r="BD210" s="1804">
        <v>0</v>
      </c>
      <c r="BE210" s="1804">
        <v>0</v>
      </c>
      <c r="BF210" s="1804">
        <v>0</v>
      </c>
      <c r="BG210" s="1804">
        <v>0</v>
      </c>
      <c r="BH210" s="1804">
        <v>0</v>
      </c>
      <c r="BI210" s="1804">
        <v>0</v>
      </c>
      <c r="BJ210" s="1804">
        <v>0</v>
      </c>
      <c r="BK210" s="1804">
        <v>0</v>
      </c>
      <c r="BL210" s="1804">
        <v>0</v>
      </c>
      <c r="BM210" s="1804">
        <v>0</v>
      </c>
      <c r="BN210" s="1804">
        <v>0</v>
      </c>
      <c r="BO210" s="1804">
        <v>0</v>
      </c>
      <c r="BP210" s="1804">
        <v>0</v>
      </c>
      <c r="BQ210" s="1804">
        <v>0</v>
      </c>
      <c r="BR210" s="1804">
        <v>0</v>
      </c>
      <c r="BS210" s="1804">
        <v>0</v>
      </c>
      <c r="BT210" s="1804">
        <v>0</v>
      </c>
      <c r="BU210" s="1804">
        <v>0</v>
      </c>
      <c r="BV210" s="1804">
        <v>0</v>
      </c>
      <c r="BW210" s="1804">
        <v>0</v>
      </c>
      <c r="BX210" s="1804">
        <v>0</v>
      </c>
      <c r="BY210" s="1804">
        <v>0</v>
      </c>
      <c r="BZ210" s="1804">
        <v>0</v>
      </c>
      <c r="CA210" s="1804">
        <v>0</v>
      </c>
      <c r="CB210" s="1804">
        <v>0</v>
      </c>
      <c r="CC210" s="1804">
        <v>0</v>
      </c>
      <c r="CD210" s="1804">
        <v>0</v>
      </c>
      <c r="CE210" s="1804">
        <v>0</v>
      </c>
      <c r="CF210" s="1804">
        <v>0</v>
      </c>
      <c r="CG210" s="1804">
        <v>0</v>
      </c>
      <c r="CH210" s="1804">
        <v>0</v>
      </c>
      <c r="CI210" s="1804">
        <v>0</v>
      </c>
      <c r="CJ210" s="1804">
        <v>0</v>
      </c>
      <c r="CK210" s="1804">
        <v>0</v>
      </c>
      <c r="CL210" s="1804">
        <v>0</v>
      </c>
      <c r="CM210" s="1804">
        <v>0</v>
      </c>
      <c r="CN210" s="1804">
        <v>0</v>
      </c>
      <c r="CO210" s="1804">
        <v>0</v>
      </c>
      <c r="CP210" s="1804">
        <v>0</v>
      </c>
      <c r="CQ210" s="1804">
        <v>0</v>
      </c>
      <c r="CR210" s="1804">
        <v>0</v>
      </c>
      <c r="CS210" s="1804">
        <v>0</v>
      </c>
      <c r="CT210" s="1804">
        <v>0</v>
      </c>
      <c r="CU210" s="1804">
        <v>0</v>
      </c>
      <c r="CV210" s="1804">
        <v>0</v>
      </c>
      <c r="CW210" s="1804">
        <v>0</v>
      </c>
      <c r="CX210" s="1804">
        <v>0</v>
      </c>
      <c r="CY210" s="1804">
        <v>0</v>
      </c>
      <c r="CZ210" s="1804">
        <v>0</v>
      </c>
      <c r="DA210" s="1804">
        <v>0</v>
      </c>
      <c r="DB210" s="1804">
        <v>0</v>
      </c>
      <c r="DC210" s="1804">
        <v>0</v>
      </c>
      <c r="DD210" s="1804">
        <v>0</v>
      </c>
      <c r="DE210" s="1804">
        <v>0</v>
      </c>
      <c r="DF210" s="1804">
        <v>0</v>
      </c>
      <c r="DG210" s="1804">
        <v>0</v>
      </c>
      <c r="DH210" s="1804">
        <v>0</v>
      </c>
      <c r="DI210" s="1804">
        <v>0</v>
      </c>
      <c r="DJ210" s="1804">
        <v>0</v>
      </c>
      <c r="DK210" s="1804">
        <v>0</v>
      </c>
      <c r="DL210" s="1804">
        <v>0</v>
      </c>
      <c r="DM210" s="1804">
        <v>0</v>
      </c>
      <c r="DN210" s="1804">
        <v>0</v>
      </c>
      <c r="DO210" s="1804">
        <v>0</v>
      </c>
      <c r="DP210" s="1804">
        <v>0</v>
      </c>
      <c r="DQ210" s="1804">
        <v>0</v>
      </c>
      <c r="DR210" s="1804">
        <v>0</v>
      </c>
      <c r="DS210" s="1804">
        <v>0</v>
      </c>
      <c r="DT210" s="1804">
        <v>0</v>
      </c>
      <c r="DU210" s="1804">
        <v>0</v>
      </c>
      <c r="DV210" s="1804">
        <v>0</v>
      </c>
      <c r="DW210" s="1804">
        <v>0</v>
      </c>
      <c r="DX210" s="1804">
        <v>0</v>
      </c>
      <c r="DY210" s="1804">
        <v>0</v>
      </c>
      <c r="DZ210" s="1804">
        <v>0</v>
      </c>
      <c r="EA210" s="1804">
        <v>0</v>
      </c>
      <c r="EB210" s="1804">
        <v>0</v>
      </c>
      <c r="EC210" s="1804">
        <v>0</v>
      </c>
      <c r="ED210" s="1804">
        <v>0</v>
      </c>
      <c r="EE210" s="1804">
        <v>0</v>
      </c>
      <c r="EF210" s="1804">
        <v>0</v>
      </c>
      <c r="EG210" s="1804">
        <v>0</v>
      </c>
      <c r="EH210" s="1804">
        <v>0</v>
      </c>
      <c r="EI210" s="1804">
        <v>0</v>
      </c>
      <c r="EJ210" s="1804">
        <v>0</v>
      </c>
      <c r="EK210" s="1804">
        <v>0</v>
      </c>
      <c r="EL210" s="1804">
        <v>0</v>
      </c>
      <c r="EM210" s="1804">
        <v>0</v>
      </c>
      <c r="EN210" s="1804">
        <v>0</v>
      </c>
      <c r="EO210" s="1804">
        <v>0</v>
      </c>
      <c r="EP210" s="1804">
        <v>0</v>
      </c>
      <c r="EQ210" s="1804">
        <v>0</v>
      </c>
      <c r="ER210" s="1804">
        <v>0</v>
      </c>
      <c r="ES210" s="1804">
        <v>0</v>
      </c>
      <c r="ET210" s="1804">
        <v>0</v>
      </c>
      <c r="EU210" s="1804">
        <v>0</v>
      </c>
      <c r="EV210" s="1804">
        <v>0</v>
      </c>
      <c r="EW210" s="1804">
        <v>0</v>
      </c>
      <c r="EX210" s="1804">
        <v>0</v>
      </c>
      <c r="EY210" s="1804">
        <v>0</v>
      </c>
      <c r="EZ210" s="1804">
        <v>0</v>
      </c>
      <c r="FA210" s="1804">
        <v>0</v>
      </c>
      <c r="FB210" s="1804">
        <v>0</v>
      </c>
      <c r="FC210" s="1804">
        <v>0</v>
      </c>
      <c r="FD210" s="1804">
        <v>0</v>
      </c>
      <c r="FE210" s="1804">
        <v>0</v>
      </c>
      <c r="FF210" s="1804">
        <v>0</v>
      </c>
      <c r="FG210" s="1804">
        <v>0</v>
      </c>
      <c r="FH210" s="1804">
        <v>0</v>
      </c>
      <c r="FI210" s="1804">
        <v>0</v>
      </c>
      <c r="FJ210" s="1804">
        <v>0</v>
      </c>
      <c r="FK210" s="1804">
        <v>0</v>
      </c>
      <c r="FL210" s="1804">
        <v>0</v>
      </c>
      <c r="FM210" s="1804">
        <v>0</v>
      </c>
      <c r="FN210" s="1804">
        <v>0</v>
      </c>
      <c r="FO210" s="1804">
        <v>0</v>
      </c>
      <c r="FP210" s="1804">
        <v>0</v>
      </c>
      <c r="FQ210" s="1804">
        <v>0</v>
      </c>
      <c r="FR210" s="1804">
        <v>0</v>
      </c>
      <c r="FS210" s="1804">
        <v>0</v>
      </c>
      <c r="FT210" s="1804">
        <v>0</v>
      </c>
      <c r="FU210" s="1804">
        <v>0</v>
      </c>
      <c r="FV210" s="1804">
        <v>0</v>
      </c>
      <c r="FW210" s="1804">
        <v>0</v>
      </c>
      <c r="FX210" s="1804">
        <v>0</v>
      </c>
      <c r="FY210" s="1804">
        <v>0</v>
      </c>
      <c r="FZ210" s="1804">
        <v>0</v>
      </c>
      <c r="GA210" s="1804">
        <v>0</v>
      </c>
      <c r="GB210" s="1804">
        <v>0</v>
      </c>
      <c r="GC210" s="1804">
        <v>0</v>
      </c>
      <c r="GD210" s="1804">
        <v>0</v>
      </c>
      <c r="GE210" s="1804">
        <v>0</v>
      </c>
      <c r="GF210" s="1804">
        <v>0</v>
      </c>
      <c r="GG210" s="1804">
        <v>0</v>
      </c>
      <c r="GH210" s="1804">
        <v>0</v>
      </c>
      <c r="GI210" s="1804">
        <v>0</v>
      </c>
      <c r="GJ210" s="1804">
        <v>0</v>
      </c>
      <c r="GK210" s="1804">
        <v>0</v>
      </c>
      <c r="GL210" s="1804">
        <v>0</v>
      </c>
      <c r="GM210" s="1804">
        <v>0</v>
      </c>
      <c r="GN210" s="1804">
        <v>0</v>
      </c>
      <c r="GO210" s="1804">
        <v>0</v>
      </c>
      <c r="GP210" s="1804">
        <v>0</v>
      </c>
      <c r="GQ210" s="1804">
        <v>0</v>
      </c>
      <c r="GR210" s="1804">
        <v>0</v>
      </c>
      <c r="GS210" s="1804">
        <v>0</v>
      </c>
      <c r="GT210" s="1804">
        <v>0</v>
      </c>
      <c r="GU210" s="1804">
        <v>0</v>
      </c>
      <c r="GV210" s="1804">
        <v>0</v>
      </c>
      <c r="GW210" s="1804">
        <v>0</v>
      </c>
      <c r="GX210" s="1804">
        <v>0</v>
      </c>
      <c r="GY210" s="1804">
        <v>0</v>
      </c>
      <c r="GZ210" s="1804">
        <v>0</v>
      </c>
      <c r="HA210" s="1804">
        <v>0</v>
      </c>
      <c r="HB210" s="1804">
        <v>0</v>
      </c>
      <c r="HC210" s="1804">
        <v>0</v>
      </c>
      <c r="HD210" s="1804">
        <v>0</v>
      </c>
      <c r="HE210" s="1804">
        <v>0</v>
      </c>
    </row>
    <row r="211" spans="1:356" ht="15" customHeight="1" x14ac:dyDescent="0.2">
      <c r="A211" s="1966"/>
      <c r="B211" s="1989"/>
      <c r="C211" s="1825" t="s">
        <v>907</v>
      </c>
      <c r="D211" s="1881"/>
      <c r="E211" s="1984"/>
      <c r="F211" s="1838">
        <v>0</v>
      </c>
      <c r="G211" s="1804">
        <v>0</v>
      </c>
      <c r="H211" s="1804">
        <v>0</v>
      </c>
      <c r="I211" s="1804">
        <v>0</v>
      </c>
      <c r="J211" s="1804">
        <v>0</v>
      </c>
      <c r="K211" s="1804">
        <v>0</v>
      </c>
      <c r="L211" s="1804">
        <v>0</v>
      </c>
      <c r="M211" s="1804">
        <v>0</v>
      </c>
      <c r="N211" s="1804">
        <v>0</v>
      </c>
      <c r="O211" s="1804">
        <v>0</v>
      </c>
      <c r="P211" s="1804">
        <v>0</v>
      </c>
      <c r="Q211" s="1804">
        <v>0</v>
      </c>
      <c r="R211" s="1804">
        <v>0</v>
      </c>
      <c r="S211" s="1804">
        <v>0</v>
      </c>
      <c r="T211" s="1804">
        <v>0</v>
      </c>
      <c r="U211" s="1804">
        <v>0</v>
      </c>
      <c r="V211" s="1804">
        <v>0</v>
      </c>
      <c r="W211" s="1804">
        <v>0</v>
      </c>
      <c r="X211" s="1804">
        <v>0</v>
      </c>
      <c r="Y211" s="1804">
        <v>0</v>
      </c>
      <c r="Z211" s="1804">
        <v>0</v>
      </c>
      <c r="AA211" s="1804">
        <v>0</v>
      </c>
      <c r="AB211" s="1804">
        <v>0</v>
      </c>
      <c r="AC211" s="1804">
        <v>0</v>
      </c>
      <c r="AD211" s="1804">
        <v>0</v>
      </c>
      <c r="AE211" s="1804">
        <v>0</v>
      </c>
      <c r="AF211" s="1804">
        <v>0</v>
      </c>
      <c r="AG211" s="1804">
        <v>0</v>
      </c>
      <c r="AH211" s="1804">
        <v>0</v>
      </c>
      <c r="AI211" s="1804">
        <v>0</v>
      </c>
      <c r="AJ211" s="1804">
        <v>0</v>
      </c>
      <c r="AK211" s="1804">
        <v>0</v>
      </c>
      <c r="AL211" s="1804">
        <v>0</v>
      </c>
      <c r="AM211" s="1804">
        <v>0</v>
      </c>
      <c r="AN211" s="1804">
        <v>0</v>
      </c>
      <c r="AO211" s="1804">
        <v>0</v>
      </c>
      <c r="AP211" s="1804">
        <v>0</v>
      </c>
      <c r="AQ211" s="1804">
        <v>0</v>
      </c>
      <c r="AR211" s="1804">
        <v>0</v>
      </c>
      <c r="AS211" s="1804">
        <v>0</v>
      </c>
      <c r="AT211" s="1804">
        <v>0</v>
      </c>
      <c r="AU211" s="1804">
        <v>0</v>
      </c>
      <c r="AV211" s="1804">
        <v>0</v>
      </c>
      <c r="AW211" s="1804">
        <v>0</v>
      </c>
      <c r="AX211" s="1804">
        <v>0</v>
      </c>
      <c r="AY211" s="1804">
        <v>0</v>
      </c>
      <c r="AZ211" s="1804">
        <v>0</v>
      </c>
      <c r="BA211" s="1804">
        <v>0</v>
      </c>
      <c r="BB211" s="1804">
        <v>0</v>
      </c>
      <c r="BC211" s="1804">
        <v>0</v>
      </c>
      <c r="BD211" s="1804">
        <v>0</v>
      </c>
      <c r="BE211" s="1804">
        <v>0</v>
      </c>
      <c r="BF211" s="1804">
        <v>0</v>
      </c>
      <c r="BG211" s="1804">
        <v>0</v>
      </c>
      <c r="BH211" s="1804">
        <v>0</v>
      </c>
      <c r="BI211" s="1804">
        <v>0</v>
      </c>
      <c r="BJ211" s="1804">
        <v>0</v>
      </c>
      <c r="BK211" s="1804">
        <v>0</v>
      </c>
      <c r="BL211" s="1804">
        <v>0</v>
      </c>
      <c r="BM211" s="1804">
        <v>0</v>
      </c>
      <c r="BN211" s="1804">
        <v>0</v>
      </c>
      <c r="BO211" s="1804">
        <v>0</v>
      </c>
      <c r="BP211" s="1804">
        <v>0</v>
      </c>
      <c r="BQ211" s="1804">
        <v>0</v>
      </c>
      <c r="BR211" s="1804">
        <v>0</v>
      </c>
      <c r="BS211" s="1804">
        <v>0</v>
      </c>
      <c r="BT211" s="1804">
        <v>0</v>
      </c>
      <c r="BU211" s="1804">
        <v>0</v>
      </c>
      <c r="BV211" s="1804">
        <v>0</v>
      </c>
      <c r="BW211" s="1804">
        <v>0</v>
      </c>
      <c r="BX211" s="1804">
        <v>0</v>
      </c>
      <c r="BY211" s="1804">
        <v>0</v>
      </c>
      <c r="BZ211" s="1804">
        <v>0</v>
      </c>
      <c r="CA211" s="1804">
        <v>0</v>
      </c>
      <c r="CB211" s="1804">
        <v>0</v>
      </c>
      <c r="CC211" s="1804">
        <v>0</v>
      </c>
      <c r="CD211" s="1804">
        <v>0</v>
      </c>
      <c r="CE211" s="1804">
        <v>0</v>
      </c>
      <c r="CF211" s="1804">
        <v>0</v>
      </c>
      <c r="CG211" s="1804">
        <v>0</v>
      </c>
      <c r="CH211" s="1804">
        <v>0</v>
      </c>
      <c r="CI211" s="1804">
        <v>0</v>
      </c>
      <c r="CJ211" s="1804">
        <v>0</v>
      </c>
      <c r="CK211" s="1804">
        <v>0</v>
      </c>
      <c r="CL211" s="1804">
        <v>0</v>
      </c>
      <c r="CM211" s="1804">
        <v>0</v>
      </c>
      <c r="CN211" s="1804">
        <v>0</v>
      </c>
      <c r="CO211" s="1804">
        <v>0</v>
      </c>
      <c r="CP211" s="1804">
        <v>0</v>
      </c>
      <c r="CQ211" s="1804">
        <v>0</v>
      </c>
      <c r="CR211" s="1804">
        <v>0</v>
      </c>
      <c r="CS211" s="1804">
        <v>0</v>
      </c>
      <c r="CT211" s="1804">
        <v>0</v>
      </c>
      <c r="CU211" s="1804">
        <v>0</v>
      </c>
      <c r="CV211" s="1804">
        <v>0</v>
      </c>
      <c r="CW211" s="1804">
        <v>0</v>
      </c>
      <c r="CX211" s="1804">
        <v>0</v>
      </c>
      <c r="CY211" s="1804">
        <v>0</v>
      </c>
      <c r="CZ211" s="1804">
        <v>0</v>
      </c>
      <c r="DA211" s="1804">
        <v>0</v>
      </c>
      <c r="DB211" s="1804">
        <v>0</v>
      </c>
      <c r="DC211" s="1804">
        <v>0</v>
      </c>
      <c r="DD211" s="1804">
        <v>0</v>
      </c>
      <c r="DE211" s="1804">
        <v>0</v>
      </c>
      <c r="DF211" s="1804">
        <v>0</v>
      </c>
      <c r="DG211" s="1804">
        <v>0</v>
      </c>
      <c r="DH211" s="1804">
        <v>0</v>
      </c>
      <c r="DI211" s="1804">
        <v>0</v>
      </c>
      <c r="DJ211" s="1804">
        <v>0</v>
      </c>
      <c r="DK211" s="1804">
        <v>0</v>
      </c>
      <c r="DL211" s="1804">
        <v>0</v>
      </c>
      <c r="DM211" s="1804">
        <v>0</v>
      </c>
      <c r="DN211" s="1804">
        <v>0</v>
      </c>
      <c r="DO211" s="1804">
        <v>0</v>
      </c>
      <c r="DP211" s="1804">
        <v>0</v>
      </c>
      <c r="DQ211" s="1804">
        <v>0</v>
      </c>
      <c r="DR211" s="1804">
        <v>0</v>
      </c>
      <c r="DS211" s="1804">
        <v>0</v>
      </c>
      <c r="DT211" s="1804">
        <v>0</v>
      </c>
      <c r="DU211" s="1804">
        <v>0</v>
      </c>
      <c r="DV211" s="1804">
        <v>0</v>
      </c>
      <c r="DW211" s="1804">
        <v>0</v>
      </c>
      <c r="DX211" s="1804">
        <v>0</v>
      </c>
      <c r="DY211" s="1804">
        <v>0</v>
      </c>
      <c r="DZ211" s="1804">
        <v>0</v>
      </c>
      <c r="EA211" s="1804">
        <v>0</v>
      </c>
      <c r="EB211" s="1804">
        <v>0</v>
      </c>
      <c r="EC211" s="1804">
        <v>0</v>
      </c>
      <c r="ED211" s="1804">
        <v>0</v>
      </c>
      <c r="EE211" s="1804">
        <v>0</v>
      </c>
      <c r="EF211" s="1804">
        <v>0</v>
      </c>
      <c r="EG211" s="1804">
        <v>0</v>
      </c>
      <c r="EH211" s="1804">
        <v>0</v>
      </c>
      <c r="EI211" s="1804">
        <v>0</v>
      </c>
      <c r="EJ211" s="1804">
        <v>0</v>
      </c>
      <c r="EK211" s="1804">
        <v>0</v>
      </c>
      <c r="EL211" s="1804">
        <v>0</v>
      </c>
      <c r="EM211" s="1804">
        <v>0</v>
      </c>
      <c r="EN211" s="1804">
        <v>0</v>
      </c>
      <c r="EO211" s="1804">
        <v>0</v>
      </c>
      <c r="EP211" s="1804">
        <v>0</v>
      </c>
      <c r="EQ211" s="1804">
        <v>0</v>
      </c>
      <c r="ER211" s="1804">
        <v>0</v>
      </c>
      <c r="ES211" s="1804">
        <v>0</v>
      </c>
      <c r="ET211" s="1804">
        <v>0</v>
      </c>
      <c r="EU211" s="1804">
        <v>0</v>
      </c>
      <c r="EV211" s="1804">
        <v>0</v>
      </c>
      <c r="EW211" s="1804">
        <v>0</v>
      </c>
      <c r="EX211" s="1804">
        <v>0</v>
      </c>
      <c r="EY211" s="1804">
        <v>0</v>
      </c>
      <c r="EZ211" s="1804">
        <v>0</v>
      </c>
      <c r="FA211" s="1804">
        <v>0</v>
      </c>
      <c r="FB211" s="1804">
        <v>0</v>
      </c>
      <c r="FC211" s="1804">
        <v>0</v>
      </c>
      <c r="FD211" s="1804">
        <v>0</v>
      </c>
      <c r="FE211" s="1804">
        <v>0</v>
      </c>
      <c r="FF211" s="1804">
        <v>0</v>
      </c>
      <c r="FG211" s="1804">
        <v>0</v>
      </c>
      <c r="FH211" s="1804">
        <v>0</v>
      </c>
      <c r="FI211" s="1804">
        <v>0</v>
      </c>
      <c r="FJ211" s="1804">
        <v>0</v>
      </c>
      <c r="FK211" s="1804">
        <v>0</v>
      </c>
      <c r="FL211" s="1804">
        <v>0</v>
      </c>
      <c r="FM211" s="1804">
        <v>0</v>
      </c>
      <c r="FN211" s="1804">
        <v>0</v>
      </c>
      <c r="FO211" s="1804">
        <v>0</v>
      </c>
      <c r="FP211" s="1804">
        <v>0</v>
      </c>
      <c r="FQ211" s="1804">
        <v>0</v>
      </c>
      <c r="FR211" s="1804">
        <v>0</v>
      </c>
      <c r="FS211" s="1804">
        <v>0</v>
      </c>
      <c r="FT211" s="1804">
        <v>0</v>
      </c>
      <c r="FU211" s="1804">
        <v>0</v>
      </c>
      <c r="FV211" s="1804">
        <v>0</v>
      </c>
      <c r="FW211" s="1804">
        <v>0</v>
      </c>
      <c r="FX211" s="1804">
        <v>0</v>
      </c>
      <c r="FY211" s="1804">
        <v>0</v>
      </c>
      <c r="FZ211" s="1804">
        <v>0</v>
      </c>
      <c r="GA211" s="1804">
        <v>0</v>
      </c>
      <c r="GB211" s="1804">
        <v>0</v>
      </c>
      <c r="GC211" s="1804">
        <v>0</v>
      </c>
      <c r="GD211" s="1804">
        <v>0</v>
      </c>
      <c r="GE211" s="1804">
        <v>0</v>
      </c>
      <c r="GF211" s="1804">
        <v>0</v>
      </c>
      <c r="GG211" s="1804">
        <v>0</v>
      </c>
      <c r="GH211" s="1804">
        <v>0</v>
      </c>
      <c r="GI211" s="1804">
        <v>0</v>
      </c>
      <c r="GJ211" s="1804">
        <v>0</v>
      </c>
      <c r="GK211" s="1804">
        <v>0</v>
      </c>
      <c r="GL211" s="1804">
        <v>0</v>
      </c>
      <c r="GM211" s="1804">
        <v>0</v>
      </c>
      <c r="GN211" s="1804">
        <v>0</v>
      </c>
      <c r="GO211" s="1804">
        <v>0</v>
      </c>
      <c r="GP211" s="1804">
        <v>0</v>
      </c>
      <c r="GQ211" s="1804">
        <v>0</v>
      </c>
      <c r="GR211" s="1804">
        <v>0</v>
      </c>
      <c r="GS211" s="1804">
        <v>0</v>
      </c>
      <c r="GT211" s="1804">
        <v>0</v>
      </c>
      <c r="GU211" s="1804">
        <v>0</v>
      </c>
      <c r="GV211" s="1804">
        <v>0</v>
      </c>
      <c r="GW211" s="1804">
        <v>0</v>
      </c>
      <c r="GX211" s="1804">
        <v>0</v>
      </c>
      <c r="GY211" s="1804">
        <v>0</v>
      </c>
      <c r="GZ211" s="1804">
        <v>0</v>
      </c>
      <c r="HA211" s="1804">
        <v>0</v>
      </c>
      <c r="HB211" s="1804">
        <v>0</v>
      </c>
      <c r="HC211" s="1804">
        <v>0</v>
      </c>
      <c r="HD211" s="1804">
        <v>0</v>
      </c>
      <c r="HE211" s="1804">
        <v>0</v>
      </c>
    </row>
    <row r="212" spans="1:356" ht="15" customHeight="1" thickBot="1" x14ac:dyDescent="0.25">
      <c r="A212" s="1967"/>
      <c r="B212" s="1991"/>
      <c r="C212" s="1697" t="s">
        <v>685</v>
      </c>
      <c r="D212" s="1881"/>
      <c r="E212" s="1984"/>
      <c r="F212" s="1838">
        <v>0</v>
      </c>
      <c r="G212" s="1804">
        <v>0</v>
      </c>
      <c r="H212" s="1804">
        <v>0</v>
      </c>
      <c r="I212" s="1804">
        <v>0</v>
      </c>
      <c r="J212" s="1804">
        <v>0</v>
      </c>
      <c r="K212" s="1804">
        <v>0</v>
      </c>
      <c r="L212" s="1804">
        <v>0</v>
      </c>
      <c r="M212" s="1804">
        <v>0</v>
      </c>
      <c r="N212" s="1804">
        <v>0</v>
      </c>
      <c r="O212" s="1804">
        <v>0</v>
      </c>
      <c r="P212" s="1804">
        <v>0</v>
      </c>
      <c r="Q212" s="1804">
        <v>0</v>
      </c>
      <c r="R212" s="1804">
        <v>0</v>
      </c>
      <c r="S212" s="1804">
        <v>0</v>
      </c>
      <c r="T212" s="1804">
        <v>0</v>
      </c>
      <c r="U212" s="1804">
        <v>0</v>
      </c>
      <c r="V212" s="1804">
        <v>0</v>
      </c>
      <c r="W212" s="1804">
        <v>0</v>
      </c>
      <c r="X212" s="1804">
        <v>0</v>
      </c>
      <c r="Y212" s="1804">
        <v>0</v>
      </c>
      <c r="Z212" s="1804">
        <v>0</v>
      </c>
      <c r="AA212" s="1804">
        <v>0</v>
      </c>
      <c r="AB212" s="1804">
        <v>0</v>
      </c>
      <c r="AC212" s="1804">
        <v>0</v>
      </c>
      <c r="AD212" s="1804">
        <v>0</v>
      </c>
      <c r="AE212" s="1804">
        <v>0</v>
      </c>
      <c r="AF212" s="1804">
        <v>0</v>
      </c>
      <c r="AG212" s="1804">
        <v>0</v>
      </c>
      <c r="AH212" s="1804">
        <v>0</v>
      </c>
      <c r="AI212" s="1804">
        <v>0</v>
      </c>
      <c r="AJ212" s="1804">
        <v>0</v>
      </c>
      <c r="AK212" s="1804">
        <v>0</v>
      </c>
      <c r="AL212" s="1804">
        <v>0</v>
      </c>
      <c r="AM212" s="1804">
        <v>0</v>
      </c>
      <c r="AN212" s="1804">
        <v>0</v>
      </c>
      <c r="AO212" s="1804">
        <v>0</v>
      </c>
      <c r="AP212" s="1804">
        <v>0</v>
      </c>
      <c r="AQ212" s="1804">
        <v>0</v>
      </c>
      <c r="AR212" s="1804">
        <v>0</v>
      </c>
      <c r="AS212" s="1804">
        <v>0</v>
      </c>
      <c r="AT212" s="1804">
        <v>0</v>
      </c>
      <c r="AU212" s="1804">
        <v>0</v>
      </c>
      <c r="AV212" s="1804">
        <v>0</v>
      </c>
      <c r="AW212" s="1804">
        <v>0</v>
      </c>
      <c r="AX212" s="1804">
        <v>0</v>
      </c>
      <c r="AY212" s="1804">
        <v>0</v>
      </c>
      <c r="AZ212" s="1804">
        <v>0</v>
      </c>
      <c r="BA212" s="1804">
        <v>0</v>
      </c>
      <c r="BB212" s="1804">
        <v>0</v>
      </c>
      <c r="BC212" s="1804">
        <v>0</v>
      </c>
      <c r="BD212" s="1804">
        <v>0</v>
      </c>
      <c r="BE212" s="1804">
        <v>0</v>
      </c>
      <c r="BF212" s="1804">
        <v>0</v>
      </c>
      <c r="BG212" s="1804">
        <v>0</v>
      </c>
      <c r="BH212" s="1804">
        <v>0</v>
      </c>
      <c r="BI212" s="1804">
        <v>0</v>
      </c>
      <c r="BJ212" s="1804">
        <v>0</v>
      </c>
      <c r="BK212" s="1804">
        <v>0</v>
      </c>
      <c r="BL212" s="1804">
        <v>0</v>
      </c>
      <c r="BM212" s="1804">
        <v>0</v>
      </c>
      <c r="BN212" s="1804">
        <v>0</v>
      </c>
      <c r="BO212" s="1804">
        <v>0</v>
      </c>
      <c r="BP212" s="1804">
        <v>0</v>
      </c>
      <c r="BQ212" s="1804">
        <v>0</v>
      </c>
      <c r="BR212" s="1804">
        <v>0</v>
      </c>
      <c r="BS212" s="1804">
        <v>0</v>
      </c>
      <c r="BT212" s="1804">
        <v>0</v>
      </c>
      <c r="BU212" s="1804">
        <v>0</v>
      </c>
      <c r="BV212" s="1804">
        <v>0</v>
      </c>
      <c r="BW212" s="1804">
        <v>0</v>
      </c>
      <c r="BX212" s="1804">
        <v>0</v>
      </c>
      <c r="BY212" s="1804">
        <v>0</v>
      </c>
      <c r="BZ212" s="1804">
        <v>0</v>
      </c>
      <c r="CA212" s="1804">
        <v>0</v>
      </c>
      <c r="CB212" s="1804">
        <v>0</v>
      </c>
      <c r="CC212" s="1804">
        <v>0</v>
      </c>
      <c r="CD212" s="1804">
        <v>0</v>
      </c>
      <c r="CE212" s="1804">
        <v>0</v>
      </c>
      <c r="CF212" s="1804">
        <v>0</v>
      </c>
      <c r="CG212" s="1804">
        <v>0</v>
      </c>
      <c r="CH212" s="1804">
        <v>0</v>
      </c>
      <c r="CI212" s="1804">
        <v>0</v>
      </c>
      <c r="CJ212" s="1804">
        <v>0</v>
      </c>
      <c r="CK212" s="1804">
        <v>0</v>
      </c>
      <c r="CL212" s="1804">
        <v>0</v>
      </c>
      <c r="CM212" s="1804">
        <v>0</v>
      </c>
      <c r="CN212" s="1804">
        <v>0</v>
      </c>
      <c r="CO212" s="1804">
        <v>0</v>
      </c>
      <c r="CP212" s="1804">
        <v>0</v>
      </c>
      <c r="CQ212" s="1804">
        <v>0</v>
      </c>
      <c r="CR212" s="1804">
        <v>0</v>
      </c>
      <c r="CS212" s="1804">
        <v>0</v>
      </c>
      <c r="CT212" s="1804">
        <v>0</v>
      </c>
      <c r="CU212" s="1804">
        <v>0</v>
      </c>
      <c r="CV212" s="1804">
        <v>0</v>
      </c>
      <c r="CW212" s="1804">
        <v>0</v>
      </c>
      <c r="CX212" s="1804">
        <v>0</v>
      </c>
      <c r="CY212" s="1804">
        <v>0</v>
      </c>
      <c r="CZ212" s="1804">
        <v>0</v>
      </c>
      <c r="DA212" s="1804">
        <v>0</v>
      </c>
      <c r="DB212" s="1804">
        <v>0</v>
      </c>
      <c r="DC212" s="1804">
        <v>0</v>
      </c>
      <c r="DD212" s="1804">
        <v>0</v>
      </c>
      <c r="DE212" s="1804">
        <v>0</v>
      </c>
      <c r="DF212" s="1804">
        <v>0</v>
      </c>
      <c r="DG212" s="1804">
        <v>0</v>
      </c>
      <c r="DH212" s="1804">
        <v>0</v>
      </c>
      <c r="DI212" s="1804">
        <v>0</v>
      </c>
      <c r="DJ212" s="1804">
        <v>0</v>
      </c>
      <c r="DK212" s="1804">
        <v>0</v>
      </c>
      <c r="DL212" s="1804">
        <v>0</v>
      </c>
      <c r="DM212" s="1804">
        <v>0</v>
      </c>
      <c r="DN212" s="1804">
        <v>0</v>
      </c>
      <c r="DO212" s="1804">
        <v>0</v>
      </c>
      <c r="DP212" s="1804">
        <v>0</v>
      </c>
      <c r="DQ212" s="1804">
        <v>0</v>
      </c>
      <c r="DR212" s="1804">
        <v>0</v>
      </c>
      <c r="DS212" s="1804">
        <v>0</v>
      </c>
      <c r="DT212" s="1804">
        <v>0</v>
      </c>
      <c r="DU212" s="1804">
        <v>0</v>
      </c>
      <c r="DV212" s="1804">
        <v>0</v>
      </c>
      <c r="DW212" s="1804">
        <v>0</v>
      </c>
      <c r="DX212" s="1804">
        <v>0</v>
      </c>
      <c r="DY212" s="1804">
        <v>0</v>
      </c>
      <c r="DZ212" s="1804">
        <v>0</v>
      </c>
      <c r="EA212" s="1804">
        <v>0</v>
      </c>
      <c r="EB212" s="1804">
        <v>0</v>
      </c>
      <c r="EC212" s="1804">
        <v>0</v>
      </c>
      <c r="ED212" s="1804">
        <v>0</v>
      </c>
      <c r="EE212" s="1804">
        <v>0</v>
      </c>
      <c r="EF212" s="1804">
        <v>0</v>
      </c>
      <c r="EG212" s="1804">
        <v>0</v>
      </c>
      <c r="EH212" s="1804">
        <v>0</v>
      </c>
      <c r="EI212" s="1804">
        <v>0</v>
      </c>
      <c r="EJ212" s="1804">
        <v>0</v>
      </c>
      <c r="EK212" s="1804">
        <v>0</v>
      </c>
      <c r="EL212" s="1804">
        <v>0</v>
      </c>
      <c r="EM212" s="1804">
        <v>0</v>
      </c>
      <c r="EN212" s="1804">
        <v>0</v>
      </c>
      <c r="EO212" s="1804">
        <v>0</v>
      </c>
      <c r="EP212" s="1804">
        <v>0</v>
      </c>
      <c r="EQ212" s="1804">
        <v>0</v>
      </c>
      <c r="ER212" s="1804">
        <v>0</v>
      </c>
      <c r="ES212" s="1804">
        <v>0</v>
      </c>
      <c r="ET212" s="1804">
        <v>0</v>
      </c>
      <c r="EU212" s="1804">
        <v>0</v>
      </c>
      <c r="EV212" s="1804">
        <v>0</v>
      </c>
      <c r="EW212" s="1804">
        <v>0</v>
      </c>
      <c r="EX212" s="1804">
        <v>0</v>
      </c>
      <c r="EY212" s="1804">
        <v>0</v>
      </c>
      <c r="EZ212" s="1804">
        <v>0</v>
      </c>
      <c r="FA212" s="1804">
        <v>0</v>
      </c>
      <c r="FB212" s="1804">
        <v>0</v>
      </c>
      <c r="FC212" s="1804">
        <v>0</v>
      </c>
      <c r="FD212" s="1804">
        <v>0</v>
      </c>
      <c r="FE212" s="1804">
        <v>0</v>
      </c>
      <c r="FF212" s="1804">
        <v>0</v>
      </c>
      <c r="FG212" s="1804">
        <v>0</v>
      </c>
      <c r="FH212" s="1804">
        <v>0</v>
      </c>
      <c r="FI212" s="1804">
        <v>0</v>
      </c>
      <c r="FJ212" s="1804">
        <v>0</v>
      </c>
      <c r="FK212" s="1804">
        <v>0</v>
      </c>
      <c r="FL212" s="1804">
        <v>0</v>
      </c>
      <c r="FM212" s="1804">
        <v>0</v>
      </c>
      <c r="FN212" s="1804">
        <v>0</v>
      </c>
      <c r="FO212" s="1804">
        <v>0</v>
      </c>
      <c r="FP212" s="1804">
        <v>0</v>
      </c>
      <c r="FQ212" s="1804">
        <v>0</v>
      </c>
      <c r="FR212" s="1804">
        <v>0</v>
      </c>
      <c r="FS212" s="1804">
        <v>0</v>
      </c>
      <c r="FT212" s="1804">
        <v>0</v>
      </c>
      <c r="FU212" s="1804">
        <v>0</v>
      </c>
      <c r="FV212" s="1804">
        <v>0</v>
      </c>
      <c r="FW212" s="1804">
        <v>0</v>
      </c>
      <c r="FX212" s="1804">
        <v>0</v>
      </c>
      <c r="FY212" s="1804">
        <v>0</v>
      </c>
      <c r="FZ212" s="1804">
        <v>0</v>
      </c>
      <c r="GA212" s="1804">
        <v>0</v>
      </c>
      <c r="GB212" s="1804">
        <v>0</v>
      </c>
      <c r="GC212" s="1804">
        <v>0</v>
      </c>
      <c r="GD212" s="1804">
        <v>0</v>
      </c>
      <c r="GE212" s="1804">
        <v>0</v>
      </c>
      <c r="GF212" s="1804">
        <v>0</v>
      </c>
      <c r="GG212" s="1804">
        <v>0</v>
      </c>
      <c r="GH212" s="1804">
        <v>0</v>
      </c>
      <c r="GI212" s="1804">
        <v>0</v>
      </c>
      <c r="GJ212" s="1804">
        <v>0</v>
      </c>
      <c r="GK212" s="1804">
        <v>0</v>
      </c>
      <c r="GL212" s="1804">
        <v>0</v>
      </c>
      <c r="GM212" s="1804">
        <v>0</v>
      </c>
      <c r="GN212" s="1804">
        <v>0</v>
      </c>
      <c r="GO212" s="1804">
        <v>0</v>
      </c>
      <c r="GP212" s="1804">
        <v>0</v>
      </c>
      <c r="GQ212" s="1804">
        <v>0</v>
      </c>
      <c r="GR212" s="1804">
        <v>0</v>
      </c>
      <c r="GS212" s="1804">
        <v>0</v>
      </c>
      <c r="GT212" s="1804">
        <v>0</v>
      </c>
      <c r="GU212" s="1804">
        <v>0</v>
      </c>
      <c r="GV212" s="1804">
        <v>0</v>
      </c>
      <c r="GW212" s="1804">
        <v>0</v>
      </c>
      <c r="GX212" s="1804">
        <v>0</v>
      </c>
      <c r="GY212" s="1804">
        <v>0</v>
      </c>
      <c r="GZ212" s="1804">
        <v>0</v>
      </c>
      <c r="HA212" s="1804">
        <v>0</v>
      </c>
      <c r="HB212" s="1804">
        <v>0</v>
      </c>
      <c r="HC212" s="1804">
        <v>0</v>
      </c>
      <c r="HD212" s="1804">
        <v>0</v>
      </c>
      <c r="HE212" s="1804">
        <v>0</v>
      </c>
    </row>
    <row r="213" spans="1:356" ht="29.25" customHeight="1" thickBot="1" x14ac:dyDescent="0.25">
      <c r="A213" s="1964" t="s">
        <v>35</v>
      </c>
      <c r="B213" s="1989" t="s">
        <v>1</v>
      </c>
      <c r="C213" s="1699" t="s">
        <v>964</v>
      </c>
      <c r="D213" s="1880"/>
      <c r="E213" s="1984"/>
      <c r="F213" s="1865"/>
      <c r="G213" s="1866"/>
      <c r="H213" s="1866"/>
      <c r="I213" s="1866"/>
      <c r="J213" s="1866"/>
      <c r="K213" s="1866"/>
      <c r="L213" s="1866"/>
      <c r="M213" s="1866"/>
      <c r="N213" s="1866"/>
      <c r="O213" s="1866"/>
      <c r="P213" s="1866"/>
      <c r="Q213" s="1866"/>
      <c r="R213" s="1866"/>
      <c r="S213" s="1866"/>
      <c r="T213" s="1866"/>
      <c r="U213" s="1866"/>
      <c r="V213" s="1866"/>
      <c r="W213" s="1866"/>
      <c r="X213" s="1866"/>
      <c r="Y213" s="1866"/>
      <c r="Z213" s="1866"/>
      <c r="AA213" s="1866"/>
      <c r="AB213" s="1866"/>
      <c r="AC213" s="1866"/>
      <c r="AD213" s="1866"/>
      <c r="AE213" s="1866"/>
      <c r="AF213" s="1866"/>
      <c r="AG213" s="1866"/>
      <c r="AH213" s="1866"/>
      <c r="AI213" s="1866"/>
      <c r="AJ213" s="1866"/>
      <c r="AK213" s="1866"/>
      <c r="AL213" s="1866"/>
      <c r="AM213" s="1866"/>
      <c r="AN213" s="1866"/>
      <c r="AO213" s="1866"/>
      <c r="AP213" s="1866"/>
      <c r="AQ213" s="1866"/>
      <c r="AR213" s="1866"/>
      <c r="AS213" s="1866"/>
      <c r="AT213" s="1866"/>
      <c r="AU213" s="1866"/>
      <c r="AV213" s="1866"/>
      <c r="AW213" s="1866"/>
      <c r="AX213" s="1866"/>
      <c r="AY213" s="1866"/>
      <c r="AZ213" s="1866"/>
      <c r="BA213" s="1866"/>
      <c r="BB213" s="1866"/>
      <c r="BC213" s="1866"/>
      <c r="BD213" s="1866"/>
      <c r="BE213" s="1866"/>
      <c r="BF213" s="1866"/>
      <c r="BG213" s="1866"/>
      <c r="BH213" s="1866"/>
      <c r="BI213" s="1866"/>
      <c r="BJ213" s="1866"/>
      <c r="BK213" s="1866"/>
      <c r="BL213" s="1866"/>
      <c r="BM213" s="1866"/>
      <c r="BN213" s="1866"/>
      <c r="BO213" s="1866"/>
      <c r="BP213" s="1866"/>
      <c r="BQ213" s="1866"/>
      <c r="BR213" s="1866"/>
      <c r="BS213" s="1866"/>
      <c r="BT213" s="1866"/>
      <c r="BU213" s="1866"/>
      <c r="BV213" s="1866"/>
      <c r="BW213" s="1866"/>
      <c r="BX213" s="1866"/>
      <c r="BY213" s="1866"/>
      <c r="BZ213" s="1866"/>
      <c r="CA213" s="1866"/>
      <c r="CB213" s="1866"/>
      <c r="CC213" s="1866"/>
      <c r="CD213" s="1866"/>
      <c r="CE213" s="1866"/>
      <c r="CF213" s="1866"/>
      <c r="CG213" s="1866"/>
      <c r="CH213" s="1866"/>
      <c r="CI213" s="1866"/>
      <c r="CJ213" s="1866"/>
      <c r="CK213" s="1866"/>
      <c r="CL213" s="1866"/>
      <c r="CM213" s="1866"/>
      <c r="CN213" s="1866"/>
      <c r="CO213" s="1866"/>
      <c r="CP213" s="1866"/>
      <c r="CQ213" s="1866"/>
      <c r="CR213" s="1866"/>
      <c r="CS213" s="1866"/>
      <c r="CT213" s="1866"/>
      <c r="CU213" s="1866"/>
      <c r="CV213" s="1866"/>
      <c r="CW213" s="1866"/>
      <c r="CX213" s="1866"/>
      <c r="CY213" s="1866"/>
      <c r="CZ213" s="1866"/>
      <c r="DA213" s="1866"/>
      <c r="DB213" s="1866"/>
      <c r="DC213" s="1866"/>
      <c r="DD213" s="1866"/>
      <c r="DE213" s="1866"/>
      <c r="DF213" s="1866"/>
      <c r="DG213" s="1866"/>
      <c r="DH213" s="1866"/>
      <c r="DI213" s="1866"/>
      <c r="DJ213" s="1866"/>
      <c r="DK213" s="1866"/>
      <c r="DL213" s="1866"/>
      <c r="DM213" s="1866"/>
      <c r="DN213" s="1866"/>
      <c r="DO213" s="1866"/>
      <c r="DP213" s="1866"/>
      <c r="DQ213" s="1866"/>
      <c r="DR213" s="1866"/>
      <c r="DS213" s="1866"/>
      <c r="DT213" s="1866"/>
      <c r="DU213" s="1866"/>
      <c r="DV213" s="1866"/>
      <c r="DW213" s="1866"/>
      <c r="DX213" s="1866"/>
      <c r="DY213" s="1866"/>
      <c r="DZ213" s="1866"/>
      <c r="EA213" s="1866"/>
      <c r="EB213" s="1866"/>
      <c r="EC213" s="1866"/>
      <c r="ED213" s="1866"/>
      <c r="EE213" s="1866"/>
      <c r="EF213" s="1866"/>
      <c r="EG213" s="1866"/>
      <c r="EH213" s="1866"/>
      <c r="EI213" s="1866"/>
      <c r="EJ213" s="1866"/>
      <c r="EK213" s="1866"/>
      <c r="EL213" s="1866"/>
      <c r="EM213" s="1866"/>
      <c r="EN213" s="1866"/>
      <c r="EO213" s="1866"/>
      <c r="EP213" s="1866"/>
      <c r="EQ213" s="1866"/>
      <c r="ER213" s="1866"/>
      <c r="ES213" s="1866"/>
      <c r="ET213" s="1866"/>
      <c r="EU213" s="1866"/>
      <c r="EV213" s="1866"/>
      <c r="EW213" s="1866"/>
      <c r="EX213" s="1866"/>
      <c r="EY213" s="1866"/>
      <c r="EZ213" s="1866"/>
      <c r="FA213" s="1866"/>
      <c r="FB213" s="1866"/>
      <c r="FC213" s="1866"/>
      <c r="FD213" s="1866"/>
      <c r="FE213" s="1866"/>
      <c r="FF213" s="1866"/>
      <c r="FG213" s="1866"/>
      <c r="FH213" s="1866"/>
      <c r="FI213" s="1866"/>
      <c r="FJ213" s="1866"/>
      <c r="FK213" s="1866"/>
      <c r="FL213" s="1866"/>
      <c r="FM213" s="1866"/>
      <c r="FN213" s="1866"/>
      <c r="FO213" s="1866"/>
      <c r="FP213" s="1866"/>
      <c r="FQ213" s="1866"/>
      <c r="FR213" s="1866"/>
      <c r="FS213" s="1866"/>
      <c r="FT213" s="1866"/>
      <c r="FU213" s="1866"/>
      <c r="FV213" s="1866"/>
      <c r="FW213" s="1866"/>
      <c r="FX213" s="1866"/>
      <c r="FY213" s="1866"/>
      <c r="FZ213" s="1866"/>
      <c r="GA213" s="1866"/>
      <c r="GB213" s="1866"/>
      <c r="GC213" s="1866"/>
      <c r="GD213" s="1866"/>
      <c r="GE213" s="1866"/>
      <c r="GF213" s="1866"/>
      <c r="GG213" s="1866"/>
      <c r="GH213" s="1866"/>
      <c r="GI213" s="1866"/>
      <c r="GJ213" s="1866"/>
      <c r="GK213" s="1866"/>
      <c r="GL213" s="1866"/>
      <c r="GM213" s="1866"/>
      <c r="GN213" s="1866"/>
      <c r="GO213" s="1866"/>
      <c r="GP213" s="1866"/>
      <c r="GQ213" s="1866"/>
      <c r="GR213" s="1866"/>
      <c r="GS213" s="1866"/>
      <c r="GT213" s="1866"/>
      <c r="GU213" s="1866"/>
      <c r="GV213" s="1866"/>
      <c r="GW213" s="1866"/>
      <c r="GX213" s="1866"/>
      <c r="GY213" s="1866"/>
      <c r="GZ213" s="1866"/>
      <c r="HA213" s="1866"/>
      <c r="HB213" s="1866"/>
      <c r="HC213" s="1866"/>
      <c r="HD213" s="1866"/>
      <c r="HE213" s="1866"/>
    </row>
    <row r="214" spans="1:356" ht="15" customHeight="1" x14ac:dyDescent="0.2">
      <c r="A214" s="1964"/>
      <c r="B214" s="1989"/>
      <c r="C214" s="1705" t="s">
        <v>820</v>
      </c>
      <c r="D214" s="1887"/>
      <c r="E214" s="1984"/>
      <c r="F214" s="1838">
        <v>0</v>
      </c>
      <c r="G214" s="1804">
        <v>0</v>
      </c>
      <c r="H214" s="1804">
        <v>0</v>
      </c>
      <c r="I214" s="1804">
        <v>0</v>
      </c>
      <c r="J214" s="1804">
        <v>0</v>
      </c>
      <c r="K214" s="1804">
        <v>0</v>
      </c>
      <c r="L214" s="1804">
        <v>0</v>
      </c>
      <c r="M214" s="1804">
        <v>0</v>
      </c>
      <c r="N214" s="1804">
        <v>0</v>
      </c>
      <c r="O214" s="1804">
        <v>0</v>
      </c>
      <c r="P214" s="1804">
        <v>0</v>
      </c>
      <c r="Q214" s="1804">
        <v>0</v>
      </c>
      <c r="R214" s="1804">
        <v>0</v>
      </c>
      <c r="S214" s="1804">
        <v>0</v>
      </c>
      <c r="T214" s="1804">
        <v>0</v>
      </c>
      <c r="U214" s="1804">
        <v>0</v>
      </c>
      <c r="V214" s="1804">
        <v>0</v>
      </c>
      <c r="W214" s="1804">
        <v>0</v>
      </c>
      <c r="X214" s="1804">
        <v>0</v>
      </c>
      <c r="Y214" s="1804">
        <v>0</v>
      </c>
      <c r="Z214" s="1804">
        <v>0</v>
      </c>
      <c r="AA214" s="1804">
        <v>0</v>
      </c>
      <c r="AB214" s="1804">
        <v>0</v>
      </c>
      <c r="AC214" s="1804">
        <v>0</v>
      </c>
      <c r="AD214" s="1804">
        <v>0</v>
      </c>
      <c r="AE214" s="1804">
        <v>0</v>
      </c>
      <c r="AF214" s="1804">
        <v>0</v>
      </c>
      <c r="AG214" s="1804">
        <v>0</v>
      </c>
      <c r="AH214" s="1804">
        <v>0</v>
      </c>
      <c r="AI214" s="1804">
        <v>0</v>
      </c>
      <c r="AJ214" s="1804">
        <v>0</v>
      </c>
      <c r="AK214" s="1804">
        <v>0</v>
      </c>
      <c r="AL214" s="1804">
        <v>0</v>
      </c>
      <c r="AM214" s="1804">
        <v>0</v>
      </c>
      <c r="AN214" s="1804">
        <v>0</v>
      </c>
      <c r="AO214" s="1804">
        <v>0</v>
      </c>
      <c r="AP214" s="1804">
        <v>0</v>
      </c>
      <c r="AQ214" s="1804">
        <v>0</v>
      </c>
      <c r="AR214" s="1804">
        <v>0</v>
      </c>
      <c r="AS214" s="1804">
        <v>0</v>
      </c>
      <c r="AT214" s="1804">
        <v>0</v>
      </c>
      <c r="AU214" s="1804">
        <v>0</v>
      </c>
      <c r="AV214" s="1804">
        <v>0</v>
      </c>
      <c r="AW214" s="1804">
        <v>0</v>
      </c>
      <c r="AX214" s="1804">
        <v>0</v>
      </c>
      <c r="AY214" s="1804">
        <v>0</v>
      </c>
      <c r="AZ214" s="1804">
        <v>0</v>
      </c>
      <c r="BA214" s="1804">
        <v>0</v>
      </c>
      <c r="BB214" s="1804">
        <v>0</v>
      </c>
      <c r="BC214" s="1804">
        <v>0</v>
      </c>
      <c r="BD214" s="1804">
        <v>0</v>
      </c>
      <c r="BE214" s="1804">
        <v>0</v>
      </c>
      <c r="BF214" s="1804">
        <v>0</v>
      </c>
      <c r="BG214" s="1804">
        <v>0</v>
      </c>
      <c r="BH214" s="1804">
        <v>0</v>
      </c>
      <c r="BI214" s="1804">
        <v>0</v>
      </c>
      <c r="BJ214" s="1804">
        <v>0</v>
      </c>
      <c r="BK214" s="1804">
        <v>0</v>
      </c>
      <c r="BL214" s="1804">
        <v>0</v>
      </c>
      <c r="BM214" s="1804">
        <v>0</v>
      </c>
      <c r="BN214" s="1804">
        <v>0</v>
      </c>
      <c r="BO214" s="1804">
        <v>0</v>
      </c>
      <c r="BP214" s="1804">
        <v>0</v>
      </c>
      <c r="BQ214" s="1804">
        <v>0</v>
      </c>
      <c r="BR214" s="1804">
        <v>0</v>
      </c>
      <c r="BS214" s="1804">
        <v>0</v>
      </c>
      <c r="BT214" s="1804">
        <v>0</v>
      </c>
      <c r="BU214" s="1804">
        <v>0</v>
      </c>
      <c r="BV214" s="1804">
        <v>0</v>
      </c>
      <c r="BW214" s="1804">
        <v>0</v>
      </c>
      <c r="BX214" s="1804">
        <v>0</v>
      </c>
      <c r="BY214" s="1804">
        <v>0</v>
      </c>
      <c r="BZ214" s="1804">
        <v>0</v>
      </c>
      <c r="CA214" s="1804">
        <v>0</v>
      </c>
      <c r="CB214" s="1804">
        <v>0</v>
      </c>
      <c r="CC214" s="1804">
        <v>0</v>
      </c>
      <c r="CD214" s="1804">
        <v>0</v>
      </c>
      <c r="CE214" s="1804">
        <v>0</v>
      </c>
      <c r="CF214" s="1804">
        <v>0</v>
      </c>
      <c r="CG214" s="1804">
        <v>0</v>
      </c>
      <c r="CH214" s="1804">
        <v>0</v>
      </c>
      <c r="CI214" s="1804">
        <v>0</v>
      </c>
      <c r="CJ214" s="1804">
        <v>0</v>
      </c>
      <c r="CK214" s="1804">
        <v>0</v>
      </c>
      <c r="CL214" s="1804">
        <v>0</v>
      </c>
      <c r="CM214" s="1804">
        <v>0</v>
      </c>
      <c r="CN214" s="1804">
        <v>0</v>
      </c>
      <c r="CO214" s="1804">
        <v>0</v>
      </c>
      <c r="CP214" s="1804">
        <v>0</v>
      </c>
      <c r="CQ214" s="1804">
        <v>0</v>
      </c>
      <c r="CR214" s="1804">
        <v>0</v>
      </c>
      <c r="CS214" s="1804">
        <v>0</v>
      </c>
      <c r="CT214" s="1804">
        <v>0</v>
      </c>
      <c r="CU214" s="1804">
        <v>0</v>
      </c>
      <c r="CV214" s="1804">
        <v>0</v>
      </c>
      <c r="CW214" s="1804">
        <v>0</v>
      </c>
      <c r="CX214" s="1804">
        <v>0</v>
      </c>
      <c r="CY214" s="1804">
        <v>0</v>
      </c>
      <c r="CZ214" s="1804">
        <v>0</v>
      </c>
      <c r="DA214" s="1804">
        <v>0</v>
      </c>
      <c r="DB214" s="1804">
        <v>0</v>
      </c>
      <c r="DC214" s="1804">
        <v>0</v>
      </c>
      <c r="DD214" s="1804">
        <v>0</v>
      </c>
      <c r="DE214" s="1804">
        <v>0</v>
      </c>
      <c r="DF214" s="1804">
        <v>0</v>
      </c>
      <c r="DG214" s="1804">
        <v>0</v>
      </c>
      <c r="DH214" s="1804">
        <v>0</v>
      </c>
      <c r="DI214" s="1804">
        <v>0</v>
      </c>
      <c r="DJ214" s="1804">
        <v>0</v>
      </c>
      <c r="DK214" s="1804">
        <v>0</v>
      </c>
      <c r="DL214" s="1804">
        <v>0</v>
      </c>
      <c r="DM214" s="1804">
        <v>0</v>
      </c>
      <c r="DN214" s="1804">
        <v>0</v>
      </c>
      <c r="DO214" s="1804">
        <v>0</v>
      </c>
      <c r="DP214" s="1804">
        <v>0</v>
      </c>
      <c r="DQ214" s="1804">
        <v>0</v>
      </c>
      <c r="DR214" s="1804">
        <v>0</v>
      </c>
      <c r="DS214" s="1804">
        <v>0</v>
      </c>
      <c r="DT214" s="1804">
        <v>0</v>
      </c>
      <c r="DU214" s="1804">
        <v>0</v>
      </c>
      <c r="DV214" s="1804">
        <v>0</v>
      </c>
      <c r="DW214" s="1804">
        <v>0</v>
      </c>
      <c r="DX214" s="1804">
        <v>0</v>
      </c>
      <c r="DY214" s="1804">
        <v>0</v>
      </c>
      <c r="DZ214" s="1804">
        <v>0</v>
      </c>
      <c r="EA214" s="1804">
        <v>0</v>
      </c>
      <c r="EB214" s="1804">
        <v>0</v>
      </c>
      <c r="EC214" s="1804">
        <v>0</v>
      </c>
      <c r="ED214" s="1804">
        <v>0</v>
      </c>
      <c r="EE214" s="1804">
        <v>0</v>
      </c>
      <c r="EF214" s="1804">
        <v>0</v>
      </c>
      <c r="EG214" s="1804">
        <v>0</v>
      </c>
      <c r="EH214" s="1804">
        <v>0</v>
      </c>
      <c r="EI214" s="1804">
        <v>0</v>
      </c>
      <c r="EJ214" s="1804">
        <v>0</v>
      </c>
      <c r="EK214" s="1804">
        <v>0</v>
      </c>
      <c r="EL214" s="1804">
        <v>0</v>
      </c>
      <c r="EM214" s="1804">
        <v>0</v>
      </c>
      <c r="EN214" s="1804">
        <v>0</v>
      </c>
      <c r="EO214" s="1804">
        <v>0</v>
      </c>
      <c r="EP214" s="1804">
        <v>0</v>
      </c>
      <c r="EQ214" s="1804">
        <v>0</v>
      </c>
      <c r="ER214" s="1804">
        <v>0</v>
      </c>
      <c r="ES214" s="1804">
        <v>0</v>
      </c>
      <c r="ET214" s="1804">
        <v>0</v>
      </c>
      <c r="EU214" s="1804">
        <v>0</v>
      </c>
      <c r="EV214" s="1804">
        <v>0</v>
      </c>
      <c r="EW214" s="1804">
        <v>0</v>
      </c>
      <c r="EX214" s="1804">
        <v>0</v>
      </c>
      <c r="EY214" s="1804">
        <v>0</v>
      </c>
      <c r="EZ214" s="1804">
        <v>0</v>
      </c>
      <c r="FA214" s="1804">
        <v>0</v>
      </c>
      <c r="FB214" s="1804">
        <v>0</v>
      </c>
      <c r="FC214" s="1804">
        <v>0</v>
      </c>
      <c r="FD214" s="1804">
        <v>0</v>
      </c>
      <c r="FE214" s="1804">
        <v>0</v>
      </c>
      <c r="FF214" s="1804">
        <v>0</v>
      </c>
      <c r="FG214" s="1804">
        <v>0</v>
      </c>
      <c r="FH214" s="1804">
        <v>0</v>
      </c>
      <c r="FI214" s="1804">
        <v>0</v>
      </c>
      <c r="FJ214" s="1804">
        <v>0</v>
      </c>
      <c r="FK214" s="1804">
        <v>0</v>
      </c>
      <c r="FL214" s="1804">
        <v>0</v>
      </c>
      <c r="FM214" s="1804">
        <v>0</v>
      </c>
      <c r="FN214" s="1804">
        <v>0</v>
      </c>
      <c r="FO214" s="1804">
        <v>0</v>
      </c>
      <c r="FP214" s="1804">
        <v>0</v>
      </c>
      <c r="FQ214" s="1804">
        <v>0</v>
      </c>
      <c r="FR214" s="1804">
        <v>0</v>
      </c>
      <c r="FS214" s="1804">
        <v>0</v>
      </c>
      <c r="FT214" s="1804">
        <v>0</v>
      </c>
      <c r="FU214" s="1804">
        <v>0</v>
      </c>
      <c r="FV214" s="1804">
        <v>0</v>
      </c>
      <c r="FW214" s="1804">
        <v>0</v>
      </c>
      <c r="FX214" s="1804">
        <v>0</v>
      </c>
      <c r="FY214" s="1804">
        <v>0</v>
      </c>
      <c r="FZ214" s="1804">
        <v>0</v>
      </c>
      <c r="GA214" s="1804">
        <v>0</v>
      </c>
      <c r="GB214" s="1804">
        <v>0</v>
      </c>
      <c r="GC214" s="1804">
        <v>0</v>
      </c>
      <c r="GD214" s="1804">
        <v>0</v>
      </c>
      <c r="GE214" s="1804">
        <v>0</v>
      </c>
      <c r="GF214" s="1804">
        <v>0</v>
      </c>
      <c r="GG214" s="1804">
        <v>0</v>
      </c>
      <c r="GH214" s="1804">
        <v>0</v>
      </c>
      <c r="GI214" s="1804">
        <v>0</v>
      </c>
      <c r="GJ214" s="1804">
        <v>0</v>
      </c>
      <c r="GK214" s="1804">
        <v>0</v>
      </c>
      <c r="GL214" s="1804">
        <v>0</v>
      </c>
      <c r="GM214" s="1804">
        <v>0</v>
      </c>
      <c r="GN214" s="1804">
        <v>0</v>
      </c>
      <c r="GO214" s="1804">
        <v>0</v>
      </c>
      <c r="GP214" s="1804">
        <v>0</v>
      </c>
      <c r="GQ214" s="1804">
        <v>0</v>
      </c>
      <c r="GR214" s="1804">
        <v>0</v>
      </c>
      <c r="GS214" s="1804">
        <v>0</v>
      </c>
      <c r="GT214" s="1804">
        <v>0</v>
      </c>
      <c r="GU214" s="1804">
        <v>0</v>
      </c>
      <c r="GV214" s="1804">
        <v>0</v>
      </c>
      <c r="GW214" s="1804">
        <v>0</v>
      </c>
      <c r="GX214" s="1804">
        <v>0</v>
      </c>
      <c r="GY214" s="1804">
        <v>0</v>
      </c>
      <c r="GZ214" s="1804">
        <v>0</v>
      </c>
      <c r="HA214" s="1804">
        <v>0</v>
      </c>
      <c r="HB214" s="1804">
        <v>0</v>
      </c>
      <c r="HC214" s="1804">
        <v>0</v>
      </c>
      <c r="HD214" s="1804">
        <v>0</v>
      </c>
      <c r="HE214" s="1804">
        <v>0</v>
      </c>
    </row>
    <row r="215" spans="1:356" ht="15" customHeight="1" x14ac:dyDescent="0.2">
      <c r="A215" s="1964"/>
      <c r="B215" s="1989"/>
      <c r="C215" s="1818" t="s">
        <v>822</v>
      </c>
      <c r="D215" s="1887"/>
      <c r="E215" s="1984"/>
      <c r="F215" s="1838">
        <v>0</v>
      </c>
      <c r="G215" s="1804">
        <v>0</v>
      </c>
      <c r="H215" s="1804">
        <v>0</v>
      </c>
      <c r="I215" s="1804">
        <v>0</v>
      </c>
      <c r="J215" s="1804">
        <v>0</v>
      </c>
      <c r="K215" s="1804">
        <v>0</v>
      </c>
      <c r="L215" s="1804">
        <v>0</v>
      </c>
      <c r="M215" s="1804">
        <v>0</v>
      </c>
      <c r="N215" s="1804">
        <v>0</v>
      </c>
      <c r="O215" s="1804">
        <v>0</v>
      </c>
      <c r="P215" s="1804">
        <v>0</v>
      </c>
      <c r="Q215" s="1804">
        <v>0</v>
      </c>
      <c r="R215" s="1804">
        <v>0</v>
      </c>
      <c r="S215" s="1804">
        <v>0</v>
      </c>
      <c r="T215" s="1804">
        <v>0</v>
      </c>
      <c r="U215" s="1804">
        <v>0</v>
      </c>
      <c r="V215" s="1804">
        <v>0</v>
      </c>
      <c r="W215" s="1804">
        <v>0</v>
      </c>
      <c r="X215" s="1804">
        <v>0</v>
      </c>
      <c r="Y215" s="1804">
        <v>0</v>
      </c>
      <c r="Z215" s="1804">
        <v>0</v>
      </c>
      <c r="AA215" s="1804">
        <v>0</v>
      </c>
      <c r="AB215" s="1804">
        <v>0</v>
      </c>
      <c r="AC215" s="1804">
        <v>0</v>
      </c>
      <c r="AD215" s="1804">
        <v>0</v>
      </c>
      <c r="AE215" s="1804">
        <v>0</v>
      </c>
      <c r="AF215" s="1804">
        <v>0</v>
      </c>
      <c r="AG215" s="1804">
        <v>0</v>
      </c>
      <c r="AH215" s="1804">
        <v>0</v>
      </c>
      <c r="AI215" s="1804">
        <v>0</v>
      </c>
      <c r="AJ215" s="1804">
        <v>0</v>
      </c>
      <c r="AK215" s="1804">
        <v>0</v>
      </c>
      <c r="AL215" s="1804">
        <v>0</v>
      </c>
      <c r="AM215" s="1804">
        <v>0</v>
      </c>
      <c r="AN215" s="1804">
        <v>0</v>
      </c>
      <c r="AO215" s="1804">
        <v>0</v>
      </c>
      <c r="AP215" s="1804">
        <v>0</v>
      </c>
      <c r="AQ215" s="1804">
        <v>0</v>
      </c>
      <c r="AR215" s="1804">
        <v>0</v>
      </c>
      <c r="AS215" s="1804">
        <v>0</v>
      </c>
      <c r="AT215" s="1804">
        <v>0</v>
      </c>
      <c r="AU215" s="1804">
        <v>0</v>
      </c>
      <c r="AV215" s="1804">
        <v>0</v>
      </c>
      <c r="AW215" s="1804">
        <v>0</v>
      </c>
      <c r="AX215" s="1804">
        <v>0</v>
      </c>
      <c r="AY215" s="1804">
        <v>0</v>
      </c>
      <c r="AZ215" s="1804">
        <v>0</v>
      </c>
      <c r="BA215" s="1804">
        <v>0</v>
      </c>
      <c r="BB215" s="1804">
        <v>0</v>
      </c>
      <c r="BC215" s="1804">
        <v>0</v>
      </c>
      <c r="BD215" s="1804">
        <v>0</v>
      </c>
      <c r="BE215" s="1804">
        <v>0</v>
      </c>
      <c r="BF215" s="1804">
        <v>0</v>
      </c>
      <c r="BG215" s="1804">
        <v>0</v>
      </c>
      <c r="BH215" s="1804">
        <v>0</v>
      </c>
      <c r="BI215" s="1804">
        <v>0</v>
      </c>
      <c r="BJ215" s="1804">
        <v>0</v>
      </c>
      <c r="BK215" s="1804">
        <v>0</v>
      </c>
      <c r="BL215" s="1804">
        <v>0</v>
      </c>
      <c r="BM215" s="1804">
        <v>0</v>
      </c>
      <c r="BN215" s="1804">
        <v>0</v>
      </c>
      <c r="BO215" s="1804">
        <v>0</v>
      </c>
      <c r="BP215" s="1804">
        <v>0</v>
      </c>
      <c r="BQ215" s="1804">
        <v>0</v>
      </c>
      <c r="BR215" s="1804">
        <v>0</v>
      </c>
      <c r="BS215" s="1804">
        <v>0</v>
      </c>
      <c r="BT215" s="1804">
        <v>0</v>
      </c>
      <c r="BU215" s="1804">
        <v>0</v>
      </c>
      <c r="BV215" s="1804">
        <v>0</v>
      </c>
      <c r="BW215" s="1804">
        <v>0</v>
      </c>
      <c r="BX215" s="1804">
        <v>0</v>
      </c>
      <c r="BY215" s="1804">
        <v>0</v>
      </c>
      <c r="BZ215" s="1804">
        <v>0</v>
      </c>
      <c r="CA215" s="1804">
        <v>0</v>
      </c>
      <c r="CB215" s="1804">
        <v>0</v>
      </c>
      <c r="CC215" s="1804">
        <v>0</v>
      </c>
      <c r="CD215" s="1804">
        <v>0</v>
      </c>
      <c r="CE215" s="1804">
        <v>0</v>
      </c>
      <c r="CF215" s="1804">
        <v>0</v>
      </c>
      <c r="CG215" s="1804">
        <v>0</v>
      </c>
      <c r="CH215" s="1804">
        <v>0</v>
      </c>
      <c r="CI215" s="1804">
        <v>0</v>
      </c>
      <c r="CJ215" s="1804">
        <v>0</v>
      </c>
      <c r="CK215" s="1804">
        <v>0</v>
      </c>
      <c r="CL215" s="1804">
        <v>0</v>
      </c>
      <c r="CM215" s="1804">
        <v>0</v>
      </c>
      <c r="CN215" s="1804">
        <v>0</v>
      </c>
      <c r="CO215" s="1804">
        <v>0</v>
      </c>
      <c r="CP215" s="1804">
        <v>0</v>
      </c>
      <c r="CQ215" s="1804">
        <v>0</v>
      </c>
      <c r="CR215" s="1804">
        <v>0</v>
      </c>
      <c r="CS215" s="1804">
        <v>0</v>
      </c>
      <c r="CT215" s="1804">
        <v>0</v>
      </c>
      <c r="CU215" s="1804">
        <v>0</v>
      </c>
      <c r="CV215" s="1804">
        <v>0</v>
      </c>
      <c r="CW215" s="1804">
        <v>0</v>
      </c>
      <c r="CX215" s="1804">
        <v>0</v>
      </c>
      <c r="CY215" s="1804">
        <v>0</v>
      </c>
      <c r="CZ215" s="1804">
        <v>0</v>
      </c>
      <c r="DA215" s="1804">
        <v>0</v>
      </c>
      <c r="DB215" s="1804">
        <v>0</v>
      </c>
      <c r="DC215" s="1804">
        <v>0</v>
      </c>
      <c r="DD215" s="1804">
        <v>0</v>
      </c>
      <c r="DE215" s="1804">
        <v>0</v>
      </c>
      <c r="DF215" s="1804">
        <v>0</v>
      </c>
      <c r="DG215" s="1804">
        <v>0</v>
      </c>
      <c r="DH215" s="1804">
        <v>0</v>
      </c>
      <c r="DI215" s="1804">
        <v>0</v>
      </c>
      <c r="DJ215" s="1804">
        <v>0</v>
      </c>
      <c r="DK215" s="1804">
        <v>0</v>
      </c>
      <c r="DL215" s="1804">
        <v>0</v>
      </c>
      <c r="DM215" s="1804">
        <v>0</v>
      </c>
      <c r="DN215" s="1804">
        <v>0</v>
      </c>
      <c r="DO215" s="1804">
        <v>0</v>
      </c>
      <c r="DP215" s="1804">
        <v>0</v>
      </c>
      <c r="DQ215" s="1804">
        <v>0</v>
      </c>
      <c r="DR215" s="1804">
        <v>0</v>
      </c>
      <c r="DS215" s="1804">
        <v>0</v>
      </c>
      <c r="DT215" s="1804">
        <v>0</v>
      </c>
      <c r="DU215" s="1804">
        <v>0</v>
      </c>
      <c r="DV215" s="1804">
        <v>0</v>
      </c>
      <c r="DW215" s="1804">
        <v>0</v>
      </c>
      <c r="DX215" s="1804">
        <v>0</v>
      </c>
      <c r="DY215" s="1804">
        <v>0</v>
      </c>
      <c r="DZ215" s="1804">
        <v>0</v>
      </c>
      <c r="EA215" s="1804">
        <v>0</v>
      </c>
      <c r="EB215" s="1804">
        <v>0</v>
      </c>
      <c r="EC215" s="1804">
        <v>0</v>
      </c>
      <c r="ED215" s="1804">
        <v>0</v>
      </c>
      <c r="EE215" s="1804">
        <v>0</v>
      </c>
      <c r="EF215" s="1804">
        <v>0</v>
      </c>
      <c r="EG215" s="1804">
        <v>0</v>
      </c>
      <c r="EH215" s="1804">
        <v>0</v>
      </c>
      <c r="EI215" s="1804">
        <v>0</v>
      </c>
      <c r="EJ215" s="1804">
        <v>0</v>
      </c>
      <c r="EK215" s="1804">
        <v>0</v>
      </c>
      <c r="EL215" s="1804">
        <v>0</v>
      </c>
      <c r="EM215" s="1804">
        <v>0</v>
      </c>
      <c r="EN215" s="1804">
        <v>0</v>
      </c>
      <c r="EO215" s="1804">
        <v>0</v>
      </c>
      <c r="EP215" s="1804">
        <v>0</v>
      </c>
      <c r="EQ215" s="1804">
        <v>0</v>
      </c>
      <c r="ER215" s="1804">
        <v>0</v>
      </c>
      <c r="ES215" s="1804">
        <v>0</v>
      </c>
      <c r="ET215" s="1804">
        <v>0</v>
      </c>
      <c r="EU215" s="1804">
        <v>0</v>
      </c>
      <c r="EV215" s="1804">
        <v>0</v>
      </c>
      <c r="EW215" s="1804">
        <v>0</v>
      </c>
      <c r="EX215" s="1804">
        <v>0</v>
      </c>
      <c r="EY215" s="1804">
        <v>0</v>
      </c>
      <c r="EZ215" s="1804">
        <v>0</v>
      </c>
      <c r="FA215" s="1804">
        <v>0</v>
      </c>
      <c r="FB215" s="1804">
        <v>0</v>
      </c>
      <c r="FC215" s="1804">
        <v>0</v>
      </c>
      <c r="FD215" s="1804">
        <v>0</v>
      </c>
      <c r="FE215" s="1804">
        <v>0</v>
      </c>
      <c r="FF215" s="1804">
        <v>0</v>
      </c>
      <c r="FG215" s="1804">
        <v>0</v>
      </c>
      <c r="FH215" s="1804">
        <v>0</v>
      </c>
      <c r="FI215" s="1804">
        <v>0</v>
      </c>
      <c r="FJ215" s="1804">
        <v>0</v>
      </c>
      <c r="FK215" s="1804">
        <v>0</v>
      </c>
      <c r="FL215" s="1804">
        <v>0</v>
      </c>
      <c r="FM215" s="1804">
        <v>0</v>
      </c>
      <c r="FN215" s="1804">
        <v>0</v>
      </c>
      <c r="FO215" s="1804">
        <v>0</v>
      </c>
      <c r="FP215" s="1804">
        <v>0</v>
      </c>
      <c r="FQ215" s="1804">
        <v>0</v>
      </c>
      <c r="FR215" s="1804">
        <v>0</v>
      </c>
      <c r="FS215" s="1804">
        <v>0</v>
      </c>
      <c r="FT215" s="1804">
        <v>0</v>
      </c>
      <c r="FU215" s="1804">
        <v>0</v>
      </c>
      <c r="FV215" s="1804">
        <v>0</v>
      </c>
      <c r="FW215" s="1804">
        <v>0</v>
      </c>
      <c r="FX215" s="1804">
        <v>0</v>
      </c>
      <c r="FY215" s="1804">
        <v>0</v>
      </c>
      <c r="FZ215" s="1804">
        <v>0</v>
      </c>
      <c r="GA215" s="1804">
        <v>0</v>
      </c>
      <c r="GB215" s="1804">
        <v>0</v>
      </c>
      <c r="GC215" s="1804">
        <v>0</v>
      </c>
      <c r="GD215" s="1804">
        <v>0</v>
      </c>
      <c r="GE215" s="1804">
        <v>0</v>
      </c>
      <c r="GF215" s="1804">
        <v>0</v>
      </c>
      <c r="GG215" s="1804">
        <v>0</v>
      </c>
      <c r="GH215" s="1804">
        <v>0</v>
      </c>
      <c r="GI215" s="1804">
        <v>0</v>
      </c>
      <c r="GJ215" s="1804">
        <v>0</v>
      </c>
      <c r="GK215" s="1804">
        <v>0</v>
      </c>
      <c r="GL215" s="1804">
        <v>0</v>
      </c>
      <c r="GM215" s="1804">
        <v>0</v>
      </c>
      <c r="GN215" s="1804">
        <v>0</v>
      </c>
      <c r="GO215" s="1804">
        <v>0</v>
      </c>
      <c r="GP215" s="1804">
        <v>0</v>
      </c>
      <c r="GQ215" s="1804">
        <v>0</v>
      </c>
      <c r="GR215" s="1804">
        <v>0</v>
      </c>
      <c r="GS215" s="1804">
        <v>0</v>
      </c>
      <c r="GT215" s="1804">
        <v>0</v>
      </c>
      <c r="GU215" s="1804">
        <v>0</v>
      </c>
      <c r="GV215" s="1804">
        <v>0</v>
      </c>
      <c r="GW215" s="1804">
        <v>0</v>
      </c>
      <c r="GX215" s="1804">
        <v>0</v>
      </c>
      <c r="GY215" s="1804">
        <v>0</v>
      </c>
      <c r="GZ215" s="1804">
        <v>0</v>
      </c>
      <c r="HA215" s="1804">
        <v>0</v>
      </c>
      <c r="HB215" s="1804">
        <v>0</v>
      </c>
      <c r="HC215" s="1804">
        <v>0</v>
      </c>
      <c r="HD215" s="1804">
        <v>0</v>
      </c>
      <c r="HE215" s="1804">
        <v>0</v>
      </c>
    </row>
    <row r="216" spans="1:356" ht="15" customHeight="1" x14ac:dyDescent="0.2">
      <c r="A216" s="1964"/>
      <c r="B216" s="1989"/>
      <c r="C216" s="1818" t="s">
        <v>821</v>
      </c>
      <c r="D216" s="1887"/>
      <c r="E216" s="1984"/>
      <c r="F216" s="1838">
        <v>0</v>
      </c>
      <c r="G216" s="1804">
        <v>0</v>
      </c>
      <c r="H216" s="1804">
        <v>0</v>
      </c>
      <c r="I216" s="1804">
        <v>0</v>
      </c>
      <c r="J216" s="1804">
        <v>0</v>
      </c>
      <c r="K216" s="1804">
        <v>0</v>
      </c>
      <c r="L216" s="1804">
        <v>0</v>
      </c>
      <c r="M216" s="1804">
        <v>0</v>
      </c>
      <c r="N216" s="1804">
        <v>0</v>
      </c>
      <c r="O216" s="1804">
        <v>0</v>
      </c>
      <c r="P216" s="1804">
        <v>0</v>
      </c>
      <c r="Q216" s="1804">
        <v>0</v>
      </c>
      <c r="R216" s="1804">
        <v>0</v>
      </c>
      <c r="S216" s="1804">
        <v>0</v>
      </c>
      <c r="T216" s="1804">
        <v>0</v>
      </c>
      <c r="U216" s="1804">
        <v>0</v>
      </c>
      <c r="V216" s="1804">
        <v>0</v>
      </c>
      <c r="W216" s="1804">
        <v>0</v>
      </c>
      <c r="X216" s="1804">
        <v>0</v>
      </c>
      <c r="Y216" s="1804">
        <v>0</v>
      </c>
      <c r="Z216" s="1804">
        <v>0</v>
      </c>
      <c r="AA216" s="1804">
        <v>0</v>
      </c>
      <c r="AB216" s="1804">
        <v>0</v>
      </c>
      <c r="AC216" s="1804">
        <v>0</v>
      </c>
      <c r="AD216" s="1804">
        <v>0</v>
      </c>
      <c r="AE216" s="1804">
        <v>0</v>
      </c>
      <c r="AF216" s="1804">
        <v>0</v>
      </c>
      <c r="AG216" s="1804">
        <v>0</v>
      </c>
      <c r="AH216" s="1804">
        <v>0</v>
      </c>
      <c r="AI216" s="1804">
        <v>0</v>
      </c>
      <c r="AJ216" s="1804">
        <v>0</v>
      </c>
      <c r="AK216" s="1804">
        <v>0</v>
      </c>
      <c r="AL216" s="1804">
        <v>0</v>
      </c>
      <c r="AM216" s="1804">
        <v>0</v>
      </c>
      <c r="AN216" s="1804">
        <v>0</v>
      </c>
      <c r="AO216" s="1804">
        <v>0</v>
      </c>
      <c r="AP216" s="1804">
        <v>0</v>
      </c>
      <c r="AQ216" s="1804">
        <v>0</v>
      </c>
      <c r="AR216" s="1804">
        <v>0</v>
      </c>
      <c r="AS216" s="1804">
        <v>0</v>
      </c>
      <c r="AT216" s="1804">
        <v>0</v>
      </c>
      <c r="AU216" s="1804">
        <v>0</v>
      </c>
      <c r="AV216" s="1804">
        <v>0</v>
      </c>
      <c r="AW216" s="1804">
        <v>0</v>
      </c>
      <c r="AX216" s="1804">
        <v>0</v>
      </c>
      <c r="AY216" s="1804">
        <v>0</v>
      </c>
      <c r="AZ216" s="1804">
        <v>0</v>
      </c>
      <c r="BA216" s="1804">
        <v>0</v>
      </c>
      <c r="BB216" s="1804">
        <v>0</v>
      </c>
      <c r="BC216" s="1804">
        <v>0</v>
      </c>
      <c r="BD216" s="1804">
        <v>0</v>
      </c>
      <c r="BE216" s="1804">
        <v>0</v>
      </c>
      <c r="BF216" s="1804">
        <v>0</v>
      </c>
      <c r="BG216" s="1804">
        <v>0</v>
      </c>
      <c r="BH216" s="1804">
        <v>0</v>
      </c>
      <c r="BI216" s="1804">
        <v>0</v>
      </c>
      <c r="BJ216" s="1804">
        <v>0</v>
      </c>
      <c r="BK216" s="1804">
        <v>0</v>
      </c>
      <c r="BL216" s="1804">
        <v>0</v>
      </c>
      <c r="BM216" s="1804">
        <v>0</v>
      </c>
      <c r="BN216" s="1804">
        <v>0</v>
      </c>
      <c r="BO216" s="1804">
        <v>0</v>
      </c>
      <c r="BP216" s="1804">
        <v>0</v>
      </c>
      <c r="BQ216" s="1804">
        <v>0</v>
      </c>
      <c r="BR216" s="1804">
        <v>0</v>
      </c>
      <c r="BS216" s="1804">
        <v>0</v>
      </c>
      <c r="BT216" s="1804">
        <v>0</v>
      </c>
      <c r="BU216" s="1804">
        <v>0</v>
      </c>
      <c r="BV216" s="1804">
        <v>0</v>
      </c>
      <c r="BW216" s="1804">
        <v>0</v>
      </c>
      <c r="BX216" s="1804">
        <v>0</v>
      </c>
      <c r="BY216" s="1804">
        <v>0</v>
      </c>
      <c r="BZ216" s="1804">
        <v>0</v>
      </c>
      <c r="CA216" s="1804">
        <v>0</v>
      </c>
      <c r="CB216" s="1804">
        <v>0</v>
      </c>
      <c r="CC216" s="1804">
        <v>0</v>
      </c>
      <c r="CD216" s="1804">
        <v>0</v>
      </c>
      <c r="CE216" s="1804">
        <v>0</v>
      </c>
      <c r="CF216" s="1804">
        <v>0</v>
      </c>
      <c r="CG216" s="1804">
        <v>0</v>
      </c>
      <c r="CH216" s="1804">
        <v>0</v>
      </c>
      <c r="CI216" s="1804">
        <v>0</v>
      </c>
      <c r="CJ216" s="1804">
        <v>0</v>
      </c>
      <c r="CK216" s="1804">
        <v>0</v>
      </c>
      <c r="CL216" s="1804">
        <v>0</v>
      </c>
      <c r="CM216" s="1804">
        <v>0</v>
      </c>
      <c r="CN216" s="1804">
        <v>0</v>
      </c>
      <c r="CO216" s="1804">
        <v>0</v>
      </c>
      <c r="CP216" s="1804">
        <v>0</v>
      </c>
      <c r="CQ216" s="1804">
        <v>0</v>
      </c>
      <c r="CR216" s="1804">
        <v>0</v>
      </c>
      <c r="CS216" s="1804">
        <v>0</v>
      </c>
      <c r="CT216" s="1804">
        <v>0</v>
      </c>
      <c r="CU216" s="1804">
        <v>0</v>
      </c>
      <c r="CV216" s="1804">
        <v>0</v>
      </c>
      <c r="CW216" s="1804">
        <v>0</v>
      </c>
      <c r="CX216" s="1804">
        <v>0</v>
      </c>
      <c r="CY216" s="1804">
        <v>0</v>
      </c>
      <c r="CZ216" s="1804">
        <v>0</v>
      </c>
      <c r="DA216" s="1804">
        <v>0</v>
      </c>
      <c r="DB216" s="1804">
        <v>0</v>
      </c>
      <c r="DC216" s="1804">
        <v>0</v>
      </c>
      <c r="DD216" s="1804">
        <v>0</v>
      </c>
      <c r="DE216" s="1804">
        <v>0</v>
      </c>
      <c r="DF216" s="1804">
        <v>0</v>
      </c>
      <c r="DG216" s="1804">
        <v>0</v>
      </c>
      <c r="DH216" s="1804">
        <v>0</v>
      </c>
      <c r="DI216" s="1804">
        <v>0</v>
      </c>
      <c r="DJ216" s="1804">
        <v>0</v>
      </c>
      <c r="DK216" s="1804">
        <v>0</v>
      </c>
      <c r="DL216" s="1804">
        <v>0</v>
      </c>
      <c r="DM216" s="1804">
        <v>0</v>
      </c>
      <c r="DN216" s="1804">
        <v>0</v>
      </c>
      <c r="DO216" s="1804">
        <v>0</v>
      </c>
      <c r="DP216" s="1804">
        <v>0</v>
      </c>
      <c r="DQ216" s="1804">
        <v>0</v>
      </c>
      <c r="DR216" s="1804">
        <v>0</v>
      </c>
      <c r="DS216" s="1804">
        <v>0</v>
      </c>
      <c r="DT216" s="1804">
        <v>0</v>
      </c>
      <c r="DU216" s="1804">
        <v>0</v>
      </c>
      <c r="DV216" s="1804">
        <v>0</v>
      </c>
      <c r="DW216" s="1804">
        <v>0</v>
      </c>
      <c r="DX216" s="1804">
        <v>0</v>
      </c>
      <c r="DY216" s="1804">
        <v>0</v>
      </c>
      <c r="DZ216" s="1804">
        <v>0</v>
      </c>
      <c r="EA216" s="1804">
        <v>0</v>
      </c>
      <c r="EB216" s="1804">
        <v>0</v>
      </c>
      <c r="EC216" s="1804">
        <v>0</v>
      </c>
      <c r="ED216" s="1804">
        <v>0</v>
      </c>
      <c r="EE216" s="1804">
        <v>0</v>
      </c>
      <c r="EF216" s="1804">
        <v>0</v>
      </c>
      <c r="EG216" s="1804">
        <v>0</v>
      </c>
      <c r="EH216" s="1804">
        <v>0</v>
      </c>
      <c r="EI216" s="1804">
        <v>0</v>
      </c>
      <c r="EJ216" s="1804">
        <v>0</v>
      </c>
      <c r="EK216" s="1804">
        <v>0</v>
      </c>
      <c r="EL216" s="1804">
        <v>0</v>
      </c>
      <c r="EM216" s="1804">
        <v>0</v>
      </c>
      <c r="EN216" s="1804">
        <v>0</v>
      </c>
      <c r="EO216" s="1804">
        <v>0</v>
      </c>
      <c r="EP216" s="1804">
        <v>0</v>
      </c>
      <c r="EQ216" s="1804">
        <v>0</v>
      </c>
      <c r="ER216" s="1804">
        <v>0</v>
      </c>
      <c r="ES216" s="1804">
        <v>0</v>
      </c>
      <c r="ET216" s="1804">
        <v>0</v>
      </c>
      <c r="EU216" s="1804">
        <v>0</v>
      </c>
      <c r="EV216" s="1804">
        <v>0</v>
      </c>
      <c r="EW216" s="1804">
        <v>0</v>
      </c>
      <c r="EX216" s="1804">
        <v>0</v>
      </c>
      <c r="EY216" s="1804">
        <v>0</v>
      </c>
      <c r="EZ216" s="1804">
        <v>0</v>
      </c>
      <c r="FA216" s="1804">
        <v>0</v>
      </c>
      <c r="FB216" s="1804">
        <v>0</v>
      </c>
      <c r="FC216" s="1804">
        <v>0</v>
      </c>
      <c r="FD216" s="1804">
        <v>0</v>
      </c>
      <c r="FE216" s="1804">
        <v>0</v>
      </c>
      <c r="FF216" s="1804">
        <v>0</v>
      </c>
      <c r="FG216" s="1804">
        <v>0</v>
      </c>
      <c r="FH216" s="1804">
        <v>0</v>
      </c>
      <c r="FI216" s="1804">
        <v>0</v>
      </c>
      <c r="FJ216" s="1804">
        <v>0</v>
      </c>
      <c r="FK216" s="1804">
        <v>0</v>
      </c>
      <c r="FL216" s="1804">
        <v>0</v>
      </c>
      <c r="FM216" s="1804">
        <v>0</v>
      </c>
      <c r="FN216" s="1804">
        <v>0</v>
      </c>
      <c r="FO216" s="1804">
        <v>0</v>
      </c>
      <c r="FP216" s="1804">
        <v>0</v>
      </c>
      <c r="FQ216" s="1804">
        <v>0</v>
      </c>
      <c r="FR216" s="1804">
        <v>0</v>
      </c>
      <c r="FS216" s="1804">
        <v>0</v>
      </c>
      <c r="FT216" s="1804">
        <v>0</v>
      </c>
      <c r="FU216" s="1804">
        <v>0</v>
      </c>
      <c r="FV216" s="1804">
        <v>0</v>
      </c>
      <c r="FW216" s="1804">
        <v>0</v>
      </c>
      <c r="FX216" s="1804">
        <v>0</v>
      </c>
      <c r="FY216" s="1804">
        <v>0</v>
      </c>
      <c r="FZ216" s="1804">
        <v>0</v>
      </c>
      <c r="GA216" s="1804">
        <v>0</v>
      </c>
      <c r="GB216" s="1804">
        <v>0</v>
      </c>
      <c r="GC216" s="1804">
        <v>0</v>
      </c>
      <c r="GD216" s="1804">
        <v>0</v>
      </c>
      <c r="GE216" s="1804">
        <v>0</v>
      </c>
      <c r="GF216" s="1804">
        <v>0</v>
      </c>
      <c r="GG216" s="1804">
        <v>0</v>
      </c>
      <c r="GH216" s="1804">
        <v>0</v>
      </c>
      <c r="GI216" s="1804">
        <v>0</v>
      </c>
      <c r="GJ216" s="1804">
        <v>0</v>
      </c>
      <c r="GK216" s="1804">
        <v>0</v>
      </c>
      <c r="GL216" s="1804">
        <v>0</v>
      </c>
      <c r="GM216" s="1804">
        <v>0</v>
      </c>
      <c r="GN216" s="1804">
        <v>0</v>
      </c>
      <c r="GO216" s="1804">
        <v>0</v>
      </c>
      <c r="GP216" s="1804">
        <v>0</v>
      </c>
      <c r="GQ216" s="1804">
        <v>0</v>
      </c>
      <c r="GR216" s="1804">
        <v>0</v>
      </c>
      <c r="GS216" s="1804">
        <v>0</v>
      </c>
      <c r="GT216" s="1804">
        <v>0</v>
      </c>
      <c r="GU216" s="1804">
        <v>0</v>
      </c>
      <c r="GV216" s="1804">
        <v>0</v>
      </c>
      <c r="GW216" s="1804">
        <v>0</v>
      </c>
      <c r="GX216" s="1804">
        <v>0</v>
      </c>
      <c r="GY216" s="1804">
        <v>0</v>
      </c>
      <c r="GZ216" s="1804">
        <v>0</v>
      </c>
      <c r="HA216" s="1804">
        <v>0</v>
      </c>
      <c r="HB216" s="1804">
        <v>0</v>
      </c>
      <c r="HC216" s="1804">
        <v>0</v>
      </c>
      <c r="HD216" s="1804">
        <v>0</v>
      </c>
      <c r="HE216" s="1804">
        <v>0</v>
      </c>
    </row>
    <row r="217" spans="1:356" ht="15" customHeight="1" thickBot="1" x14ac:dyDescent="0.25">
      <c r="A217" s="1964"/>
      <c r="B217" s="1989"/>
      <c r="C217" s="1703" t="s">
        <v>823</v>
      </c>
      <c r="D217" s="1887"/>
      <c r="E217" s="1984"/>
      <c r="F217" s="1838">
        <v>0</v>
      </c>
      <c r="G217" s="1804">
        <v>0</v>
      </c>
      <c r="H217" s="1804">
        <v>0</v>
      </c>
      <c r="I217" s="1804">
        <v>0</v>
      </c>
      <c r="J217" s="1804">
        <v>0</v>
      </c>
      <c r="K217" s="1804">
        <v>0</v>
      </c>
      <c r="L217" s="1804">
        <v>0</v>
      </c>
      <c r="M217" s="1804">
        <v>0</v>
      </c>
      <c r="N217" s="1804">
        <v>0</v>
      </c>
      <c r="O217" s="1804">
        <v>0</v>
      </c>
      <c r="P217" s="1804">
        <v>0</v>
      </c>
      <c r="Q217" s="1804">
        <v>0</v>
      </c>
      <c r="R217" s="1804">
        <v>0</v>
      </c>
      <c r="S217" s="1804">
        <v>0</v>
      </c>
      <c r="T217" s="1804">
        <v>0</v>
      </c>
      <c r="U217" s="1804">
        <v>0</v>
      </c>
      <c r="V217" s="1804">
        <v>0</v>
      </c>
      <c r="W217" s="1804">
        <v>0</v>
      </c>
      <c r="X217" s="1804">
        <v>0</v>
      </c>
      <c r="Y217" s="1804">
        <v>0</v>
      </c>
      <c r="Z217" s="1804">
        <v>0</v>
      </c>
      <c r="AA217" s="1804">
        <v>0</v>
      </c>
      <c r="AB217" s="1804">
        <v>0</v>
      </c>
      <c r="AC217" s="1804">
        <v>0</v>
      </c>
      <c r="AD217" s="1804">
        <v>0</v>
      </c>
      <c r="AE217" s="1804">
        <v>0</v>
      </c>
      <c r="AF217" s="1804">
        <v>0</v>
      </c>
      <c r="AG217" s="1804">
        <v>0</v>
      </c>
      <c r="AH217" s="1804">
        <v>0</v>
      </c>
      <c r="AI217" s="1804">
        <v>0</v>
      </c>
      <c r="AJ217" s="1804">
        <v>0</v>
      </c>
      <c r="AK217" s="1804">
        <v>0</v>
      </c>
      <c r="AL217" s="1804">
        <v>0</v>
      </c>
      <c r="AM217" s="1804">
        <v>0</v>
      </c>
      <c r="AN217" s="1804">
        <v>0</v>
      </c>
      <c r="AO217" s="1804">
        <v>0</v>
      </c>
      <c r="AP217" s="1804">
        <v>0</v>
      </c>
      <c r="AQ217" s="1804">
        <v>0</v>
      </c>
      <c r="AR217" s="1804">
        <v>0</v>
      </c>
      <c r="AS217" s="1804">
        <v>0</v>
      </c>
      <c r="AT217" s="1804">
        <v>0</v>
      </c>
      <c r="AU217" s="1804">
        <v>0</v>
      </c>
      <c r="AV217" s="1804">
        <v>0</v>
      </c>
      <c r="AW217" s="1804">
        <v>0</v>
      </c>
      <c r="AX217" s="1804">
        <v>0</v>
      </c>
      <c r="AY217" s="1804">
        <v>0</v>
      </c>
      <c r="AZ217" s="1804">
        <v>0</v>
      </c>
      <c r="BA217" s="1804">
        <v>0</v>
      </c>
      <c r="BB217" s="1804">
        <v>0</v>
      </c>
      <c r="BC217" s="1804">
        <v>0</v>
      </c>
      <c r="BD217" s="1804">
        <v>0</v>
      </c>
      <c r="BE217" s="1804">
        <v>0</v>
      </c>
      <c r="BF217" s="1804">
        <v>0</v>
      </c>
      <c r="BG217" s="1804">
        <v>0</v>
      </c>
      <c r="BH217" s="1804">
        <v>0</v>
      </c>
      <c r="BI217" s="1804">
        <v>0</v>
      </c>
      <c r="BJ217" s="1804">
        <v>0</v>
      </c>
      <c r="BK217" s="1804">
        <v>0</v>
      </c>
      <c r="BL217" s="1804">
        <v>0</v>
      </c>
      <c r="BM217" s="1804">
        <v>0</v>
      </c>
      <c r="BN217" s="1804">
        <v>0</v>
      </c>
      <c r="BO217" s="1804">
        <v>0</v>
      </c>
      <c r="BP217" s="1804">
        <v>0</v>
      </c>
      <c r="BQ217" s="1804">
        <v>0</v>
      </c>
      <c r="BR217" s="1804">
        <v>0</v>
      </c>
      <c r="BS217" s="1804">
        <v>0</v>
      </c>
      <c r="BT217" s="1804">
        <v>0</v>
      </c>
      <c r="BU217" s="1804">
        <v>0</v>
      </c>
      <c r="BV217" s="1804">
        <v>0</v>
      </c>
      <c r="BW217" s="1804">
        <v>0</v>
      </c>
      <c r="BX217" s="1804">
        <v>0</v>
      </c>
      <c r="BY217" s="1804">
        <v>0</v>
      </c>
      <c r="BZ217" s="1804">
        <v>0</v>
      </c>
      <c r="CA217" s="1804">
        <v>0</v>
      </c>
      <c r="CB217" s="1804">
        <v>0</v>
      </c>
      <c r="CC217" s="1804">
        <v>0</v>
      </c>
      <c r="CD217" s="1804">
        <v>0</v>
      </c>
      <c r="CE217" s="1804">
        <v>0</v>
      </c>
      <c r="CF217" s="1804">
        <v>0</v>
      </c>
      <c r="CG217" s="1804">
        <v>0</v>
      </c>
      <c r="CH217" s="1804">
        <v>0</v>
      </c>
      <c r="CI217" s="1804">
        <v>0</v>
      </c>
      <c r="CJ217" s="1804">
        <v>0</v>
      </c>
      <c r="CK217" s="1804">
        <v>0</v>
      </c>
      <c r="CL217" s="1804">
        <v>0</v>
      </c>
      <c r="CM217" s="1804">
        <v>0</v>
      </c>
      <c r="CN217" s="1804">
        <v>0</v>
      </c>
      <c r="CO217" s="1804">
        <v>0</v>
      </c>
      <c r="CP217" s="1804">
        <v>0</v>
      </c>
      <c r="CQ217" s="1804">
        <v>0</v>
      </c>
      <c r="CR217" s="1804">
        <v>0</v>
      </c>
      <c r="CS217" s="1804">
        <v>0</v>
      </c>
      <c r="CT217" s="1804">
        <v>0</v>
      </c>
      <c r="CU217" s="1804">
        <v>0</v>
      </c>
      <c r="CV217" s="1804">
        <v>0</v>
      </c>
      <c r="CW217" s="1804">
        <v>0</v>
      </c>
      <c r="CX217" s="1804">
        <v>0</v>
      </c>
      <c r="CY217" s="1804">
        <v>0</v>
      </c>
      <c r="CZ217" s="1804">
        <v>0</v>
      </c>
      <c r="DA217" s="1804">
        <v>0</v>
      </c>
      <c r="DB217" s="1804">
        <v>0</v>
      </c>
      <c r="DC217" s="1804">
        <v>0</v>
      </c>
      <c r="DD217" s="1804">
        <v>0</v>
      </c>
      <c r="DE217" s="1804">
        <v>0</v>
      </c>
      <c r="DF217" s="1804">
        <v>0</v>
      </c>
      <c r="DG217" s="1804">
        <v>0</v>
      </c>
      <c r="DH217" s="1804">
        <v>0</v>
      </c>
      <c r="DI217" s="1804">
        <v>0</v>
      </c>
      <c r="DJ217" s="1804">
        <v>0</v>
      </c>
      <c r="DK217" s="1804">
        <v>0</v>
      </c>
      <c r="DL217" s="1804">
        <v>0</v>
      </c>
      <c r="DM217" s="1804">
        <v>0</v>
      </c>
      <c r="DN217" s="1804">
        <v>0</v>
      </c>
      <c r="DO217" s="1804">
        <v>0</v>
      </c>
      <c r="DP217" s="1804">
        <v>0</v>
      </c>
      <c r="DQ217" s="1804">
        <v>0</v>
      </c>
      <c r="DR217" s="1804">
        <v>0</v>
      </c>
      <c r="DS217" s="1804">
        <v>0</v>
      </c>
      <c r="DT217" s="1804">
        <v>0</v>
      </c>
      <c r="DU217" s="1804">
        <v>0</v>
      </c>
      <c r="DV217" s="1804">
        <v>0</v>
      </c>
      <c r="DW217" s="1804">
        <v>0</v>
      </c>
      <c r="DX217" s="1804">
        <v>0</v>
      </c>
      <c r="DY217" s="1804">
        <v>0</v>
      </c>
      <c r="DZ217" s="1804">
        <v>0</v>
      </c>
      <c r="EA217" s="1804">
        <v>0</v>
      </c>
      <c r="EB217" s="1804">
        <v>0</v>
      </c>
      <c r="EC217" s="1804">
        <v>0</v>
      </c>
      <c r="ED217" s="1804">
        <v>0</v>
      </c>
      <c r="EE217" s="1804">
        <v>0</v>
      </c>
      <c r="EF217" s="1804">
        <v>0</v>
      </c>
      <c r="EG217" s="1804">
        <v>0</v>
      </c>
      <c r="EH217" s="1804">
        <v>0</v>
      </c>
      <c r="EI217" s="1804">
        <v>0</v>
      </c>
      <c r="EJ217" s="1804">
        <v>0</v>
      </c>
      <c r="EK217" s="1804">
        <v>0</v>
      </c>
      <c r="EL217" s="1804">
        <v>0</v>
      </c>
      <c r="EM217" s="1804">
        <v>0</v>
      </c>
      <c r="EN217" s="1804">
        <v>0</v>
      </c>
      <c r="EO217" s="1804">
        <v>0</v>
      </c>
      <c r="EP217" s="1804">
        <v>0</v>
      </c>
      <c r="EQ217" s="1804">
        <v>0</v>
      </c>
      <c r="ER217" s="1804">
        <v>0</v>
      </c>
      <c r="ES217" s="1804">
        <v>0</v>
      </c>
      <c r="ET217" s="1804">
        <v>0</v>
      </c>
      <c r="EU217" s="1804">
        <v>0</v>
      </c>
      <c r="EV217" s="1804">
        <v>0</v>
      </c>
      <c r="EW217" s="1804">
        <v>0</v>
      </c>
      <c r="EX217" s="1804">
        <v>0</v>
      </c>
      <c r="EY217" s="1804">
        <v>0</v>
      </c>
      <c r="EZ217" s="1804">
        <v>0</v>
      </c>
      <c r="FA217" s="1804">
        <v>0</v>
      </c>
      <c r="FB217" s="1804">
        <v>0</v>
      </c>
      <c r="FC217" s="1804">
        <v>0</v>
      </c>
      <c r="FD217" s="1804">
        <v>0</v>
      </c>
      <c r="FE217" s="1804">
        <v>0</v>
      </c>
      <c r="FF217" s="1804">
        <v>0</v>
      </c>
      <c r="FG217" s="1804">
        <v>0</v>
      </c>
      <c r="FH217" s="1804">
        <v>0</v>
      </c>
      <c r="FI217" s="1804">
        <v>0</v>
      </c>
      <c r="FJ217" s="1804">
        <v>0</v>
      </c>
      <c r="FK217" s="1804">
        <v>0</v>
      </c>
      <c r="FL217" s="1804">
        <v>0</v>
      </c>
      <c r="FM217" s="1804">
        <v>0</v>
      </c>
      <c r="FN217" s="1804">
        <v>0</v>
      </c>
      <c r="FO217" s="1804">
        <v>0</v>
      </c>
      <c r="FP217" s="1804">
        <v>0</v>
      </c>
      <c r="FQ217" s="1804">
        <v>0</v>
      </c>
      <c r="FR217" s="1804">
        <v>0</v>
      </c>
      <c r="FS217" s="1804">
        <v>0</v>
      </c>
      <c r="FT217" s="1804">
        <v>0</v>
      </c>
      <c r="FU217" s="1804">
        <v>0</v>
      </c>
      <c r="FV217" s="1804">
        <v>0</v>
      </c>
      <c r="FW217" s="1804">
        <v>0</v>
      </c>
      <c r="FX217" s="1804">
        <v>0</v>
      </c>
      <c r="FY217" s="1804">
        <v>0</v>
      </c>
      <c r="FZ217" s="1804">
        <v>0</v>
      </c>
      <c r="GA217" s="1804">
        <v>0</v>
      </c>
      <c r="GB217" s="1804">
        <v>0</v>
      </c>
      <c r="GC217" s="1804">
        <v>0</v>
      </c>
      <c r="GD217" s="1804">
        <v>0</v>
      </c>
      <c r="GE217" s="1804">
        <v>0</v>
      </c>
      <c r="GF217" s="1804">
        <v>0</v>
      </c>
      <c r="GG217" s="1804">
        <v>0</v>
      </c>
      <c r="GH217" s="1804">
        <v>0</v>
      </c>
      <c r="GI217" s="1804">
        <v>0</v>
      </c>
      <c r="GJ217" s="1804">
        <v>0</v>
      </c>
      <c r="GK217" s="1804">
        <v>0</v>
      </c>
      <c r="GL217" s="1804">
        <v>0</v>
      </c>
      <c r="GM217" s="1804">
        <v>0</v>
      </c>
      <c r="GN217" s="1804">
        <v>0</v>
      </c>
      <c r="GO217" s="1804">
        <v>0</v>
      </c>
      <c r="GP217" s="1804">
        <v>0</v>
      </c>
      <c r="GQ217" s="1804">
        <v>0</v>
      </c>
      <c r="GR217" s="1804">
        <v>0</v>
      </c>
      <c r="GS217" s="1804">
        <v>0</v>
      </c>
      <c r="GT217" s="1804">
        <v>0</v>
      </c>
      <c r="GU217" s="1804">
        <v>0</v>
      </c>
      <c r="GV217" s="1804">
        <v>0</v>
      </c>
      <c r="GW217" s="1804">
        <v>0</v>
      </c>
      <c r="GX217" s="1804">
        <v>0</v>
      </c>
      <c r="GY217" s="1804">
        <v>0</v>
      </c>
      <c r="GZ217" s="1804">
        <v>0</v>
      </c>
      <c r="HA217" s="1804">
        <v>0</v>
      </c>
      <c r="HB217" s="1804">
        <v>0</v>
      </c>
      <c r="HC217" s="1804">
        <v>0</v>
      </c>
      <c r="HD217" s="1804">
        <v>0</v>
      </c>
      <c r="HE217" s="1804">
        <v>0</v>
      </c>
    </row>
    <row r="218" spans="1:356" ht="21" customHeight="1" thickBot="1" x14ac:dyDescent="0.25">
      <c r="A218" s="1968" t="s">
        <v>50</v>
      </c>
      <c r="B218" s="1969" t="s">
        <v>965</v>
      </c>
      <c r="C218" s="1693" t="s">
        <v>1164</v>
      </c>
      <c r="D218" s="1880"/>
      <c r="E218" s="1984"/>
      <c r="F218" s="1865"/>
      <c r="G218" s="1866"/>
      <c r="H218" s="1866"/>
      <c r="I218" s="1866"/>
      <c r="J218" s="1866"/>
      <c r="K218" s="1866"/>
      <c r="L218" s="1866"/>
      <c r="M218" s="1866"/>
      <c r="N218" s="1866"/>
      <c r="O218" s="1866"/>
      <c r="P218" s="1866"/>
      <c r="Q218" s="1866"/>
      <c r="R218" s="1866"/>
      <c r="S218" s="1866"/>
      <c r="T218" s="1866"/>
      <c r="U218" s="1866"/>
      <c r="V218" s="1866"/>
      <c r="W218" s="1866"/>
      <c r="X218" s="1866"/>
      <c r="Y218" s="1866"/>
      <c r="Z218" s="1866"/>
      <c r="AA218" s="1866"/>
      <c r="AB218" s="1866"/>
      <c r="AC218" s="1866"/>
      <c r="AD218" s="1866"/>
      <c r="AE218" s="1866"/>
      <c r="AF218" s="1866"/>
      <c r="AG218" s="1866"/>
      <c r="AH218" s="1866"/>
      <c r="AI218" s="1866"/>
      <c r="AJ218" s="1866"/>
      <c r="AK218" s="1866"/>
      <c r="AL218" s="1866"/>
      <c r="AM218" s="1866"/>
      <c r="AN218" s="1866"/>
      <c r="AO218" s="1866"/>
      <c r="AP218" s="1866"/>
      <c r="AQ218" s="1866"/>
      <c r="AR218" s="1866"/>
      <c r="AS218" s="1866"/>
      <c r="AT218" s="1866"/>
      <c r="AU218" s="1866"/>
      <c r="AV218" s="1866"/>
      <c r="AW218" s="1866"/>
      <c r="AX218" s="1866"/>
      <c r="AY218" s="1866"/>
      <c r="AZ218" s="1866"/>
      <c r="BA218" s="1866"/>
      <c r="BB218" s="1866"/>
      <c r="BC218" s="1866"/>
      <c r="BD218" s="1866"/>
      <c r="BE218" s="1866"/>
      <c r="BF218" s="1866"/>
      <c r="BG218" s="1866"/>
      <c r="BH218" s="1866"/>
      <c r="BI218" s="1866"/>
      <c r="BJ218" s="1866"/>
      <c r="BK218" s="1866"/>
      <c r="BL218" s="1866"/>
      <c r="BM218" s="1866"/>
      <c r="BN218" s="1866"/>
      <c r="BO218" s="1866"/>
      <c r="BP218" s="1866"/>
      <c r="BQ218" s="1866"/>
      <c r="BR218" s="1866"/>
      <c r="BS218" s="1866"/>
      <c r="BT218" s="1866"/>
      <c r="BU218" s="1866"/>
      <c r="BV218" s="1866"/>
      <c r="BW218" s="1866"/>
      <c r="BX218" s="1866"/>
      <c r="BY218" s="1866"/>
      <c r="BZ218" s="1866"/>
      <c r="CA218" s="1866"/>
      <c r="CB218" s="1866"/>
      <c r="CC218" s="1866"/>
      <c r="CD218" s="1866"/>
      <c r="CE218" s="1866"/>
      <c r="CF218" s="1866"/>
      <c r="CG218" s="1866"/>
      <c r="CH218" s="1866"/>
      <c r="CI218" s="1866"/>
      <c r="CJ218" s="1866"/>
      <c r="CK218" s="1866"/>
      <c r="CL218" s="1866"/>
      <c r="CM218" s="1866"/>
      <c r="CN218" s="1866"/>
      <c r="CO218" s="1866"/>
      <c r="CP218" s="1866"/>
      <c r="CQ218" s="1866"/>
      <c r="CR218" s="1866"/>
      <c r="CS218" s="1866"/>
      <c r="CT218" s="1866"/>
      <c r="CU218" s="1866"/>
      <c r="CV218" s="1866"/>
      <c r="CW218" s="1866"/>
      <c r="CX218" s="1866"/>
      <c r="CY218" s="1866"/>
      <c r="CZ218" s="1866"/>
      <c r="DA218" s="1866"/>
      <c r="DB218" s="1866"/>
      <c r="DC218" s="1866"/>
      <c r="DD218" s="1866"/>
      <c r="DE218" s="1866"/>
      <c r="DF218" s="1866"/>
      <c r="DG218" s="1866"/>
      <c r="DH218" s="1866"/>
      <c r="DI218" s="1866"/>
      <c r="DJ218" s="1866"/>
      <c r="DK218" s="1866"/>
      <c r="DL218" s="1866"/>
      <c r="DM218" s="1866"/>
      <c r="DN218" s="1866"/>
      <c r="DO218" s="1866"/>
      <c r="DP218" s="1866"/>
      <c r="DQ218" s="1866"/>
      <c r="DR218" s="1866"/>
      <c r="DS218" s="1866"/>
      <c r="DT218" s="1866"/>
      <c r="DU218" s="1866"/>
      <c r="DV218" s="1866"/>
      <c r="DW218" s="1866"/>
      <c r="DX218" s="1866"/>
      <c r="DY218" s="1866"/>
      <c r="DZ218" s="1866"/>
      <c r="EA218" s="1866"/>
      <c r="EB218" s="1866"/>
      <c r="EC218" s="1866"/>
      <c r="ED218" s="1866"/>
      <c r="EE218" s="1866"/>
      <c r="EF218" s="1866"/>
      <c r="EG218" s="1866"/>
      <c r="EH218" s="1866"/>
      <c r="EI218" s="1866"/>
      <c r="EJ218" s="1866"/>
      <c r="EK218" s="1866"/>
      <c r="EL218" s="1866"/>
      <c r="EM218" s="1866"/>
      <c r="EN218" s="1866"/>
      <c r="EO218" s="1866"/>
      <c r="EP218" s="1866"/>
      <c r="EQ218" s="1866"/>
      <c r="ER218" s="1866"/>
      <c r="ES218" s="1866"/>
      <c r="ET218" s="1866"/>
      <c r="EU218" s="1866"/>
      <c r="EV218" s="1866"/>
      <c r="EW218" s="1866"/>
      <c r="EX218" s="1866"/>
      <c r="EY218" s="1866"/>
      <c r="EZ218" s="1866"/>
      <c r="FA218" s="1866"/>
      <c r="FB218" s="1866"/>
      <c r="FC218" s="1866"/>
      <c r="FD218" s="1866"/>
      <c r="FE218" s="1866"/>
      <c r="FF218" s="1866"/>
      <c r="FG218" s="1866"/>
      <c r="FH218" s="1866"/>
      <c r="FI218" s="1866"/>
      <c r="FJ218" s="1866"/>
      <c r="FK218" s="1866"/>
      <c r="FL218" s="1866"/>
      <c r="FM218" s="1866"/>
      <c r="FN218" s="1866"/>
      <c r="FO218" s="1866"/>
      <c r="FP218" s="1866"/>
      <c r="FQ218" s="1866"/>
      <c r="FR218" s="1866"/>
      <c r="FS218" s="1866"/>
      <c r="FT218" s="1866"/>
      <c r="FU218" s="1866"/>
      <c r="FV218" s="1866"/>
      <c r="FW218" s="1866"/>
      <c r="FX218" s="1866"/>
      <c r="FY218" s="1866"/>
      <c r="FZ218" s="1866"/>
      <c r="GA218" s="1866"/>
      <c r="GB218" s="1866"/>
      <c r="GC218" s="1866"/>
      <c r="GD218" s="1866"/>
      <c r="GE218" s="1866"/>
      <c r="GF218" s="1866"/>
      <c r="GG218" s="1866"/>
      <c r="GH218" s="1866"/>
      <c r="GI218" s="1866"/>
      <c r="GJ218" s="1866"/>
      <c r="GK218" s="1866"/>
      <c r="GL218" s="1866"/>
      <c r="GM218" s="1866"/>
      <c r="GN218" s="1866"/>
      <c r="GO218" s="1866"/>
      <c r="GP218" s="1866"/>
      <c r="GQ218" s="1866"/>
      <c r="GR218" s="1866"/>
      <c r="GS218" s="1866"/>
      <c r="GT218" s="1866"/>
      <c r="GU218" s="1866"/>
      <c r="GV218" s="1866"/>
      <c r="GW218" s="1866"/>
      <c r="GX218" s="1866"/>
      <c r="GY218" s="1866"/>
      <c r="GZ218" s="1866"/>
      <c r="HA218" s="1866"/>
      <c r="HB218" s="1866"/>
      <c r="HC218" s="1866"/>
      <c r="HD218" s="1866"/>
      <c r="HE218" s="1866"/>
    </row>
    <row r="219" spans="1:356" ht="15" customHeight="1" x14ac:dyDescent="0.2">
      <c r="A219" s="1966"/>
      <c r="B219" s="1970"/>
      <c r="C219" s="1707" t="s">
        <v>1375</v>
      </c>
      <c r="D219" s="1883"/>
      <c r="E219" s="1984"/>
      <c r="F219" s="1838">
        <v>0</v>
      </c>
      <c r="G219" s="1804">
        <v>0</v>
      </c>
      <c r="H219" s="1804">
        <v>0</v>
      </c>
      <c r="I219" s="1804">
        <v>0</v>
      </c>
      <c r="J219" s="1804">
        <v>0</v>
      </c>
      <c r="K219" s="1804">
        <v>0</v>
      </c>
      <c r="L219" s="1804">
        <v>0</v>
      </c>
      <c r="M219" s="1804">
        <v>0</v>
      </c>
      <c r="N219" s="1804">
        <v>0</v>
      </c>
      <c r="O219" s="1804">
        <v>0</v>
      </c>
      <c r="P219" s="1804">
        <v>0</v>
      </c>
      <c r="Q219" s="1804">
        <v>0</v>
      </c>
      <c r="R219" s="1804">
        <v>0</v>
      </c>
      <c r="S219" s="1804">
        <v>0</v>
      </c>
      <c r="T219" s="1804">
        <v>0</v>
      </c>
      <c r="U219" s="1804">
        <v>0</v>
      </c>
      <c r="V219" s="1804">
        <v>0</v>
      </c>
      <c r="W219" s="1804">
        <v>0</v>
      </c>
      <c r="X219" s="1804">
        <v>0</v>
      </c>
      <c r="Y219" s="1804">
        <v>0</v>
      </c>
      <c r="Z219" s="1804">
        <v>0</v>
      </c>
      <c r="AA219" s="1804">
        <v>0</v>
      </c>
      <c r="AB219" s="1804">
        <v>0</v>
      </c>
      <c r="AC219" s="1804">
        <v>0</v>
      </c>
      <c r="AD219" s="1804">
        <v>0</v>
      </c>
      <c r="AE219" s="1804">
        <v>0</v>
      </c>
      <c r="AF219" s="1804">
        <v>0</v>
      </c>
      <c r="AG219" s="1804">
        <v>0</v>
      </c>
      <c r="AH219" s="1804">
        <v>0</v>
      </c>
      <c r="AI219" s="1804">
        <v>0</v>
      </c>
      <c r="AJ219" s="1804">
        <v>0</v>
      </c>
      <c r="AK219" s="1804">
        <v>0</v>
      </c>
      <c r="AL219" s="1804">
        <v>0</v>
      </c>
      <c r="AM219" s="1804">
        <v>0</v>
      </c>
      <c r="AN219" s="1804">
        <v>0</v>
      </c>
      <c r="AO219" s="1804">
        <v>0</v>
      </c>
      <c r="AP219" s="1804">
        <v>0</v>
      </c>
      <c r="AQ219" s="1804">
        <v>0</v>
      </c>
      <c r="AR219" s="1804">
        <v>0</v>
      </c>
      <c r="AS219" s="1804">
        <v>0</v>
      </c>
      <c r="AT219" s="1804">
        <v>0</v>
      </c>
      <c r="AU219" s="1804">
        <v>0</v>
      </c>
      <c r="AV219" s="1804">
        <v>0</v>
      </c>
      <c r="AW219" s="1804">
        <v>0</v>
      </c>
      <c r="AX219" s="1804">
        <v>0</v>
      </c>
      <c r="AY219" s="1804">
        <v>0</v>
      </c>
      <c r="AZ219" s="1804">
        <v>0</v>
      </c>
      <c r="BA219" s="1804">
        <v>0</v>
      </c>
      <c r="BB219" s="1804">
        <v>0</v>
      </c>
      <c r="BC219" s="1804">
        <v>0</v>
      </c>
      <c r="BD219" s="1804">
        <v>0</v>
      </c>
      <c r="BE219" s="1804">
        <v>0</v>
      </c>
      <c r="BF219" s="1804">
        <v>0</v>
      </c>
      <c r="BG219" s="1804">
        <v>0</v>
      </c>
      <c r="BH219" s="1804">
        <v>0</v>
      </c>
      <c r="BI219" s="1804">
        <v>0</v>
      </c>
      <c r="BJ219" s="1804">
        <v>0</v>
      </c>
      <c r="BK219" s="1804">
        <v>0</v>
      </c>
      <c r="BL219" s="1804">
        <v>0</v>
      </c>
      <c r="BM219" s="1804">
        <v>0</v>
      </c>
      <c r="BN219" s="1804">
        <v>0</v>
      </c>
      <c r="BO219" s="1804">
        <v>0</v>
      </c>
      <c r="BP219" s="1804">
        <v>0</v>
      </c>
      <c r="BQ219" s="1804">
        <v>0</v>
      </c>
      <c r="BR219" s="1804">
        <v>0</v>
      </c>
      <c r="BS219" s="1804">
        <v>0</v>
      </c>
      <c r="BT219" s="1804">
        <v>0</v>
      </c>
      <c r="BU219" s="1804">
        <v>0</v>
      </c>
      <c r="BV219" s="1804">
        <v>0</v>
      </c>
      <c r="BW219" s="1804">
        <v>0</v>
      </c>
      <c r="BX219" s="1804">
        <v>0</v>
      </c>
      <c r="BY219" s="1804">
        <v>0</v>
      </c>
      <c r="BZ219" s="1804">
        <v>0</v>
      </c>
      <c r="CA219" s="1804">
        <v>0</v>
      </c>
      <c r="CB219" s="1804">
        <v>0</v>
      </c>
      <c r="CC219" s="1804">
        <v>0</v>
      </c>
      <c r="CD219" s="1804">
        <v>0</v>
      </c>
      <c r="CE219" s="1804">
        <v>0</v>
      </c>
      <c r="CF219" s="1804">
        <v>0</v>
      </c>
      <c r="CG219" s="1804">
        <v>0</v>
      </c>
      <c r="CH219" s="1804">
        <v>0</v>
      </c>
      <c r="CI219" s="1804">
        <v>0</v>
      </c>
      <c r="CJ219" s="1804">
        <v>0</v>
      </c>
      <c r="CK219" s="1804">
        <v>0</v>
      </c>
      <c r="CL219" s="1804">
        <v>0</v>
      </c>
      <c r="CM219" s="1804">
        <v>0</v>
      </c>
      <c r="CN219" s="1804">
        <v>0</v>
      </c>
      <c r="CO219" s="1804">
        <v>0</v>
      </c>
      <c r="CP219" s="1804">
        <v>0</v>
      </c>
      <c r="CQ219" s="1804">
        <v>0</v>
      </c>
      <c r="CR219" s="1804">
        <v>0</v>
      </c>
      <c r="CS219" s="1804">
        <v>0</v>
      </c>
      <c r="CT219" s="1804">
        <v>0</v>
      </c>
      <c r="CU219" s="1804">
        <v>0</v>
      </c>
      <c r="CV219" s="1804">
        <v>0</v>
      </c>
      <c r="CW219" s="1804">
        <v>0</v>
      </c>
      <c r="CX219" s="1804">
        <v>0</v>
      </c>
      <c r="CY219" s="1804">
        <v>0</v>
      </c>
      <c r="CZ219" s="1804">
        <v>0</v>
      </c>
      <c r="DA219" s="1804">
        <v>0</v>
      </c>
      <c r="DB219" s="1804">
        <v>0</v>
      </c>
      <c r="DC219" s="1804">
        <v>0</v>
      </c>
      <c r="DD219" s="1804">
        <v>0</v>
      </c>
      <c r="DE219" s="1804">
        <v>0</v>
      </c>
      <c r="DF219" s="1804">
        <v>0</v>
      </c>
      <c r="DG219" s="1804">
        <v>0</v>
      </c>
      <c r="DH219" s="1804">
        <v>0</v>
      </c>
      <c r="DI219" s="1804">
        <v>0</v>
      </c>
      <c r="DJ219" s="1804">
        <v>0</v>
      </c>
      <c r="DK219" s="1804">
        <v>0</v>
      </c>
      <c r="DL219" s="1804">
        <v>0</v>
      </c>
      <c r="DM219" s="1804">
        <v>0</v>
      </c>
      <c r="DN219" s="1804">
        <v>0</v>
      </c>
      <c r="DO219" s="1804">
        <v>0</v>
      </c>
      <c r="DP219" s="1804">
        <v>0</v>
      </c>
      <c r="DQ219" s="1804">
        <v>0</v>
      </c>
      <c r="DR219" s="1804">
        <v>0</v>
      </c>
      <c r="DS219" s="1804">
        <v>0</v>
      </c>
      <c r="DT219" s="1804">
        <v>0</v>
      </c>
      <c r="DU219" s="1804">
        <v>0</v>
      </c>
      <c r="DV219" s="1804">
        <v>0</v>
      </c>
      <c r="DW219" s="1804">
        <v>0</v>
      </c>
      <c r="DX219" s="1804">
        <v>0</v>
      </c>
      <c r="DY219" s="1804">
        <v>0</v>
      </c>
      <c r="DZ219" s="1804">
        <v>0</v>
      </c>
      <c r="EA219" s="1804">
        <v>0</v>
      </c>
      <c r="EB219" s="1804">
        <v>0</v>
      </c>
      <c r="EC219" s="1804">
        <v>0</v>
      </c>
      <c r="ED219" s="1804">
        <v>0</v>
      </c>
      <c r="EE219" s="1804">
        <v>0</v>
      </c>
      <c r="EF219" s="1804">
        <v>0</v>
      </c>
      <c r="EG219" s="1804">
        <v>0</v>
      </c>
      <c r="EH219" s="1804">
        <v>0</v>
      </c>
      <c r="EI219" s="1804">
        <v>0</v>
      </c>
      <c r="EJ219" s="1804">
        <v>0</v>
      </c>
      <c r="EK219" s="1804">
        <v>0</v>
      </c>
      <c r="EL219" s="1804">
        <v>0</v>
      </c>
      <c r="EM219" s="1804">
        <v>0</v>
      </c>
      <c r="EN219" s="1804">
        <v>0</v>
      </c>
      <c r="EO219" s="1804">
        <v>0</v>
      </c>
      <c r="EP219" s="1804">
        <v>0</v>
      </c>
      <c r="EQ219" s="1804">
        <v>0</v>
      </c>
      <c r="ER219" s="1804">
        <v>0</v>
      </c>
      <c r="ES219" s="1804">
        <v>0</v>
      </c>
      <c r="ET219" s="1804">
        <v>0</v>
      </c>
      <c r="EU219" s="1804">
        <v>0</v>
      </c>
      <c r="EV219" s="1804">
        <v>0</v>
      </c>
      <c r="EW219" s="1804">
        <v>0</v>
      </c>
      <c r="EX219" s="1804">
        <v>0</v>
      </c>
      <c r="EY219" s="1804">
        <v>0</v>
      </c>
      <c r="EZ219" s="1804">
        <v>0</v>
      </c>
      <c r="FA219" s="1804">
        <v>0</v>
      </c>
      <c r="FB219" s="1804">
        <v>0</v>
      </c>
      <c r="FC219" s="1804">
        <v>0</v>
      </c>
      <c r="FD219" s="1804">
        <v>0</v>
      </c>
      <c r="FE219" s="1804">
        <v>0</v>
      </c>
      <c r="FF219" s="1804">
        <v>0</v>
      </c>
      <c r="FG219" s="1804">
        <v>0</v>
      </c>
      <c r="FH219" s="1804">
        <v>0</v>
      </c>
      <c r="FI219" s="1804">
        <v>0</v>
      </c>
      <c r="FJ219" s="1804">
        <v>0</v>
      </c>
      <c r="FK219" s="1804">
        <v>0</v>
      </c>
      <c r="FL219" s="1804">
        <v>0</v>
      </c>
      <c r="FM219" s="1804">
        <v>0</v>
      </c>
      <c r="FN219" s="1804">
        <v>0</v>
      </c>
      <c r="FO219" s="1804">
        <v>0</v>
      </c>
      <c r="FP219" s="1804">
        <v>0</v>
      </c>
      <c r="FQ219" s="1804">
        <v>0</v>
      </c>
      <c r="FR219" s="1804">
        <v>0</v>
      </c>
      <c r="FS219" s="1804">
        <v>0</v>
      </c>
      <c r="FT219" s="1804">
        <v>0</v>
      </c>
      <c r="FU219" s="1804">
        <v>0</v>
      </c>
      <c r="FV219" s="1804">
        <v>0</v>
      </c>
      <c r="FW219" s="1804">
        <v>0</v>
      </c>
      <c r="FX219" s="1804">
        <v>0</v>
      </c>
      <c r="FY219" s="1804">
        <v>0</v>
      </c>
      <c r="FZ219" s="1804">
        <v>0</v>
      </c>
      <c r="GA219" s="1804">
        <v>0</v>
      </c>
      <c r="GB219" s="1804">
        <v>0</v>
      </c>
      <c r="GC219" s="1804">
        <v>0</v>
      </c>
      <c r="GD219" s="1804">
        <v>0</v>
      </c>
      <c r="GE219" s="1804">
        <v>0</v>
      </c>
      <c r="GF219" s="1804">
        <v>0</v>
      </c>
      <c r="GG219" s="1804">
        <v>0</v>
      </c>
      <c r="GH219" s="1804">
        <v>0</v>
      </c>
      <c r="GI219" s="1804">
        <v>0</v>
      </c>
      <c r="GJ219" s="1804">
        <v>0</v>
      </c>
      <c r="GK219" s="1804">
        <v>0</v>
      </c>
      <c r="GL219" s="1804">
        <v>0</v>
      </c>
      <c r="GM219" s="1804">
        <v>0</v>
      </c>
      <c r="GN219" s="1804">
        <v>0</v>
      </c>
      <c r="GO219" s="1804">
        <v>0</v>
      </c>
      <c r="GP219" s="1804">
        <v>0</v>
      </c>
      <c r="GQ219" s="1804">
        <v>0</v>
      </c>
      <c r="GR219" s="1804">
        <v>0</v>
      </c>
      <c r="GS219" s="1804">
        <v>0</v>
      </c>
      <c r="GT219" s="1804">
        <v>0</v>
      </c>
      <c r="GU219" s="1804">
        <v>0</v>
      </c>
      <c r="GV219" s="1804">
        <v>0</v>
      </c>
      <c r="GW219" s="1804">
        <v>0</v>
      </c>
      <c r="GX219" s="1804">
        <v>0</v>
      </c>
      <c r="GY219" s="1804">
        <v>0</v>
      </c>
      <c r="GZ219" s="1804">
        <v>0</v>
      </c>
      <c r="HA219" s="1804">
        <v>0</v>
      </c>
      <c r="HB219" s="1804">
        <v>0</v>
      </c>
      <c r="HC219" s="1804">
        <v>0</v>
      </c>
      <c r="HD219" s="1804">
        <v>0</v>
      </c>
      <c r="HE219" s="1804">
        <v>0</v>
      </c>
    </row>
    <row r="220" spans="1:356" ht="15" customHeight="1" x14ac:dyDescent="0.2">
      <c r="A220" s="1966"/>
      <c r="B220" s="1970"/>
      <c r="C220" s="1816" t="s">
        <v>966</v>
      </c>
      <c r="D220" s="1883"/>
      <c r="E220" s="1984"/>
      <c r="F220" s="1838">
        <v>0</v>
      </c>
      <c r="G220" s="1804">
        <v>0</v>
      </c>
      <c r="H220" s="1804">
        <v>0</v>
      </c>
      <c r="I220" s="1804">
        <v>0</v>
      </c>
      <c r="J220" s="1804">
        <v>0</v>
      </c>
      <c r="K220" s="1804">
        <v>0</v>
      </c>
      <c r="L220" s="1804">
        <v>0</v>
      </c>
      <c r="M220" s="1804">
        <v>0</v>
      </c>
      <c r="N220" s="1804">
        <v>0</v>
      </c>
      <c r="O220" s="1804">
        <v>0</v>
      </c>
      <c r="P220" s="1804">
        <v>0</v>
      </c>
      <c r="Q220" s="1804">
        <v>0</v>
      </c>
      <c r="R220" s="1804">
        <v>0</v>
      </c>
      <c r="S220" s="1804">
        <v>0</v>
      </c>
      <c r="T220" s="1804">
        <v>0</v>
      </c>
      <c r="U220" s="1804">
        <v>0</v>
      </c>
      <c r="V220" s="1804">
        <v>0</v>
      </c>
      <c r="W220" s="1804">
        <v>0</v>
      </c>
      <c r="X220" s="1804">
        <v>0</v>
      </c>
      <c r="Y220" s="1804">
        <v>0</v>
      </c>
      <c r="Z220" s="1804">
        <v>0</v>
      </c>
      <c r="AA220" s="1804">
        <v>0</v>
      </c>
      <c r="AB220" s="1804">
        <v>0</v>
      </c>
      <c r="AC220" s="1804">
        <v>0</v>
      </c>
      <c r="AD220" s="1804">
        <v>0</v>
      </c>
      <c r="AE220" s="1804">
        <v>0</v>
      </c>
      <c r="AF220" s="1804">
        <v>0</v>
      </c>
      <c r="AG220" s="1804">
        <v>0</v>
      </c>
      <c r="AH220" s="1804">
        <v>0</v>
      </c>
      <c r="AI220" s="1804">
        <v>0</v>
      </c>
      <c r="AJ220" s="1804">
        <v>0</v>
      </c>
      <c r="AK220" s="1804">
        <v>0</v>
      </c>
      <c r="AL220" s="1804">
        <v>0</v>
      </c>
      <c r="AM220" s="1804">
        <v>0</v>
      </c>
      <c r="AN220" s="1804">
        <v>0</v>
      </c>
      <c r="AO220" s="1804">
        <v>0</v>
      </c>
      <c r="AP220" s="1804">
        <v>0</v>
      </c>
      <c r="AQ220" s="1804">
        <v>0</v>
      </c>
      <c r="AR220" s="1804">
        <v>0</v>
      </c>
      <c r="AS220" s="1804">
        <v>0</v>
      </c>
      <c r="AT220" s="1804">
        <v>0</v>
      </c>
      <c r="AU220" s="1804">
        <v>0</v>
      </c>
      <c r="AV220" s="1804">
        <v>0</v>
      </c>
      <c r="AW220" s="1804">
        <v>0</v>
      </c>
      <c r="AX220" s="1804">
        <v>0</v>
      </c>
      <c r="AY220" s="1804">
        <v>0</v>
      </c>
      <c r="AZ220" s="1804">
        <v>0</v>
      </c>
      <c r="BA220" s="1804">
        <v>0</v>
      </c>
      <c r="BB220" s="1804">
        <v>0</v>
      </c>
      <c r="BC220" s="1804">
        <v>0</v>
      </c>
      <c r="BD220" s="1804">
        <v>0</v>
      </c>
      <c r="BE220" s="1804">
        <v>0</v>
      </c>
      <c r="BF220" s="1804">
        <v>0</v>
      </c>
      <c r="BG220" s="1804">
        <v>0</v>
      </c>
      <c r="BH220" s="1804">
        <v>0</v>
      </c>
      <c r="BI220" s="1804">
        <v>0</v>
      </c>
      <c r="BJ220" s="1804">
        <v>0</v>
      </c>
      <c r="BK220" s="1804">
        <v>0</v>
      </c>
      <c r="BL220" s="1804">
        <v>0</v>
      </c>
      <c r="BM220" s="1804">
        <v>0</v>
      </c>
      <c r="BN220" s="1804">
        <v>0</v>
      </c>
      <c r="BO220" s="1804">
        <v>0</v>
      </c>
      <c r="BP220" s="1804">
        <v>0</v>
      </c>
      <c r="BQ220" s="1804">
        <v>0</v>
      </c>
      <c r="BR220" s="1804">
        <v>0</v>
      </c>
      <c r="BS220" s="1804">
        <v>0</v>
      </c>
      <c r="BT220" s="1804">
        <v>0</v>
      </c>
      <c r="BU220" s="1804">
        <v>0</v>
      </c>
      <c r="BV220" s="1804">
        <v>0</v>
      </c>
      <c r="BW220" s="1804">
        <v>0</v>
      </c>
      <c r="BX220" s="1804">
        <v>0</v>
      </c>
      <c r="BY220" s="1804">
        <v>0</v>
      </c>
      <c r="BZ220" s="1804">
        <v>0</v>
      </c>
      <c r="CA220" s="1804">
        <v>0</v>
      </c>
      <c r="CB220" s="1804">
        <v>0</v>
      </c>
      <c r="CC220" s="1804">
        <v>0</v>
      </c>
      <c r="CD220" s="1804">
        <v>0</v>
      </c>
      <c r="CE220" s="1804">
        <v>0</v>
      </c>
      <c r="CF220" s="1804">
        <v>0</v>
      </c>
      <c r="CG220" s="1804">
        <v>0</v>
      </c>
      <c r="CH220" s="1804">
        <v>0</v>
      </c>
      <c r="CI220" s="1804">
        <v>0</v>
      </c>
      <c r="CJ220" s="1804">
        <v>0</v>
      </c>
      <c r="CK220" s="1804">
        <v>0</v>
      </c>
      <c r="CL220" s="1804">
        <v>0</v>
      </c>
      <c r="CM220" s="1804">
        <v>0</v>
      </c>
      <c r="CN220" s="1804">
        <v>0</v>
      </c>
      <c r="CO220" s="1804">
        <v>0</v>
      </c>
      <c r="CP220" s="1804">
        <v>0</v>
      </c>
      <c r="CQ220" s="1804">
        <v>0</v>
      </c>
      <c r="CR220" s="1804">
        <v>0</v>
      </c>
      <c r="CS220" s="1804">
        <v>0</v>
      </c>
      <c r="CT220" s="1804">
        <v>0</v>
      </c>
      <c r="CU220" s="1804">
        <v>0</v>
      </c>
      <c r="CV220" s="1804">
        <v>0</v>
      </c>
      <c r="CW220" s="1804">
        <v>0</v>
      </c>
      <c r="CX220" s="1804">
        <v>0</v>
      </c>
      <c r="CY220" s="1804">
        <v>0</v>
      </c>
      <c r="CZ220" s="1804">
        <v>0</v>
      </c>
      <c r="DA220" s="1804">
        <v>0</v>
      </c>
      <c r="DB220" s="1804">
        <v>0</v>
      </c>
      <c r="DC220" s="1804">
        <v>0</v>
      </c>
      <c r="DD220" s="1804">
        <v>0</v>
      </c>
      <c r="DE220" s="1804">
        <v>0</v>
      </c>
      <c r="DF220" s="1804">
        <v>0</v>
      </c>
      <c r="DG220" s="1804">
        <v>0</v>
      </c>
      <c r="DH220" s="1804">
        <v>0</v>
      </c>
      <c r="DI220" s="1804">
        <v>0</v>
      </c>
      <c r="DJ220" s="1804">
        <v>0</v>
      </c>
      <c r="DK220" s="1804">
        <v>0</v>
      </c>
      <c r="DL220" s="1804">
        <v>0</v>
      </c>
      <c r="DM220" s="1804">
        <v>0</v>
      </c>
      <c r="DN220" s="1804">
        <v>0</v>
      </c>
      <c r="DO220" s="1804">
        <v>0</v>
      </c>
      <c r="DP220" s="1804">
        <v>0</v>
      </c>
      <c r="DQ220" s="1804">
        <v>0</v>
      </c>
      <c r="DR220" s="1804">
        <v>0</v>
      </c>
      <c r="DS220" s="1804">
        <v>0</v>
      </c>
      <c r="DT220" s="1804">
        <v>0</v>
      </c>
      <c r="DU220" s="1804">
        <v>0</v>
      </c>
      <c r="DV220" s="1804">
        <v>0</v>
      </c>
      <c r="DW220" s="1804">
        <v>0</v>
      </c>
      <c r="DX220" s="1804">
        <v>0</v>
      </c>
      <c r="DY220" s="1804">
        <v>0</v>
      </c>
      <c r="DZ220" s="1804">
        <v>0</v>
      </c>
      <c r="EA220" s="1804">
        <v>0</v>
      </c>
      <c r="EB220" s="1804">
        <v>0</v>
      </c>
      <c r="EC220" s="1804">
        <v>0</v>
      </c>
      <c r="ED220" s="1804">
        <v>0</v>
      </c>
      <c r="EE220" s="1804">
        <v>0</v>
      </c>
      <c r="EF220" s="1804">
        <v>0</v>
      </c>
      <c r="EG220" s="1804">
        <v>0</v>
      </c>
      <c r="EH220" s="1804">
        <v>0</v>
      </c>
      <c r="EI220" s="1804">
        <v>0</v>
      </c>
      <c r="EJ220" s="1804">
        <v>0</v>
      </c>
      <c r="EK220" s="1804">
        <v>0</v>
      </c>
      <c r="EL220" s="1804">
        <v>0</v>
      </c>
      <c r="EM220" s="1804">
        <v>0</v>
      </c>
      <c r="EN220" s="1804">
        <v>0</v>
      </c>
      <c r="EO220" s="1804">
        <v>0</v>
      </c>
      <c r="EP220" s="1804">
        <v>0</v>
      </c>
      <c r="EQ220" s="1804">
        <v>0</v>
      </c>
      <c r="ER220" s="1804">
        <v>0</v>
      </c>
      <c r="ES220" s="1804">
        <v>0</v>
      </c>
      <c r="ET220" s="1804">
        <v>0</v>
      </c>
      <c r="EU220" s="1804">
        <v>0</v>
      </c>
      <c r="EV220" s="1804">
        <v>0</v>
      </c>
      <c r="EW220" s="1804">
        <v>0</v>
      </c>
      <c r="EX220" s="1804">
        <v>0</v>
      </c>
      <c r="EY220" s="1804">
        <v>0</v>
      </c>
      <c r="EZ220" s="1804">
        <v>0</v>
      </c>
      <c r="FA220" s="1804">
        <v>0</v>
      </c>
      <c r="FB220" s="1804">
        <v>0</v>
      </c>
      <c r="FC220" s="1804">
        <v>0</v>
      </c>
      <c r="FD220" s="1804">
        <v>0</v>
      </c>
      <c r="FE220" s="1804">
        <v>0</v>
      </c>
      <c r="FF220" s="1804">
        <v>0</v>
      </c>
      <c r="FG220" s="1804">
        <v>0</v>
      </c>
      <c r="FH220" s="1804">
        <v>0</v>
      </c>
      <c r="FI220" s="1804">
        <v>0</v>
      </c>
      <c r="FJ220" s="1804">
        <v>0</v>
      </c>
      <c r="FK220" s="1804">
        <v>0</v>
      </c>
      <c r="FL220" s="1804">
        <v>0</v>
      </c>
      <c r="FM220" s="1804">
        <v>0</v>
      </c>
      <c r="FN220" s="1804">
        <v>0</v>
      </c>
      <c r="FO220" s="1804">
        <v>0</v>
      </c>
      <c r="FP220" s="1804">
        <v>0</v>
      </c>
      <c r="FQ220" s="1804">
        <v>0</v>
      </c>
      <c r="FR220" s="1804">
        <v>0</v>
      </c>
      <c r="FS220" s="1804">
        <v>0</v>
      </c>
      <c r="FT220" s="1804">
        <v>0</v>
      </c>
      <c r="FU220" s="1804">
        <v>0</v>
      </c>
      <c r="FV220" s="1804">
        <v>0</v>
      </c>
      <c r="FW220" s="1804">
        <v>0</v>
      </c>
      <c r="FX220" s="1804">
        <v>0</v>
      </c>
      <c r="FY220" s="1804">
        <v>0</v>
      </c>
      <c r="FZ220" s="1804">
        <v>0</v>
      </c>
      <c r="GA220" s="1804">
        <v>0</v>
      </c>
      <c r="GB220" s="1804">
        <v>0</v>
      </c>
      <c r="GC220" s="1804">
        <v>0</v>
      </c>
      <c r="GD220" s="1804">
        <v>0</v>
      </c>
      <c r="GE220" s="1804">
        <v>0</v>
      </c>
      <c r="GF220" s="1804">
        <v>0</v>
      </c>
      <c r="GG220" s="1804">
        <v>0</v>
      </c>
      <c r="GH220" s="1804">
        <v>0</v>
      </c>
      <c r="GI220" s="1804">
        <v>0</v>
      </c>
      <c r="GJ220" s="1804">
        <v>0</v>
      </c>
      <c r="GK220" s="1804">
        <v>0</v>
      </c>
      <c r="GL220" s="1804">
        <v>0</v>
      </c>
      <c r="GM220" s="1804">
        <v>0</v>
      </c>
      <c r="GN220" s="1804">
        <v>0</v>
      </c>
      <c r="GO220" s="1804">
        <v>0</v>
      </c>
      <c r="GP220" s="1804">
        <v>0</v>
      </c>
      <c r="GQ220" s="1804">
        <v>0</v>
      </c>
      <c r="GR220" s="1804">
        <v>0</v>
      </c>
      <c r="GS220" s="1804">
        <v>0</v>
      </c>
      <c r="GT220" s="1804">
        <v>0</v>
      </c>
      <c r="GU220" s="1804">
        <v>0</v>
      </c>
      <c r="GV220" s="1804">
        <v>0</v>
      </c>
      <c r="GW220" s="1804">
        <v>0</v>
      </c>
      <c r="GX220" s="1804">
        <v>0</v>
      </c>
      <c r="GY220" s="1804">
        <v>0</v>
      </c>
      <c r="GZ220" s="1804">
        <v>0</v>
      </c>
      <c r="HA220" s="1804">
        <v>0</v>
      </c>
      <c r="HB220" s="1804">
        <v>0</v>
      </c>
      <c r="HC220" s="1804">
        <v>0</v>
      </c>
      <c r="HD220" s="1804">
        <v>0</v>
      </c>
      <c r="HE220" s="1804">
        <v>0</v>
      </c>
    </row>
    <row r="221" spans="1:356" ht="15" customHeight="1" x14ac:dyDescent="0.2">
      <c r="A221" s="1966"/>
      <c r="B221" s="1970"/>
      <c r="C221" s="1816" t="s">
        <v>967</v>
      </c>
      <c r="D221" s="1883"/>
      <c r="E221" s="1984"/>
      <c r="F221" s="1838">
        <v>0</v>
      </c>
      <c r="G221" s="1804">
        <v>0</v>
      </c>
      <c r="H221" s="1804">
        <v>0</v>
      </c>
      <c r="I221" s="1804">
        <v>0</v>
      </c>
      <c r="J221" s="1804">
        <v>0</v>
      </c>
      <c r="K221" s="1804">
        <v>0</v>
      </c>
      <c r="L221" s="1804">
        <v>0</v>
      </c>
      <c r="M221" s="1804">
        <v>0</v>
      </c>
      <c r="N221" s="1804">
        <v>0</v>
      </c>
      <c r="O221" s="1804">
        <v>0</v>
      </c>
      <c r="P221" s="1804">
        <v>0</v>
      </c>
      <c r="Q221" s="1804">
        <v>0</v>
      </c>
      <c r="R221" s="1804">
        <v>0</v>
      </c>
      <c r="S221" s="1804">
        <v>0</v>
      </c>
      <c r="T221" s="1804">
        <v>0</v>
      </c>
      <c r="U221" s="1804">
        <v>0</v>
      </c>
      <c r="V221" s="1804">
        <v>0</v>
      </c>
      <c r="W221" s="1804">
        <v>0</v>
      </c>
      <c r="X221" s="1804">
        <v>0</v>
      </c>
      <c r="Y221" s="1804">
        <v>0</v>
      </c>
      <c r="Z221" s="1804">
        <v>0</v>
      </c>
      <c r="AA221" s="1804">
        <v>0</v>
      </c>
      <c r="AB221" s="1804">
        <v>0</v>
      </c>
      <c r="AC221" s="1804">
        <v>0</v>
      </c>
      <c r="AD221" s="1804">
        <v>0</v>
      </c>
      <c r="AE221" s="1804">
        <v>0</v>
      </c>
      <c r="AF221" s="1804">
        <v>0</v>
      </c>
      <c r="AG221" s="1804">
        <v>0</v>
      </c>
      <c r="AH221" s="1804">
        <v>0</v>
      </c>
      <c r="AI221" s="1804">
        <v>0</v>
      </c>
      <c r="AJ221" s="1804">
        <v>0</v>
      </c>
      <c r="AK221" s="1804">
        <v>0</v>
      </c>
      <c r="AL221" s="1804">
        <v>0</v>
      </c>
      <c r="AM221" s="1804">
        <v>0</v>
      </c>
      <c r="AN221" s="1804">
        <v>0</v>
      </c>
      <c r="AO221" s="1804">
        <v>0</v>
      </c>
      <c r="AP221" s="1804">
        <v>0</v>
      </c>
      <c r="AQ221" s="1804">
        <v>0</v>
      </c>
      <c r="AR221" s="1804">
        <v>0</v>
      </c>
      <c r="AS221" s="1804">
        <v>0</v>
      </c>
      <c r="AT221" s="1804">
        <v>0</v>
      </c>
      <c r="AU221" s="1804">
        <v>0</v>
      </c>
      <c r="AV221" s="1804">
        <v>0</v>
      </c>
      <c r="AW221" s="1804">
        <v>0</v>
      </c>
      <c r="AX221" s="1804">
        <v>0</v>
      </c>
      <c r="AY221" s="1804">
        <v>0</v>
      </c>
      <c r="AZ221" s="1804">
        <v>0</v>
      </c>
      <c r="BA221" s="1804">
        <v>0</v>
      </c>
      <c r="BB221" s="1804">
        <v>0</v>
      </c>
      <c r="BC221" s="1804">
        <v>0</v>
      </c>
      <c r="BD221" s="1804">
        <v>0</v>
      </c>
      <c r="BE221" s="1804">
        <v>0</v>
      </c>
      <c r="BF221" s="1804">
        <v>0</v>
      </c>
      <c r="BG221" s="1804">
        <v>0</v>
      </c>
      <c r="BH221" s="1804">
        <v>0</v>
      </c>
      <c r="BI221" s="1804">
        <v>0</v>
      </c>
      <c r="BJ221" s="1804">
        <v>0</v>
      </c>
      <c r="BK221" s="1804">
        <v>0</v>
      </c>
      <c r="BL221" s="1804">
        <v>0</v>
      </c>
      <c r="BM221" s="1804">
        <v>0</v>
      </c>
      <c r="BN221" s="1804">
        <v>0</v>
      </c>
      <c r="BO221" s="1804">
        <v>0</v>
      </c>
      <c r="BP221" s="1804">
        <v>0</v>
      </c>
      <c r="BQ221" s="1804">
        <v>0</v>
      </c>
      <c r="BR221" s="1804">
        <v>0</v>
      </c>
      <c r="BS221" s="1804">
        <v>0</v>
      </c>
      <c r="BT221" s="1804">
        <v>0</v>
      </c>
      <c r="BU221" s="1804">
        <v>0</v>
      </c>
      <c r="BV221" s="1804">
        <v>0</v>
      </c>
      <c r="BW221" s="1804">
        <v>0</v>
      </c>
      <c r="BX221" s="1804">
        <v>0</v>
      </c>
      <c r="BY221" s="1804">
        <v>0</v>
      </c>
      <c r="BZ221" s="1804">
        <v>0</v>
      </c>
      <c r="CA221" s="1804">
        <v>0</v>
      </c>
      <c r="CB221" s="1804">
        <v>0</v>
      </c>
      <c r="CC221" s="1804">
        <v>0</v>
      </c>
      <c r="CD221" s="1804">
        <v>0</v>
      </c>
      <c r="CE221" s="1804">
        <v>0</v>
      </c>
      <c r="CF221" s="1804">
        <v>0</v>
      </c>
      <c r="CG221" s="1804">
        <v>0</v>
      </c>
      <c r="CH221" s="1804">
        <v>0</v>
      </c>
      <c r="CI221" s="1804">
        <v>0</v>
      </c>
      <c r="CJ221" s="1804">
        <v>0</v>
      </c>
      <c r="CK221" s="1804">
        <v>0</v>
      </c>
      <c r="CL221" s="1804">
        <v>0</v>
      </c>
      <c r="CM221" s="1804">
        <v>0</v>
      </c>
      <c r="CN221" s="1804">
        <v>0</v>
      </c>
      <c r="CO221" s="1804">
        <v>0</v>
      </c>
      <c r="CP221" s="1804">
        <v>0</v>
      </c>
      <c r="CQ221" s="1804">
        <v>0</v>
      </c>
      <c r="CR221" s="1804">
        <v>0</v>
      </c>
      <c r="CS221" s="1804">
        <v>0</v>
      </c>
      <c r="CT221" s="1804">
        <v>0</v>
      </c>
      <c r="CU221" s="1804">
        <v>0</v>
      </c>
      <c r="CV221" s="1804">
        <v>0</v>
      </c>
      <c r="CW221" s="1804">
        <v>0</v>
      </c>
      <c r="CX221" s="1804">
        <v>0</v>
      </c>
      <c r="CY221" s="1804">
        <v>0</v>
      </c>
      <c r="CZ221" s="1804">
        <v>0</v>
      </c>
      <c r="DA221" s="1804">
        <v>0</v>
      </c>
      <c r="DB221" s="1804">
        <v>0</v>
      </c>
      <c r="DC221" s="1804">
        <v>0</v>
      </c>
      <c r="DD221" s="1804">
        <v>0</v>
      </c>
      <c r="DE221" s="1804">
        <v>0</v>
      </c>
      <c r="DF221" s="1804">
        <v>0</v>
      </c>
      <c r="DG221" s="1804">
        <v>0</v>
      </c>
      <c r="DH221" s="1804">
        <v>0</v>
      </c>
      <c r="DI221" s="1804">
        <v>0</v>
      </c>
      <c r="DJ221" s="1804">
        <v>0</v>
      </c>
      <c r="DK221" s="1804">
        <v>0</v>
      </c>
      <c r="DL221" s="1804">
        <v>0</v>
      </c>
      <c r="DM221" s="1804">
        <v>0</v>
      </c>
      <c r="DN221" s="1804">
        <v>0</v>
      </c>
      <c r="DO221" s="1804">
        <v>0</v>
      </c>
      <c r="DP221" s="1804">
        <v>0</v>
      </c>
      <c r="DQ221" s="1804">
        <v>0</v>
      </c>
      <c r="DR221" s="1804">
        <v>0</v>
      </c>
      <c r="DS221" s="1804">
        <v>0</v>
      </c>
      <c r="DT221" s="1804">
        <v>0</v>
      </c>
      <c r="DU221" s="1804">
        <v>0</v>
      </c>
      <c r="DV221" s="1804">
        <v>0</v>
      </c>
      <c r="DW221" s="1804">
        <v>0</v>
      </c>
      <c r="DX221" s="1804">
        <v>0</v>
      </c>
      <c r="DY221" s="1804">
        <v>0</v>
      </c>
      <c r="DZ221" s="1804">
        <v>0</v>
      </c>
      <c r="EA221" s="1804">
        <v>0</v>
      </c>
      <c r="EB221" s="1804">
        <v>0</v>
      </c>
      <c r="EC221" s="1804">
        <v>0</v>
      </c>
      <c r="ED221" s="1804">
        <v>0</v>
      </c>
      <c r="EE221" s="1804">
        <v>0</v>
      </c>
      <c r="EF221" s="1804">
        <v>0</v>
      </c>
      <c r="EG221" s="1804">
        <v>0</v>
      </c>
      <c r="EH221" s="1804">
        <v>0</v>
      </c>
      <c r="EI221" s="1804">
        <v>0</v>
      </c>
      <c r="EJ221" s="1804">
        <v>0</v>
      </c>
      <c r="EK221" s="1804">
        <v>0</v>
      </c>
      <c r="EL221" s="1804">
        <v>0</v>
      </c>
      <c r="EM221" s="1804">
        <v>0</v>
      </c>
      <c r="EN221" s="1804">
        <v>0</v>
      </c>
      <c r="EO221" s="1804">
        <v>0</v>
      </c>
      <c r="EP221" s="1804">
        <v>0</v>
      </c>
      <c r="EQ221" s="1804">
        <v>0</v>
      </c>
      <c r="ER221" s="1804">
        <v>0</v>
      </c>
      <c r="ES221" s="1804">
        <v>0</v>
      </c>
      <c r="ET221" s="1804">
        <v>0</v>
      </c>
      <c r="EU221" s="1804">
        <v>0</v>
      </c>
      <c r="EV221" s="1804">
        <v>0</v>
      </c>
      <c r="EW221" s="1804">
        <v>0</v>
      </c>
      <c r="EX221" s="1804">
        <v>0</v>
      </c>
      <c r="EY221" s="1804">
        <v>0</v>
      </c>
      <c r="EZ221" s="1804">
        <v>0</v>
      </c>
      <c r="FA221" s="1804">
        <v>0</v>
      </c>
      <c r="FB221" s="1804">
        <v>0</v>
      </c>
      <c r="FC221" s="1804">
        <v>0</v>
      </c>
      <c r="FD221" s="1804">
        <v>0</v>
      </c>
      <c r="FE221" s="1804">
        <v>0</v>
      </c>
      <c r="FF221" s="1804">
        <v>0</v>
      </c>
      <c r="FG221" s="1804">
        <v>0</v>
      </c>
      <c r="FH221" s="1804">
        <v>0</v>
      </c>
      <c r="FI221" s="1804">
        <v>0</v>
      </c>
      <c r="FJ221" s="1804">
        <v>0</v>
      </c>
      <c r="FK221" s="1804">
        <v>0</v>
      </c>
      <c r="FL221" s="1804">
        <v>0</v>
      </c>
      <c r="FM221" s="1804">
        <v>0</v>
      </c>
      <c r="FN221" s="1804">
        <v>0</v>
      </c>
      <c r="FO221" s="1804">
        <v>0</v>
      </c>
      <c r="FP221" s="1804">
        <v>0</v>
      </c>
      <c r="FQ221" s="1804">
        <v>0</v>
      </c>
      <c r="FR221" s="1804">
        <v>0</v>
      </c>
      <c r="FS221" s="1804">
        <v>0</v>
      </c>
      <c r="FT221" s="1804">
        <v>0</v>
      </c>
      <c r="FU221" s="1804">
        <v>0</v>
      </c>
      <c r="FV221" s="1804">
        <v>0</v>
      </c>
      <c r="FW221" s="1804">
        <v>0</v>
      </c>
      <c r="FX221" s="1804">
        <v>0</v>
      </c>
      <c r="FY221" s="1804">
        <v>0</v>
      </c>
      <c r="FZ221" s="1804">
        <v>0</v>
      </c>
      <c r="GA221" s="1804">
        <v>0</v>
      </c>
      <c r="GB221" s="1804">
        <v>0</v>
      </c>
      <c r="GC221" s="1804">
        <v>0</v>
      </c>
      <c r="GD221" s="1804">
        <v>0</v>
      </c>
      <c r="GE221" s="1804">
        <v>0</v>
      </c>
      <c r="GF221" s="1804">
        <v>0</v>
      </c>
      <c r="GG221" s="1804">
        <v>0</v>
      </c>
      <c r="GH221" s="1804">
        <v>0</v>
      </c>
      <c r="GI221" s="1804">
        <v>0</v>
      </c>
      <c r="GJ221" s="1804">
        <v>0</v>
      </c>
      <c r="GK221" s="1804">
        <v>0</v>
      </c>
      <c r="GL221" s="1804">
        <v>0</v>
      </c>
      <c r="GM221" s="1804">
        <v>0</v>
      </c>
      <c r="GN221" s="1804">
        <v>0</v>
      </c>
      <c r="GO221" s="1804">
        <v>0</v>
      </c>
      <c r="GP221" s="1804">
        <v>0</v>
      </c>
      <c r="GQ221" s="1804">
        <v>0</v>
      </c>
      <c r="GR221" s="1804">
        <v>0</v>
      </c>
      <c r="GS221" s="1804">
        <v>0</v>
      </c>
      <c r="GT221" s="1804">
        <v>0</v>
      </c>
      <c r="GU221" s="1804">
        <v>0</v>
      </c>
      <c r="GV221" s="1804">
        <v>0</v>
      </c>
      <c r="GW221" s="1804">
        <v>0</v>
      </c>
      <c r="GX221" s="1804">
        <v>0</v>
      </c>
      <c r="GY221" s="1804">
        <v>0</v>
      </c>
      <c r="GZ221" s="1804">
        <v>0</v>
      </c>
      <c r="HA221" s="1804">
        <v>0</v>
      </c>
      <c r="HB221" s="1804">
        <v>0</v>
      </c>
      <c r="HC221" s="1804">
        <v>0</v>
      </c>
      <c r="HD221" s="1804">
        <v>0</v>
      </c>
      <c r="HE221" s="1804">
        <v>0</v>
      </c>
    </row>
    <row r="222" spans="1:356" ht="15" customHeight="1" x14ac:dyDescent="0.2">
      <c r="A222" s="1966"/>
      <c r="B222" s="1970"/>
      <c r="C222" s="1816" t="s">
        <v>968</v>
      </c>
      <c r="D222" s="1885"/>
      <c r="E222" s="1984"/>
      <c r="F222" s="1838">
        <v>0</v>
      </c>
      <c r="G222" s="1804">
        <v>0</v>
      </c>
      <c r="H222" s="1804">
        <v>0</v>
      </c>
      <c r="I222" s="1804">
        <v>0</v>
      </c>
      <c r="J222" s="1804">
        <v>0</v>
      </c>
      <c r="K222" s="1804">
        <v>0</v>
      </c>
      <c r="L222" s="1804">
        <v>0</v>
      </c>
      <c r="M222" s="1804">
        <v>0</v>
      </c>
      <c r="N222" s="1804">
        <v>0</v>
      </c>
      <c r="O222" s="1804">
        <v>0</v>
      </c>
      <c r="P222" s="1804">
        <v>0</v>
      </c>
      <c r="Q222" s="1804">
        <v>0</v>
      </c>
      <c r="R222" s="1804">
        <v>0</v>
      </c>
      <c r="S222" s="1804">
        <v>0</v>
      </c>
      <c r="T222" s="1804">
        <v>0</v>
      </c>
      <c r="U222" s="1804">
        <v>0</v>
      </c>
      <c r="V222" s="1804">
        <v>0</v>
      </c>
      <c r="W222" s="1804">
        <v>0</v>
      </c>
      <c r="X222" s="1804">
        <v>0</v>
      </c>
      <c r="Y222" s="1804">
        <v>0</v>
      </c>
      <c r="Z222" s="1804">
        <v>0</v>
      </c>
      <c r="AA222" s="1804">
        <v>0</v>
      </c>
      <c r="AB222" s="1804">
        <v>0</v>
      </c>
      <c r="AC222" s="1804">
        <v>0</v>
      </c>
      <c r="AD222" s="1804">
        <v>0</v>
      </c>
      <c r="AE222" s="1804">
        <v>0</v>
      </c>
      <c r="AF222" s="1804">
        <v>0</v>
      </c>
      <c r="AG222" s="1804">
        <v>0</v>
      </c>
      <c r="AH222" s="1804">
        <v>0</v>
      </c>
      <c r="AI222" s="1804">
        <v>0</v>
      </c>
      <c r="AJ222" s="1804">
        <v>0</v>
      </c>
      <c r="AK222" s="1804">
        <v>0</v>
      </c>
      <c r="AL222" s="1804">
        <v>0</v>
      </c>
      <c r="AM222" s="1804">
        <v>0</v>
      </c>
      <c r="AN222" s="1804">
        <v>0</v>
      </c>
      <c r="AO222" s="1804">
        <v>0</v>
      </c>
      <c r="AP222" s="1804">
        <v>0</v>
      </c>
      <c r="AQ222" s="1804">
        <v>0</v>
      </c>
      <c r="AR222" s="1804">
        <v>0</v>
      </c>
      <c r="AS222" s="1804">
        <v>0</v>
      </c>
      <c r="AT222" s="1804">
        <v>0</v>
      </c>
      <c r="AU222" s="1804">
        <v>0</v>
      </c>
      <c r="AV222" s="1804">
        <v>0</v>
      </c>
      <c r="AW222" s="1804">
        <v>0</v>
      </c>
      <c r="AX222" s="1804">
        <v>0</v>
      </c>
      <c r="AY222" s="1804">
        <v>0</v>
      </c>
      <c r="AZ222" s="1804">
        <v>0</v>
      </c>
      <c r="BA222" s="1804">
        <v>0</v>
      </c>
      <c r="BB222" s="1804">
        <v>0</v>
      </c>
      <c r="BC222" s="1804">
        <v>0</v>
      </c>
      <c r="BD222" s="1804">
        <v>0</v>
      </c>
      <c r="BE222" s="1804">
        <v>0</v>
      </c>
      <c r="BF222" s="1804">
        <v>0</v>
      </c>
      <c r="BG222" s="1804">
        <v>0</v>
      </c>
      <c r="BH222" s="1804">
        <v>0</v>
      </c>
      <c r="BI222" s="1804">
        <v>0</v>
      </c>
      <c r="BJ222" s="1804">
        <v>0</v>
      </c>
      <c r="BK222" s="1804">
        <v>0</v>
      </c>
      <c r="BL222" s="1804">
        <v>0</v>
      </c>
      <c r="BM222" s="1804">
        <v>0</v>
      </c>
      <c r="BN222" s="1804">
        <v>0</v>
      </c>
      <c r="BO222" s="1804">
        <v>0</v>
      </c>
      <c r="BP222" s="1804">
        <v>0</v>
      </c>
      <c r="BQ222" s="1804">
        <v>0</v>
      </c>
      <c r="BR222" s="1804">
        <v>0</v>
      </c>
      <c r="BS222" s="1804">
        <v>0</v>
      </c>
      <c r="BT222" s="1804">
        <v>0</v>
      </c>
      <c r="BU222" s="1804">
        <v>0</v>
      </c>
      <c r="BV222" s="1804">
        <v>0</v>
      </c>
      <c r="BW222" s="1804">
        <v>0</v>
      </c>
      <c r="BX222" s="1804">
        <v>0</v>
      </c>
      <c r="BY222" s="1804">
        <v>0</v>
      </c>
      <c r="BZ222" s="1804">
        <v>0</v>
      </c>
      <c r="CA222" s="1804">
        <v>0</v>
      </c>
      <c r="CB222" s="1804">
        <v>0</v>
      </c>
      <c r="CC222" s="1804">
        <v>0</v>
      </c>
      <c r="CD222" s="1804">
        <v>0</v>
      </c>
      <c r="CE222" s="1804">
        <v>0</v>
      </c>
      <c r="CF222" s="1804">
        <v>0</v>
      </c>
      <c r="CG222" s="1804">
        <v>0</v>
      </c>
      <c r="CH222" s="1804">
        <v>0</v>
      </c>
      <c r="CI222" s="1804">
        <v>0</v>
      </c>
      <c r="CJ222" s="1804">
        <v>0</v>
      </c>
      <c r="CK222" s="1804">
        <v>0</v>
      </c>
      <c r="CL222" s="1804">
        <v>0</v>
      </c>
      <c r="CM222" s="1804">
        <v>0</v>
      </c>
      <c r="CN222" s="1804">
        <v>0</v>
      </c>
      <c r="CO222" s="1804">
        <v>0</v>
      </c>
      <c r="CP222" s="1804">
        <v>0</v>
      </c>
      <c r="CQ222" s="1804">
        <v>0</v>
      </c>
      <c r="CR222" s="1804">
        <v>0</v>
      </c>
      <c r="CS222" s="1804">
        <v>0</v>
      </c>
      <c r="CT222" s="1804">
        <v>0</v>
      </c>
      <c r="CU222" s="1804">
        <v>0</v>
      </c>
      <c r="CV222" s="1804">
        <v>0</v>
      </c>
      <c r="CW222" s="1804">
        <v>0</v>
      </c>
      <c r="CX222" s="1804">
        <v>0</v>
      </c>
      <c r="CY222" s="1804">
        <v>0</v>
      </c>
      <c r="CZ222" s="1804">
        <v>0</v>
      </c>
      <c r="DA222" s="1804">
        <v>0</v>
      </c>
      <c r="DB222" s="1804">
        <v>0</v>
      </c>
      <c r="DC222" s="1804">
        <v>0</v>
      </c>
      <c r="DD222" s="1804">
        <v>0</v>
      </c>
      <c r="DE222" s="1804">
        <v>0</v>
      </c>
      <c r="DF222" s="1804">
        <v>0</v>
      </c>
      <c r="DG222" s="1804">
        <v>0</v>
      </c>
      <c r="DH222" s="1804">
        <v>0</v>
      </c>
      <c r="DI222" s="1804">
        <v>0</v>
      </c>
      <c r="DJ222" s="1804">
        <v>0</v>
      </c>
      <c r="DK222" s="1804">
        <v>0</v>
      </c>
      <c r="DL222" s="1804">
        <v>0</v>
      </c>
      <c r="DM222" s="1804">
        <v>0</v>
      </c>
      <c r="DN222" s="1804">
        <v>0</v>
      </c>
      <c r="DO222" s="1804">
        <v>0</v>
      </c>
      <c r="DP222" s="1804">
        <v>0</v>
      </c>
      <c r="DQ222" s="1804">
        <v>0</v>
      </c>
      <c r="DR222" s="1804">
        <v>0</v>
      </c>
      <c r="DS222" s="1804">
        <v>0</v>
      </c>
      <c r="DT222" s="1804">
        <v>0</v>
      </c>
      <c r="DU222" s="1804">
        <v>0</v>
      </c>
      <c r="DV222" s="1804">
        <v>0</v>
      </c>
      <c r="DW222" s="1804">
        <v>0</v>
      </c>
      <c r="DX222" s="1804">
        <v>0</v>
      </c>
      <c r="DY222" s="1804">
        <v>0</v>
      </c>
      <c r="DZ222" s="1804">
        <v>0</v>
      </c>
      <c r="EA222" s="1804">
        <v>0</v>
      </c>
      <c r="EB222" s="1804">
        <v>0</v>
      </c>
      <c r="EC222" s="1804">
        <v>0</v>
      </c>
      <c r="ED222" s="1804">
        <v>0</v>
      </c>
      <c r="EE222" s="1804">
        <v>0</v>
      </c>
      <c r="EF222" s="1804">
        <v>0</v>
      </c>
      <c r="EG222" s="1804">
        <v>0</v>
      </c>
      <c r="EH222" s="1804">
        <v>0</v>
      </c>
      <c r="EI222" s="1804">
        <v>0</v>
      </c>
      <c r="EJ222" s="1804">
        <v>0</v>
      </c>
      <c r="EK222" s="1804">
        <v>0</v>
      </c>
      <c r="EL222" s="1804">
        <v>0</v>
      </c>
      <c r="EM222" s="1804">
        <v>0</v>
      </c>
      <c r="EN222" s="1804">
        <v>0</v>
      </c>
      <c r="EO222" s="1804">
        <v>0</v>
      </c>
      <c r="EP222" s="1804">
        <v>0</v>
      </c>
      <c r="EQ222" s="1804">
        <v>0</v>
      </c>
      <c r="ER222" s="1804">
        <v>0</v>
      </c>
      <c r="ES222" s="1804">
        <v>0</v>
      </c>
      <c r="ET222" s="1804">
        <v>0</v>
      </c>
      <c r="EU222" s="1804">
        <v>0</v>
      </c>
      <c r="EV222" s="1804">
        <v>0</v>
      </c>
      <c r="EW222" s="1804">
        <v>0</v>
      </c>
      <c r="EX222" s="1804">
        <v>0</v>
      </c>
      <c r="EY222" s="1804">
        <v>0</v>
      </c>
      <c r="EZ222" s="1804">
        <v>0</v>
      </c>
      <c r="FA222" s="1804">
        <v>0</v>
      </c>
      <c r="FB222" s="1804">
        <v>0</v>
      </c>
      <c r="FC222" s="1804">
        <v>0</v>
      </c>
      <c r="FD222" s="1804">
        <v>0</v>
      </c>
      <c r="FE222" s="1804">
        <v>0</v>
      </c>
      <c r="FF222" s="1804">
        <v>0</v>
      </c>
      <c r="FG222" s="1804">
        <v>0</v>
      </c>
      <c r="FH222" s="1804">
        <v>0</v>
      </c>
      <c r="FI222" s="1804">
        <v>0</v>
      </c>
      <c r="FJ222" s="1804">
        <v>0</v>
      </c>
      <c r="FK222" s="1804">
        <v>0</v>
      </c>
      <c r="FL222" s="1804">
        <v>0</v>
      </c>
      <c r="FM222" s="1804">
        <v>0</v>
      </c>
      <c r="FN222" s="1804">
        <v>0</v>
      </c>
      <c r="FO222" s="1804">
        <v>0</v>
      </c>
      <c r="FP222" s="1804">
        <v>0</v>
      </c>
      <c r="FQ222" s="1804">
        <v>0</v>
      </c>
      <c r="FR222" s="1804">
        <v>0</v>
      </c>
      <c r="FS222" s="1804">
        <v>0</v>
      </c>
      <c r="FT222" s="1804">
        <v>0</v>
      </c>
      <c r="FU222" s="1804">
        <v>0</v>
      </c>
      <c r="FV222" s="1804">
        <v>0</v>
      </c>
      <c r="FW222" s="1804">
        <v>0</v>
      </c>
      <c r="FX222" s="1804">
        <v>0</v>
      </c>
      <c r="FY222" s="1804">
        <v>0</v>
      </c>
      <c r="FZ222" s="1804">
        <v>0</v>
      </c>
      <c r="GA222" s="1804">
        <v>0</v>
      </c>
      <c r="GB222" s="1804">
        <v>0</v>
      </c>
      <c r="GC222" s="1804">
        <v>0</v>
      </c>
      <c r="GD222" s="1804">
        <v>0</v>
      </c>
      <c r="GE222" s="1804">
        <v>0</v>
      </c>
      <c r="GF222" s="1804">
        <v>0</v>
      </c>
      <c r="GG222" s="1804">
        <v>0</v>
      </c>
      <c r="GH222" s="1804">
        <v>0</v>
      </c>
      <c r="GI222" s="1804">
        <v>0</v>
      </c>
      <c r="GJ222" s="1804">
        <v>0</v>
      </c>
      <c r="GK222" s="1804">
        <v>0</v>
      </c>
      <c r="GL222" s="1804">
        <v>0</v>
      </c>
      <c r="GM222" s="1804">
        <v>0</v>
      </c>
      <c r="GN222" s="1804">
        <v>0</v>
      </c>
      <c r="GO222" s="1804">
        <v>0</v>
      </c>
      <c r="GP222" s="1804">
        <v>0</v>
      </c>
      <c r="GQ222" s="1804">
        <v>0</v>
      </c>
      <c r="GR222" s="1804">
        <v>0</v>
      </c>
      <c r="GS222" s="1804">
        <v>0</v>
      </c>
      <c r="GT222" s="1804">
        <v>0</v>
      </c>
      <c r="GU222" s="1804">
        <v>0</v>
      </c>
      <c r="GV222" s="1804">
        <v>0</v>
      </c>
      <c r="GW222" s="1804">
        <v>0</v>
      </c>
      <c r="GX222" s="1804">
        <v>0</v>
      </c>
      <c r="GY222" s="1804">
        <v>0</v>
      </c>
      <c r="GZ222" s="1804">
        <v>0</v>
      </c>
      <c r="HA222" s="1804">
        <v>0</v>
      </c>
      <c r="HB222" s="1804">
        <v>0</v>
      </c>
      <c r="HC222" s="1804">
        <v>0</v>
      </c>
      <c r="HD222" s="1804">
        <v>0</v>
      </c>
      <c r="HE222" s="1804">
        <v>0</v>
      </c>
      <c r="HF222" s="1868"/>
      <c r="HG222" s="1868"/>
      <c r="HH222" s="1868"/>
      <c r="HI222" s="1868"/>
      <c r="HJ222" s="1868"/>
      <c r="HK222" s="1868"/>
      <c r="HL222" s="1868"/>
      <c r="HM222" s="1868"/>
      <c r="HN222" s="1868"/>
      <c r="HO222" s="1868"/>
      <c r="HP222" s="1868"/>
      <c r="HQ222" s="1868"/>
      <c r="HR222" s="1868"/>
      <c r="HS222" s="1868"/>
      <c r="HT222" s="1868"/>
      <c r="HU222" s="1868"/>
      <c r="HV222" s="1868"/>
      <c r="HW222" s="1868"/>
      <c r="HX222" s="1868"/>
      <c r="HY222" s="1868"/>
      <c r="HZ222" s="1868"/>
      <c r="IA222" s="1868"/>
      <c r="IB222" s="1868"/>
      <c r="IC222" s="1868"/>
      <c r="ID222" s="1868"/>
      <c r="IE222" s="1868"/>
      <c r="IF222" s="1868"/>
    </row>
    <row r="223" spans="1:356" ht="15" customHeight="1" thickBot="1" x14ac:dyDescent="0.25">
      <c r="A223" s="1967"/>
      <c r="B223" s="1971"/>
      <c r="C223" s="1691" t="s">
        <v>969</v>
      </c>
      <c r="D223" s="1883"/>
      <c r="E223" s="1984"/>
      <c r="F223" s="1838">
        <v>0</v>
      </c>
      <c r="G223" s="1804">
        <v>0</v>
      </c>
      <c r="H223" s="1804">
        <v>0</v>
      </c>
      <c r="I223" s="1804">
        <v>0</v>
      </c>
      <c r="J223" s="1804">
        <v>0</v>
      </c>
      <c r="K223" s="1804">
        <v>0</v>
      </c>
      <c r="L223" s="1804">
        <v>0</v>
      </c>
      <c r="M223" s="1804">
        <v>0</v>
      </c>
      <c r="N223" s="1804">
        <v>0</v>
      </c>
      <c r="O223" s="1804">
        <v>0</v>
      </c>
      <c r="P223" s="1804">
        <v>0</v>
      </c>
      <c r="Q223" s="1804">
        <v>0</v>
      </c>
      <c r="R223" s="1804">
        <v>0</v>
      </c>
      <c r="S223" s="1804">
        <v>0</v>
      </c>
      <c r="T223" s="1804">
        <v>0</v>
      </c>
      <c r="U223" s="1804">
        <v>0</v>
      </c>
      <c r="V223" s="1804">
        <v>0</v>
      </c>
      <c r="W223" s="1804">
        <v>0</v>
      </c>
      <c r="X223" s="1804">
        <v>0</v>
      </c>
      <c r="Y223" s="1804">
        <v>0</v>
      </c>
      <c r="Z223" s="1804">
        <v>0</v>
      </c>
      <c r="AA223" s="1804">
        <v>0</v>
      </c>
      <c r="AB223" s="1804">
        <v>0</v>
      </c>
      <c r="AC223" s="1804">
        <v>0</v>
      </c>
      <c r="AD223" s="1804">
        <v>0</v>
      </c>
      <c r="AE223" s="1804">
        <v>0</v>
      </c>
      <c r="AF223" s="1804">
        <v>0</v>
      </c>
      <c r="AG223" s="1804">
        <v>0</v>
      </c>
      <c r="AH223" s="1804">
        <v>0</v>
      </c>
      <c r="AI223" s="1804">
        <v>0</v>
      </c>
      <c r="AJ223" s="1804">
        <v>0</v>
      </c>
      <c r="AK223" s="1804">
        <v>0</v>
      </c>
      <c r="AL223" s="1804">
        <v>0</v>
      </c>
      <c r="AM223" s="1804">
        <v>0</v>
      </c>
      <c r="AN223" s="1804">
        <v>0</v>
      </c>
      <c r="AO223" s="1804">
        <v>0</v>
      </c>
      <c r="AP223" s="1804">
        <v>0</v>
      </c>
      <c r="AQ223" s="1804">
        <v>0</v>
      </c>
      <c r="AR223" s="1804">
        <v>0</v>
      </c>
      <c r="AS223" s="1804">
        <v>0</v>
      </c>
      <c r="AT223" s="1804">
        <v>0</v>
      </c>
      <c r="AU223" s="1804">
        <v>0</v>
      </c>
      <c r="AV223" s="1804">
        <v>0</v>
      </c>
      <c r="AW223" s="1804">
        <v>0</v>
      </c>
      <c r="AX223" s="1804">
        <v>0</v>
      </c>
      <c r="AY223" s="1804">
        <v>0</v>
      </c>
      <c r="AZ223" s="1804">
        <v>0</v>
      </c>
      <c r="BA223" s="1804">
        <v>0</v>
      </c>
      <c r="BB223" s="1804">
        <v>0</v>
      </c>
      <c r="BC223" s="1804">
        <v>0</v>
      </c>
      <c r="BD223" s="1804">
        <v>0</v>
      </c>
      <c r="BE223" s="1804">
        <v>0</v>
      </c>
      <c r="BF223" s="1804">
        <v>0</v>
      </c>
      <c r="BG223" s="1804">
        <v>0</v>
      </c>
      <c r="BH223" s="1804">
        <v>0</v>
      </c>
      <c r="BI223" s="1804">
        <v>0</v>
      </c>
      <c r="BJ223" s="1804">
        <v>0</v>
      </c>
      <c r="BK223" s="1804">
        <v>0</v>
      </c>
      <c r="BL223" s="1804">
        <v>0</v>
      </c>
      <c r="BM223" s="1804">
        <v>0</v>
      </c>
      <c r="BN223" s="1804">
        <v>0</v>
      </c>
      <c r="BO223" s="1804">
        <v>0</v>
      </c>
      <c r="BP223" s="1804">
        <v>0</v>
      </c>
      <c r="BQ223" s="1804">
        <v>0</v>
      </c>
      <c r="BR223" s="1804">
        <v>0</v>
      </c>
      <c r="BS223" s="1804">
        <v>0</v>
      </c>
      <c r="BT223" s="1804">
        <v>0</v>
      </c>
      <c r="BU223" s="1804">
        <v>0</v>
      </c>
      <c r="BV223" s="1804">
        <v>0</v>
      </c>
      <c r="BW223" s="1804">
        <v>0</v>
      </c>
      <c r="BX223" s="1804">
        <v>0</v>
      </c>
      <c r="BY223" s="1804">
        <v>0</v>
      </c>
      <c r="BZ223" s="1804">
        <v>0</v>
      </c>
      <c r="CA223" s="1804">
        <v>0</v>
      </c>
      <c r="CB223" s="1804">
        <v>0</v>
      </c>
      <c r="CC223" s="1804">
        <v>0</v>
      </c>
      <c r="CD223" s="1804">
        <v>0</v>
      </c>
      <c r="CE223" s="1804">
        <v>0</v>
      </c>
      <c r="CF223" s="1804">
        <v>0</v>
      </c>
      <c r="CG223" s="1804">
        <v>0</v>
      </c>
      <c r="CH223" s="1804">
        <v>0</v>
      </c>
      <c r="CI223" s="1804">
        <v>0</v>
      </c>
      <c r="CJ223" s="1804">
        <v>0</v>
      </c>
      <c r="CK223" s="1804">
        <v>0</v>
      </c>
      <c r="CL223" s="1804">
        <v>0</v>
      </c>
      <c r="CM223" s="1804">
        <v>0</v>
      </c>
      <c r="CN223" s="1804">
        <v>0</v>
      </c>
      <c r="CO223" s="1804">
        <v>0</v>
      </c>
      <c r="CP223" s="1804">
        <v>0</v>
      </c>
      <c r="CQ223" s="1804">
        <v>0</v>
      </c>
      <c r="CR223" s="1804">
        <v>0</v>
      </c>
      <c r="CS223" s="1804">
        <v>0</v>
      </c>
      <c r="CT223" s="1804">
        <v>0</v>
      </c>
      <c r="CU223" s="1804">
        <v>0</v>
      </c>
      <c r="CV223" s="1804">
        <v>0</v>
      </c>
      <c r="CW223" s="1804">
        <v>0</v>
      </c>
      <c r="CX223" s="1804">
        <v>0</v>
      </c>
      <c r="CY223" s="1804">
        <v>0</v>
      </c>
      <c r="CZ223" s="1804">
        <v>0</v>
      </c>
      <c r="DA223" s="1804">
        <v>0</v>
      </c>
      <c r="DB223" s="1804">
        <v>0</v>
      </c>
      <c r="DC223" s="1804">
        <v>0</v>
      </c>
      <c r="DD223" s="1804">
        <v>0</v>
      </c>
      <c r="DE223" s="1804">
        <v>0</v>
      </c>
      <c r="DF223" s="1804">
        <v>0</v>
      </c>
      <c r="DG223" s="1804">
        <v>0</v>
      </c>
      <c r="DH223" s="1804">
        <v>0</v>
      </c>
      <c r="DI223" s="1804">
        <v>0</v>
      </c>
      <c r="DJ223" s="1804">
        <v>0</v>
      </c>
      <c r="DK223" s="1804">
        <v>0</v>
      </c>
      <c r="DL223" s="1804">
        <v>0</v>
      </c>
      <c r="DM223" s="1804">
        <v>0</v>
      </c>
      <c r="DN223" s="1804">
        <v>0</v>
      </c>
      <c r="DO223" s="1804">
        <v>0</v>
      </c>
      <c r="DP223" s="1804">
        <v>0</v>
      </c>
      <c r="DQ223" s="1804">
        <v>0</v>
      </c>
      <c r="DR223" s="1804">
        <v>0</v>
      </c>
      <c r="DS223" s="1804">
        <v>0</v>
      </c>
      <c r="DT223" s="1804">
        <v>0</v>
      </c>
      <c r="DU223" s="1804">
        <v>0</v>
      </c>
      <c r="DV223" s="1804">
        <v>0</v>
      </c>
      <c r="DW223" s="1804">
        <v>0</v>
      </c>
      <c r="DX223" s="1804">
        <v>0</v>
      </c>
      <c r="DY223" s="1804">
        <v>0</v>
      </c>
      <c r="DZ223" s="1804">
        <v>0</v>
      </c>
      <c r="EA223" s="1804">
        <v>0</v>
      </c>
      <c r="EB223" s="1804">
        <v>0</v>
      </c>
      <c r="EC223" s="1804">
        <v>0</v>
      </c>
      <c r="ED223" s="1804">
        <v>0</v>
      </c>
      <c r="EE223" s="1804">
        <v>0</v>
      </c>
      <c r="EF223" s="1804">
        <v>0</v>
      </c>
      <c r="EG223" s="1804">
        <v>0</v>
      </c>
      <c r="EH223" s="1804">
        <v>0</v>
      </c>
      <c r="EI223" s="1804">
        <v>0</v>
      </c>
      <c r="EJ223" s="1804">
        <v>0</v>
      </c>
      <c r="EK223" s="1804">
        <v>0</v>
      </c>
      <c r="EL223" s="1804">
        <v>0</v>
      </c>
      <c r="EM223" s="1804">
        <v>0</v>
      </c>
      <c r="EN223" s="1804">
        <v>0</v>
      </c>
      <c r="EO223" s="1804">
        <v>0</v>
      </c>
      <c r="EP223" s="1804">
        <v>0</v>
      </c>
      <c r="EQ223" s="1804">
        <v>0</v>
      </c>
      <c r="ER223" s="1804">
        <v>0</v>
      </c>
      <c r="ES223" s="1804">
        <v>0</v>
      </c>
      <c r="ET223" s="1804">
        <v>0</v>
      </c>
      <c r="EU223" s="1804">
        <v>0</v>
      </c>
      <c r="EV223" s="1804">
        <v>0</v>
      </c>
      <c r="EW223" s="1804">
        <v>0</v>
      </c>
      <c r="EX223" s="1804">
        <v>0</v>
      </c>
      <c r="EY223" s="1804">
        <v>0</v>
      </c>
      <c r="EZ223" s="1804">
        <v>0</v>
      </c>
      <c r="FA223" s="1804">
        <v>0</v>
      </c>
      <c r="FB223" s="1804">
        <v>0</v>
      </c>
      <c r="FC223" s="1804">
        <v>0</v>
      </c>
      <c r="FD223" s="1804">
        <v>0</v>
      </c>
      <c r="FE223" s="1804">
        <v>0</v>
      </c>
      <c r="FF223" s="1804">
        <v>0</v>
      </c>
      <c r="FG223" s="1804">
        <v>0</v>
      </c>
      <c r="FH223" s="1804">
        <v>0</v>
      </c>
      <c r="FI223" s="1804">
        <v>0</v>
      </c>
      <c r="FJ223" s="1804">
        <v>0</v>
      </c>
      <c r="FK223" s="1804">
        <v>0</v>
      </c>
      <c r="FL223" s="1804">
        <v>0</v>
      </c>
      <c r="FM223" s="1804">
        <v>0</v>
      </c>
      <c r="FN223" s="1804">
        <v>0</v>
      </c>
      <c r="FO223" s="1804">
        <v>0</v>
      </c>
      <c r="FP223" s="1804">
        <v>0</v>
      </c>
      <c r="FQ223" s="1804">
        <v>0</v>
      </c>
      <c r="FR223" s="1804">
        <v>0</v>
      </c>
      <c r="FS223" s="1804">
        <v>0</v>
      </c>
      <c r="FT223" s="1804">
        <v>0</v>
      </c>
      <c r="FU223" s="1804">
        <v>0</v>
      </c>
      <c r="FV223" s="1804">
        <v>0</v>
      </c>
      <c r="FW223" s="1804">
        <v>0</v>
      </c>
      <c r="FX223" s="1804">
        <v>0</v>
      </c>
      <c r="FY223" s="1804">
        <v>0</v>
      </c>
      <c r="FZ223" s="1804">
        <v>0</v>
      </c>
      <c r="GA223" s="1804">
        <v>0</v>
      </c>
      <c r="GB223" s="1804">
        <v>0</v>
      </c>
      <c r="GC223" s="1804">
        <v>0</v>
      </c>
      <c r="GD223" s="1804">
        <v>0</v>
      </c>
      <c r="GE223" s="1804">
        <v>0</v>
      </c>
      <c r="GF223" s="1804">
        <v>0</v>
      </c>
      <c r="GG223" s="1804">
        <v>0</v>
      </c>
      <c r="GH223" s="1804">
        <v>0</v>
      </c>
      <c r="GI223" s="1804">
        <v>0</v>
      </c>
      <c r="GJ223" s="1804">
        <v>0</v>
      </c>
      <c r="GK223" s="1804">
        <v>0</v>
      </c>
      <c r="GL223" s="1804">
        <v>0</v>
      </c>
      <c r="GM223" s="1804">
        <v>0</v>
      </c>
      <c r="GN223" s="1804">
        <v>0</v>
      </c>
      <c r="GO223" s="1804">
        <v>0</v>
      </c>
      <c r="GP223" s="1804">
        <v>0</v>
      </c>
      <c r="GQ223" s="1804">
        <v>0</v>
      </c>
      <c r="GR223" s="1804">
        <v>0</v>
      </c>
      <c r="GS223" s="1804">
        <v>0</v>
      </c>
      <c r="GT223" s="1804">
        <v>0</v>
      </c>
      <c r="GU223" s="1804">
        <v>0</v>
      </c>
      <c r="GV223" s="1804">
        <v>0</v>
      </c>
      <c r="GW223" s="1804">
        <v>0</v>
      </c>
      <c r="GX223" s="1804">
        <v>0</v>
      </c>
      <c r="GY223" s="1804">
        <v>0</v>
      </c>
      <c r="GZ223" s="1804">
        <v>0</v>
      </c>
      <c r="HA223" s="1804">
        <v>0</v>
      </c>
      <c r="HB223" s="1804">
        <v>0</v>
      </c>
      <c r="HC223" s="1804">
        <v>0</v>
      </c>
      <c r="HD223" s="1804">
        <v>0</v>
      </c>
      <c r="HE223" s="1804">
        <v>0</v>
      </c>
      <c r="HF223" s="1868"/>
      <c r="HG223" s="1868"/>
      <c r="HH223" s="1868"/>
      <c r="HI223" s="1868"/>
      <c r="HJ223" s="1868"/>
      <c r="HK223" s="1868"/>
      <c r="HL223" s="1868"/>
      <c r="HM223" s="1868"/>
      <c r="HN223" s="1868"/>
      <c r="HO223" s="1868"/>
      <c r="HP223" s="1868"/>
      <c r="HQ223" s="1868"/>
      <c r="HR223" s="1868"/>
      <c r="HS223" s="1868"/>
      <c r="HT223" s="1868"/>
      <c r="HU223" s="1868"/>
      <c r="HV223" s="1868"/>
      <c r="HW223" s="1868"/>
      <c r="HX223" s="1868"/>
      <c r="HY223" s="1868"/>
      <c r="HZ223" s="1868"/>
      <c r="IA223" s="1868"/>
      <c r="IB223" s="1868"/>
      <c r="IC223" s="1868"/>
      <c r="ID223" s="1868"/>
      <c r="IE223" s="1868"/>
      <c r="IF223" s="1868"/>
    </row>
    <row r="224" spans="1:356" ht="21" customHeight="1" thickBot="1" x14ac:dyDescent="0.25">
      <c r="A224" s="1964" t="s">
        <v>282</v>
      </c>
      <c r="B224" s="2001" t="s">
        <v>537</v>
      </c>
      <c r="C224" s="1699" t="s">
        <v>901</v>
      </c>
      <c r="D224" s="1880"/>
      <c r="E224" s="1984"/>
      <c r="F224" s="1865"/>
      <c r="G224" s="1866"/>
      <c r="H224" s="1866"/>
      <c r="I224" s="1866"/>
      <c r="J224" s="1866"/>
      <c r="K224" s="1866"/>
      <c r="L224" s="1866"/>
      <c r="M224" s="1866"/>
      <c r="N224" s="1866"/>
      <c r="O224" s="1866"/>
      <c r="P224" s="1866"/>
      <c r="Q224" s="1866"/>
      <c r="R224" s="1866"/>
      <c r="S224" s="1866"/>
      <c r="T224" s="1866"/>
      <c r="U224" s="1866"/>
      <c r="V224" s="1866"/>
      <c r="W224" s="1866"/>
      <c r="X224" s="1866"/>
      <c r="Y224" s="1866"/>
      <c r="Z224" s="1866"/>
      <c r="AA224" s="1866"/>
      <c r="AB224" s="1866"/>
      <c r="AC224" s="1866"/>
      <c r="AD224" s="1866"/>
      <c r="AE224" s="1866"/>
      <c r="AF224" s="1866"/>
      <c r="AG224" s="1866"/>
      <c r="AH224" s="1866"/>
      <c r="AI224" s="1866"/>
      <c r="AJ224" s="1866"/>
      <c r="AK224" s="1866"/>
      <c r="AL224" s="1866"/>
      <c r="AM224" s="1866"/>
      <c r="AN224" s="1866"/>
      <c r="AO224" s="1866"/>
      <c r="AP224" s="1866"/>
      <c r="AQ224" s="1866"/>
      <c r="AR224" s="1866"/>
      <c r="AS224" s="1866"/>
      <c r="AT224" s="1866"/>
      <c r="AU224" s="1866"/>
      <c r="AV224" s="1866"/>
      <c r="AW224" s="1866"/>
      <c r="AX224" s="1866"/>
      <c r="AY224" s="1866"/>
      <c r="AZ224" s="1866"/>
      <c r="BA224" s="1866"/>
      <c r="BB224" s="1866"/>
      <c r="BC224" s="1866"/>
      <c r="BD224" s="1866"/>
      <c r="BE224" s="1866"/>
      <c r="BF224" s="1866"/>
      <c r="BG224" s="1866"/>
      <c r="BH224" s="1866"/>
      <c r="BI224" s="1866"/>
      <c r="BJ224" s="1866"/>
      <c r="BK224" s="1866"/>
      <c r="BL224" s="1866"/>
      <c r="BM224" s="1866"/>
      <c r="BN224" s="1866"/>
      <c r="BO224" s="1866"/>
      <c r="BP224" s="1866"/>
      <c r="BQ224" s="1866"/>
      <c r="BR224" s="1866"/>
      <c r="BS224" s="1866"/>
      <c r="BT224" s="1866"/>
      <c r="BU224" s="1866"/>
      <c r="BV224" s="1866"/>
      <c r="BW224" s="1866"/>
      <c r="BX224" s="1866"/>
      <c r="BY224" s="1866"/>
      <c r="BZ224" s="1866"/>
      <c r="CA224" s="1866"/>
      <c r="CB224" s="1866"/>
      <c r="CC224" s="1866"/>
      <c r="CD224" s="1866"/>
      <c r="CE224" s="1866"/>
      <c r="CF224" s="1866"/>
      <c r="CG224" s="1866"/>
      <c r="CH224" s="1866"/>
      <c r="CI224" s="1866"/>
      <c r="CJ224" s="1866"/>
      <c r="CK224" s="1866"/>
      <c r="CL224" s="1866"/>
      <c r="CM224" s="1866"/>
      <c r="CN224" s="1866"/>
      <c r="CO224" s="1866"/>
      <c r="CP224" s="1866"/>
      <c r="CQ224" s="1866"/>
      <c r="CR224" s="1866"/>
      <c r="CS224" s="1866"/>
      <c r="CT224" s="1866"/>
      <c r="CU224" s="1866"/>
      <c r="CV224" s="1866"/>
      <c r="CW224" s="1866"/>
      <c r="CX224" s="1866"/>
      <c r="CY224" s="1866"/>
      <c r="CZ224" s="1866"/>
      <c r="DA224" s="1866"/>
      <c r="DB224" s="1866"/>
      <c r="DC224" s="1866"/>
      <c r="DD224" s="1866"/>
      <c r="DE224" s="1866"/>
      <c r="DF224" s="1866"/>
      <c r="DG224" s="1866"/>
      <c r="DH224" s="1866"/>
      <c r="DI224" s="1866"/>
      <c r="DJ224" s="1866"/>
      <c r="DK224" s="1866"/>
      <c r="DL224" s="1866"/>
      <c r="DM224" s="1866"/>
      <c r="DN224" s="1866"/>
      <c r="DO224" s="1866"/>
      <c r="DP224" s="1866"/>
      <c r="DQ224" s="1866"/>
      <c r="DR224" s="1866"/>
      <c r="DS224" s="1866"/>
      <c r="DT224" s="1866"/>
      <c r="DU224" s="1866"/>
      <c r="DV224" s="1866"/>
      <c r="DW224" s="1866"/>
      <c r="DX224" s="1866"/>
      <c r="DY224" s="1866"/>
      <c r="DZ224" s="1866"/>
      <c r="EA224" s="1866"/>
      <c r="EB224" s="1866"/>
      <c r="EC224" s="1866"/>
      <c r="ED224" s="1866"/>
      <c r="EE224" s="1866"/>
      <c r="EF224" s="1866"/>
      <c r="EG224" s="1866"/>
      <c r="EH224" s="1866"/>
      <c r="EI224" s="1866"/>
      <c r="EJ224" s="1866"/>
      <c r="EK224" s="1866"/>
      <c r="EL224" s="1866"/>
      <c r="EM224" s="1866"/>
      <c r="EN224" s="1866"/>
      <c r="EO224" s="1866"/>
      <c r="EP224" s="1866"/>
      <c r="EQ224" s="1866"/>
      <c r="ER224" s="1866"/>
      <c r="ES224" s="1866"/>
      <c r="ET224" s="1866"/>
      <c r="EU224" s="1866"/>
      <c r="EV224" s="1866"/>
      <c r="EW224" s="1866"/>
      <c r="EX224" s="1866"/>
      <c r="EY224" s="1866"/>
      <c r="EZ224" s="1866"/>
      <c r="FA224" s="1866"/>
      <c r="FB224" s="1866"/>
      <c r="FC224" s="1866"/>
      <c r="FD224" s="1866"/>
      <c r="FE224" s="1866"/>
      <c r="FF224" s="1866"/>
      <c r="FG224" s="1866"/>
      <c r="FH224" s="1866"/>
      <c r="FI224" s="1866"/>
      <c r="FJ224" s="1866"/>
      <c r="FK224" s="1866"/>
      <c r="FL224" s="1866"/>
      <c r="FM224" s="1866"/>
      <c r="FN224" s="1866"/>
      <c r="FO224" s="1866"/>
      <c r="FP224" s="1866"/>
      <c r="FQ224" s="1866"/>
      <c r="FR224" s="1866"/>
      <c r="FS224" s="1866"/>
      <c r="FT224" s="1866"/>
      <c r="FU224" s="1866"/>
      <c r="FV224" s="1866"/>
      <c r="FW224" s="1866"/>
      <c r="FX224" s="1866"/>
      <c r="FY224" s="1866"/>
      <c r="FZ224" s="1866"/>
      <c r="GA224" s="1866"/>
      <c r="GB224" s="1866"/>
      <c r="GC224" s="1866"/>
      <c r="GD224" s="1866"/>
      <c r="GE224" s="1866"/>
      <c r="GF224" s="1866"/>
      <c r="GG224" s="1866"/>
      <c r="GH224" s="1866"/>
      <c r="GI224" s="1866"/>
      <c r="GJ224" s="1866"/>
      <c r="GK224" s="1866"/>
      <c r="GL224" s="1866"/>
      <c r="GM224" s="1866"/>
      <c r="GN224" s="1866"/>
      <c r="GO224" s="1866"/>
      <c r="GP224" s="1866"/>
      <c r="GQ224" s="1866"/>
      <c r="GR224" s="1866"/>
      <c r="GS224" s="1866"/>
      <c r="GT224" s="1866"/>
      <c r="GU224" s="1866"/>
      <c r="GV224" s="1866"/>
      <c r="GW224" s="1866"/>
      <c r="GX224" s="1866"/>
      <c r="GY224" s="1866"/>
      <c r="GZ224" s="1866"/>
      <c r="HA224" s="1866"/>
      <c r="HB224" s="1866"/>
      <c r="HC224" s="1866"/>
      <c r="HD224" s="1866"/>
      <c r="HE224" s="1866"/>
      <c r="HF224" s="1868"/>
      <c r="HG224" s="1868"/>
      <c r="HH224" s="1868"/>
      <c r="HI224" s="1868"/>
      <c r="HJ224" s="1868"/>
      <c r="HK224" s="1868"/>
      <c r="HL224" s="1868"/>
      <c r="HM224" s="1868"/>
      <c r="HN224" s="1868"/>
      <c r="HO224" s="1868"/>
      <c r="HP224" s="1868"/>
      <c r="HQ224" s="1868"/>
      <c r="HR224" s="1868"/>
      <c r="HS224" s="1868"/>
      <c r="HT224" s="1868"/>
      <c r="HU224" s="1868"/>
      <c r="HV224" s="1868"/>
      <c r="HW224" s="1868"/>
      <c r="HX224" s="1868"/>
      <c r="HY224" s="1868"/>
      <c r="HZ224" s="1868"/>
      <c r="IA224" s="1868"/>
      <c r="IB224" s="1868"/>
      <c r="IC224" s="1868"/>
      <c r="ID224" s="1868"/>
      <c r="IE224" s="1868"/>
      <c r="IF224" s="1868"/>
      <c r="IG224" s="1869"/>
      <c r="IH224" s="1869"/>
      <c r="II224" s="1869"/>
      <c r="IJ224" s="1869"/>
      <c r="IK224" s="1869"/>
      <c r="IL224" s="1869"/>
      <c r="IM224" s="1869"/>
      <c r="IN224" s="1869"/>
      <c r="IO224" s="1869"/>
      <c r="IP224" s="1869"/>
      <c r="IQ224" s="1869"/>
      <c r="IR224" s="1869"/>
      <c r="IS224" s="1869"/>
      <c r="IT224" s="1869"/>
      <c r="IU224" s="1869"/>
      <c r="IV224" s="1869"/>
      <c r="IW224" s="1869"/>
      <c r="IX224" s="1869"/>
      <c r="IY224" s="1869"/>
      <c r="IZ224" s="1869"/>
      <c r="JA224" s="1869"/>
      <c r="JB224" s="1869"/>
      <c r="JC224" s="1869"/>
      <c r="JD224" s="1869"/>
      <c r="JE224" s="1869"/>
      <c r="JF224" s="1869"/>
      <c r="JG224" s="1869"/>
      <c r="JH224" s="1869"/>
      <c r="JI224" s="1869"/>
      <c r="JJ224" s="1869"/>
      <c r="JK224" s="1869"/>
      <c r="JL224" s="1869"/>
      <c r="JM224" s="1869"/>
      <c r="JN224" s="1869"/>
      <c r="JO224" s="1869"/>
      <c r="JP224" s="1869"/>
      <c r="JQ224" s="1869"/>
      <c r="JR224" s="1869"/>
      <c r="JS224" s="1869"/>
      <c r="JT224" s="1869"/>
      <c r="JU224" s="1869"/>
      <c r="JV224" s="1869"/>
      <c r="JW224" s="1869"/>
      <c r="JX224" s="1869"/>
      <c r="JY224" s="1869"/>
      <c r="JZ224" s="1869"/>
      <c r="KA224" s="1869"/>
      <c r="KB224" s="1869"/>
      <c r="KC224" s="1869"/>
      <c r="KD224" s="1869"/>
      <c r="KE224" s="1869"/>
      <c r="KF224" s="1869"/>
      <c r="KG224" s="1869"/>
      <c r="KH224" s="1869"/>
      <c r="KI224" s="1869"/>
      <c r="KJ224" s="1869"/>
      <c r="KK224" s="1869"/>
      <c r="KL224" s="1869"/>
      <c r="KM224" s="1869"/>
      <c r="KN224" s="1869"/>
      <c r="KO224" s="1869"/>
      <c r="KP224" s="1869"/>
      <c r="KQ224" s="1869"/>
      <c r="KR224" s="1869"/>
      <c r="KS224" s="1869"/>
      <c r="KT224" s="1869"/>
      <c r="KU224" s="1869"/>
      <c r="KV224" s="1869"/>
      <c r="KW224" s="1869"/>
      <c r="KX224" s="1869"/>
      <c r="KY224" s="1869"/>
      <c r="KZ224" s="1869"/>
      <c r="LA224" s="1869"/>
      <c r="LB224" s="1869"/>
      <c r="LC224" s="1869"/>
      <c r="LD224" s="1869"/>
      <c r="LE224" s="1869"/>
      <c r="LF224" s="1869"/>
      <c r="LG224" s="1869"/>
      <c r="LH224" s="1869"/>
      <c r="LI224" s="1869"/>
      <c r="LJ224" s="1869"/>
      <c r="LK224" s="1869"/>
      <c r="LL224" s="1869"/>
      <c r="LM224" s="1869"/>
      <c r="LN224" s="1869"/>
      <c r="LO224" s="1869"/>
      <c r="LP224" s="1869"/>
      <c r="LQ224" s="1869"/>
      <c r="LR224" s="1869"/>
      <c r="LS224" s="1869"/>
      <c r="LT224" s="1869"/>
      <c r="LU224" s="1869"/>
      <c r="LV224" s="1869"/>
      <c r="LW224" s="1869"/>
      <c r="LX224" s="1869"/>
      <c r="LY224" s="1869"/>
      <c r="LZ224" s="1869"/>
      <c r="MA224" s="1869"/>
      <c r="MB224" s="1869"/>
      <c r="MC224" s="1869"/>
      <c r="MD224" s="1869"/>
      <c r="ME224" s="1869"/>
      <c r="MF224" s="1869"/>
      <c r="MG224" s="1869"/>
      <c r="MH224" s="1869"/>
      <c r="MI224" s="1869"/>
      <c r="MJ224" s="1869"/>
      <c r="MK224" s="1869"/>
      <c r="ML224" s="1869"/>
      <c r="MM224" s="1869"/>
      <c r="MN224" s="1869"/>
      <c r="MO224" s="1869"/>
      <c r="MP224" s="1869"/>
      <c r="MQ224" s="1869"/>
      <c r="MR224" s="1869"/>
    </row>
    <row r="225" spans="1:1291" ht="15" customHeight="1" x14ac:dyDescent="0.2">
      <c r="A225" s="1964"/>
      <c r="B225" s="1999"/>
      <c r="C225" s="1705" t="s">
        <v>580</v>
      </c>
      <c r="D225" s="1885"/>
      <c r="E225" s="1984"/>
      <c r="F225" s="1838">
        <v>0</v>
      </c>
      <c r="G225" s="1804">
        <v>0</v>
      </c>
      <c r="H225" s="1804">
        <v>0</v>
      </c>
      <c r="I225" s="1804">
        <v>0</v>
      </c>
      <c r="J225" s="1804">
        <v>0</v>
      </c>
      <c r="K225" s="1804">
        <v>0</v>
      </c>
      <c r="L225" s="1804">
        <v>0</v>
      </c>
      <c r="M225" s="1804">
        <v>0</v>
      </c>
      <c r="N225" s="1804">
        <v>0</v>
      </c>
      <c r="O225" s="1804">
        <v>0</v>
      </c>
      <c r="P225" s="1804">
        <v>0</v>
      </c>
      <c r="Q225" s="1804">
        <v>0</v>
      </c>
      <c r="R225" s="1804">
        <v>0</v>
      </c>
      <c r="S225" s="1804">
        <v>0</v>
      </c>
      <c r="T225" s="1804">
        <v>0</v>
      </c>
      <c r="U225" s="1804">
        <v>0</v>
      </c>
      <c r="V225" s="1804">
        <v>0</v>
      </c>
      <c r="W225" s="1804">
        <v>0</v>
      </c>
      <c r="X225" s="1804">
        <v>0</v>
      </c>
      <c r="Y225" s="1804">
        <v>0</v>
      </c>
      <c r="Z225" s="1804">
        <v>0</v>
      </c>
      <c r="AA225" s="1804">
        <v>0</v>
      </c>
      <c r="AB225" s="1804">
        <v>0</v>
      </c>
      <c r="AC225" s="1804">
        <v>0</v>
      </c>
      <c r="AD225" s="1804">
        <v>0</v>
      </c>
      <c r="AE225" s="1804">
        <v>0</v>
      </c>
      <c r="AF225" s="1804">
        <v>0</v>
      </c>
      <c r="AG225" s="1804">
        <v>0</v>
      </c>
      <c r="AH225" s="1804">
        <v>0</v>
      </c>
      <c r="AI225" s="1804">
        <v>0</v>
      </c>
      <c r="AJ225" s="1804">
        <v>0</v>
      </c>
      <c r="AK225" s="1804">
        <v>0</v>
      </c>
      <c r="AL225" s="1804">
        <v>0</v>
      </c>
      <c r="AM225" s="1804">
        <v>0</v>
      </c>
      <c r="AN225" s="1804">
        <v>0</v>
      </c>
      <c r="AO225" s="1804">
        <v>0</v>
      </c>
      <c r="AP225" s="1804">
        <v>0</v>
      </c>
      <c r="AQ225" s="1804">
        <v>0</v>
      </c>
      <c r="AR225" s="1804">
        <v>0</v>
      </c>
      <c r="AS225" s="1804">
        <v>0</v>
      </c>
      <c r="AT225" s="1804">
        <v>0</v>
      </c>
      <c r="AU225" s="1804">
        <v>0</v>
      </c>
      <c r="AV225" s="1804">
        <v>0</v>
      </c>
      <c r="AW225" s="1804">
        <v>0</v>
      </c>
      <c r="AX225" s="1804">
        <v>0</v>
      </c>
      <c r="AY225" s="1804">
        <v>0</v>
      </c>
      <c r="AZ225" s="1804">
        <v>0</v>
      </c>
      <c r="BA225" s="1804">
        <v>0</v>
      </c>
      <c r="BB225" s="1804">
        <v>0</v>
      </c>
      <c r="BC225" s="1804">
        <v>0</v>
      </c>
      <c r="BD225" s="1804">
        <v>0</v>
      </c>
      <c r="BE225" s="1804">
        <v>0</v>
      </c>
      <c r="BF225" s="1804">
        <v>0</v>
      </c>
      <c r="BG225" s="1804">
        <v>0</v>
      </c>
      <c r="BH225" s="1804">
        <v>0</v>
      </c>
      <c r="BI225" s="1804">
        <v>0</v>
      </c>
      <c r="BJ225" s="1804">
        <v>0</v>
      </c>
      <c r="BK225" s="1804">
        <v>0</v>
      </c>
      <c r="BL225" s="1804">
        <v>0</v>
      </c>
      <c r="BM225" s="1804">
        <v>0</v>
      </c>
      <c r="BN225" s="1804">
        <v>0</v>
      </c>
      <c r="BO225" s="1804">
        <v>0</v>
      </c>
      <c r="BP225" s="1804">
        <v>0</v>
      </c>
      <c r="BQ225" s="1804">
        <v>0</v>
      </c>
      <c r="BR225" s="1804">
        <v>0</v>
      </c>
      <c r="BS225" s="1804">
        <v>0</v>
      </c>
      <c r="BT225" s="1804">
        <v>0</v>
      </c>
      <c r="BU225" s="1804">
        <v>0</v>
      </c>
      <c r="BV225" s="1804">
        <v>0</v>
      </c>
      <c r="BW225" s="1804">
        <v>0</v>
      </c>
      <c r="BX225" s="1804">
        <v>0</v>
      </c>
      <c r="BY225" s="1804">
        <v>0</v>
      </c>
      <c r="BZ225" s="1804">
        <v>0</v>
      </c>
      <c r="CA225" s="1804">
        <v>0</v>
      </c>
      <c r="CB225" s="1804">
        <v>0</v>
      </c>
      <c r="CC225" s="1804">
        <v>0</v>
      </c>
      <c r="CD225" s="1804">
        <v>0</v>
      </c>
      <c r="CE225" s="1804">
        <v>0</v>
      </c>
      <c r="CF225" s="1804">
        <v>0</v>
      </c>
      <c r="CG225" s="1804">
        <v>0</v>
      </c>
      <c r="CH225" s="1804">
        <v>0</v>
      </c>
      <c r="CI225" s="1804">
        <v>0</v>
      </c>
      <c r="CJ225" s="1804">
        <v>0</v>
      </c>
      <c r="CK225" s="1804">
        <v>0</v>
      </c>
      <c r="CL225" s="1804">
        <v>0</v>
      </c>
      <c r="CM225" s="1804">
        <v>0</v>
      </c>
      <c r="CN225" s="1804">
        <v>0</v>
      </c>
      <c r="CO225" s="1804">
        <v>0</v>
      </c>
      <c r="CP225" s="1804">
        <v>0</v>
      </c>
      <c r="CQ225" s="1804">
        <v>0</v>
      </c>
      <c r="CR225" s="1804">
        <v>0</v>
      </c>
      <c r="CS225" s="1804">
        <v>0</v>
      </c>
      <c r="CT225" s="1804">
        <v>0</v>
      </c>
      <c r="CU225" s="1804">
        <v>0</v>
      </c>
      <c r="CV225" s="1804">
        <v>0</v>
      </c>
      <c r="CW225" s="1804">
        <v>0</v>
      </c>
      <c r="CX225" s="1804">
        <v>0</v>
      </c>
      <c r="CY225" s="1804">
        <v>0</v>
      </c>
      <c r="CZ225" s="1804">
        <v>0</v>
      </c>
      <c r="DA225" s="1804">
        <v>0</v>
      </c>
      <c r="DB225" s="1804">
        <v>0</v>
      </c>
      <c r="DC225" s="1804">
        <v>0</v>
      </c>
      <c r="DD225" s="1804">
        <v>0</v>
      </c>
      <c r="DE225" s="1804">
        <v>0</v>
      </c>
      <c r="DF225" s="1804">
        <v>0</v>
      </c>
      <c r="DG225" s="1804">
        <v>0</v>
      </c>
      <c r="DH225" s="1804">
        <v>0</v>
      </c>
      <c r="DI225" s="1804">
        <v>0</v>
      </c>
      <c r="DJ225" s="1804">
        <v>0</v>
      </c>
      <c r="DK225" s="1804">
        <v>0</v>
      </c>
      <c r="DL225" s="1804">
        <v>0</v>
      </c>
      <c r="DM225" s="1804">
        <v>0</v>
      </c>
      <c r="DN225" s="1804">
        <v>0</v>
      </c>
      <c r="DO225" s="1804">
        <v>0</v>
      </c>
      <c r="DP225" s="1804">
        <v>0</v>
      </c>
      <c r="DQ225" s="1804">
        <v>0</v>
      </c>
      <c r="DR225" s="1804">
        <v>0</v>
      </c>
      <c r="DS225" s="1804">
        <v>0</v>
      </c>
      <c r="DT225" s="1804">
        <v>0</v>
      </c>
      <c r="DU225" s="1804">
        <v>0</v>
      </c>
      <c r="DV225" s="1804">
        <v>0</v>
      </c>
      <c r="DW225" s="1804">
        <v>0</v>
      </c>
      <c r="DX225" s="1804">
        <v>0</v>
      </c>
      <c r="DY225" s="1804">
        <v>0</v>
      </c>
      <c r="DZ225" s="1804">
        <v>0</v>
      </c>
      <c r="EA225" s="1804">
        <v>0</v>
      </c>
      <c r="EB225" s="1804">
        <v>0</v>
      </c>
      <c r="EC225" s="1804">
        <v>0</v>
      </c>
      <c r="ED225" s="1804">
        <v>0</v>
      </c>
      <c r="EE225" s="1804">
        <v>0</v>
      </c>
      <c r="EF225" s="1804">
        <v>0</v>
      </c>
      <c r="EG225" s="1804">
        <v>0</v>
      </c>
      <c r="EH225" s="1804">
        <v>0</v>
      </c>
      <c r="EI225" s="1804">
        <v>0</v>
      </c>
      <c r="EJ225" s="1804">
        <v>0</v>
      </c>
      <c r="EK225" s="1804">
        <v>0</v>
      </c>
      <c r="EL225" s="1804">
        <v>0</v>
      </c>
      <c r="EM225" s="1804">
        <v>0</v>
      </c>
      <c r="EN225" s="1804">
        <v>0</v>
      </c>
      <c r="EO225" s="1804">
        <v>0</v>
      </c>
      <c r="EP225" s="1804">
        <v>0</v>
      </c>
      <c r="EQ225" s="1804">
        <v>0</v>
      </c>
      <c r="ER225" s="1804">
        <v>0</v>
      </c>
      <c r="ES225" s="1804">
        <v>0</v>
      </c>
      <c r="ET225" s="1804">
        <v>0</v>
      </c>
      <c r="EU225" s="1804">
        <v>0</v>
      </c>
      <c r="EV225" s="1804">
        <v>0</v>
      </c>
      <c r="EW225" s="1804">
        <v>0</v>
      </c>
      <c r="EX225" s="1804">
        <v>0</v>
      </c>
      <c r="EY225" s="1804">
        <v>0</v>
      </c>
      <c r="EZ225" s="1804">
        <v>0</v>
      </c>
      <c r="FA225" s="1804">
        <v>0</v>
      </c>
      <c r="FB225" s="1804">
        <v>0</v>
      </c>
      <c r="FC225" s="1804">
        <v>0</v>
      </c>
      <c r="FD225" s="1804">
        <v>0</v>
      </c>
      <c r="FE225" s="1804">
        <v>0</v>
      </c>
      <c r="FF225" s="1804">
        <v>0</v>
      </c>
      <c r="FG225" s="1804">
        <v>0</v>
      </c>
      <c r="FH225" s="1804">
        <v>0</v>
      </c>
      <c r="FI225" s="1804">
        <v>0</v>
      </c>
      <c r="FJ225" s="1804">
        <v>0</v>
      </c>
      <c r="FK225" s="1804">
        <v>0</v>
      </c>
      <c r="FL225" s="1804">
        <v>0</v>
      </c>
      <c r="FM225" s="1804">
        <v>0</v>
      </c>
      <c r="FN225" s="1804">
        <v>0</v>
      </c>
      <c r="FO225" s="1804">
        <v>0</v>
      </c>
      <c r="FP225" s="1804">
        <v>0</v>
      </c>
      <c r="FQ225" s="1804">
        <v>0</v>
      </c>
      <c r="FR225" s="1804">
        <v>0</v>
      </c>
      <c r="FS225" s="1804">
        <v>0</v>
      </c>
      <c r="FT225" s="1804">
        <v>0</v>
      </c>
      <c r="FU225" s="1804">
        <v>0</v>
      </c>
      <c r="FV225" s="1804">
        <v>0</v>
      </c>
      <c r="FW225" s="1804">
        <v>0</v>
      </c>
      <c r="FX225" s="1804">
        <v>0</v>
      </c>
      <c r="FY225" s="1804">
        <v>0</v>
      </c>
      <c r="FZ225" s="1804">
        <v>0</v>
      </c>
      <c r="GA225" s="1804">
        <v>0</v>
      </c>
      <c r="GB225" s="1804">
        <v>0</v>
      </c>
      <c r="GC225" s="1804">
        <v>0</v>
      </c>
      <c r="GD225" s="1804">
        <v>0</v>
      </c>
      <c r="GE225" s="1804">
        <v>0</v>
      </c>
      <c r="GF225" s="1804">
        <v>0</v>
      </c>
      <c r="GG225" s="1804">
        <v>0</v>
      </c>
      <c r="GH225" s="1804">
        <v>0</v>
      </c>
      <c r="GI225" s="1804">
        <v>0</v>
      </c>
      <c r="GJ225" s="1804">
        <v>0</v>
      </c>
      <c r="GK225" s="1804">
        <v>0</v>
      </c>
      <c r="GL225" s="1804">
        <v>0</v>
      </c>
      <c r="GM225" s="1804">
        <v>0</v>
      </c>
      <c r="GN225" s="1804">
        <v>0</v>
      </c>
      <c r="GO225" s="1804">
        <v>0</v>
      </c>
      <c r="GP225" s="1804">
        <v>0</v>
      </c>
      <c r="GQ225" s="1804">
        <v>0</v>
      </c>
      <c r="GR225" s="1804">
        <v>0</v>
      </c>
      <c r="GS225" s="1804">
        <v>0</v>
      </c>
      <c r="GT225" s="1804">
        <v>0</v>
      </c>
      <c r="GU225" s="1804">
        <v>0</v>
      </c>
      <c r="GV225" s="1804">
        <v>0</v>
      </c>
      <c r="GW225" s="1804">
        <v>0</v>
      </c>
      <c r="GX225" s="1804">
        <v>0</v>
      </c>
      <c r="GY225" s="1804">
        <v>0</v>
      </c>
      <c r="GZ225" s="1804">
        <v>0</v>
      </c>
      <c r="HA225" s="1804">
        <v>0</v>
      </c>
      <c r="HB225" s="1804">
        <v>0</v>
      </c>
      <c r="HC225" s="1804">
        <v>0</v>
      </c>
      <c r="HD225" s="1804">
        <v>0</v>
      </c>
      <c r="HE225" s="1804">
        <v>0</v>
      </c>
      <c r="HF225" s="1868"/>
      <c r="HG225" s="1868"/>
      <c r="HH225" s="1868"/>
      <c r="HI225" s="1868"/>
      <c r="HJ225" s="1868"/>
      <c r="HK225" s="1868"/>
      <c r="HL225" s="1868"/>
      <c r="HM225" s="1868"/>
      <c r="HN225" s="1868"/>
      <c r="HO225" s="1868"/>
      <c r="HP225" s="1868"/>
      <c r="HQ225" s="1868"/>
      <c r="HR225" s="1868"/>
      <c r="HS225" s="1868"/>
      <c r="HT225" s="1868"/>
      <c r="HU225" s="1868"/>
      <c r="HV225" s="1868"/>
      <c r="HW225" s="1868"/>
      <c r="HX225" s="1868"/>
      <c r="HY225" s="1868"/>
      <c r="HZ225" s="1868"/>
      <c r="IA225" s="1868"/>
      <c r="IB225" s="1868"/>
      <c r="IC225" s="1868"/>
      <c r="ID225" s="1868"/>
      <c r="IE225" s="1868"/>
      <c r="IF225" s="1868"/>
      <c r="IG225" s="1868"/>
      <c r="IH225" s="1868"/>
      <c r="II225" s="1868"/>
      <c r="IJ225" s="1868"/>
      <c r="IK225" s="1868"/>
      <c r="IL225" s="1868"/>
      <c r="IM225" s="1868"/>
      <c r="IN225" s="1868"/>
      <c r="IO225" s="1868"/>
      <c r="IP225" s="1868"/>
      <c r="IQ225" s="1868"/>
      <c r="IR225" s="1868"/>
      <c r="IS225" s="1868"/>
      <c r="IT225" s="1868"/>
      <c r="IU225" s="1868"/>
      <c r="IV225" s="1868"/>
      <c r="IW225" s="1868"/>
      <c r="IX225" s="1868"/>
      <c r="IY225" s="1868"/>
      <c r="IZ225" s="1868"/>
      <c r="JA225" s="1868"/>
      <c r="JB225" s="1868"/>
      <c r="JC225" s="1868"/>
      <c r="JD225" s="1868"/>
      <c r="JE225" s="1868"/>
      <c r="JF225" s="1868"/>
      <c r="JG225" s="1868"/>
      <c r="JH225" s="1868"/>
      <c r="JI225" s="1868"/>
      <c r="JJ225" s="1868"/>
      <c r="JK225" s="1868"/>
      <c r="JL225" s="1868"/>
      <c r="JM225" s="1868"/>
      <c r="JN225" s="1868"/>
      <c r="JO225" s="1868"/>
      <c r="JP225" s="1868"/>
      <c r="JQ225" s="1868"/>
      <c r="JR225" s="1868"/>
      <c r="JS225" s="1868"/>
      <c r="JT225" s="1868"/>
      <c r="JU225" s="1868"/>
      <c r="JV225" s="1868"/>
      <c r="JW225" s="1868"/>
      <c r="JX225" s="1868"/>
      <c r="JY225" s="1868"/>
      <c r="JZ225" s="1868"/>
      <c r="KA225" s="1868"/>
      <c r="KB225" s="1868"/>
      <c r="KC225" s="1868"/>
      <c r="KD225" s="1868"/>
      <c r="KE225" s="1868"/>
      <c r="KF225" s="1868"/>
      <c r="KG225" s="1868"/>
      <c r="KH225" s="1868"/>
      <c r="KI225" s="1868"/>
      <c r="KJ225" s="1868"/>
      <c r="KK225" s="1868"/>
      <c r="KL225" s="1868"/>
      <c r="KM225" s="1868"/>
      <c r="KN225" s="1868"/>
      <c r="KO225" s="1868"/>
      <c r="KP225" s="1868"/>
      <c r="KQ225" s="1868"/>
      <c r="KR225" s="1868"/>
      <c r="KS225" s="1868"/>
      <c r="KT225" s="1868"/>
      <c r="KU225" s="1868"/>
      <c r="KV225" s="1868"/>
      <c r="KW225" s="1868"/>
      <c r="KX225" s="1868"/>
      <c r="KY225" s="1868"/>
      <c r="KZ225" s="1868"/>
      <c r="LA225" s="1868"/>
      <c r="LB225" s="1868"/>
      <c r="LC225" s="1868"/>
      <c r="LD225" s="1868"/>
      <c r="LE225" s="1868"/>
      <c r="LF225" s="1868"/>
      <c r="LG225" s="1868"/>
      <c r="LH225" s="1868"/>
      <c r="LI225" s="1868"/>
      <c r="LJ225" s="1868"/>
      <c r="LK225" s="1868"/>
      <c r="LL225" s="1868"/>
      <c r="LM225" s="1868"/>
      <c r="LN225" s="1868"/>
      <c r="LO225" s="1868"/>
      <c r="LP225" s="1868"/>
      <c r="LQ225" s="1868"/>
      <c r="LR225" s="1868"/>
      <c r="LS225" s="1868"/>
      <c r="LT225" s="1868"/>
      <c r="LU225" s="1868"/>
      <c r="LV225" s="1868"/>
      <c r="LW225" s="1868"/>
      <c r="LX225" s="1868"/>
      <c r="LY225" s="1868"/>
      <c r="LZ225" s="1868"/>
      <c r="MA225" s="1868"/>
      <c r="MB225" s="1868"/>
      <c r="MC225" s="1868"/>
      <c r="MD225" s="1868"/>
      <c r="ME225" s="1868"/>
      <c r="MF225" s="1868"/>
      <c r="MG225" s="1868"/>
      <c r="MH225" s="1868"/>
      <c r="MI225" s="1868"/>
      <c r="MJ225" s="1868"/>
      <c r="MK225" s="1868"/>
      <c r="ML225" s="1868"/>
      <c r="MM225" s="1868"/>
      <c r="MN225" s="1868"/>
      <c r="MO225" s="1868"/>
      <c r="MP225" s="1868"/>
      <c r="MQ225" s="1868"/>
      <c r="MR225" s="1868"/>
      <c r="MS225" s="1869"/>
      <c r="MT225" s="1869"/>
      <c r="MU225" s="1869"/>
      <c r="MV225" s="1869"/>
      <c r="MW225" s="1869"/>
      <c r="MX225" s="1869"/>
      <c r="MY225" s="1869"/>
      <c r="MZ225" s="1869"/>
      <c r="NA225" s="1869"/>
      <c r="NB225" s="1869"/>
      <c r="NC225" s="1869"/>
      <c r="ND225" s="1869"/>
      <c r="NE225" s="1869"/>
      <c r="NF225" s="1869"/>
      <c r="NG225" s="1869"/>
      <c r="NH225" s="1869"/>
      <c r="NI225" s="1869"/>
      <c r="NJ225" s="1869"/>
      <c r="NK225" s="1869"/>
      <c r="NL225" s="1869"/>
      <c r="NM225" s="1869"/>
      <c r="NN225" s="1869"/>
      <c r="NO225" s="1869"/>
      <c r="NP225" s="1869"/>
      <c r="NQ225" s="1869"/>
      <c r="NR225" s="1869"/>
      <c r="NS225" s="1869"/>
      <c r="NT225" s="1869"/>
      <c r="NU225" s="1869"/>
      <c r="NV225" s="1869"/>
      <c r="NW225" s="1869"/>
      <c r="NX225" s="1869"/>
      <c r="NY225" s="1869"/>
      <c r="NZ225" s="1869"/>
      <c r="OA225" s="1869"/>
      <c r="OB225" s="1869"/>
      <c r="OC225" s="1869"/>
      <c r="OD225" s="1869"/>
      <c r="OE225" s="1869"/>
      <c r="OF225" s="1869"/>
      <c r="OG225" s="1869"/>
      <c r="OH225" s="1869"/>
      <c r="OI225" s="1869"/>
      <c r="OJ225" s="1869"/>
      <c r="OK225" s="1869"/>
      <c r="OL225" s="1869"/>
      <c r="OM225" s="1869"/>
      <c r="ON225" s="1869"/>
      <c r="OO225" s="1869"/>
      <c r="OP225" s="1869"/>
      <c r="OQ225" s="1869"/>
      <c r="OR225" s="1869"/>
      <c r="OS225" s="1869"/>
      <c r="OT225" s="1869"/>
      <c r="OU225" s="1869"/>
      <c r="OV225" s="1869"/>
      <c r="OW225" s="1869"/>
      <c r="OX225" s="1869"/>
      <c r="OY225" s="1869"/>
      <c r="OZ225" s="1869"/>
      <c r="PA225" s="1869"/>
      <c r="PB225" s="1869"/>
      <c r="PC225" s="1869"/>
      <c r="PD225" s="1869"/>
      <c r="PE225" s="1869"/>
      <c r="PF225" s="1869"/>
      <c r="PG225" s="1869"/>
      <c r="PH225" s="1869"/>
      <c r="PI225" s="1869"/>
      <c r="PJ225" s="1869"/>
      <c r="PK225" s="1869"/>
      <c r="PL225" s="1869"/>
      <c r="PM225" s="1869"/>
      <c r="PN225" s="1869"/>
      <c r="PO225" s="1869"/>
      <c r="PP225" s="1869"/>
      <c r="PQ225" s="1869"/>
      <c r="PR225" s="1869"/>
      <c r="PS225" s="1869"/>
      <c r="PT225" s="1869"/>
      <c r="PU225" s="1869"/>
      <c r="PV225" s="1869"/>
      <c r="PW225" s="1869"/>
      <c r="PX225" s="1869"/>
      <c r="PY225" s="1869"/>
      <c r="PZ225" s="1869"/>
      <c r="QA225" s="1869"/>
      <c r="QB225" s="1869"/>
      <c r="QC225" s="1869"/>
      <c r="QD225" s="1869"/>
      <c r="QE225" s="1869"/>
      <c r="QF225" s="1869"/>
      <c r="QG225" s="1869"/>
      <c r="QH225" s="1869"/>
      <c r="QI225" s="1869"/>
      <c r="QJ225" s="1869"/>
      <c r="QK225" s="1869"/>
      <c r="QL225" s="1869"/>
      <c r="QM225" s="1869"/>
      <c r="QN225" s="1869"/>
      <c r="QO225" s="1869"/>
      <c r="QP225" s="1869"/>
      <c r="QQ225" s="1869"/>
      <c r="QR225" s="1869"/>
      <c r="QS225" s="1869"/>
      <c r="QT225" s="1869"/>
      <c r="QU225" s="1869"/>
      <c r="QV225" s="1869"/>
      <c r="QW225" s="1869"/>
      <c r="QX225" s="1869"/>
      <c r="QY225" s="1869"/>
      <c r="QZ225" s="1869"/>
      <c r="RA225" s="1869"/>
      <c r="RB225" s="1869"/>
      <c r="RC225" s="1869"/>
      <c r="RD225" s="1869"/>
      <c r="RE225" s="1869"/>
      <c r="RF225" s="1869"/>
      <c r="RG225" s="1869"/>
      <c r="RH225" s="1869"/>
      <c r="RI225" s="1869"/>
      <c r="RJ225" s="1869"/>
      <c r="RK225" s="1869"/>
      <c r="RL225" s="1869"/>
      <c r="RM225" s="1869"/>
      <c r="RN225" s="1869"/>
      <c r="RO225" s="1869"/>
      <c r="RP225" s="1869"/>
      <c r="RQ225" s="1869"/>
      <c r="RR225" s="1869"/>
      <c r="RS225" s="1869"/>
      <c r="RT225" s="1869"/>
      <c r="RU225" s="1869"/>
      <c r="RV225" s="1869"/>
      <c r="RW225" s="1869"/>
      <c r="RX225" s="1869"/>
      <c r="RY225" s="1869"/>
      <c r="RZ225" s="1869"/>
      <c r="SA225" s="1869"/>
      <c r="SB225" s="1869"/>
      <c r="SC225" s="1869"/>
      <c r="SD225" s="1869"/>
      <c r="SE225" s="1869"/>
      <c r="SF225" s="1869"/>
      <c r="SG225" s="1869"/>
      <c r="SH225" s="1869"/>
      <c r="SI225" s="1869"/>
      <c r="SJ225" s="1869"/>
      <c r="SK225" s="1869"/>
      <c r="SL225" s="1869"/>
      <c r="SM225" s="1869"/>
      <c r="SN225" s="1869"/>
      <c r="SO225" s="1869"/>
      <c r="SP225" s="1869"/>
      <c r="SQ225" s="1869"/>
      <c r="SR225" s="1869"/>
      <c r="SS225" s="1869"/>
      <c r="ST225" s="1869"/>
      <c r="SU225" s="1869"/>
      <c r="SV225" s="1869"/>
      <c r="SW225" s="1869"/>
      <c r="SX225" s="1869"/>
      <c r="SY225" s="1869"/>
      <c r="SZ225" s="1869"/>
      <c r="TA225" s="1869"/>
      <c r="TB225" s="1869"/>
      <c r="TC225" s="1869"/>
      <c r="TD225" s="1869"/>
      <c r="TE225" s="1869"/>
      <c r="TF225" s="1869"/>
      <c r="TG225" s="1869"/>
      <c r="TH225" s="1869"/>
      <c r="TI225" s="1869"/>
      <c r="TJ225" s="1869"/>
      <c r="TK225" s="1869"/>
      <c r="TL225" s="1869"/>
      <c r="TM225" s="1869"/>
      <c r="TN225" s="1869"/>
      <c r="TO225" s="1869"/>
      <c r="TP225" s="1869"/>
      <c r="TQ225" s="1869"/>
      <c r="TR225" s="1869"/>
      <c r="TS225" s="1869"/>
      <c r="TT225" s="1869"/>
      <c r="TU225" s="1869"/>
      <c r="TV225" s="1869"/>
      <c r="TW225" s="1869"/>
      <c r="TX225" s="1869"/>
      <c r="TY225" s="1869"/>
      <c r="TZ225" s="1869"/>
      <c r="UA225" s="1869"/>
      <c r="UB225" s="1869"/>
      <c r="UC225" s="1869"/>
      <c r="UD225" s="1869"/>
      <c r="UE225" s="1869"/>
      <c r="UF225" s="1869"/>
      <c r="UG225" s="1869"/>
      <c r="UH225" s="1869"/>
      <c r="UI225" s="1869"/>
      <c r="UJ225" s="1869"/>
      <c r="UK225" s="1869"/>
      <c r="UL225" s="1869"/>
      <c r="UM225" s="1869"/>
      <c r="UN225" s="1869"/>
      <c r="UO225" s="1869"/>
      <c r="UP225" s="1869"/>
      <c r="UQ225" s="1869"/>
      <c r="UR225" s="1869"/>
      <c r="US225" s="1869"/>
      <c r="UT225" s="1869"/>
      <c r="UU225" s="1869"/>
      <c r="UV225" s="1869"/>
      <c r="UW225" s="1869"/>
      <c r="UX225" s="1869"/>
      <c r="UY225" s="1869"/>
      <c r="UZ225" s="1869"/>
      <c r="VA225" s="1869"/>
      <c r="VB225" s="1869"/>
      <c r="VC225" s="1869"/>
      <c r="VD225" s="1869"/>
      <c r="VE225" s="1869"/>
      <c r="VF225" s="1869"/>
      <c r="VG225" s="1869"/>
      <c r="VH225" s="1869"/>
      <c r="VI225" s="1869"/>
      <c r="VJ225" s="1869"/>
      <c r="VK225" s="1869"/>
      <c r="VL225" s="1869"/>
      <c r="VM225" s="1869"/>
      <c r="VN225" s="1869"/>
      <c r="VO225" s="1869"/>
      <c r="VP225" s="1869"/>
      <c r="VQ225" s="1869"/>
      <c r="VR225" s="1869"/>
      <c r="VS225" s="1869"/>
      <c r="VT225" s="1869"/>
      <c r="VU225" s="1869"/>
      <c r="VV225" s="1869"/>
      <c r="VW225" s="1869"/>
      <c r="VX225" s="1869"/>
      <c r="VY225" s="1869"/>
      <c r="VZ225" s="1869"/>
      <c r="WA225" s="1869"/>
      <c r="WB225" s="1869"/>
      <c r="WC225" s="1869"/>
      <c r="WD225" s="1869"/>
      <c r="WE225" s="1869"/>
      <c r="WF225" s="1869"/>
      <c r="WG225" s="1869"/>
      <c r="WH225" s="1869"/>
      <c r="WI225" s="1869"/>
      <c r="WJ225" s="1869"/>
      <c r="WK225" s="1869"/>
      <c r="WL225" s="1869"/>
      <c r="WM225" s="1869"/>
      <c r="WN225" s="1869"/>
      <c r="WO225" s="1869"/>
      <c r="WP225" s="1869"/>
      <c r="WQ225" s="1869"/>
      <c r="WR225" s="1869"/>
      <c r="WS225" s="1869"/>
      <c r="WT225" s="1869"/>
      <c r="WU225" s="1869"/>
      <c r="WV225" s="1869"/>
      <c r="WW225" s="1869"/>
      <c r="WX225" s="1869"/>
      <c r="WY225" s="1869"/>
      <c r="WZ225" s="1869"/>
      <c r="XA225" s="1869"/>
      <c r="XB225" s="1869"/>
      <c r="XC225" s="1869"/>
      <c r="XD225" s="1869"/>
      <c r="XE225" s="1869"/>
      <c r="XF225" s="1869"/>
      <c r="XG225" s="1869"/>
      <c r="XH225" s="1869"/>
      <c r="XI225" s="1869"/>
      <c r="XJ225" s="1869"/>
      <c r="XK225" s="1869"/>
      <c r="XL225" s="1869"/>
      <c r="XM225" s="1869"/>
      <c r="XN225" s="1869"/>
      <c r="XO225" s="1869"/>
      <c r="XP225" s="1869"/>
      <c r="XQ225" s="1869"/>
      <c r="XR225" s="1869"/>
      <c r="XS225" s="1869"/>
      <c r="XT225" s="1869"/>
      <c r="XU225" s="1869"/>
      <c r="XV225" s="1869"/>
      <c r="XW225" s="1869"/>
      <c r="XX225" s="1869"/>
      <c r="XY225" s="1869"/>
      <c r="XZ225" s="1869"/>
      <c r="YA225" s="1869"/>
      <c r="YB225" s="1869"/>
      <c r="YC225" s="1869"/>
      <c r="YD225" s="1869"/>
      <c r="YE225" s="1869"/>
      <c r="YF225" s="1869"/>
      <c r="YG225" s="1869"/>
      <c r="YH225" s="1869"/>
      <c r="YI225" s="1869"/>
      <c r="YJ225" s="1869"/>
      <c r="YK225" s="1869"/>
      <c r="YL225" s="1869"/>
      <c r="YM225" s="1869"/>
      <c r="YN225" s="1869"/>
      <c r="YO225" s="1869"/>
      <c r="YP225" s="1869"/>
      <c r="YQ225" s="1869"/>
      <c r="YR225" s="1869"/>
      <c r="YS225" s="1869"/>
      <c r="YT225" s="1869"/>
      <c r="YU225" s="1869"/>
      <c r="YV225" s="1869"/>
      <c r="YW225" s="1869"/>
      <c r="YX225" s="1869"/>
      <c r="YY225" s="1869"/>
      <c r="YZ225" s="1869"/>
      <c r="ZA225" s="1869"/>
      <c r="ZB225" s="1869"/>
      <c r="ZC225" s="1869"/>
      <c r="ZD225" s="1869"/>
      <c r="ZE225" s="1869"/>
      <c r="ZF225" s="1869"/>
      <c r="ZG225" s="1869"/>
      <c r="ZH225" s="1869"/>
      <c r="ZI225" s="1869"/>
      <c r="ZJ225" s="1869"/>
      <c r="ZK225" s="1869"/>
      <c r="ZL225" s="1869"/>
      <c r="ZM225" s="1869"/>
      <c r="ZN225" s="1869"/>
      <c r="ZO225" s="1869"/>
      <c r="ZP225" s="1869"/>
      <c r="ZQ225" s="1869"/>
      <c r="ZR225" s="1869"/>
      <c r="ZS225" s="1869"/>
      <c r="ZT225" s="1869"/>
      <c r="ZU225" s="1869"/>
      <c r="ZV225" s="1869"/>
      <c r="ZW225" s="1869"/>
      <c r="ZX225" s="1869"/>
      <c r="ZY225" s="1869"/>
      <c r="ZZ225" s="1869"/>
      <c r="AAA225" s="1869"/>
      <c r="AAB225" s="1869"/>
      <c r="AAC225" s="1869"/>
      <c r="AAD225" s="1869"/>
      <c r="AAE225" s="1869"/>
      <c r="AAF225" s="1869"/>
      <c r="AAG225" s="1869"/>
      <c r="AAH225" s="1869"/>
      <c r="AAI225" s="1869"/>
      <c r="AAJ225" s="1869"/>
      <c r="AAK225" s="1869"/>
      <c r="AAL225" s="1869"/>
      <c r="AAM225" s="1869"/>
      <c r="AAN225" s="1869"/>
      <c r="AAO225" s="1869"/>
      <c r="AAP225" s="1869"/>
      <c r="AAQ225" s="1869"/>
      <c r="AAR225" s="1869"/>
      <c r="AAS225" s="1869"/>
      <c r="AAT225" s="1869"/>
      <c r="AAU225" s="1869"/>
      <c r="AAV225" s="1869"/>
      <c r="AAW225" s="1869"/>
      <c r="AAX225" s="1869"/>
      <c r="AAY225" s="1869"/>
      <c r="AAZ225" s="1869"/>
      <c r="ABA225" s="1869"/>
      <c r="ABB225" s="1869"/>
      <c r="ABC225" s="1869"/>
      <c r="ABD225" s="1869"/>
      <c r="ABE225" s="1869"/>
      <c r="ABF225" s="1869"/>
      <c r="ABG225" s="1869"/>
      <c r="ABH225" s="1869"/>
      <c r="ABI225" s="1869"/>
      <c r="ABJ225" s="1869"/>
      <c r="ABK225" s="1869"/>
      <c r="ABL225" s="1869"/>
      <c r="ABM225" s="1869"/>
      <c r="ABN225" s="1869"/>
      <c r="ABO225" s="1869"/>
      <c r="ABP225" s="1869"/>
      <c r="ABQ225" s="1869"/>
      <c r="ABR225" s="1869"/>
      <c r="ABS225" s="1869"/>
      <c r="ABT225" s="1869"/>
      <c r="ABU225" s="1869"/>
      <c r="ABV225" s="1869"/>
      <c r="ABW225" s="1869"/>
      <c r="ABX225" s="1869"/>
      <c r="ABY225" s="1869"/>
      <c r="ABZ225" s="1869"/>
      <c r="ACA225" s="1869"/>
      <c r="ACB225" s="1869"/>
      <c r="ACC225" s="1869"/>
      <c r="ACD225" s="1869"/>
      <c r="ACE225" s="1869"/>
      <c r="ACF225" s="1869"/>
      <c r="ACG225" s="1869"/>
      <c r="ACH225" s="1869"/>
      <c r="ACI225" s="1869"/>
      <c r="ACJ225" s="1869"/>
      <c r="ACK225" s="1869"/>
      <c r="ACL225" s="1869"/>
      <c r="ACM225" s="1869"/>
      <c r="ACN225" s="1869"/>
      <c r="ACO225" s="1869"/>
      <c r="ACP225" s="1869"/>
      <c r="ACQ225" s="1869"/>
      <c r="ACR225" s="1869"/>
      <c r="ACS225" s="1869"/>
      <c r="ACT225" s="1869"/>
      <c r="ACU225" s="1869"/>
      <c r="ACV225" s="1869"/>
      <c r="ACW225" s="1869"/>
      <c r="ACX225" s="1869"/>
      <c r="ACY225" s="1869"/>
      <c r="ACZ225" s="1869"/>
      <c r="ADA225" s="1869"/>
      <c r="ADB225" s="1869"/>
      <c r="ADC225" s="1869"/>
      <c r="ADD225" s="1869"/>
      <c r="ADE225" s="1869"/>
      <c r="ADF225" s="1869"/>
      <c r="ADG225" s="1869"/>
      <c r="ADH225" s="1869"/>
      <c r="ADI225" s="1869"/>
      <c r="ADJ225" s="1869"/>
      <c r="ADK225" s="1869"/>
      <c r="ADL225" s="1869"/>
      <c r="ADM225" s="1869"/>
      <c r="ADN225" s="1869"/>
      <c r="ADO225" s="1869"/>
      <c r="ADP225" s="1869"/>
      <c r="ADQ225" s="1869"/>
      <c r="ADR225" s="1869"/>
      <c r="ADS225" s="1869"/>
      <c r="ADT225" s="1869"/>
      <c r="ADU225" s="1869"/>
      <c r="ADV225" s="1869"/>
      <c r="ADW225" s="1869"/>
      <c r="ADX225" s="1869"/>
      <c r="ADY225" s="1869"/>
      <c r="ADZ225" s="1869"/>
      <c r="AEA225" s="1869"/>
      <c r="AEB225" s="1869"/>
      <c r="AEC225" s="1869"/>
      <c r="AED225" s="1869"/>
      <c r="AEE225" s="1869"/>
      <c r="AEF225" s="1869"/>
      <c r="AEG225" s="1869"/>
      <c r="AEH225" s="1869"/>
      <c r="AEI225" s="1869"/>
      <c r="AEJ225" s="1869"/>
      <c r="AEK225" s="1869"/>
      <c r="AEL225" s="1869"/>
      <c r="AEM225" s="1869"/>
      <c r="AEN225" s="1869"/>
      <c r="AEO225" s="1869"/>
      <c r="AEP225" s="1869"/>
      <c r="AEQ225" s="1869"/>
      <c r="AER225" s="1869"/>
      <c r="AES225" s="1869"/>
      <c r="AET225" s="1869"/>
      <c r="AEU225" s="1869"/>
      <c r="AEV225" s="1869"/>
      <c r="AEW225" s="1869"/>
      <c r="AEX225" s="1869"/>
      <c r="AEY225" s="1869"/>
      <c r="AEZ225" s="1869"/>
      <c r="AFA225" s="1869"/>
      <c r="AFB225" s="1869"/>
      <c r="AFC225" s="1869"/>
      <c r="AFD225" s="1869"/>
      <c r="AFE225" s="1869"/>
      <c r="AFF225" s="1869"/>
      <c r="AFG225" s="1869"/>
      <c r="AFH225" s="1869"/>
      <c r="AFI225" s="1869"/>
      <c r="AFJ225" s="1869"/>
      <c r="AFK225" s="1869"/>
      <c r="AFL225" s="1869"/>
      <c r="AFM225" s="1869"/>
      <c r="AFN225" s="1869"/>
      <c r="AFO225" s="1869"/>
      <c r="AFP225" s="1869"/>
      <c r="AFQ225" s="1869"/>
      <c r="AFR225" s="1869"/>
      <c r="AFS225" s="1869"/>
      <c r="AFT225" s="1869"/>
      <c r="AFU225" s="1869"/>
      <c r="AFV225" s="1869"/>
      <c r="AFW225" s="1869"/>
      <c r="AFX225" s="1869"/>
      <c r="AFY225" s="1869"/>
      <c r="AFZ225" s="1869"/>
      <c r="AGA225" s="1869"/>
      <c r="AGB225" s="1869"/>
      <c r="AGC225" s="1869"/>
      <c r="AGD225" s="1869"/>
      <c r="AGE225" s="1869"/>
      <c r="AGF225" s="1869"/>
      <c r="AGG225" s="1869"/>
      <c r="AGH225" s="1869"/>
      <c r="AGI225" s="1869"/>
      <c r="AGJ225" s="1869"/>
      <c r="AGK225" s="1869"/>
      <c r="AGL225" s="1869"/>
      <c r="AGM225" s="1869"/>
      <c r="AGN225" s="1869"/>
      <c r="AGO225" s="1869"/>
      <c r="AGP225" s="1869"/>
      <c r="AGQ225" s="1869"/>
      <c r="AGR225" s="1869"/>
      <c r="AGS225" s="1869"/>
      <c r="AGT225" s="1869"/>
      <c r="AGU225" s="1869"/>
      <c r="AGV225" s="1869"/>
      <c r="AGW225" s="1869"/>
      <c r="AGX225" s="1869"/>
      <c r="AGY225" s="1869"/>
      <c r="AGZ225" s="1869"/>
      <c r="AHA225" s="1869"/>
      <c r="AHB225" s="1869"/>
      <c r="AHC225" s="1869"/>
      <c r="AHD225" s="1869"/>
      <c r="AHE225" s="1869"/>
      <c r="AHF225" s="1869"/>
      <c r="AHG225" s="1869"/>
      <c r="AHH225" s="1869"/>
      <c r="AHI225" s="1869"/>
      <c r="AHJ225" s="1869"/>
      <c r="AHK225" s="1869"/>
      <c r="AHL225" s="1869"/>
      <c r="AHM225" s="1869"/>
      <c r="AHN225" s="1869"/>
      <c r="AHO225" s="1869"/>
      <c r="AHP225" s="1869"/>
      <c r="AHQ225" s="1869"/>
      <c r="AHR225" s="1869"/>
      <c r="AHS225" s="1869"/>
      <c r="AHT225" s="1869"/>
      <c r="AHU225" s="1869"/>
      <c r="AHV225" s="1869"/>
      <c r="AHW225" s="1869"/>
      <c r="AHX225" s="1869"/>
      <c r="AHY225" s="1869"/>
      <c r="AHZ225" s="1869"/>
      <c r="AIA225" s="1869"/>
      <c r="AIB225" s="1869"/>
      <c r="AIC225" s="1869"/>
      <c r="AID225" s="1869"/>
      <c r="AIE225" s="1869"/>
      <c r="AIF225" s="1869"/>
      <c r="AIG225" s="1869"/>
      <c r="AIH225" s="1869"/>
      <c r="AII225" s="1869"/>
      <c r="AIJ225" s="1869"/>
      <c r="AIK225" s="1869"/>
      <c r="AIL225" s="1869"/>
      <c r="AIM225" s="1869"/>
      <c r="AIN225" s="1869"/>
      <c r="AIO225" s="1869"/>
      <c r="AIP225" s="1869"/>
      <c r="AIQ225" s="1869"/>
      <c r="AIR225" s="1869"/>
      <c r="AIS225" s="1869"/>
      <c r="AIT225" s="1869"/>
      <c r="AIU225" s="1869"/>
      <c r="AIV225" s="1869"/>
      <c r="AIW225" s="1869"/>
      <c r="AIX225" s="1869"/>
      <c r="AIY225" s="1869"/>
      <c r="AIZ225" s="1869"/>
      <c r="AJA225" s="1869"/>
      <c r="AJB225" s="1869"/>
      <c r="AJC225" s="1869"/>
      <c r="AJD225" s="1869"/>
      <c r="AJE225" s="1869"/>
      <c r="AJF225" s="1869"/>
      <c r="AJG225" s="1869"/>
      <c r="AJH225" s="1869"/>
      <c r="AJI225" s="1869"/>
      <c r="AJJ225" s="1869"/>
      <c r="AJK225" s="1869"/>
      <c r="AJL225" s="1869"/>
      <c r="AJM225" s="1869"/>
      <c r="AJN225" s="1869"/>
      <c r="AJO225" s="1869"/>
      <c r="AJP225" s="1869"/>
      <c r="AJQ225" s="1869"/>
      <c r="AJR225" s="1869"/>
      <c r="AJS225" s="1869"/>
      <c r="AJT225" s="1869"/>
      <c r="AJU225" s="1869"/>
      <c r="AJV225" s="1869"/>
      <c r="AJW225" s="1869"/>
      <c r="AJX225" s="1869"/>
      <c r="AJY225" s="1869"/>
      <c r="AJZ225" s="1869"/>
      <c r="AKA225" s="1869"/>
      <c r="AKB225" s="1869"/>
      <c r="AKC225" s="1869"/>
      <c r="AKD225" s="1869"/>
      <c r="AKE225" s="1869"/>
      <c r="AKF225" s="1869"/>
      <c r="AKG225" s="1869"/>
      <c r="AKH225" s="1869"/>
      <c r="AKI225" s="1869"/>
      <c r="AKJ225" s="1869"/>
      <c r="AKK225" s="1869"/>
      <c r="AKL225" s="1869"/>
      <c r="AKM225" s="1869"/>
      <c r="AKN225" s="1869"/>
      <c r="AKO225" s="1869"/>
      <c r="AKP225" s="1869"/>
      <c r="AKQ225" s="1869"/>
      <c r="AKR225" s="1869"/>
      <c r="AKS225" s="1869"/>
      <c r="AKT225" s="1869"/>
      <c r="AKU225" s="1869"/>
      <c r="AKV225" s="1869"/>
      <c r="AKW225" s="1869"/>
      <c r="AKX225" s="1869"/>
      <c r="AKY225" s="1869"/>
      <c r="AKZ225" s="1869"/>
      <c r="ALA225" s="1869"/>
      <c r="ALB225" s="1869"/>
      <c r="ALC225" s="1869"/>
      <c r="ALD225" s="1869"/>
      <c r="ALE225" s="1869"/>
      <c r="ALF225" s="1869"/>
      <c r="ALG225" s="1869"/>
      <c r="ALH225" s="1869"/>
      <c r="ALI225" s="1869"/>
      <c r="ALJ225" s="1869"/>
      <c r="ALK225" s="1869"/>
      <c r="ALL225" s="1869"/>
      <c r="ALM225" s="1869"/>
      <c r="ALN225" s="1869"/>
      <c r="ALO225" s="1869"/>
      <c r="ALP225" s="1869"/>
      <c r="ALQ225" s="1869"/>
      <c r="ALR225" s="1869"/>
      <c r="ALS225" s="1869"/>
      <c r="ALT225" s="1869"/>
      <c r="ALU225" s="1869"/>
      <c r="ALV225" s="1869"/>
      <c r="ALW225" s="1869"/>
      <c r="ALX225" s="1869"/>
      <c r="ALY225" s="1869"/>
      <c r="ALZ225" s="1869"/>
      <c r="AMA225" s="1869"/>
      <c r="AMB225" s="1869"/>
      <c r="AMC225" s="1869"/>
      <c r="AMD225" s="1869"/>
      <c r="AME225" s="1869"/>
      <c r="AMF225" s="1869"/>
      <c r="AMG225" s="1869"/>
      <c r="AMH225" s="1869"/>
      <c r="AMI225" s="1869"/>
      <c r="AMJ225" s="1869"/>
      <c r="AMK225" s="1869"/>
      <c r="AML225" s="1869"/>
      <c r="AMM225" s="1869"/>
      <c r="AMN225" s="1869"/>
      <c r="AMO225" s="1869"/>
      <c r="AMP225" s="1869"/>
      <c r="AMQ225" s="1869"/>
      <c r="AMR225" s="1869"/>
      <c r="AMS225" s="1869"/>
      <c r="AMT225" s="1869"/>
      <c r="AMU225" s="1869"/>
      <c r="AMV225" s="1869"/>
      <c r="AMW225" s="1869"/>
      <c r="AMX225" s="1869"/>
      <c r="AMY225" s="1869"/>
      <c r="AMZ225" s="1869"/>
      <c r="ANA225" s="1869"/>
      <c r="ANB225" s="1869"/>
      <c r="ANC225" s="1869"/>
      <c r="AND225" s="1869"/>
      <c r="ANE225" s="1869"/>
      <c r="ANF225" s="1869"/>
      <c r="ANG225" s="1869"/>
      <c r="ANH225" s="1869"/>
      <c r="ANI225" s="1869"/>
      <c r="ANJ225" s="1869"/>
      <c r="ANK225" s="1869"/>
      <c r="ANL225" s="1869"/>
      <c r="ANM225" s="1869"/>
      <c r="ANN225" s="1869"/>
      <c r="ANO225" s="1869"/>
      <c r="ANP225" s="1869"/>
      <c r="ANQ225" s="1869"/>
      <c r="ANR225" s="1869"/>
      <c r="ANS225" s="1869"/>
      <c r="ANT225" s="1869"/>
      <c r="ANU225" s="1869"/>
      <c r="ANV225" s="1869"/>
      <c r="ANW225" s="1869"/>
      <c r="ANX225" s="1869"/>
      <c r="ANY225" s="1869"/>
      <c r="ANZ225" s="1869"/>
      <c r="AOA225" s="1869"/>
      <c r="AOB225" s="1869"/>
      <c r="AOC225" s="1869"/>
      <c r="AOD225" s="1869"/>
      <c r="AOE225" s="1869"/>
      <c r="AOF225" s="1869"/>
      <c r="AOG225" s="1869"/>
      <c r="AOH225" s="1869"/>
      <c r="AOI225" s="1869"/>
      <c r="AOJ225" s="1869"/>
      <c r="AOK225" s="1869"/>
      <c r="AOL225" s="1869"/>
      <c r="AOM225" s="1869"/>
      <c r="AON225" s="1869"/>
      <c r="AOO225" s="1869"/>
      <c r="AOP225" s="1869"/>
      <c r="AOQ225" s="1869"/>
      <c r="AOR225" s="1869"/>
      <c r="AOS225" s="1869"/>
      <c r="AOT225" s="1869"/>
      <c r="AOU225" s="1869"/>
      <c r="AOV225" s="1869"/>
      <c r="AOW225" s="1869"/>
      <c r="AOX225" s="1869"/>
      <c r="AOY225" s="1869"/>
      <c r="AOZ225" s="1869"/>
      <c r="APA225" s="1869"/>
      <c r="APB225" s="1869"/>
      <c r="APC225" s="1869"/>
      <c r="APD225" s="1869"/>
      <c r="APE225" s="1869"/>
      <c r="APF225" s="1869"/>
      <c r="APG225" s="1869"/>
      <c r="APH225" s="1869"/>
      <c r="API225" s="1869"/>
      <c r="APJ225" s="1869"/>
      <c r="APK225" s="1869"/>
      <c r="APL225" s="1869"/>
      <c r="APM225" s="1869"/>
      <c r="APN225" s="1869"/>
      <c r="APO225" s="1869"/>
      <c r="APP225" s="1869"/>
      <c r="APQ225" s="1869"/>
      <c r="APR225" s="1869"/>
      <c r="APS225" s="1869"/>
      <c r="APT225" s="1869"/>
      <c r="APU225" s="1869"/>
      <c r="APV225" s="1869"/>
      <c r="APW225" s="1869"/>
      <c r="APX225" s="1869"/>
      <c r="APY225" s="1869"/>
      <c r="APZ225" s="1869"/>
      <c r="AQA225" s="1869"/>
      <c r="AQB225" s="1869"/>
      <c r="AQC225" s="1869"/>
      <c r="AQD225" s="1869"/>
      <c r="AQE225" s="1869"/>
      <c r="AQF225" s="1869"/>
      <c r="AQG225" s="1869"/>
      <c r="AQH225" s="1869"/>
      <c r="AQI225" s="1869"/>
      <c r="AQJ225" s="1869"/>
      <c r="AQK225" s="1869"/>
      <c r="AQL225" s="1869"/>
      <c r="AQM225" s="1869"/>
      <c r="AQN225" s="1869"/>
      <c r="AQO225" s="1869"/>
      <c r="AQP225" s="1869"/>
      <c r="AQQ225" s="1869"/>
      <c r="AQR225" s="1869"/>
      <c r="AQS225" s="1869"/>
      <c r="AQT225" s="1869"/>
      <c r="AQU225" s="1869"/>
      <c r="AQV225" s="1869"/>
      <c r="AQW225" s="1869"/>
      <c r="AQX225" s="1869"/>
      <c r="AQY225" s="1869"/>
      <c r="AQZ225" s="1869"/>
      <c r="ARA225" s="1869"/>
      <c r="ARB225" s="1869"/>
      <c r="ARC225" s="1869"/>
      <c r="ARD225" s="1869"/>
      <c r="ARE225" s="1869"/>
      <c r="ARF225" s="1869"/>
      <c r="ARG225" s="1869"/>
      <c r="ARH225" s="1869"/>
      <c r="ARI225" s="1869"/>
      <c r="ARJ225" s="1869"/>
      <c r="ARK225" s="1869"/>
      <c r="ARL225" s="1869"/>
      <c r="ARM225" s="1869"/>
      <c r="ARN225" s="1869"/>
      <c r="ARO225" s="1869"/>
      <c r="ARP225" s="1869"/>
      <c r="ARQ225" s="1869"/>
      <c r="ARR225" s="1869"/>
      <c r="ARS225" s="1869"/>
      <c r="ART225" s="1869"/>
      <c r="ARU225" s="1869"/>
      <c r="ARV225" s="1869"/>
      <c r="ARW225" s="1869"/>
      <c r="ARX225" s="1869"/>
      <c r="ARY225" s="1869"/>
      <c r="ARZ225" s="1869"/>
      <c r="ASA225" s="1869"/>
      <c r="ASB225" s="1869"/>
      <c r="ASC225" s="1869"/>
      <c r="ASD225" s="1869"/>
      <c r="ASE225" s="1869"/>
      <c r="ASF225" s="1869"/>
      <c r="ASG225" s="1869"/>
      <c r="ASH225" s="1869"/>
      <c r="ASI225" s="1869"/>
      <c r="ASJ225" s="1869"/>
      <c r="ASK225" s="1869"/>
      <c r="ASL225" s="1869"/>
      <c r="ASM225" s="1869"/>
      <c r="ASN225" s="1869"/>
      <c r="ASO225" s="1869"/>
      <c r="ASP225" s="1869"/>
      <c r="ASQ225" s="1869"/>
      <c r="ASR225" s="1869"/>
      <c r="ASS225" s="1869"/>
      <c r="AST225" s="1869"/>
      <c r="ASU225" s="1869"/>
      <c r="ASV225" s="1869"/>
      <c r="ASW225" s="1869"/>
      <c r="ASX225" s="1869"/>
      <c r="ASY225" s="1869"/>
      <c r="ASZ225" s="1869"/>
      <c r="ATA225" s="1869"/>
      <c r="ATB225" s="1869"/>
      <c r="ATC225" s="1869"/>
      <c r="ATD225" s="1869"/>
      <c r="ATE225" s="1869"/>
      <c r="ATF225" s="1869"/>
      <c r="ATG225" s="1869"/>
      <c r="ATH225" s="1869"/>
      <c r="ATI225" s="1869"/>
      <c r="ATJ225" s="1869"/>
      <c r="ATK225" s="1869"/>
      <c r="ATL225" s="1869"/>
      <c r="ATM225" s="1869"/>
      <c r="ATN225" s="1869"/>
      <c r="ATO225" s="1869"/>
      <c r="ATP225" s="1869"/>
      <c r="ATQ225" s="1869"/>
      <c r="ATR225" s="1869"/>
      <c r="ATS225" s="1869"/>
      <c r="ATT225" s="1869"/>
      <c r="ATU225" s="1869"/>
      <c r="ATV225" s="1869"/>
      <c r="ATW225" s="1869"/>
      <c r="ATX225" s="1869"/>
      <c r="ATY225" s="1869"/>
      <c r="ATZ225" s="1869"/>
      <c r="AUA225" s="1869"/>
      <c r="AUB225" s="1869"/>
      <c r="AUC225" s="1869"/>
      <c r="AUD225" s="1869"/>
      <c r="AUE225" s="1869"/>
      <c r="AUF225" s="1869"/>
      <c r="AUG225" s="1869"/>
      <c r="AUH225" s="1869"/>
      <c r="AUI225" s="1869"/>
      <c r="AUJ225" s="1869"/>
      <c r="AUK225" s="1869"/>
      <c r="AUL225" s="1869"/>
      <c r="AUM225" s="1869"/>
      <c r="AUN225" s="1869"/>
      <c r="AUO225" s="1869"/>
      <c r="AUP225" s="1869"/>
      <c r="AUQ225" s="1869"/>
      <c r="AUR225" s="1869"/>
      <c r="AUS225" s="1869"/>
      <c r="AUT225" s="1869"/>
      <c r="AUU225" s="1869"/>
      <c r="AUV225" s="1869"/>
      <c r="AUW225" s="1869"/>
      <c r="AUX225" s="1869"/>
      <c r="AUY225" s="1869"/>
      <c r="AUZ225" s="1869"/>
      <c r="AVA225" s="1869"/>
      <c r="AVB225" s="1869"/>
      <c r="AVC225" s="1869"/>
      <c r="AVD225" s="1869"/>
      <c r="AVE225" s="1869"/>
      <c r="AVF225" s="1869"/>
      <c r="AVG225" s="1869"/>
      <c r="AVH225" s="1869"/>
      <c r="AVI225" s="1869"/>
      <c r="AVJ225" s="1869"/>
      <c r="AVK225" s="1869"/>
      <c r="AVL225" s="1869"/>
      <c r="AVM225" s="1869"/>
      <c r="AVN225" s="1869"/>
      <c r="AVO225" s="1869"/>
      <c r="AVP225" s="1869"/>
      <c r="AVQ225" s="1869"/>
      <c r="AVR225" s="1869"/>
      <c r="AVS225" s="1869"/>
      <c r="AVT225" s="1869"/>
      <c r="AVU225" s="1869"/>
      <c r="AVV225" s="1869"/>
      <c r="AVW225" s="1869"/>
      <c r="AVX225" s="1869"/>
      <c r="AVY225" s="1869"/>
      <c r="AVZ225" s="1869"/>
      <c r="AWA225" s="1869"/>
      <c r="AWB225" s="1869"/>
      <c r="AWC225" s="1869"/>
      <c r="AWD225" s="1869"/>
      <c r="AWE225" s="1869"/>
      <c r="AWF225" s="1869"/>
      <c r="AWG225" s="1869"/>
      <c r="AWH225" s="1869"/>
      <c r="AWI225" s="1869"/>
      <c r="AWJ225" s="1869"/>
      <c r="AWK225" s="1869"/>
      <c r="AWL225" s="1869"/>
      <c r="AWM225" s="1869"/>
      <c r="AWN225" s="1869"/>
      <c r="AWO225" s="1869"/>
      <c r="AWP225" s="1869"/>
      <c r="AWQ225" s="1869"/>
    </row>
    <row r="226" spans="1:1291" ht="15" customHeight="1" x14ac:dyDescent="0.2">
      <c r="A226" s="1964"/>
      <c r="B226" s="1999"/>
      <c r="C226" s="1818" t="s">
        <v>581</v>
      </c>
      <c r="D226" s="1885"/>
      <c r="E226" s="1984"/>
      <c r="F226" s="1838">
        <v>0</v>
      </c>
      <c r="G226" s="1804">
        <v>0</v>
      </c>
      <c r="H226" s="1804">
        <v>0</v>
      </c>
      <c r="I226" s="1804">
        <v>0</v>
      </c>
      <c r="J226" s="1804">
        <v>0</v>
      </c>
      <c r="K226" s="1804">
        <v>0</v>
      </c>
      <c r="L226" s="1804">
        <v>0</v>
      </c>
      <c r="M226" s="1804">
        <v>0</v>
      </c>
      <c r="N226" s="1804">
        <v>0</v>
      </c>
      <c r="O226" s="1804">
        <v>0</v>
      </c>
      <c r="P226" s="1804">
        <v>0</v>
      </c>
      <c r="Q226" s="1804">
        <v>0</v>
      </c>
      <c r="R226" s="1804">
        <v>0</v>
      </c>
      <c r="S226" s="1804">
        <v>0</v>
      </c>
      <c r="T226" s="1804">
        <v>0</v>
      </c>
      <c r="U226" s="1804">
        <v>0</v>
      </c>
      <c r="V226" s="1804">
        <v>0</v>
      </c>
      <c r="W226" s="1804">
        <v>0</v>
      </c>
      <c r="X226" s="1804">
        <v>0</v>
      </c>
      <c r="Y226" s="1804">
        <v>0</v>
      </c>
      <c r="Z226" s="1804">
        <v>0</v>
      </c>
      <c r="AA226" s="1804">
        <v>0</v>
      </c>
      <c r="AB226" s="1804">
        <v>0</v>
      </c>
      <c r="AC226" s="1804">
        <v>0</v>
      </c>
      <c r="AD226" s="1804">
        <v>0</v>
      </c>
      <c r="AE226" s="1804">
        <v>0</v>
      </c>
      <c r="AF226" s="1804">
        <v>0</v>
      </c>
      <c r="AG226" s="1804">
        <v>0</v>
      </c>
      <c r="AH226" s="1804">
        <v>0</v>
      </c>
      <c r="AI226" s="1804">
        <v>0</v>
      </c>
      <c r="AJ226" s="1804">
        <v>0</v>
      </c>
      <c r="AK226" s="1804">
        <v>0</v>
      </c>
      <c r="AL226" s="1804">
        <v>0</v>
      </c>
      <c r="AM226" s="1804">
        <v>0</v>
      </c>
      <c r="AN226" s="1804">
        <v>0</v>
      </c>
      <c r="AO226" s="1804">
        <v>0</v>
      </c>
      <c r="AP226" s="1804">
        <v>0</v>
      </c>
      <c r="AQ226" s="1804">
        <v>0</v>
      </c>
      <c r="AR226" s="1804">
        <v>0</v>
      </c>
      <c r="AS226" s="1804">
        <v>0</v>
      </c>
      <c r="AT226" s="1804">
        <v>0</v>
      </c>
      <c r="AU226" s="1804">
        <v>0</v>
      </c>
      <c r="AV226" s="1804">
        <v>0</v>
      </c>
      <c r="AW226" s="1804">
        <v>0</v>
      </c>
      <c r="AX226" s="1804">
        <v>0</v>
      </c>
      <c r="AY226" s="1804">
        <v>0</v>
      </c>
      <c r="AZ226" s="1804">
        <v>0</v>
      </c>
      <c r="BA226" s="1804">
        <v>0</v>
      </c>
      <c r="BB226" s="1804">
        <v>0</v>
      </c>
      <c r="BC226" s="1804">
        <v>0</v>
      </c>
      <c r="BD226" s="1804">
        <v>0</v>
      </c>
      <c r="BE226" s="1804">
        <v>0</v>
      </c>
      <c r="BF226" s="1804">
        <v>0</v>
      </c>
      <c r="BG226" s="1804">
        <v>0</v>
      </c>
      <c r="BH226" s="1804">
        <v>0</v>
      </c>
      <c r="BI226" s="1804">
        <v>0</v>
      </c>
      <c r="BJ226" s="1804">
        <v>0</v>
      </c>
      <c r="BK226" s="1804">
        <v>0</v>
      </c>
      <c r="BL226" s="1804">
        <v>0</v>
      </c>
      <c r="BM226" s="1804">
        <v>0</v>
      </c>
      <c r="BN226" s="1804">
        <v>0</v>
      </c>
      <c r="BO226" s="1804">
        <v>0</v>
      </c>
      <c r="BP226" s="1804">
        <v>0</v>
      </c>
      <c r="BQ226" s="1804">
        <v>0</v>
      </c>
      <c r="BR226" s="1804">
        <v>0</v>
      </c>
      <c r="BS226" s="1804">
        <v>0</v>
      </c>
      <c r="BT226" s="1804">
        <v>0</v>
      </c>
      <c r="BU226" s="1804">
        <v>0</v>
      </c>
      <c r="BV226" s="1804">
        <v>0</v>
      </c>
      <c r="BW226" s="1804">
        <v>0</v>
      </c>
      <c r="BX226" s="1804">
        <v>0</v>
      </c>
      <c r="BY226" s="1804">
        <v>0</v>
      </c>
      <c r="BZ226" s="1804">
        <v>0</v>
      </c>
      <c r="CA226" s="1804">
        <v>0</v>
      </c>
      <c r="CB226" s="1804">
        <v>0</v>
      </c>
      <c r="CC226" s="1804">
        <v>0</v>
      </c>
      <c r="CD226" s="1804">
        <v>0</v>
      </c>
      <c r="CE226" s="1804">
        <v>0</v>
      </c>
      <c r="CF226" s="1804">
        <v>0</v>
      </c>
      <c r="CG226" s="1804">
        <v>0</v>
      </c>
      <c r="CH226" s="1804">
        <v>0</v>
      </c>
      <c r="CI226" s="1804">
        <v>0</v>
      </c>
      <c r="CJ226" s="1804">
        <v>0</v>
      </c>
      <c r="CK226" s="1804">
        <v>0</v>
      </c>
      <c r="CL226" s="1804">
        <v>0</v>
      </c>
      <c r="CM226" s="1804">
        <v>0</v>
      </c>
      <c r="CN226" s="1804">
        <v>0</v>
      </c>
      <c r="CO226" s="1804">
        <v>0</v>
      </c>
      <c r="CP226" s="1804">
        <v>0</v>
      </c>
      <c r="CQ226" s="1804">
        <v>0</v>
      </c>
      <c r="CR226" s="1804">
        <v>0</v>
      </c>
      <c r="CS226" s="1804">
        <v>0</v>
      </c>
      <c r="CT226" s="1804">
        <v>0</v>
      </c>
      <c r="CU226" s="1804">
        <v>0</v>
      </c>
      <c r="CV226" s="1804">
        <v>0</v>
      </c>
      <c r="CW226" s="1804">
        <v>0</v>
      </c>
      <c r="CX226" s="1804">
        <v>0</v>
      </c>
      <c r="CY226" s="1804">
        <v>0</v>
      </c>
      <c r="CZ226" s="1804">
        <v>0</v>
      </c>
      <c r="DA226" s="1804">
        <v>0</v>
      </c>
      <c r="DB226" s="1804">
        <v>0</v>
      </c>
      <c r="DC226" s="1804">
        <v>0</v>
      </c>
      <c r="DD226" s="1804">
        <v>0</v>
      </c>
      <c r="DE226" s="1804">
        <v>0</v>
      </c>
      <c r="DF226" s="1804">
        <v>0</v>
      </c>
      <c r="DG226" s="1804">
        <v>0</v>
      </c>
      <c r="DH226" s="1804">
        <v>0</v>
      </c>
      <c r="DI226" s="1804">
        <v>0</v>
      </c>
      <c r="DJ226" s="1804">
        <v>0</v>
      </c>
      <c r="DK226" s="1804">
        <v>0</v>
      </c>
      <c r="DL226" s="1804">
        <v>0</v>
      </c>
      <c r="DM226" s="1804">
        <v>0</v>
      </c>
      <c r="DN226" s="1804">
        <v>0</v>
      </c>
      <c r="DO226" s="1804">
        <v>0</v>
      </c>
      <c r="DP226" s="1804">
        <v>0</v>
      </c>
      <c r="DQ226" s="1804">
        <v>0</v>
      </c>
      <c r="DR226" s="1804">
        <v>0</v>
      </c>
      <c r="DS226" s="1804">
        <v>0</v>
      </c>
      <c r="DT226" s="1804">
        <v>0</v>
      </c>
      <c r="DU226" s="1804">
        <v>0</v>
      </c>
      <c r="DV226" s="1804">
        <v>0</v>
      </c>
      <c r="DW226" s="1804">
        <v>0</v>
      </c>
      <c r="DX226" s="1804">
        <v>0</v>
      </c>
      <c r="DY226" s="1804">
        <v>0</v>
      </c>
      <c r="DZ226" s="1804">
        <v>0</v>
      </c>
      <c r="EA226" s="1804">
        <v>0</v>
      </c>
      <c r="EB226" s="1804">
        <v>0</v>
      </c>
      <c r="EC226" s="1804">
        <v>0</v>
      </c>
      <c r="ED226" s="1804">
        <v>0</v>
      </c>
      <c r="EE226" s="1804">
        <v>0</v>
      </c>
      <c r="EF226" s="1804">
        <v>0</v>
      </c>
      <c r="EG226" s="1804">
        <v>0</v>
      </c>
      <c r="EH226" s="1804">
        <v>0</v>
      </c>
      <c r="EI226" s="1804">
        <v>0</v>
      </c>
      <c r="EJ226" s="1804">
        <v>0</v>
      </c>
      <c r="EK226" s="1804">
        <v>0</v>
      </c>
      <c r="EL226" s="1804">
        <v>0</v>
      </c>
      <c r="EM226" s="1804">
        <v>0</v>
      </c>
      <c r="EN226" s="1804">
        <v>0</v>
      </c>
      <c r="EO226" s="1804">
        <v>0</v>
      </c>
      <c r="EP226" s="1804">
        <v>0</v>
      </c>
      <c r="EQ226" s="1804">
        <v>0</v>
      </c>
      <c r="ER226" s="1804">
        <v>0</v>
      </c>
      <c r="ES226" s="1804">
        <v>0</v>
      </c>
      <c r="ET226" s="1804">
        <v>0</v>
      </c>
      <c r="EU226" s="1804">
        <v>0</v>
      </c>
      <c r="EV226" s="1804">
        <v>0</v>
      </c>
      <c r="EW226" s="1804">
        <v>0</v>
      </c>
      <c r="EX226" s="1804">
        <v>0</v>
      </c>
      <c r="EY226" s="1804">
        <v>0</v>
      </c>
      <c r="EZ226" s="1804">
        <v>0</v>
      </c>
      <c r="FA226" s="1804">
        <v>0</v>
      </c>
      <c r="FB226" s="1804">
        <v>0</v>
      </c>
      <c r="FC226" s="1804">
        <v>0</v>
      </c>
      <c r="FD226" s="1804">
        <v>0</v>
      </c>
      <c r="FE226" s="1804">
        <v>0</v>
      </c>
      <c r="FF226" s="1804">
        <v>0</v>
      </c>
      <c r="FG226" s="1804">
        <v>0</v>
      </c>
      <c r="FH226" s="1804">
        <v>0</v>
      </c>
      <c r="FI226" s="1804">
        <v>0</v>
      </c>
      <c r="FJ226" s="1804">
        <v>0</v>
      </c>
      <c r="FK226" s="1804">
        <v>0</v>
      </c>
      <c r="FL226" s="1804">
        <v>0</v>
      </c>
      <c r="FM226" s="1804">
        <v>0</v>
      </c>
      <c r="FN226" s="1804">
        <v>0</v>
      </c>
      <c r="FO226" s="1804">
        <v>0</v>
      </c>
      <c r="FP226" s="1804">
        <v>0</v>
      </c>
      <c r="FQ226" s="1804">
        <v>0</v>
      </c>
      <c r="FR226" s="1804">
        <v>0</v>
      </c>
      <c r="FS226" s="1804">
        <v>0</v>
      </c>
      <c r="FT226" s="1804">
        <v>0</v>
      </c>
      <c r="FU226" s="1804">
        <v>0</v>
      </c>
      <c r="FV226" s="1804">
        <v>0</v>
      </c>
      <c r="FW226" s="1804">
        <v>0</v>
      </c>
      <c r="FX226" s="1804">
        <v>0</v>
      </c>
      <c r="FY226" s="1804">
        <v>0</v>
      </c>
      <c r="FZ226" s="1804">
        <v>0</v>
      </c>
      <c r="GA226" s="1804">
        <v>0</v>
      </c>
      <c r="GB226" s="1804">
        <v>0</v>
      </c>
      <c r="GC226" s="1804">
        <v>0</v>
      </c>
      <c r="GD226" s="1804">
        <v>0</v>
      </c>
      <c r="GE226" s="1804">
        <v>0</v>
      </c>
      <c r="GF226" s="1804">
        <v>0</v>
      </c>
      <c r="GG226" s="1804">
        <v>0</v>
      </c>
      <c r="GH226" s="1804">
        <v>0</v>
      </c>
      <c r="GI226" s="1804">
        <v>0</v>
      </c>
      <c r="GJ226" s="1804">
        <v>0</v>
      </c>
      <c r="GK226" s="1804">
        <v>0</v>
      </c>
      <c r="GL226" s="1804">
        <v>0</v>
      </c>
      <c r="GM226" s="1804">
        <v>0</v>
      </c>
      <c r="GN226" s="1804">
        <v>0</v>
      </c>
      <c r="GO226" s="1804">
        <v>0</v>
      </c>
      <c r="GP226" s="1804">
        <v>0</v>
      </c>
      <c r="GQ226" s="1804">
        <v>0</v>
      </c>
      <c r="GR226" s="1804">
        <v>0</v>
      </c>
      <c r="GS226" s="1804">
        <v>0</v>
      </c>
      <c r="GT226" s="1804">
        <v>0</v>
      </c>
      <c r="GU226" s="1804">
        <v>0</v>
      </c>
      <c r="GV226" s="1804">
        <v>0</v>
      </c>
      <c r="GW226" s="1804">
        <v>0</v>
      </c>
      <c r="GX226" s="1804">
        <v>0</v>
      </c>
      <c r="GY226" s="1804">
        <v>0</v>
      </c>
      <c r="GZ226" s="1804">
        <v>0</v>
      </c>
      <c r="HA226" s="1804">
        <v>0</v>
      </c>
      <c r="HB226" s="1804">
        <v>0</v>
      </c>
      <c r="HC226" s="1804">
        <v>0</v>
      </c>
      <c r="HD226" s="1804">
        <v>0</v>
      </c>
      <c r="HE226" s="1804">
        <v>0</v>
      </c>
      <c r="IG226" s="1868"/>
      <c r="IH226" s="1868"/>
      <c r="II226" s="1868"/>
      <c r="IJ226" s="1868"/>
      <c r="IK226" s="1868"/>
      <c r="IL226" s="1868"/>
      <c r="IM226" s="1868"/>
      <c r="IN226" s="1868"/>
      <c r="IO226" s="1868"/>
      <c r="IP226" s="1868"/>
      <c r="IQ226" s="1868"/>
      <c r="IR226" s="1868"/>
      <c r="IS226" s="1868"/>
      <c r="IT226" s="1868"/>
      <c r="IU226" s="1868"/>
      <c r="IV226" s="1868"/>
      <c r="IW226" s="1868"/>
      <c r="IX226" s="1868"/>
      <c r="IY226" s="1868"/>
      <c r="IZ226" s="1868"/>
      <c r="JA226" s="1868"/>
      <c r="JB226" s="1868"/>
      <c r="JC226" s="1868"/>
      <c r="JD226" s="1868"/>
      <c r="JE226" s="1868"/>
      <c r="JF226" s="1868"/>
      <c r="JG226" s="1868"/>
      <c r="JH226" s="1868"/>
      <c r="JI226" s="1868"/>
      <c r="JJ226" s="1868"/>
      <c r="JK226" s="1868"/>
      <c r="JL226" s="1868"/>
      <c r="JM226" s="1868"/>
      <c r="JN226" s="1868"/>
      <c r="JO226" s="1868"/>
      <c r="JP226" s="1868"/>
      <c r="JQ226" s="1868"/>
      <c r="JR226" s="1868"/>
      <c r="JS226" s="1868"/>
      <c r="JT226" s="1868"/>
      <c r="JU226" s="1868"/>
      <c r="JV226" s="1868"/>
      <c r="JW226" s="1868"/>
      <c r="JX226" s="1868"/>
      <c r="JY226" s="1868"/>
      <c r="JZ226" s="1868"/>
      <c r="KA226" s="1868"/>
      <c r="KB226" s="1868"/>
      <c r="KC226" s="1868"/>
      <c r="KD226" s="1868"/>
      <c r="KE226" s="1868"/>
      <c r="KF226" s="1868"/>
      <c r="KG226" s="1868"/>
      <c r="KH226" s="1868"/>
      <c r="KI226" s="1868"/>
      <c r="KJ226" s="1868"/>
      <c r="KK226" s="1868"/>
      <c r="KL226" s="1868"/>
      <c r="KM226" s="1868"/>
      <c r="KN226" s="1868"/>
      <c r="KO226" s="1868"/>
      <c r="KP226" s="1868"/>
      <c r="KQ226" s="1868"/>
      <c r="KR226" s="1868"/>
      <c r="KS226" s="1868"/>
      <c r="KT226" s="1868"/>
      <c r="KU226" s="1868"/>
      <c r="KV226" s="1868"/>
      <c r="KW226" s="1868"/>
      <c r="KX226" s="1868"/>
      <c r="KY226" s="1868"/>
      <c r="KZ226" s="1868"/>
      <c r="LA226" s="1868"/>
      <c r="LB226" s="1868"/>
      <c r="LC226" s="1868"/>
      <c r="LD226" s="1868"/>
      <c r="LE226" s="1868"/>
      <c r="LF226" s="1868"/>
      <c r="LG226" s="1868"/>
      <c r="LH226" s="1868"/>
      <c r="LI226" s="1868"/>
      <c r="LJ226" s="1868"/>
      <c r="LK226" s="1868"/>
      <c r="LL226" s="1868"/>
      <c r="LM226" s="1868"/>
      <c r="LN226" s="1868"/>
      <c r="LO226" s="1868"/>
      <c r="LP226" s="1868"/>
      <c r="LQ226" s="1868"/>
      <c r="LR226" s="1868"/>
      <c r="LS226" s="1868"/>
      <c r="LT226" s="1868"/>
      <c r="LU226" s="1868"/>
      <c r="LV226" s="1868"/>
      <c r="LW226" s="1868"/>
      <c r="LX226" s="1868"/>
      <c r="LY226" s="1868"/>
      <c r="LZ226" s="1868"/>
      <c r="MA226" s="1868"/>
      <c r="MB226" s="1868"/>
      <c r="MC226" s="1868"/>
      <c r="MD226" s="1868"/>
      <c r="ME226" s="1868"/>
      <c r="MF226" s="1868"/>
      <c r="MG226" s="1868"/>
      <c r="MH226" s="1868"/>
      <c r="MI226" s="1868"/>
      <c r="MJ226" s="1868"/>
      <c r="MK226" s="1868"/>
      <c r="ML226" s="1868"/>
      <c r="MM226" s="1868"/>
      <c r="MN226" s="1868"/>
      <c r="MO226" s="1868"/>
      <c r="MP226" s="1868"/>
      <c r="MQ226" s="1868"/>
      <c r="MR226" s="1868"/>
      <c r="MS226" s="1868"/>
      <c r="MT226" s="1868"/>
      <c r="MU226" s="1868"/>
      <c r="MV226" s="1868"/>
      <c r="MW226" s="1868"/>
      <c r="MX226" s="1868"/>
      <c r="MY226" s="1868"/>
      <c r="MZ226" s="1868"/>
      <c r="NA226" s="1868"/>
      <c r="NB226" s="1868"/>
      <c r="NC226" s="1868"/>
      <c r="ND226" s="1868"/>
      <c r="NE226" s="1868"/>
      <c r="NF226" s="1868"/>
      <c r="NG226" s="1868"/>
      <c r="NH226" s="1868"/>
      <c r="NI226" s="1868"/>
      <c r="NJ226" s="1868"/>
      <c r="NK226" s="1868"/>
      <c r="NL226" s="1868"/>
      <c r="NM226" s="1868"/>
      <c r="NN226" s="1868"/>
      <c r="NO226" s="1868"/>
      <c r="NP226" s="1868"/>
      <c r="NQ226" s="1868"/>
      <c r="NR226" s="1868"/>
      <c r="NS226" s="1868"/>
      <c r="NT226" s="1868"/>
      <c r="NU226" s="1868"/>
      <c r="NV226" s="1868"/>
      <c r="NW226" s="1868"/>
      <c r="NX226" s="1868"/>
      <c r="NY226" s="1868"/>
      <c r="NZ226" s="1868"/>
      <c r="OA226" s="1868"/>
      <c r="OB226" s="1868"/>
      <c r="OC226" s="1868"/>
      <c r="OD226" s="1868"/>
      <c r="OE226" s="1868"/>
      <c r="OF226" s="1868"/>
      <c r="OG226" s="1868"/>
      <c r="OH226" s="1868"/>
      <c r="OI226" s="1868"/>
      <c r="OJ226" s="1868"/>
      <c r="OK226" s="1868"/>
      <c r="OL226" s="1868"/>
      <c r="OM226" s="1868"/>
      <c r="ON226" s="1868"/>
      <c r="OO226" s="1868"/>
      <c r="OP226" s="1868"/>
      <c r="OQ226" s="1868"/>
      <c r="OR226" s="1868"/>
      <c r="OS226" s="1868"/>
      <c r="OT226" s="1868"/>
      <c r="OU226" s="1868"/>
      <c r="OV226" s="1868"/>
      <c r="OW226" s="1868"/>
      <c r="OX226" s="1868"/>
      <c r="OY226" s="1868"/>
      <c r="OZ226" s="1868"/>
      <c r="PA226" s="1868"/>
      <c r="PB226" s="1868"/>
      <c r="PC226" s="1868"/>
      <c r="PD226" s="1868"/>
      <c r="PE226" s="1868"/>
      <c r="PF226" s="1868"/>
      <c r="PG226" s="1868"/>
      <c r="PH226" s="1868"/>
      <c r="PI226" s="1868"/>
      <c r="PJ226" s="1868"/>
      <c r="PK226" s="1868"/>
      <c r="PL226" s="1868"/>
      <c r="PM226" s="1868"/>
      <c r="PN226" s="1868"/>
      <c r="PO226" s="1868"/>
      <c r="PP226" s="1868"/>
      <c r="PQ226" s="1868"/>
      <c r="PR226" s="1868"/>
      <c r="PS226" s="1868"/>
      <c r="PT226" s="1868"/>
      <c r="PU226" s="1868"/>
      <c r="PV226" s="1868"/>
      <c r="PW226" s="1868"/>
      <c r="PX226" s="1868"/>
      <c r="PY226" s="1868"/>
      <c r="PZ226" s="1868"/>
      <c r="QA226" s="1868"/>
      <c r="QB226" s="1868"/>
      <c r="QC226" s="1868"/>
      <c r="QD226" s="1868"/>
      <c r="QE226" s="1868"/>
      <c r="QF226" s="1868"/>
      <c r="QG226" s="1868"/>
      <c r="QH226" s="1868"/>
      <c r="QI226" s="1868"/>
      <c r="QJ226" s="1868"/>
      <c r="QK226" s="1868"/>
      <c r="QL226" s="1868"/>
      <c r="QM226" s="1868"/>
      <c r="QN226" s="1868"/>
      <c r="QO226" s="1868"/>
      <c r="QP226" s="1868"/>
      <c r="QQ226" s="1868"/>
      <c r="QR226" s="1868"/>
      <c r="QS226" s="1868"/>
      <c r="QT226" s="1868"/>
      <c r="QU226" s="1868"/>
      <c r="QV226" s="1868"/>
      <c r="QW226" s="1868"/>
      <c r="QX226" s="1868"/>
      <c r="QY226" s="1868"/>
      <c r="QZ226" s="1868"/>
      <c r="RA226" s="1868"/>
      <c r="RB226" s="1868"/>
      <c r="RC226" s="1868"/>
      <c r="RD226" s="1868"/>
      <c r="RE226" s="1868"/>
      <c r="RF226" s="1868"/>
      <c r="RG226" s="1868"/>
      <c r="RH226" s="1868"/>
      <c r="RI226" s="1868"/>
      <c r="RJ226" s="1868"/>
      <c r="RK226" s="1868"/>
      <c r="RL226" s="1868"/>
      <c r="RM226" s="1868"/>
      <c r="RN226" s="1868"/>
      <c r="RO226" s="1868"/>
      <c r="RP226" s="1868"/>
      <c r="RQ226" s="1868"/>
      <c r="RR226" s="1868"/>
      <c r="RS226" s="1868"/>
      <c r="RT226" s="1868"/>
      <c r="RU226" s="1868"/>
      <c r="RV226" s="1868"/>
      <c r="RW226" s="1868"/>
      <c r="RX226" s="1868"/>
      <c r="RY226" s="1868"/>
      <c r="RZ226" s="1868"/>
      <c r="SA226" s="1868"/>
      <c r="SB226" s="1868"/>
      <c r="SC226" s="1868"/>
      <c r="SD226" s="1868"/>
      <c r="SE226" s="1868"/>
      <c r="SF226" s="1868"/>
      <c r="SG226" s="1868"/>
      <c r="SH226" s="1868"/>
      <c r="SI226" s="1868"/>
      <c r="SJ226" s="1868"/>
      <c r="SK226" s="1868"/>
      <c r="SL226" s="1868"/>
      <c r="SM226" s="1868"/>
      <c r="SN226" s="1868"/>
      <c r="SO226" s="1868"/>
      <c r="SP226" s="1868"/>
      <c r="SQ226" s="1868"/>
      <c r="SR226" s="1868"/>
      <c r="SS226" s="1868"/>
      <c r="ST226" s="1868"/>
      <c r="SU226" s="1868"/>
      <c r="SV226" s="1868"/>
      <c r="SW226" s="1868"/>
      <c r="SX226" s="1868"/>
      <c r="SY226" s="1868"/>
      <c r="SZ226" s="1868"/>
      <c r="TA226" s="1868"/>
      <c r="TB226" s="1868"/>
      <c r="TC226" s="1868"/>
      <c r="TD226" s="1868"/>
      <c r="TE226" s="1868"/>
      <c r="TF226" s="1868"/>
      <c r="TG226" s="1868"/>
      <c r="TH226" s="1868"/>
      <c r="TI226" s="1868"/>
      <c r="TJ226" s="1868"/>
      <c r="TK226" s="1868"/>
      <c r="TL226" s="1868"/>
      <c r="TM226" s="1868"/>
      <c r="TN226" s="1868"/>
      <c r="TO226" s="1868"/>
      <c r="TP226" s="1868"/>
      <c r="TQ226" s="1868"/>
      <c r="TR226" s="1868"/>
      <c r="TS226" s="1868"/>
      <c r="TT226" s="1868"/>
      <c r="TU226" s="1868"/>
      <c r="TV226" s="1868"/>
      <c r="TW226" s="1868"/>
      <c r="TX226" s="1868"/>
      <c r="TY226" s="1868"/>
      <c r="TZ226" s="1868"/>
      <c r="UA226" s="1868"/>
      <c r="UB226" s="1868"/>
      <c r="UC226" s="1868"/>
      <c r="UD226" s="1868"/>
      <c r="UE226" s="1868"/>
      <c r="UF226" s="1868"/>
      <c r="UG226" s="1868"/>
      <c r="UH226" s="1868"/>
      <c r="UI226" s="1868"/>
      <c r="UJ226" s="1868"/>
      <c r="UK226" s="1868"/>
      <c r="UL226" s="1868"/>
      <c r="UM226" s="1868"/>
      <c r="UN226" s="1868"/>
      <c r="UO226" s="1868"/>
      <c r="UP226" s="1868"/>
      <c r="UQ226" s="1868"/>
      <c r="UR226" s="1868"/>
      <c r="US226" s="1868"/>
      <c r="UT226" s="1868"/>
      <c r="UU226" s="1868"/>
      <c r="UV226" s="1868"/>
      <c r="UW226" s="1868"/>
      <c r="UX226" s="1868"/>
      <c r="UY226" s="1868"/>
      <c r="UZ226" s="1868"/>
      <c r="VA226" s="1868"/>
      <c r="VB226" s="1868"/>
      <c r="VC226" s="1868"/>
      <c r="VD226" s="1868"/>
      <c r="VE226" s="1868"/>
      <c r="VF226" s="1868"/>
      <c r="VG226" s="1868"/>
      <c r="VH226" s="1868"/>
      <c r="VI226" s="1868"/>
      <c r="VJ226" s="1868"/>
      <c r="VK226" s="1868"/>
      <c r="VL226" s="1868"/>
      <c r="VM226" s="1868"/>
      <c r="VN226" s="1868"/>
      <c r="VO226" s="1868"/>
      <c r="VP226" s="1868"/>
      <c r="VQ226" s="1868"/>
      <c r="VR226" s="1868"/>
      <c r="VS226" s="1868"/>
      <c r="VT226" s="1868"/>
      <c r="VU226" s="1868"/>
      <c r="VV226" s="1868"/>
      <c r="VW226" s="1868"/>
      <c r="VX226" s="1868"/>
      <c r="VY226" s="1868"/>
      <c r="VZ226" s="1868"/>
      <c r="WA226" s="1868"/>
      <c r="WB226" s="1868"/>
      <c r="WC226" s="1868"/>
      <c r="WD226" s="1868"/>
      <c r="WE226" s="1868"/>
      <c r="WF226" s="1868"/>
      <c r="WG226" s="1868"/>
      <c r="WH226" s="1868"/>
      <c r="WI226" s="1868"/>
      <c r="WJ226" s="1868"/>
      <c r="WK226" s="1868"/>
      <c r="WL226" s="1868"/>
      <c r="WM226" s="1868"/>
      <c r="WN226" s="1868"/>
      <c r="WO226" s="1868"/>
      <c r="WP226" s="1868"/>
      <c r="WQ226" s="1868"/>
      <c r="WR226" s="1868"/>
      <c r="WS226" s="1868"/>
      <c r="WT226" s="1868"/>
      <c r="WU226" s="1868"/>
      <c r="WV226" s="1868"/>
      <c r="WW226" s="1868"/>
      <c r="WX226" s="1868"/>
      <c r="WY226" s="1868"/>
      <c r="WZ226" s="1868"/>
      <c r="XA226" s="1868"/>
      <c r="XB226" s="1868"/>
      <c r="XC226" s="1868"/>
      <c r="XD226" s="1868"/>
      <c r="XE226" s="1868"/>
      <c r="XF226" s="1868"/>
      <c r="XG226" s="1868"/>
      <c r="XH226" s="1868"/>
      <c r="XI226" s="1868"/>
      <c r="XJ226" s="1868"/>
      <c r="XK226" s="1868"/>
      <c r="XL226" s="1868"/>
      <c r="XM226" s="1868"/>
      <c r="XN226" s="1868"/>
      <c r="XO226" s="1868"/>
      <c r="XP226" s="1868"/>
      <c r="XQ226" s="1868"/>
      <c r="XR226" s="1868"/>
      <c r="XS226" s="1868"/>
      <c r="XT226" s="1868"/>
      <c r="XU226" s="1868"/>
      <c r="XV226" s="1868"/>
      <c r="XW226" s="1868"/>
      <c r="XX226" s="1868"/>
      <c r="XY226" s="1868"/>
      <c r="XZ226" s="1868"/>
      <c r="YA226" s="1868"/>
      <c r="YB226" s="1868"/>
      <c r="YC226" s="1868"/>
      <c r="YD226" s="1868"/>
      <c r="YE226" s="1868"/>
      <c r="YF226" s="1868"/>
      <c r="YG226" s="1868"/>
      <c r="YH226" s="1868"/>
      <c r="YI226" s="1868"/>
      <c r="YJ226" s="1868"/>
      <c r="YK226" s="1868"/>
      <c r="YL226" s="1868"/>
      <c r="YM226" s="1868"/>
      <c r="YN226" s="1868"/>
      <c r="YO226" s="1868"/>
      <c r="YP226" s="1868"/>
      <c r="YQ226" s="1868"/>
      <c r="YR226" s="1868"/>
      <c r="YS226" s="1868"/>
      <c r="YT226" s="1868"/>
      <c r="YU226" s="1868"/>
      <c r="YV226" s="1868"/>
      <c r="YW226" s="1868"/>
      <c r="YX226" s="1868"/>
      <c r="YY226" s="1868"/>
      <c r="YZ226" s="1868"/>
      <c r="ZA226" s="1868"/>
      <c r="ZB226" s="1868"/>
      <c r="ZC226" s="1868"/>
      <c r="ZD226" s="1868"/>
      <c r="ZE226" s="1868"/>
      <c r="ZF226" s="1868"/>
      <c r="ZG226" s="1868"/>
      <c r="ZH226" s="1868"/>
      <c r="ZI226" s="1868"/>
      <c r="ZJ226" s="1868"/>
      <c r="ZK226" s="1868"/>
      <c r="ZL226" s="1868"/>
      <c r="ZM226" s="1868"/>
      <c r="ZN226" s="1868"/>
      <c r="ZO226" s="1868"/>
      <c r="ZP226" s="1868"/>
      <c r="ZQ226" s="1868"/>
      <c r="ZR226" s="1868"/>
      <c r="ZS226" s="1868"/>
      <c r="ZT226" s="1868"/>
      <c r="ZU226" s="1868"/>
      <c r="ZV226" s="1868"/>
      <c r="ZW226" s="1868"/>
      <c r="ZX226" s="1868"/>
      <c r="ZY226" s="1868"/>
      <c r="ZZ226" s="1868"/>
      <c r="AAA226" s="1868"/>
      <c r="AAB226" s="1868"/>
      <c r="AAC226" s="1868"/>
      <c r="AAD226" s="1868"/>
      <c r="AAE226" s="1868"/>
      <c r="AAF226" s="1868"/>
      <c r="AAG226" s="1868"/>
      <c r="AAH226" s="1868"/>
      <c r="AAI226" s="1868"/>
      <c r="AAJ226" s="1868"/>
      <c r="AAK226" s="1868"/>
      <c r="AAL226" s="1868"/>
      <c r="AAM226" s="1868"/>
      <c r="AAN226" s="1868"/>
      <c r="AAO226" s="1868"/>
      <c r="AAP226" s="1868"/>
      <c r="AAQ226" s="1868"/>
      <c r="AAR226" s="1868"/>
      <c r="AAS226" s="1868"/>
      <c r="AAT226" s="1868"/>
      <c r="AAU226" s="1868"/>
      <c r="AAV226" s="1868"/>
      <c r="AAW226" s="1868"/>
      <c r="AAX226" s="1868"/>
      <c r="AAY226" s="1868"/>
      <c r="AAZ226" s="1868"/>
      <c r="ABA226" s="1868"/>
      <c r="ABB226" s="1868"/>
      <c r="ABC226" s="1868"/>
      <c r="ABD226" s="1868"/>
      <c r="ABE226" s="1868"/>
      <c r="ABF226" s="1868"/>
      <c r="ABG226" s="1868"/>
      <c r="ABH226" s="1868"/>
      <c r="ABI226" s="1868"/>
      <c r="ABJ226" s="1868"/>
      <c r="ABK226" s="1868"/>
      <c r="ABL226" s="1868"/>
      <c r="ABM226" s="1868"/>
      <c r="ABN226" s="1868"/>
      <c r="ABO226" s="1868"/>
      <c r="ABP226" s="1868"/>
      <c r="ABQ226" s="1868"/>
      <c r="ABR226" s="1868"/>
      <c r="ABS226" s="1868"/>
      <c r="ABT226" s="1868"/>
      <c r="ABU226" s="1868"/>
      <c r="ABV226" s="1868"/>
      <c r="ABW226" s="1868"/>
      <c r="ABX226" s="1868"/>
      <c r="ABY226" s="1868"/>
      <c r="ABZ226" s="1868"/>
      <c r="ACA226" s="1868"/>
      <c r="ACB226" s="1868"/>
      <c r="ACC226" s="1868"/>
      <c r="ACD226" s="1868"/>
      <c r="ACE226" s="1868"/>
      <c r="ACF226" s="1868"/>
      <c r="ACG226" s="1868"/>
      <c r="ACH226" s="1868"/>
      <c r="ACI226" s="1868"/>
      <c r="ACJ226" s="1868"/>
      <c r="ACK226" s="1868"/>
      <c r="ACL226" s="1868"/>
      <c r="ACM226" s="1868"/>
      <c r="ACN226" s="1868"/>
      <c r="ACO226" s="1868"/>
      <c r="ACP226" s="1868"/>
      <c r="ACQ226" s="1868"/>
      <c r="ACR226" s="1868"/>
      <c r="ACS226" s="1868"/>
      <c r="ACT226" s="1868"/>
      <c r="ACU226" s="1868"/>
      <c r="ACV226" s="1868"/>
      <c r="ACW226" s="1868"/>
      <c r="ACX226" s="1868"/>
      <c r="ACY226" s="1868"/>
      <c r="ACZ226" s="1868"/>
      <c r="ADA226" s="1868"/>
      <c r="ADB226" s="1868"/>
      <c r="ADC226" s="1868"/>
      <c r="ADD226" s="1868"/>
      <c r="ADE226" s="1868"/>
      <c r="ADF226" s="1868"/>
      <c r="ADG226" s="1868"/>
      <c r="ADH226" s="1868"/>
      <c r="ADI226" s="1868"/>
      <c r="ADJ226" s="1868"/>
      <c r="ADK226" s="1868"/>
      <c r="ADL226" s="1868"/>
      <c r="ADM226" s="1868"/>
      <c r="ADN226" s="1868"/>
      <c r="ADO226" s="1868"/>
      <c r="ADP226" s="1868"/>
      <c r="ADQ226" s="1868"/>
      <c r="ADR226" s="1868"/>
      <c r="ADS226" s="1868"/>
      <c r="ADT226" s="1868"/>
      <c r="ADU226" s="1868"/>
      <c r="ADV226" s="1868"/>
      <c r="ADW226" s="1868"/>
      <c r="ADX226" s="1868"/>
      <c r="ADY226" s="1868"/>
      <c r="ADZ226" s="1868"/>
      <c r="AEA226" s="1868"/>
      <c r="AEB226" s="1868"/>
      <c r="AEC226" s="1868"/>
      <c r="AED226" s="1868"/>
      <c r="AEE226" s="1868"/>
      <c r="AEF226" s="1868"/>
      <c r="AEG226" s="1868"/>
      <c r="AEH226" s="1868"/>
      <c r="AEI226" s="1868"/>
      <c r="AEJ226" s="1868"/>
      <c r="AEK226" s="1868"/>
      <c r="AEL226" s="1868"/>
      <c r="AEM226" s="1868"/>
      <c r="AEN226" s="1868"/>
      <c r="AEO226" s="1868"/>
      <c r="AEP226" s="1868"/>
      <c r="AEQ226" s="1868"/>
      <c r="AER226" s="1868"/>
      <c r="AES226" s="1868"/>
      <c r="AET226" s="1868"/>
      <c r="AEU226" s="1868"/>
      <c r="AEV226" s="1868"/>
      <c r="AEW226" s="1868"/>
      <c r="AEX226" s="1868"/>
      <c r="AEY226" s="1868"/>
      <c r="AEZ226" s="1868"/>
      <c r="AFA226" s="1868"/>
      <c r="AFB226" s="1868"/>
      <c r="AFC226" s="1868"/>
      <c r="AFD226" s="1868"/>
      <c r="AFE226" s="1868"/>
      <c r="AFF226" s="1868"/>
      <c r="AFG226" s="1868"/>
      <c r="AFH226" s="1868"/>
      <c r="AFI226" s="1868"/>
      <c r="AFJ226" s="1868"/>
      <c r="AFK226" s="1868"/>
      <c r="AFL226" s="1868"/>
      <c r="AFM226" s="1868"/>
      <c r="AFN226" s="1868"/>
      <c r="AFO226" s="1868"/>
      <c r="AFP226" s="1868"/>
      <c r="AFQ226" s="1868"/>
      <c r="AFR226" s="1868"/>
      <c r="AFS226" s="1868"/>
      <c r="AFT226" s="1868"/>
      <c r="AFU226" s="1868"/>
      <c r="AFV226" s="1868"/>
      <c r="AFW226" s="1868"/>
      <c r="AFX226" s="1868"/>
      <c r="AFY226" s="1868"/>
      <c r="AFZ226" s="1868"/>
      <c r="AGA226" s="1868"/>
      <c r="AGB226" s="1868"/>
      <c r="AGC226" s="1868"/>
      <c r="AGD226" s="1868"/>
      <c r="AGE226" s="1868"/>
      <c r="AGF226" s="1868"/>
      <c r="AGG226" s="1868"/>
      <c r="AGH226" s="1868"/>
      <c r="AGI226" s="1868"/>
      <c r="AGJ226" s="1868"/>
      <c r="AGK226" s="1868"/>
      <c r="AGL226" s="1868"/>
      <c r="AGM226" s="1868"/>
      <c r="AGN226" s="1868"/>
      <c r="AGO226" s="1868"/>
      <c r="AGP226" s="1868"/>
      <c r="AGQ226" s="1868"/>
      <c r="AGR226" s="1868"/>
      <c r="AGS226" s="1868"/>
      <c r="AGT226" s="1868"/>
      <c r="AGU226" s="1868"/>
      <c r="AGV226" s="1868"/>
      <c r="AGW226" s="1868"/>
      <c r="AGX226" s="1868"/>
      <c r="AGY226" s="1868"/>
      <c r="AGZ226" s="1868"/>
      <c r="AHA226" s="1868"/>
      <c r="AHB226" s="1868"/>
      <c r="AHC226" s="1868"/>
      <c r="AHD226" s="1868"/>
      <c r="AHE226" s="1868"/>
      <c r="AHF226" s="1868"/>
      <c r="AHG226" s="1868"/>
      <c r="AHH226" s="1868"/>
      <c r="AHI226" s="1868"/>
      <c r="AHJ226" s="1868"/>
      <c r="AHK226" s="1868"/>
      <c r="AHL226" s="1868"/>
      <c r="AHM226" s="1868"/>
      <c r="AHN226" s="1868"/>
      <c r="AHO226" s="1868"/>
      <c r="AHP226" s="1868"/>
      <c r="AHQ226" s="1868"/>
      <c r="AHR226" s="1868"/>
      <c r="AHS226" s="1868"/>
      <c r="AHT226" s="1868"/>
      <c r="AHU226" s="1868"/>
      <c r="AHV226" s="1868"/>
      <c r="AHW226" s="1868"/>
      <c r="AHX226" s="1868"/>
      <c r="AHY226" s="1868"/>
      <c r="AHZ226" s="1868"/>
      <c r="AIA226" s="1868"/>
      <c r="AIB226" s="1868"/>
      <c r="AIC226" s="1868"/>
      <c r="AID226" s="1868"/>
      <c r="AIE226" s="1868"/>
      <c r="AIF226" s="1868"/>
      <c r="AIG226" s="1868"/>
      <c r="AIH226" s="1868"/>
      <c r="AII226" s="1868"/>
      <c r="AIJ226" s="1868"/>
      <c r="AIK226" s="1868"/>
      <c r="AIL226" s="1868"/>
      <c r="AIM226" s="1868"/>
      <c r="AIN226" s="1868"/>
      <c r="AIO226" s="1868"/>
      <c r="AIP226" s="1868"/>
      <c r="AIQ226" s="1868"/>
      <c r="AIR226" s="1868"/>
      <c r="AIS226" s="1868"/>
      <c r="AIT226" s="1868"/>
      <c r="AIU226" s="1868"/>
      <c r="AIV226" s="1868"/>
      <c r="AIW226" s="1868"/>
      <c r="AIX226" s="1868"/>
      <c r="AIY226" s="1868"/>
      <c r="AIZ226" s="1868"/>
      <c r="AJA226" s="1868"/>
      <c r="AJB226" s="1868"/>
      <c r="AJC226" s="1868"/>
      <c r="AJD226" s="1868"/>
      <c r="AJE226" s="1868"/>
      <c r="AJF226" s="1868"/>
      <c r="AJG226" s="1868"/>
      <c r="AJH226" s="1868"/>
      <c r="AJI226" s="1868"/>
      <c r="AJJ226" s="1868"/>
      <c r="AJK226" s="1868"/>
      <c r="AJL226" s="1868"/>
      <c r="AJM226" s="1868"/>
      <c r="AJN226" s="1868"/>
      <c r="AJO226" s="1868"/>
      <c r="AJP226" s="1868"/>
      <c r="AJQ226" s="1868"/>
      <c r="AJR226" s="1868"/>
      <c r="AJS226" s="1868"/>
      <c r="AJT226" s="1868"/>
      <c r="AJU226" s="1868"/>
      <c r="AJV226" s="1868"/>
      <c r="AJW226" s="1868"/>
      <c r="AJX226" s="1868"/>
      <c r="AJY226" s="1868"/>
      <c r="AJZ226" s="1868"/>
      <c r="AKA226" s="1868"/>
      <c r="AKB226" s="1868"/>
      <c r="AKC226" s="1868"/>
      <c r="AKD226" s="1868"/>
      <c r="AKE226" s="1868"/>
      <c r="AKF226" s="1868"/>
      <c r="AKG226" s="1868"/>
      <c r="AKH226" s="1868"/>
      <c r="AKI226" s="1868"/>
      <c r="AKJ226" s="1868"/>
      <c r="AKK226" s="1868"/>
      <c r="AKL226" s="1868"/>
      <c r="AKM226" s="1868"/>
      <c r="AKN226" s="1868"/>
      <c r="AKO226" s="1868"/>
      <c r="AKP226" s="1868"/>
      <c r="AKQ226" s="1868"/>
      <c r="AKR226" s="1868"/>
      <c r="AKS226" s="1868"/>
      <c r="AKT226" s="1868"/>
      <c r="AKU226" s="1868"/>
      <c r="AKV226" s="1868"/>
      <c r="AKW226" s="1868"/>
      <c r="AKX226" s="1868"/>
      <c r="AKY226" s="1868"/>
      <c r="AKZ226" s="1868"/>
      <c r="ALA226" s="1868"/>
      <c r="ALB226" s="1868"/>
      <c r="ALC226" s="1868"/>
      <c r="ALD226" s="1868"/>
      <c r="ALE226" s="1868"/>
      <c r="ALF226" s="1868"/>
      <c r="ALG226" s="1868"/>
      <c r="ALH226" s="1868"/>
      <c r="ALI226" s="1868"/>
      <c r="ALJ226" s="1868"/>
      <c r="ALK226" s="1868"/>
      <c r="ALL226" s="1868"/>
      <c r="ALM226" s="1868"/>
      <c r="ALN226" s="1868"/>
      <c r="ALO226" s="1868"/>
      <c r="ALP226" s="1868"/>
      <c r="ALQ226" s="1868"/>
      <c r="ALR226" s="1868"/>
      <c r="ALS226" s="1868"/>
      <c r="ALT226" s="1868"/>
      <c r="ALU226" s="1868"/>
      <c r="ALV226" s="1868"/>
      <c r="ALW226" s="1868"/>
      <c r="ALX226" s="1868"/>
      <c r="ALY226" s="1868"/>
      <c r="ALZ226" s="1868"/>
      <c r="AMA226" s="1868"/>
      <c r="AMB226" s="1868"/>
      <c r="AMC226" s="1868"/>
      <c r="AMD226" s="1868"/>
      <c r="AME226" s="1868"/>
      <c r="AMF226" s="1868"/>
      <c r="AMG226" s="1868"/>
      <c r="AMH226" s="1868"/>
      <c r="AMI226" s="1868"/>
      <c r="AMJ226" s="1868"/>
      <c r="AMK226" s="1868"/>
      <c r="AML226" s="1868"/>
      <c r="AMM226" s="1868"/>
      <c r="AMN226" s="1868"/>
      <c r="AMO226" s="1868"/>
      <c r="AMP226" s="1868"/>
      <c r="AMQ226" s="1868"/>
      <c r="AMR226" s="1868"/>
      <c r="AMS226" s="1868"/>
      <c r="AMT226" s="1868"/>
      <c r="AMU226" s="1868"/>
      <c r="AMV226" s="1868"/>
      <c r="AMW226" s="1868"/>
      <c r="AMX226" s="1868"/>
      <c r="AMY226" s="1868"/>
      <c r="AMZ226" s="1868"/>
      <c r="ANA226" s="1868"/>
      <c r="ANB226" s="1868"/>
      <c r="ANC226" s="1868"/>
      <c r="AND226" s="1868"/>
      <c r="ANE226" s="1868"/>
      <c r="ANF226" s="1868"/>
      <c r="ANG226" s="1868"/>
      <c r="ANH226" s="1868"/>
      <c r="ANI226" s="1868"/>
      <c r="ANJ226" s="1868"/>
      <c r="ANK226" s="1868"/>
      <c r="ANL226" s="1868"/>
      <c r="ANM226" s="1868"/>
      <c r="ANN226" s="1868"/>
      <c r="ANO226" s="1868"/>
      <c r="ANP226" s="1868"/>
      <c r="ANQ226" s="1868"/>
      <c r="ANR226" s="1868"/>
      <c r="ANS226" s="1868"/>
      <c r="ANT226" s="1868"/>
      <c r="ANU226" s="1868"/>
      <c r="ANV226" s="1868"/>
      <c r="ANW226" s="1868"/>
      <c r="ANX226" s="1868"/>
      <c r="ANY226" s="1868"/>
      <c r="ANZ226" s="1868"/>
      <c r="AOA226" s="1868"/>
      <c r="AOB226" s="1868"/>
      <c r="AOC226" s="1868"/>
      <c r="AOD226" s="1868"/>
      <c r="AOE226" s="1868"/>
      <c r="AOF226" s="1868"/>
      <c r="AOG226" s="1868"/>
      <c r="AOH226" s="1868"/>
      <c r="AOI226" s="1868"/>
      <c r="AOJ226" s="1868"/>
      <c r="AOK226" s="1868"/>
      <c r="AOL226" s="1868"/>
      <c r="AOM226" s="1868"/>
      <c r="AON226" s="1868"/>
      <c r="AOO226" s="1868"/>
      <c r="AOP226" s="1868"/>
      <c r="AOQ226" s="1868"/>
      <c r="AOR226" s="1868"/>
      <c r="AOS226" s="1868"/>
      <c r="AOT226" s="1868"/>
      <c r="AOU226" s="1868"/>
      <c r="AOV226" s="1868"/>
      <c r="AOW226" s="1868"/>
      <c r="AOX226" s="1868"/>
      <c r="AOY226" s="1868"/>
      <c r="AOZ226" s="1868"/>
      <c r="APA226" s="1868"/>
      <c r="APB226" s="1868"/>
      <c r="APC226" s="1868"/>
      <c r="APD226" s="1868"/>
      <c r="APE226" s="1868"/>
      <c r="APF226" s="1868"/>
      <c r="APG226" s="1868"/>
      <c r="APH226" s="1868"/>
      <c r="API226" s="1868"/>
      <c r="APJ226" s="1868"/>
      <c r="APK226" s="1868"/>
      <c r="APL226" s="1868"/>
      <c r="APM226" s="1868"/>
      <c r="APN226" s="1868"/>
      <c r="APO226" s="1868"/>
      <c r="APP226" s="1868"/>
      <c r="APQ226" s="1868"/>
      <c r="APR226" s="1868"/>
      <c r="APS226" s="1868"/>
      <c r="APT226" s="1868"/>
      <c r="APU226" s="1868"/>
      <c r="APV226" s="1868"/>
      <c r="APW226" s="1868"/>
      <c r="APX226" s="1868"/>
      <c r="APY226" s="1868"/>
      <c r="APZ226" s="1868"/>
      <c r="AQA226" s="1868"/>
      <c r="AQB226" s="1868"/>
      <c r="AQC226" s="1868"/>
      <c r="AQD226" s="1868"/>
      <c r="AQE226" s="1868"/>
      <c r="AQF226" s="1868"/>
      <c r="AQG226" s="1868"/>
      <c r="AQH226" s="1868"/>
      <c r="AQI226" s="1868"/>
      <c r="AQJ226" s="1868"/>
      <c r="AQK226" s="1868"/>
      <c r="AQL226" s="1868"/>
      <c r="AQM226" s="1868"/>
      <c r="AQN226" s="1868"/>
      <c r="AQO226" s="1868"/>
      <c r="AQP226" s="1868"/>
      <c r="AQQ226" s="1868"/>
      <c r="AQR226" s="1868"/>
      <c r="AQS226" s="1868"/>
      <c r="AQT226" s="1868"/>
      <c r="AQU226" s="1868"/>
      <c r="AQV226" s="1868"/>
      <c r="AQW226" s="1868"/>
      <c r="AQX226" s="1868"/>
      <c r="AQY226" s="1868"/>
      <c r="AQZ226" s="1868"/>
      <c r="ARA226" s="1868"/>
      <c r="ARB226" s="1868"/>
      <c r="ARC226" s="1868"/>
      <c r="ARD226" s="1868"/>
      <c r="ARE226" s="1868"/>
      <c r="ARF226" s="1868"/>
      <c r="ARG226" s="1868"/>
      <c r="ARH226" s="1868"/>
      <c r="ARI226" s="1868"/>
      <c r="ARJ226" s="1868"/>
      <c r="ARK226" s="1868"/>
      <c r="ARL226" s="1868"/>
      <c r="ARM226" s="1868"/>
      <c r="ARN226" s="1868"/>
      <c r="ARO226" s="1868"/>
      <c r="ARP226" s="1868"/>
      <c r="ARQ226" s="1868"/>
      <c r="ARR226" s="1868"/>
      <c r="ARS226" s="1868"/>
      <c r="ART226" s="1868"/>
      <c r="ARU226" s="1868"/>
      <c r="ARV226" s="1868"/>
      <c r="ARW226" s="1868"/>
      <c r="ARX226" s="1868"/>
      <c r="ARY226" s="1868"/>
      <c r="ARZ226" s="1868"/>
      <c r="ASA226" s="1868"/>
      <c r="ASB226" s="1868"/>
      <c r="ASC226" s="1868"/>
      <c r="ASD226" s="1868"/>
      <c r="ASE226" s="1868"/>
      <c r="ASF226" s="1868"/>
      <c r="ASG226" s="1868"/>
      <c r="ASH226" s="1868"/>
      <c r="ASI226" s="1868"/>
      <c r="ASJ226" s="1868"/>
      <c r="ASK226" s="1868"/>
      <c r="ASL226" s="1868"/>
      <c r="ASM226" s="1868"/>
      <c r="ASN226" s="1868"/>
      <c r="ASO226" s="1868"/>
      <c r="ASP226" s="1868"/>
      <c r="ASQ226" s="1868"/>
      <c r="ASR226" s="1868"/>
      <c r="ASS226" s="1868"/>
      <c r="AST226" s="1868"/>
      <c r="ASU226" s="1868"/>
      <c r="ASV226" s="1868"/>
      <c r="ASW226" s="1868"/>
      <c r="ASX226" s="1868"/>
      <c r="ASY226" s="1868"/>
      <c r="ASZ226" s="1868"/>
      <c r="ATA226" s="1868"/>
      <c r="ATB226" s="1868"/>
      <c r="ATC226" s="1868"/>
      <c r="ATD226" s="1868"/>
      <c r="ATE226" s="1868"/>
      <c r="ATF226" s="1868"/>
      <c r="ATG226" s="1868"/>
      <c r="ATH226" s="1868"/>
      <c r="ATI226" s="1868"/>
      <c r="ATJ226" s="1868"/>
      <c r="ATK226" s="1868"/>
      <c r="ATL226" s="1868"/>
      <c r="ATM226" s="1868"/>
      <c r="ATN226" s="1868"/>
      <c r="ATO226" s="1868"/>
      <c r="ATP226" s="1868"/>
      <c r="ATQ226" s="1868"/>
      <c r="ATR226" s="1868"/>
      <c r="ATS226" s="1868"/>
      <c r="ATT226" s="1868"/>
      <c r="ATU226" s="1868"/>
      <c r="ATV226" s="1868"/>
      <c r="ATW226" s="1868"/>
      <c r="ATX226" s="1868"/>
      <c r="ATY226" s="1868"/>
      <c r="ATZ226" s="1868"/>
      <c r="AUA226" s="1868"/>
      <c r="AUB226" s="1868"/>
      <c r="AUC226" s="1868"/>
      <c r="AUD226" s="1868"/>
      <c r="AUE226" s="1868"/>
      <c r="AUF226" s="1868"/>
      <c r="AUG226" s="1868"/>
      <c r="AUH226" s="1868"/>
      <c r="AUI226" s="1868"/>
      <c r="AUJ226" s="1868"/>
      <c r="AUK226" s="1868"/>
      <c r="AUL226" s="1868"/>
      <c r="AUM226" s="1868"/>
      <c r="AUN226" s="1868"/>
      <c r="AUO226" s="1868"/>
      <c r="AUP226" s="1868"/>
      <c r="AUQ226" s="1868"/>
      <c r="AUR226" s="1868"/>
      <c r="AUS226" s="1868"/>
      <c r="AUT226" s="1868"/>
      <c r="AUU226" s="1868"/>
      <c r="AUV226" s="1868"/>
      <c r="AUW226" s="1868"/>
      <c r="AUX226" s="1868"/>
      <c r="AUY226" s="1868"/>
      <c r="AUZ226" s="1868"/>
      <c r="AVA226" s="1868"/>
      <c r="AVB226" s="1868"/>
      <c r="AVC226" s="1868"/>
      <c r="AVD226" s="1868"/>
      <c r="AVE226" s="1868"/>
      <c r="AVF226" s="1868"/>
      <c r="AVG226" s="1868"/>
      <c r="AVH226" s="1868"/>
      <c r="AVI226" s="1868"/>
      <c r="AVJ226" s="1868"/>
      <c r="AVK226" s="1868"/>
      <c r="AVL226" s="1868"/>
      <c r="AVM226" s="1868"/>
      <c r="AVN226" s="1868"/>
      <c r="AVO226" s="1868"/>
      <c r="AVP226" s="1868"/>
      <c r="AVQ226" s="1868"/>
      <c r="AVR226" s="1868"/>
      <c r="AVS226" s="1868"/>
      <c r="AVT226" s="1868"/>
      <c r="AVU226" s="1868"/>
      <c r="AVV226" s="1868"/>
      <c r="AVW226" s="1868"/>
      <c r="AVX226" s="1868"/>
      <c r="AVY226" s="1868"/>
      <c r="AVZ226" s="1868"/>
      <c r="AWA226" s="1868"/>
      <c r="AWB226" s="1868"/>
      <c r="AWC226" s="1868"/>
      <c r="AWD226" s="1868"/>
      <c r="AWE226" s="1868"/>
      <c r="AWF226" s="1868"/>
      <c r="AWG226" s="1868"/>
      <c r="AWH226" s="1868"/>
      <c r="AWI226" s="1868"/>
      <c r="AWJ226" s="1868"/>
      <c r="AWK226" s="1868"/>
      <c r="AWL226" s="1868"/>
      <c r="AWM226" s="1868"/>
      <c r="AWN226" s="1868"/>
      <c r="AWO226" s="1868"/>
      <c r="AWP226" s="1868"/>
      <c r="AWQ226" s="1868"/>
    </row>
    <row r="227" spans="1:1291" ht="15" customHeight="1" x14ac:dyDescent="0.2">
      <c r="A227" s="1964"/>
      <c r="B227" s="1999"/>
      <c r="C227" s="1818" t="s">
        <v>582</v>
      </c>
      <c r="D227" s="1885"/>
      <c r="E227" s="1984"/>
      <c r="F227" s="1838">
        <v>0</v>
      </c>
      <c r="G227" s="1804">
        <v>0</v>
      </c>
      <c r="H227" s="1804">
        <v>0</v>
      </c>
      <c r="I227" s="1804">
        <v>0</v>
      </c>
      <c r="J227" s="1804">
        <v>0</v>
      </c>
      <c r="K227" s="1804">
        <v>0</v>
      </c>
      <c r="L227" s="1804">
        <v>0</v>
      </c>
      <c r="M227" s="1804">
        <v>0</v>
      </c>
      <c r="N227" s="1804">
        <v>0</v>
      </c>
      <c r="O227" s="1804">
        <v>0</v>
      </c>
      <c r="P227" s="1804">
        <v>0</v>
      </c>
      <c r="Q227" s="1804">
        <v>0</v>
      </c>
      <c r="R227" s="1804">
        <v>0</v>
      </c>
      <c r="S227" s="1804">
        <v>0</v>
      </c>
      <c r="T227" s="1804">
        <v>0</v>
      </c>
      <c r="U227" s="1804">
        <v>0</v>
      </c>
      <c r="V227" s="1804">
        <v>0</v>
      </c>
      <c r="W227" s="1804">
        <v>0</v>
      </c>
      <c r="X227" s="1804">
        <v>0</v>
      </c>
      <c r="Y227" s="1804">
        <v>0</v>
      </c>
      <c r="Z227" s="1804">
        <v>0</v>
      </c>
      <c r="AA227" s="1804">
        <v>0</v>
      </c>
      <c r="AB227" s="1804">
        <v>0</v>
      </c>
      <c r="AC227" s="1804">
        <v>0</v>
      </c>
      <c r="AD227" s="1804">
        <v>0</v>
      </c>
      <c r="AE227" s="1804">
        <v>0</v>
      </c>
      <c r="AF227" s="1804">
        <v>0</v>
      </c>
      <c r="AG227" s="1804">
        <v>0</v>
      </c>
      <c r="AH227" s="1804">
        <v>0</v>
      </c>
      <c r="AI227" s="1804">
        <v>0</v>
      </c>
      <c r="AJ227" s="1804">
        <v>0</v>
      </c>
      <c r="AK227" s="1804">
        <v>0</v>
      </c>
      <c r="AL227" s="1804">
        <v>0</v>
      </c>
      <c r="AM227" s="1804">
        <v>0</v>
      </c>
      <c r="AN227" s="1804">
        <v>0</v>
      </c>
      <c r="AO227" s="1804">
        <v>0</v>
      </c>
      <c r="AP227" s="1804">
        <v>0</v>
      </c>
      <c r="AQ227" s="1804">
        <v>0</v>
      </c>
      <c r="AR227" s="1804">
        <v>0</v>
      </c>
      <c r="AS227" s="1804">
        <v>0</v>
      </c>
      <c r="AT227" s="1804">
        <v>0</v>
      </c>
      <c r="AU227" s="1804">
        <v>0</v>
      </c>
      <c r="AV227" s="1804">
        <v>0</v>
      </c>
      <c r="AW227" s="1804">
        <v>0</v>
      </c>
      <c r="AX227" s="1804">
        <v>0</v>
      </c>
      <c r="AY227" s="1804">
        <v>0</v>
      </c>
      <c r="AZ227" s="1804">
        <v>0</v>
      </c>
      <c r="BA227" s="1804">
        <v>0</v>
      </c>
      <c r="BB227" s="1804">
        <v>0</v>
      </c>
      <c r="BC227" s="1804">
        <v>0</v>
      </c>
      <c r="BD227" s="1804">
        <v>0</v>
      </c>
      <c r="BE227" s="1804">
        <v>0</v>
      </c>
      <c r="BF227" s="1804">
        <v>0</v>
      </c>
      <c r="BG227" s="1804">
        <v>0</v>
      </c>
      <c r="BH227" s="1804">
        <v>0</v>
      </c>
      <c r="BI227" s="1804">
        <v>0</v>
      </c>
      <c r="BJ227" s="1804">
        <v>0</v>
      </c>
      <c r="BK227" s="1804">
        <v>0</v>
      </c>
      <c r="BL227" s="1804">
        <v>0</v>
      </c>
      <c r="BM227" s="1804">
        <v>0</v>
      </c>
      <c r="BN227" s="1804">
        <v>0</v>
      </c>
      <c r="BO227" s="1804">
        <v>0</v>
      </c>
      <c r="BP227" s="1804">
        <v>0</v>
      </c>
      <c r="BQ227" s="1804">
        <v>0</v>
      </c>
      <c r="BR227" s="1804">
        <v>0</v>
      </c>
      <c r="BS227" s="1804">
        <v>0</v>
      </c>
      <c r="BT227" s="1804">
        <v>0</v>
      </c>
      <c r="BU227" s="1804">
        <v>0</v>
      </c>
      <c r="BV227" s="1804">
        <v>0</v>
      </c>
      <c r="BW227" s="1804">
        <v>0</v>
      </c>
      <c r="BX227" s="1804">
        <v>0</v>
      </c>
      <c r="BY227" s="1804">
        <v>0</v>
      </c>
      <c r="BZ227" s="1804">
        <v>0</v>
      </c>
      <c r="CA227" s="1804">
        <v>0</v>
      </c>
      <c r="CB227" s="1804">
        <v>0</v>
      </c>
      <c r="CC227" s="1804">
        <v>0</v>
      </c>
      <c r="CD227" s="1804">
        <v>0</v>
      </c>
      <c r="CE227" s="1804">
        <v>0</v>
      </c>
      <c r="CF227" s="1804">
        <v>0</v>
      </c>
      <c r="CG227" s="1804">
        <v>0</v>
      </c>
      <c r="CH227" s="1804">
        <v>0</v>
      </c>
      <c r="CI227" s="1804">
        <v>0</v>
      </c>
      <c r="CJ227" s="1804">
        <v>0</v>
      </c>
      <c r="CK227" s="1804">
        <v>0</v>
      </c>
      <c r="CL227" s="1804">
        <v>0</v>
      </c>
      <c r="CM227" s="1804">
        <v>0</v>
      </c>
      <c r="CN227" s="1804">
        <v>0</v>
      </c>
      <c r="CO227" s="1804">
        <v>0</v>
      </c>
      <c r="CP227" s="1804">
        <v>0</v>
      </c>
      <c r="CQ227" s="1804">
        <v>0</v>
      </c>
      <c r="CR227" s="1804">
        <v>0</v>
      </c>
      <c r="CS227" s="1804">
        <v>0</v>
      </c>
      <c r="CT227" s="1804">
        <v>0</v>
      </c>
      <c r="CU227" s="1804">
        <v>0</v>
      </c>
      <c r="CV227" s="1804">
        <v>0</v>
      </c>
      <c r="CW227" s="1804">
        <v>0</v>
      </c>
      <c r="CX227" s="1804">
        <v>0</v>
      </c>
      <c r="CY227" s="1804">
        <v>0</v>
      </c>
      <c r="CZ227" s="1804">
        <v>0</v>
      </c>
      <c r="DA227" s="1804">
        <v>0</v>
      </c>
      <c r="DB227" s="1804">
        <v>0</v>
      </c>
      <c r="DC227" s="1804">
        <v>0</v>
      </c>
      <c r="DD227" s="1804">
        <v>0</v>
      </c>
      <c r="DE227" s="1804">
        <v>0</v>
      </c>
      <c r="DF227" s="1804">
        <v>0</v>
      </c>
      <c r="DG227" s="1804">
        <v>0</v>
      </c>
      <c r="DH227" s="1804">
        <v>0</v>
      </c>
      <c r="DI227" s="1804">
        <v>0</v>
      </c>
      <c r="DJ227" s="1804">
        <v>0</v>
      </c>
      <c r="DK227" s="1804">
        <v>0</v>
      </c>
      <c r="DL227" s="1804">
        <v>0</v>
      </c>
      <c r="DM227" s="1804">
        <v>0</v>
      </c>
      <c r="DN227" s="1804">
        <v>0</v>
      </c>
      <c r="DO227" s="1804">
        <v>0</v>
      </c>
      <c r="DP227" s="1804">
        <v>0</v>
      </c>
      <c r="DQ227" s="1804">
        <v>0</v>
      </c>
      <c r="DR227" s="1804">
        <v>0</v>
      </c>
      <c r="DS227" s="1804">
        <v>0</v>
      </c>
      <c r="DT227" s="1804">
        <v>0</v>
      </c>
      <c r="DU227" s="1804">
        <v>0</v>
      </c>
      <c r="DV227" s="1804">
        <v>0</v>
      </c>
      <c r="DW227" s="1804">
        <v>0</v>
      </c>
      <c r="DX227" s="1804">
        <v>0</v>
      </c>
      <c r="DY227" s="1804">
        <v>0</v>
      </c>
      <c r="DZ227" s="1804">
        <v>0</v>
      </c>
      <c r="EA227" s="1804">
        <v>0</v>
      </c>
      <c r="EB227" s="1804">
        <v>0</v>
      </c>
      <c r="EC227" s="1804">
        <v>0</v>
      </c>
      <c r="ED227" s="1804">
        <v>0</v>
      </c>
      <c r="EE227" s="1804">
        <v>0</v>
      </c>
      <c r="EF227" s="1804">
        <v>0</v>
      </c>
      <c r="EG227" s="1804">
        <v>0</v>
      </c>
      <c r="EH227" s="1804">
        <v>0</v>
      </c>
      <c r="EI227" s="1804">
        <v>0</v>
      </c>
      <c r="EJ227" s="1804">
        <v>0</v>
      </c>
      <c r="EK227" s="1804">
        <v>0</v>
      </c>
      <c r="EL227" s="1804">
        <v>0</v>
      </c>
      <c r="EM227" s="1804">
        <v>0</v>
      </c>
      <c r="EN227" s="1804">
        <v>0</v>
      </c>
      <c r="EO227" s="1804">
        <v>0</v>
      </c>
      <c r="EP227" s="1804">
        <v>0</v>
      </c>
      <c r="EQ227" s="1804">
        <v>0</v>
      </c>
      <c r="ER227" s="1804">
        <v>0</v>
      </c>
      <c r="ES227" s="1804">
        <v>0</v>
      </c>
      <c r="ET227" s="1804">
        <v>0</v>
      </c>
      <c r="EU227" s="1804">
        <v>0</v>
      </c>
      <c r="EV227" s="1804">
        <v>0</v>
      </c>
      <c r="EW227" s="1804">
        <v>0</v>
      </c>
      <c r="EX227" s="1804">
        <v>0</v>
      </c>
      <c r="EY227" s="1804">
        <v>0</v>
      </c>
      <c r="EZ227" s="1804">
        <v>0</v>
      </c>
      <c r="FA227" s="1804">
        <v>0</v>
      </c>
      <c r="FB227" s="1804">
        <v>0</v>
      </c>
      <c r="FC227" s="1804">
        <v>0</v>
      </c>
      <c r="FD227" s="1804">
        <v>0</v>
      </c>
      <c r="FE227" s="1804">
        <v>0</v>
      </c>
      <c r="FF227" s="1804">
        <v>0</v>
      </c>
      <c r="FG227" s="1804">
        <v>0</v>
      </c>
      <c r="FH227" s="1804">
        <v>0</v>
      </c>
      <c r="FI227" s="1804">
        <v>0</v>
      </c>
      <c r="FJ227" s="1804">
        <v>0</v>
      </c>
      <c r="FK227" s="1804">
        <v>0</v>
      </c>
      <c r="FL227" s="1804">
        <v>0</v>
      </c>
      <c r="FM227" s="1804">
        <v>0</v>
      </c>
      <c r="FN227" s="1804">
        <v>0</v>
      </c>
      <c r="FO227" s="1804">
        <v>0</v>
      </c>
      <c r="FP227" s="1804">
        <v>0</v>
      </c>
      <c r="FQ227" s="1804">
        <v>0</v>
      </c>
      <c r="FR227" s="1804">
        <v>0</v>
      </c>
      <c r="FS227" s="1804">
        <v>0</v>
      </c>
      <c r="FT227" s="1804">
        <v>0</v>
      </c>
      <c r="FU227" s="1804">
        <v>0</v>
      </c>
      <c r="FV227" s="1804">
        <v>0</v>
      </c>
      <c r="FW227" s="1804">
        <v>0</v>
      </c>
      <c r="FX227" s="1804">
        <v>0</v>
      </c>
      <c r="FY227" s="1804">
        <v>0</v>
      </c>
      <c r="FZ227" s="1804">
        <v>0</v>
      </c>
      <c r="GA227" s="1804">
        <v>0</v>
      </c>
      <c r="GB227" s="1804">
        <v>0</v>
      </c>
      <c r="GC227" s="1804">
        <v>0</v>
      </c>
      <c r="GD227" s="1804">
        <v>0</v>
      </c>
      <c r="GE227" s="1804">
        <v>0</v>
      </c>
      <c r="GF227" s="1804">
        <v>0</v>
      </c>
      <c r="GG227" s="1804">
        <v>0</v>
      </c>
      <c r="GH227" s="1804">
        <v>0</v>
      </c>
      <c r="GI227" s="1804">
        <v>0</v>
      </c>
      <c r="GJ227" s="1804">
        <v>0</v>
      </c>
      <c r="GK227" s="1804">
        <v>0</v>
      </c>
      <c r="GL227" s="1804">
        <v>0</v>
      </c>
      <c r="GM227" s="1804">
        <v>0</v>
      </c>
      <c r="GN227" s="1804">
        <v>0</v>
      </c>
      <c r="GO227" s="1804">
        <v>0</v>
      </c>
      <c r="GP227" s="1804">
        <v>0</v>
      </c>
      <c r="GQ227" s="1804">
        <v>0</v>
      </c>
      <c r="GR227" s="1804">
        <v>0</v>
      </c>
      <c r="GS227" s="1804">
        <v>0</v>
      </c>
      <c r="GT227" s="1804">
        <v>0</v>
      </c>
      <c r="GU227" s="1804">
        <v>0</v>
      </c>
      <c r="GV227" s="1804">
        <v>0</v>
      </c>
      <c r="GW227" s="1804">
        <v>0</v>
      </c>
      <c r="GX227" s="1804">
        <v>0</v>
      </c>
      <c r="GY227" s="1804">
        <v>0</v>
      </c>
      <c r="GZ227" s="1804">
        <v>0</v>
      </c>
      <c r="HA227" s="1804">
        <v>0</v>
      </c>
      <c r="HB227" s="1804">
        <v>0</v>
      </c>
      <c r="HC227" s="1804">
        <v>0</v>
      </c>
      <c r="HD227" s="1804">
        <v>0</v>
      </c>
      <c r="HE227" s="1804">
        <v>0</v>
      </c>
      <c r="IG227" s="1868"/>
      <c r="IH227" s="1868"/>
      <c r="II227" s="1868"/>
      <c r="IJ227" s="1868"/>
      <c r="IK227" s="1868"/>
      <c r="IL227" s="1868"/>
      <c r="IM227" s="1868"/>
      <c r="IN227" s="1868"/>
      <c r="IO227" s="1868"/>
      <c r="IP227" s="1868"/>
      <c r="IQ227" s="1868"/>
      <c r="IR227" s="1868"/>
      <c r="IS227" s="1868"/>
      <c r="IT227" s="1868"/>
      <c r="IU227" s="1868"/>
      <c r="IV227" s="1868"/>
      <c r="IW227" s="1868"/>
      <c r="IX227" s="1868"/>
      <c r="IY227" s="1868"/>
      <c r="IZ227" s="1868"/>
      <c r="JA227" s="1868"/>
      <c r="JB227" s="1868"/>
      <c r="JC227" s="1868"/>
      <c r="JD227" s="1868"/>
      <c r="JE227" s="1868"/>
      <c r="JF227" s="1868"/>
      <c r="JG227" s="1868"/>
      <c r="JH227" s="1868"/>
      <c r="JI227" s="1868"/>
      <c r="JJ227" s="1868"/>
      <c r="JK227" s="1868"/>
      <c r="JL227" s="1868"/>
      <c r="JM227" s="1868"/>
      <c r="JN227" s="1868"/>
      <c r="JO227" s="1868"/>
      <c r="JP227" s="1868"/>
      <c r="JQ227" s="1868"/>
      <c r="JR227" s="1868"/>
      <c r="JS227" s="1868"/>
      <c r="JT227" s="1868"/>
      <c r="JU227" s="1868"/>
      <c r="JV227" s="1868"/>
      <c r="JW227" s="1868"/>
      <c r="JX227" s="1868"/>
      <c r="JY227" s="1868"/>
      <c r="JZ227" s="1868"/>
      <c r="KA227" s="1868"/>
      <c r="KB227" s="1868"/>
      <c r="KC227" s="1868"/>
      <c r="KD227" s="1868"/>
      <c r="KE227" s="1868"/>
      <c r="KF227" s="1868"/>
      <c r="KG227" s="1868"/>
      <c r="KH227" s="1868"/>
      <c r="KI227" s="1868"/>
      <c r="KJ227" s="1868"/>
      <c r="KK227" s="1868"/>
      <c r="KL227" s="1868"/>
      <c r="KM227" s="1868"/>
      <c r="KN227" s="1868"/>
      <c r="KO227" s="1868"/>
      <c r="KP227" s="1868"/>
      <c r="KQ227" s="1868"/>
      <c r="KR227" s="1868"/>
      <c r="KS227" s="1868"/>
      <c r="KT227" s="1868"/>
      <c r="KU227" s="1868"/>
      <c r="KV227" s="1868"/>
      <c r="KW227" s="1868"/>
      <c r="KX227" s="1868"/>
      <c r="KY227" s="1868"/>
      <c r="KZ227" s="1868"/>
      <c r="LA227" s="1868"/>
      <c r="LB227" s="1868"/>
      <c r="LC227" s="1868"/>
      <c r="LD227" s="1868"/>
      <c r="LE227" s="1868"/>
      <c r="LF227" s="1868"/>
      <c r="LG227" s="1868"/>
      <c r="LH227" s="1868"/>
      <c r="LI227" s="1868"/>
      <c r="LJ227" s="1868"/>
      <c r="LK227" s="1868"/>
      <c r="LL227" s="1868"/>
      <c r="LM227" s="1868"/>
      <c r="LN227" s="1868"/>
      <c r="LO227" s="1868"/>
      <c r="LP227" s="1868"/>
      <c r="LQ227" s="1868"/>
      <c r="LR227" s="1868"/>
      <c r="LS227" s="1868"/>
      <c r="LT227" s="1868"/>
      <c r="LU227" s="1868"/>
      <c r="LV227" s="1868"/>
      <c r="LW227" s="1868"/>
      <c r="LX227" s="1868"/>
      <c r="LY227" s="1868"/>
      <c r="LZ227" s="1868"/>
      <c r="MA227" s="1868"/>
      <c r="MB227" s="1868"/>
      <c r="MC227" s="1868"/>
      <c r="MD227" s="1868"/>
      <c r="ME227" s="1868"/>
      <c r="MF227" s="1868"/>
      <c r="MG227" s="1868"/>
      <c r="MH227" s="1868"/>
      <c r="MI227" s="1868"/>
      <c r="MJ227" s="1868"/>
      <c r="MK227" s="1868"/>
      <c r="ML227" s="1868"/>
      <c r="MM227" s="1868"/>
      <c r="MN227" s="1868"/>
      <c r="MO227" s="1868"/>
      <c r="MP227" s="1868"/>
      <c r="MQ227" s="1868"/>
      <c r="MR227" s="1868"/>
      <c r="MS227" s="1868"/>
      <c r="MT227" s="1868"/>
      <c r="MU227" s="1868"/>
      <c r="MV227" s="1868"/>
      <c r="MW227" s="1868"/>
      <c r="MX227" s="1868"/>
      <c r="MY227" s="1868"/>
      <c r="MZ227" s="1868"/>
      <c r="NA227" s="1868"/>
      <c r="NB227" s="1868"/>
      <c r="NC227" s="1868"/>
      <c r="ND227" s="1868"/>
      <c r="NE227" s="1868"/>
      <c r="NF227" s="1868"/>
      <c r="NG227" s="1868"/>
      <c r="NH227" s="1868"/>
      <c r="NI227" s="1868"/>
      <c r="NJ227" s="1868"/>
      <c r="NK227" s="1868"/>
      <c r="NL227" s="1868"/>
      <c r="NM227" s="1868"/>
      <c r="NN227" s="1868"/>
      <c r="NO227" s="1868"/>
      <c r="NP227" s="1868"/>
      <c r="NQ227" s="1868"/>
      <c r="NR227" s="1868"/>
      <c r="NS227" s="1868"/>
      <c r="NT227" s="1868"/>
      <c r="NU227" s="1868"/>
      <c r="NV227" s="1868"/>
      <c r="NW227" s="1868"/>
      <c r="NX227" s="1868"/>
      <c r="NY227" s="1868"/>
      <c r="NZ227" s="1868"/>
      <c r="OA227" s="1868"/>
      <c r="OB227" s="1868"/>
      <c r="OC227" s="1868"/>
      <c r="OD227" s="1868"/>
      <c r="OE227" s="1868"/>
      <c r="OF227" s="1868"/>
      <c r="OG227" s="1868"/>
      <c r="OH227" s="1868"/>
      <c r="OI227" s="1868"/>
      <c r="OJ227" s="1868"/>
      <c r="OK227" s="1868"/>
      <c r="OL227" s="1868"/>
      <c r="OM227" s="1868"/>
      <c r="ON227" s="1868"/>
      <c r="OO227" s="1868"/>
      <c r="OP227" s="1868"/>
      <c r="OQ227" s="1868"/>
      <c r="OR227" s="1868"/>
      <c r="OS227" s="1868"/>
      <c r="OT227" s="1868"/>
      <c r="OU227" s="1868"/>
      <c r="OV227" s="1868"/>
      <c r="OW227" s="1868"/>
      <c r="OX227" s="1868"/>
      <c r="OY227" s="1868"/>
      <c r="OZ227" s="1868"/>
      <c r="PA227" s="1868"/>
      <c r="PB227" s="1868"/>
      <c r="PC227" s="1868"/>
      <c r="PD227" s="1868"/>
      <c r="PE227" s="1868"/>
      <c r="PF227" s="1868"/>
      <c r="PG227" s="1868"/>
      <c r="PH227" s="1868"/>
      <c r="PI227" s="1868"/>
      <c r="PJ227" s="1868"/>
      <c r="PK227" s="1868"/>
      <c r="PL227" s="1868"/>
      <c r="PM227" s="1868"/>
      <c r="PN227" s="1868"/>
      <c r="PO227" s="1868"/>
      <c r="PP227" s="1868"/>
      <c r="PQ227" s="1868"/>
      <c r="PR227" s="1868"/>
      <c r="PS227" s="1868"/>
      <c r="PT227" s="1868"/>
      <c r="PU227" s="1868"/>
      <c r="PV227" s="1868"/>
      <c r="PW227" s="1868"/>
      <c r="PX227" s="1868"/>
      <c r="PY227" s="1868"/>
      <c r="PZ227" s="1868"/>
      <c r="QA227" s="1868"/>
      <c r="QB227" s="1868"/>
      <c r="QC227" s="1868"/>
      <c r="QD227" s="1868"/>
      <c r="QE227" s="1868"/>
      <c r="QF227" s="1868"/>
      <c r="QG227" s="1868"/>
      <c r="QH227" s="1868"/>
      <c r="QI227" s="1868"/>
      <c r="QJ227" s="1868"/>
      <c r="QK227" s="1868"/>
      <c r="QL227" s="1868"/>
      <c r="QM227" s="1868"/>
      <c r="QN227" s="1868"/>
      <c r="QO227" s="1868"/>
      <c r="QP227" s="1868"/>
      <c r="QQ227" s="1868"/>
      <c r="QR227" s="1868"/>
      <c r="QS227" s="1868"/>
      <c r="QT227" s="1868"/>
      <c r="QU227" s="1868"/>
      <c r="QV227" s="1868"/>
      <c r="QW227" s="1868"/>
      <c r="QX227" s="1868"/>
      <c r="QY227" s="1868"/>
      <c r="QZ227" s="1868"/>
      <c r="RA227" s="1868"/>
      <c r="RB227" s="1868"/>
      <c r="RC227" s="1868"/>
      <c r="RD227" s="1868"/>
      <c r="RE227" s="1868"/>
      <c r="RF227" s="1868"/>
      <c r="RG227" s="1868"/>
      <c r="RH227" s="1868"/>
      <c r="RI227" s="1868"/>
      <c r="RJ227" s="1868"/>
      <c r="RK227" s="1868"/>
      <c r="RL227" s="1868"/>
      <c r="RM227" s="1868"/>
      <c r="RN227" s="1868"/>
      <c r="RO227" s="1868"/>
      <c r="RP227" s="1868"/>
      <c r="RQ227" s="1868"/>
      <c r="RR227" s="1868"/>
      <c r="RS227" s="1868"/>
      <c r="RT227" s="1868"/>
      <c r="RU227" s="1868"/>
      <c r="RV227" s="1868"/>
      <c r="RW227" s="1868"/>
      <c r="RX227" s="1868"/>
      <c r="RY227" s="1868"/>
      <c r="RZ227" s="1868"/>
      <c r="SA227" s="1868"/>
      <c r="SB227" s="1868"/>
      <c r="SC227" s="1868"/>
      <c r="SD227" s="1868"/>
      <c r="SE227" s="1868"/>
      <c r="SF227" s="1868"/>
      <c r="SG227" s="1868"/>
      <c r="SH227" s="1868"/>
      <c r="SI227" s="1868"/>
      <c r="SJ227" s="1868"/>
      <c r="SK227" s="1868"/>
      <c r="SL227" s="1868"/>
      <c r="SM227" s="1868"/>
      <c r="SN227" s="1868"/>
      <c r="SO227" s="1868"/>
      <c r="SP227" s="1868"/>
      <c r="SQ227" s="1868"/>
      <c r="SR227" s="1868"/>
      <c r="SS227" s="1868"/>
      <c r="ST227" s="1868"/>
      <c r="SU227" s="1868"/>
      <c r="SV227" s="1868"/>
      <c r="SW227" s="1868"/>
      <c r="SX227" s="1868"/>
      <c r="SY227" s="1868"/>
      <c r="SZ227" s="1868"/>
      <c r="TA227" s="1868"/>
      <c r="TB227" s="1868"/>
      <c r="TC227" s="1868"/>
      <c r="TD227" s="1868"/>
      <c r="TE227" s="1868"/>
      <c r="TF227" s="1868"/>
      <c r="TG227" s="1868"/>
      <c r="TH227" s="1868"/>
      <c r="TI227" s="1868"/>
      <c r="TJ227" s="1868"/>
      <c r="TK227" s="1868"/>
      <c r="TL227" s="1868"/>
      <c r="TM227" s="1868"/>
      <c r="TN227" s="1868"/>
      <c r="TO227" s="1868"/>
      <c r="TP227" s="1868"/>
      <c r="TQ227" s="1868"/>
      <c r="TR227" s="1868"/>
      <c r="TS227" s="1868"/>
      <c r="TT227" s="1868"/>
      <c r="TU227" s="1868"/>
      <c r="TV227" s="1868"/>
      <c r="TW227" s="1868"/>
      <c r="TX227" s="1868"/>
      <c r="TY227" s="1868"/>
      <c r="TZ227" s="1868"/>
      <c r="UA227" s="1868"/>
      <c r="UB227" s="1868"/>
      <c r="UC227" s="1868"/>
      <c r="UD227" s="1868"/>
      <c r="UE227" s="1868"/>
      <c r="UF227" s="1868"/>
      <c r="UG227" s="1868"/>
      <c r="UH227" s="1868"/>
      <c r="UI227" s="1868"/>
      <c r="UJ227" s="1868"/>
      <c r="UK227" s="1868"/>
      <c r="UL227" s="1868"/>
      <c r="UM227" s="1868"/>
      <c r="UN227" s="1868"/>
      <c r="UO227" s="1868"/>
      <c r="UP227" s="1868"/>
      <c r="UQ227" s="1868"/>
      <c r="UR227" s="1868"/>
      <c r="US227" s="1868"/>
      <c r="UT227" s="1868"/>
      <c r="UU227" s="1868"/>
      <c r="UV227" s="1868"/>
      <c r="UW227" s="1868"/>
      <c r="UX227" s="1868"/>
      <c r="UY227" s="1868"/>
      <c r="UZ227" s="1868"/>
      <c r="VA227" s="1868"/>
      <c r="VB227" s="1868"/>
      <c r="VC227" s="1868"/>
      <c r="VD227" s="1868"/>
      <c r="VE227" s="1868"/>
      <c r="VF227" s="1868"/>
      <c r="VG227" s="1868"/>
      <c r="VH227" s="1868"/>
      <c r="VI227" s="1868"/>
      <c r="VJ227" s="1868"/>
      <c r="VK227" s="1868"/>
      <c r="VL227" s="1868"/>
      <c r="VM227" s="1868"/>
      <c r="VN227" s="1868"/>
      <c r="VO227" s="1868"/>
      <c r="VP227" s="1868"/>
      <c r="VQ227" s="1868"/>
      <c r="VR227" s="1868"/>
      <c r="VS227" s="1868"/>
      <c r="VT227" s="1868"/>
      <c r="VU227" s="1868"/>
      <c r="VV227" s="1868"/>
      <c r="VW227" s="1868"/>
      <c r="VX227" s="1868"/>
      <c r="VY227" s="1868"/>
      <c r="VZ227" s="1868"/>
      <c r="WA227" s="1868"/>
      <c r="WB227" s="1868"/>
      <c r="WC227" s="1868"/>
      <c r="WD227" s="1868"/>
      <c r="WE227" s="1868"/>
      <c r="WF227" s="1868"/>
      <c r="WG227" s="1868"/>
      <c r="WH227" s="1868"/>
      <c r="WI227" s="1868"/>
      <c r="WJ227" s="1868"/>
      <c r="WK227" s="1868"/>
      <c r="WL227" s="1868"/>
      <c r="WM227" s="1868"/>
      <c r="WN227" s="1868"/>
      <c r="WO227" s="1868"/>
      <c r="WP227" s="1868"/>
      <c r="WQ227" s="1868"/>
      <c r="WR227" s="1868"/>
      <c r="WS227" s="1868"/>
      <c r="WT227" s="1868"/>
      <c r="WU227" s="1868"/>
      <c r="WV227" s="1868"/>
      <c r="WW227" s="1868"/>
      <c r="WX227" s="1868"/>
      <c r="WY227" s="1868"/>
      <c r="WZ227" s="1868"/>
      <c r="XA227" s="1868"/>
      <c r="XB227" s="1868"/>
      <c r="XC227" s="1868"/>
      <c r="XD227" s="1868"/>
      <c r="XE227" s="1868"/>
      <c r="XF227" s="1868"/>
      <c r="XG227" s="1868"/>
      <c r="XH227" s="1868"/>
      <c r="XI227" s="1868"/>
      <c r="XJ227" s="1868"/>
      <c r="XK227" s="1868"/>
      <c r="XL227" s="1868"/>
      <c r="XM227" s="1868"/>
      <c r="XN227" s="1868"/>
      <c r="XO227" s="1868"/>
      <c r="XP227" s="1868"/>
      <c r="XQ227" s="1868"/>
      <c r="XR227" s="1868"/>
      <c r="XS227" s="1868"/>
      <c r="XT227" s="1868"/>
      <c r="XU227" s="1868"/>
      <c r="XV227" s="1868"/>
      <c r="XW227" s="1868"/>
      <c r="XX227" s="1868"/>
      <c r="XY227" s="1868"/>
      <c r="XZ227" s="1868"/>
      <c r="YA227" s="1868"/>
      <c r="YB227" s="1868"/>
      <c r="YC227" s="1868"/>
      <c r="YD227" s="1868"/>
      <c r="YE227" s="1868"/>
      <c r="YF227" s="1868"/>
      <c r="YG227" s="1868"/>
      <c r="YH227" s="1868"/>
      <c r="YI227" s="1868"/>
      <c r="YJ227" s="1868"/>
      <c r="YK227" s="1868"/>
      <c r="YL227" s="1868"/>
      <c r="YM227" s="1868"/>
      <c r="YN227" s="1868"/>
      <c r="YO227" s="1868"/>
      <c r="YP227" s="1868"/>
      <c r="YQ227" s="1868"/>
      <c r="YR227" s="1868"/>
      <c r="YS227" s="1868"/>
      <c r="YT227" s="1868"/>
      <c r="YU227" s="1868"/>
      <c r="YV227" s="1868"/>
      <c r="YW227" s="1868"/>
      <c r="YX227" s="1868"/>
      <c r="YY227" s="1868"/>
      <c r="YZ227" s="1868"/>
      <c r="ZA227" s="1868"/>
      <c r="ZB227" s="1868"/>
      <c r="ZC227" s="1868"/>
      <c r="ZD227" s="1868"/>
      <c r="ZE227" s="1868"/>
      <c r="ZF227" s="1868"/>
      <c r="ZG227" s="1868"/>
      <c r="ZH227" s="1868"/>
      <c r="ZI227" s="1868"/>
      <c r="ZJ227" s="1868"/>
      <c r="ZK227" s="1868"/>
      <c r="ZL227" s="1868"/>
      <c r="ZM227" s="1868"/>
      <c r="ZN227" s="1868"/>
      <c r="ZO227" s="1868"/>
      <c r="ZP227" s="1868"/>
      <c r="ZQ227" s="1868"/>
      <c r="ZR227" s="1868"/>
      <c r="ZS227" s="1868"/>
      <c r="ZT227" s="1868"/>
      <c r="ZU227" s="1868"/>
      <c r="ZV227" s="1868"/>
      <c r="ZW227" s="1868"/>
      <c r="ZX227" s="1868"/>
      <c r="ZY227" s="1868"/>
      <c r="ZZ227" s="1868"/>
      <c r="AAA227" s="1868"/>
      <c r="AAB227" s="1868"/>
      <c r="AAC227" s="1868"/>
      <c r="AAD227" s="1868"/>
      <c r="AAE227" s="1868"/>
      <c r="AAF227" s="1868"/>
      <c r="AAG227" s="1868"/>
      <c r="AAH227" s="1868"/>
      <c r="AAI227" s="1868"/>
      <c r="AAJ227" s="1868"/>
      <c r="AAK227" s="1868"/>
      <c r="AAL227" s="1868"/>
      <c r="AAM227" s="1868"/>
      <c r="AAN227" s="1868"/>
      <c r="AAO227" s="1868"/>
      <c r="AAP227" s="1868"/>
      <c r="AAQ227" s="1868"/>
      <c r="AAR227" s="1868"/>
      <c r="AAS227" s="1868"/>
      <c r="AAT227" s="1868"/>
      <c r="AAU227" s="1868"/>
      <c r="AAV227" s="1868"/>
      <c r="AAW227" s="1868"/>
      <c r="AAX227" s="1868"/>
      <c r="AAY227" s="1868"/>
      <c r="AAZ227" s="1868"/>
      <c r="ABA227" s="1868"/>
      <c r="ABB227" s="1868"/>
      <c r="ABC227" s="1868"/>
      <c r="ABD227" s="1868"/>
      <c r="ABE227" s="1868"/>
      <c r="ABF227" s="1868"/>
      <c r="ABG227" s="1868"/>
      <c r="ABH227" s="1868"/>
      <c r="ABI227" s="1868"/>
      <c r="ABJ227" s="1868"/>
      <c r="ABK227" s="1868"/>
      <c r="ABL227" s="1868"/>
      <c r="ABM227" s="1868"/>
      <c r="ABN227" s="1868"/>
      <c r="ABO227" s="1868"/>
      <c r="ABP227" s="1868"/>
      <c r="ABQ227" s="1868"/>
      <c r="ABR227" s="1868"/>
      <c r="ABS227" s="1868"/>
      <c r="ABT227" s="1868"/>
      <c r="ABU227" s="1868"/>
      <c r="ABV227" s="1868"/>
      <c r="ABW227" s="1868"/>
      <c r="ABX227" s="1868"/>
      <c r="ABY227" s="1868"/>
      <c r="ABZ227" s="1868"/>
      <c r="ACA227" s="1868"/>
      <c r="ACB227" s="1868"/>
      <c r="ACC227" s="1868"/>
      <c r="ACD227" s="1868"/>
      <c r="ACE227" s="1868"/>
      <c r="ACF227" s="1868"/>
      <c r="ACG227" s="1868"/>
      <c r="ACH227" s="1868"/>
      <c r="ACI227" s="1868"/>
      <c r="ACJ227" s="1868"/>
      <c r="ACK227" s="1868"/>
      <c r="ACL227" s="1868"/>
      <c r="ACM227" s="1868"/>
      <c r="ACN227" s="1868"/>
      <c r="ACO227" s="1868"/>
      <c r="ACP227" s="1868"/>
      <c r="ACQ227" s="1868"/>
      <c r="ACR227" s="1868"/>
      <c r="ACS227" s="1868"/>
      <c r="ACT227" s="1868"/>
      <c r="ACU227" s="1868"/>
      <c r="ACV227" s="1868"/>
      <c r="ACW227" s="1868"/>
      <c r="ACX227" s="1868"/>
      <c r="ACY227" s="1868"/>
      <c r="ACZ227" s="1868"/>
      <c r="ADA227" s="1868"/>
      <c r="ADB227" s="1868"/>
      <c r="ADC227" s="1868"/>
      <c r="ADD227" s="1868"/>
      <c r="ADE227" s="1868"/>
      <c r="ADF227" s="1868"/>
      <c r="ADG227" s="1868"/>
      <c r="ADH227" s="1868"/>
      <c r="ADI227" s="1868"/>
      <c r="ADJ227" s="1868"/>
      <c r="ADK227" s="1868"/>
      <c r="ADL227" s="1868"/>
      <c r="ADM227" s="1868"/>
      <c r="ADN227" s="1868"/>
      <c r="ADO227" s="1868"/>
      <c r="ADP227" s="1868"/>
      <c r="ADQ227" s="1868"/>
      <c r="ADR227" s="1868"/>
      <c r="ADS227" s="1868"/>
      <c r="ADT227" s="1868"/>
      <c r="ADU227" s="1868"/>
      <c r="ADV227" s="1868"/>
      <c r="ADW227" s="1868"/>
      <c r="ADX227" s="1868"/>
      <c r="ADY227" s="1868"/>
      <c r="ADZ227" s="1868"/>
      <c r="AEA227" s="1868"/>
      <c r="AEB227" s="1868"/>
      <c r="AEC227" s="1868"/>
      <c r="AED227" s="1868"/>
      <c r="AEE227" s="1868"/>
      <c r="AEF227" s="1868"/>
      <c r="AEG227" s="1868"/>
      <c r="AEH227" s="1868"/>
      <c r="AEI227" s="1868"/>
      <c r="AEJ227" s="1868"/>
      <c r="AEK227" s="1868"/>
      <c r="AEL227" s="1868"/>
      <c r="AEM227" s="1868"/>
      <c r="AEN227" s="1868"/>
      <c r="AEO227" s="1868"/>
      <c r="AEP227" s="1868"/>
      <c r="AEQ227" s="1868"/>
      <c r="AER227" s="1868"/>
      <c r="AES227" s="1868"/>
      <c r="AET227" s="1868"/>
      <c r="AEU227" s="1868"/>
      <c r="AEV227" s="1868"/>
      <c r="AEW227" s="1868"/>
      <c r="AEX227" s="1868"/>
      <c r="AEY227" s="1868"/>
      <c r="AEZ227" s="1868"/>
      <c r="AFA227" s="1868"/>
      <c r="AFB227" s="1868"/>
      <c r="AFC227" s="1868"/>
      <c r="AFD227" s="1868"/>
      <c r="AFE227" s="1868"/>
      <c r="AFF227" s="1868"/>
      <c r="AFG227" s="1868"/>
      <c r="AFH227" s="1868"/>
      <c r="AFI227" s="1868"/>
      <c r="AFJ227" s="1868"/>
      <c r="AFK227" s="1868"/>
      <c r="AFL227" s="1868"/>
      <c r="AFM227" s="1868"/>
      <c r="AFN227" s="1868"/>
      <c r="AFO227" s="1868"/>
      <c r="AFP227" s="1868"/>
      <c r="AFQ227" s="1868"/>
      <c r="AFR227" s="1868"/>
      <c r="AFS227" s="1868"/>
      <c r="AFT227" s="1868"/>
      <c r="AFU227" s="1868"/>
      <c r="AFV227" s="1868"/>
      <c r="AFW227" s="1868"/>
      <c r="AFX227" s="1868"/>
      <c r="AFY227" s="1868"/>
      <c r="AFZ227" s="1868"/>
      <c r="AGA227" s="1868"/>
      <c r="AGB227" s="1868"/>
      <c r="AGC227" s="1868"/>
      <c r="AGD227" s="1868"/>
      <c r="AGE227" s="1868"/>
      <c r="AGF227" s="1868"/>
      <c r="AGG227" s="1868"/>
      <c r="AGH227" s="1868"/>
      <c r="AGI227" s="1868"/>
      <c r="AGJ227" s="1868"/>
      <c r="AGK227" s="1868"/>
      <c r="AGL227" s="1868"/>
      <c r="AGM227" s="1868"/>
      <c r="AGN227" s="1868"/>
      <c r="AGO227" s="1868"/>
      <c r="AGP227" s="1868"/>
      <c r="AGQ227" s="1868"/>
      <c r="AGR227" s="1868"/>
      <c r="AGS227" s="1868"/>
      <c r="AGT227" s="1868"/>
      <c r="AGU227" s="1868"/>
      <c r="AGV227" s="1868"/>
      <c r="AGW227" s="1868"/>
      <c r="AGX227" s="1868"/>
      <c r="AGY227" s="1868"/>
      <c r="AGZ227" s="1868"/>
      <c r="AHA227" s="1868"/>
      <c r="AHB227" s="1868"/>
      <c r="AHC227" s="1868"/>
      <c r="AHD227" s="1868"/>
      <c r="AHE227" s="1868"/>
      <c r="AHF227" s="1868"/>
      <c r="AHG227" s="1868"/>
      <c r="AHH227" s="1868"/>
      <c r="AHI227" s="1868"/>
      <c r="AHJ227" s="1868"/>
      <c r="AHK227" s="1868"/>
      <c r="AHL227" s="1868"/>
      <c r="AHM227" s="1868"/>
      <c r="AHN227" s="1868"/>
      <c r="AHO227" s="1868"/>
      <c r="AHP227" s="1868"/>
      <c r="AHQ227" s="1868"/>
      <c r="AHR227" s="1868"/>
      <c r="AHS227" s="1868"/>
      <c r="AHT227" s="1868"/>
      <c r="AHU227" s="1868"/>
      <c r="AHV227" s="1868"/>
      <c r="AHW227" s="1868"/>
      <c r="AHX227" s="1868"/>
      <c r="AHY227" s="1868"/>
      <c r="AHZ227" s="1868"/>
      <c r="AIA227" s="1868"/>
      <c r="AIB227" s="1868"/>
      <c r="AIC227" s="1868"/>
      <c r="AID227" s="1868"/>
      <c r="AIE227" s="1868"/>
      <c r="AIF227" s="1868"/>
      <c r="AIG227" s="1868"/>
      <c r="AIH227" s="1868"/>
      <c r="AII227" s="1868"/>
      <c r="AIJ227" s="1868"/>
      <c r="AIK227" s="1868"/>
      <c r="AIL227" s="1868"/>
      <c r="AIM227" s="1868"/>
      <c r="AIN227" s="1868"/>
      <c r="AIO227" s="1868"/>
      <c r="AIP227" s="1868"/>
      <c r="AIQ227" s="1868"/>
      <c r="AIR227" s="1868"/>
      <c r="AIS227" s="1868"/>
      <c r="AIT227" s="1868"/>
      <c r="AIU227" s="1868"/>
      <c r="AIV227" s="1868"/>
      <c r="AIW227" s="1868"/>
      <c r="AIX227" s="1868"/>
      <c r="AIY227" s="1868"/>
      <c r="AIZ227" s="1868"/>
      <c r="AJA227" s="1868"/>
      <c r="AJB227" s="1868"/>
      <c r="AJC227" s="1868"/>
      <c r="AJD227" s="1868"/>
      <c r="AJE227" s="1868"/>
      <c r="AJF227" s="1868"/>
      <c r="AJG227" s="1868"/>
      <c r="AJH227" s="1868"/>
      <c r="AJI227" s="1868"/>
      <c r="AJJ227" s="1868"/>
      <c r="AJK227" s="1868"/>
      <c r="AJL227" s="1868"/>
      <c r="AJM227" s="1868"/>
      <c r="AJN227" s="1868"/>
      <c r="AJO227" s="1868"/>
      <c r="AJP227" s="1868"/>
      <c r="AJQ227" s="1868"/>
      <c r="AJR227" s="1868"/>
      <c r="AJS227" s="1868"/>
      <c r="AJT227" s="1868"/>
      <c r="AJU227" s="1868"/>
      <c r="AJV227" s="1868"/>
      <c r="AJW227" s="1868"/>
      <c r="AJX227" s="1868"/>
      <c r="AJY227" s="1868"/>
      <c r="AJZ227" s="1868"/>
      <c r="AKA227" s="1868"/>
      <c r="AKB227" s="1868"/>
      <c r="AKC227" s="1868"/>
      <c r="AKD227" s="1868"/>
      <c r="AKE227" s="1868"/>
      <c r="AKF227" s="1868"/>
      <c r="AKG227" s="1868"/>
      <c r="AKH227" s="1868"/>
      <c r="AKI227" s="1868"/>
      <c r="AKJ227" s="1868"/>
      <c r="AKK227" s="1868"/>
      <c r="AKL227" s="1868"/>
      <c r="AKM227" s="1868"/>
      <c r="AKN227" s="1868"/>
      <c r="AKO227" s="1868"/>
      <c r="AKP227" s="1868"/>
      <c r="AKQ227" s="1868"/>
      <c r="AKR227" s="1868"/>
      <c r="AKS227" s="1868"/>
      <c r="AKT227" s="1868"/>
      <c r="AKU227" s="1868"/>
      <c r="AKV227" s="1868"/>
      <c r="AKW227" s="1868"/>
      <c r="AKX227" s="1868"/>
      <c r="AKY227" s="1868"/>
      <c r="AKZ227" s="1868"/>
      <c r="ALA227" s="1868"/>
      <c r="ALB227" s="1868"/>
      <c r="ALC227" s="1868"/>
      <c r="ALD227" s="1868"/>
      <c r="ALE227" s="1868"/>
      <c r="ALF227" s="1868"/>
      <c r="ALG227" s="1868"/>
      <c r="ALH227" s="1868"/>
      <c r="ALI227" s="1868"/>
      <c r="ALJ227" s="1868"/>
      <c r="ALK227" s="1868"/>
      <c r="ALL227" s="1868"/>
      <c r="ALM227" s="1868"/>
      <c r="ALN227" s="1868"/>
      <c r="ALO227" s="1868"/>
      <c r="ALP227" s="1868"/>
      <c r="ALQ227" s="1868"/>
      <c r="ALR227" s="1868"/>
      <c r="ALS227" s="1868"/>
      <c r="ALT227" s="1868"/>
      <c r="ALU227" s="1868"/>
      <c r="ALV227" s="1868"/>
      <c r="ALW227" s="1868"/>
      <c r="ALX227" s="1868"/>
      <c r="ALY227" s="1868"/>
      <c r="ALZ227" s="1868"/>
      <c r="AMA227" s="1868"/>
      <c r="AMB227" s="1868"/>
      <c r="AMC227" s="1868"/>
      <c r="AMD227" s="1868"/>
      <c r="AME227" s="1868"/>
      <c r="AMF227" s="1868"/>
      <c r="AMG227" s="1868"/>
      <c r="AMH227" s="1868"/>
      <c r="AMI227" s="1868"/>
      <c r="AMJ227" s="1868"/>
      <c r="AMK227" s="1868"/>
      <c r="AML227" s="1868"/>
      <c r="AMM227" s="1868"/>
      <c r="AMN227" s="1868"/>
      <c r="AMO227" s="1868"/>
      <c r="AMP227" s="1868"/>
      <c r="AMQ227" s="1868"/>
      <c r="AMR227" s="1868"/>
      <c r="AMS227" s="1868"/>
      <c r="AMT227" s="1868"/>
      <c r="AMU227" s="1868"/>
      <c r="AMV227" s="1868"/>
      <c r="AMW227" s="1868"/>
      <c r="AMX227" s="1868"/>
      <c r="AMY227" s="1868"/>
      <c r="AMZ227" s="1868"/>
      <c r="ANA227" s="1868"/>
      <c r="ANB227" s="1868"/>
      <c r="ANC227" s="1868"/>
      <c r="AND227" s="1868"/>
      <c r="ANE227" s="1868"/>
      <c r="ANF227" s="1868"/>
      <c r="ANG227" s="1868"/>
      <c r="ANH227" s="1868"/>
      <c r="ANI227" s="1868"/>
      <c r="ANJ227" s="1868"/>
      <c r="ANK227" s="1868"/>
      <c r="ANL227" s="1868"/>
      <c r="ANM227" s="1868"/>
      <c r="ANN227" s="1868"/>
      <c r="ANO227" s="1868"/>
      <c r="ANP227" s="1868"/>
      <c r="ANQ227" s="1868"/>
      <c r="ANR227" s="1868"/>
      <c r="ANS227" s="1868"/>
      <c r="ANT227" s="1868"/>
      <c r="ANU227" s="1868"/>
      <c r="ANV227" s="1868"/>
      <c r="ANW227" s="1868"/>
      <c r="ANX227" s="1868"/>
      <c r="ANY227" s="1868"/>
      <c r="ANZ227" s="1868"/>
      <c r="AOA227" s="1868"/>
      <c r="AOB227" s="1868"/>
      <c r="AOC227" s="1868"/>
      <c r="AOD227" s="1868"/>
      <c r="AOE227" s="1868"/>
      <c r="AOF227" s="1868"/>
      <c r="AOG227" s="1868"/>
      <c r="AOH227" s="1868"/>
      <c r="AOI227" s="1868"/>
      <c r="AOJ227" s="1868"/>
      <c r="AOK227" s="1868"/>
      <c r="AOL227" s="1868"/>
      <c r="AOM227" s="1868"/>
      <c r="AON227" s="1868"/>
      <c r="AOO227" s="1868"/>
      <c r="AOP227" s="1868"/>
      <c r="AOQ227" s="1868"/>
      <c r="AOR227" s="1868"/>
      <c r="AOS227" s="1868"/>
      <c r="AOT227" s="1868"/>
      <c r="AOU227" s="1868"/>
      <c r="AOV227" s="1868"/>
      <c r="AOW227" s="1868"/>
      <c r="AOX227" s="1868"/>
      <c r="AOY227" s="1868"/>
      <c r="AOZ227" s="1868"/>
      <c r="APA227" s="1868"/>
      <c r="APB227" s="1868"/>
      <c r="APC227" s="1868"/>
      <c r="APD227" s="1868"/>
      <c r="APE227" s="1868"/>
      <c r="APF227" s="1868"/>
      <c r="APG227" s="1868"/>
      <c r="APH227" s="1868"/>
      <c r="API227" s="1868"/>
      <c r="APJ227" s="1868"/>
      <c r="APK227" s="1868"/>
      <c r="APL227" s="1868"/>
      <c r="APM227" s="1868"/>
      <c r="APN227" s="1868"/>
      <c r="APO227" s="1868"/>
      <c r="APP227" s="1868"/>
      <c r="APQ227" s="1868"/>
      <c r="APR227" s="1868"/>
      <c r="APS227" s="1868"/>
      <c r="APT227" s="1868"/>
      <c r="APU227" s="1868"/>
      <c r="APV227" s="1868"/>
      <c r="APW227" s="1868"/>
      <c r="APX227" s="1868"/>
      <c r="APY227" s="1868"/>
      <c r="APZ227" s="1868"/>
      <c r="AQA227" s="1868"/>
      <c r="AQB227" s="1868"/>
      <c r="AQC227" s="1868"/>
      <c r="AQD227" s="1868"/>
      <c r="AQE227" s="1868"/>
      <c r="AQF227" s="1868"/>
      <c r="AQG227" s="1868"/>
      <c r="AQH227" s="1868"/>
      <c r="AQI227" s="1868"/>
      <c r="AQJ227" s="1868"/>
      <c r="AQK227" s="1868"/>
      <c r="AQL227" s="1868"/>
      <c r="AQM227" s="1868"/>
      <c r="AQN227" s="1868"/>
      <c r="AQO227" s="1868"/>
      <c r="AQP227" s="1868"/>
      <c r="AQQ227" s="1868"/>
      <c r="AQR227" s="1868"/>
      <c r="AQS227" s="1868"/>
      <c r="AQT227" s="1868"/>
      <c r="AQU227" s="1868"/>
      <c r="AQV227" s="1868"/>
      <c r="AQW227" s="1868"/>
      <c r="AQX227" s="1868"/>
      <c r="AQY227" s="1868"/>
      <c r="AQZ227" s="1868"/>
      <c r="ARA227" s="1868"/>
      <c r="ARB227" s="1868"/>
      <c r="ARC227" s="1868"/>
      <c r="ARD227" s="1868"/>
      <c r="ARE227" s="1868"/>
      <c r="ARF227" s="1868"/>
      <c r="ARG227" s="1868"/>
      <c r="ARH227" s="1868"/>
      <c r="ARI227" s="1868"/>
      <c r="ARJ227" s="1868"/>
      <c r="ARK227" s="1868"/>
      <c r="ARL227" s="1868"/>
      <c r="ARM227" s="1868"/>
      <c r="ARN227" s="1868"/>
      <c r="ARO227" s="1868"/>
      <c r="ARP227" s="1868"/>
      <c r="ARQ227" s="1868"/>
      <c r="ARR227" s="1868"/>
      <c r="ARS227" s="1868"/>
      <c r="ART227" s="1868"/>
      <c r="ARU227" s="1868"/>
      <c r="ARV227" s="1868"/>
      <c r="ARW227" s="1868"/>
      <c r="ARX227" s="1868"/>
      <c r="ARY227" s="1868"/>
      <c r="ARZ227" s="1868"/>
      <c r="ASA227" s="1868"/>
      <c r="ASB227" s="1868"/>
      <c r="ASC227" s="1868"/>
      <c r="ASD227" s="1868"/>
      <c r="ASE227" s="1868"/>
      <c r="ASF227" s="1868"/>
      <c r="ASG227" s="1868"/>
      <c r="ASH227" s="1868"/>
      <c r="ASI227" s="1868"/>
      <c r="ASJ227" s="1868"/>
      <c r="ASK227" s="1868"/>
      <c r="ASL227" s="1868"/>
      <c r="ASM227" s="1868"/>
      <c r="ASN227" s="1868"/>
      <c r="ASO227" s="1868"/>
      <c r="ASP227" s="1868"/>
      <c r="ASQ227" s="1868"/>
      <c r="ASR227" s="1868"/>
      <c r="ASS227" s="1868"/>
      <c r="AST227" s="1868"/>
      <c r="ASU227" s="1868"/>
      <c r="ASV227" s="1868"/>
      <c r="ASW227" s="1868"/>
      <c r="ASX227" s="1868"/>
      <c r="ASY227" s="1868"/>
      <c r="ASZ227" s="1868"/>
      <c r="ATA227" s="1868"/>
      <c r="ATB227" s="1868"/>
      <c r="ATC227" s="1868"/>
      <c r="ATD227" s="1868"/>
      <c r="ATE227" s="1868"/>
      <c r="ATF227" s="1868"/>
      <c r="ATG227" s="1868"/>
      <c r="ATH227" s="1868"/>
      <c r="ATI227" s="1868"/>
      <c r="ATJ227" s="1868"/>
      <c r="ATK227" s="1868"/>
      <c r="ATL227" s="1868"/>
      <c r="ATM227" s="1868"/>
      <c r="ATN227" s="1868"/>
      <c r="ATO227" s="1868"/>
      <c r="ATP227" s="1868"/>
      <c r="ATQ227" s="1868"/>
      <c r="ATR227" s="1868"/>
      <c r="ATS227" s="1868"/>
      <c r="ATT227" s="1868"/>
      <c r="ATU227" s="1868"/>
      <c r="ATV227" s="1868"/>
      <c r="ATW227" s="1868"/>
      <c r="ATX227" s="1868"/>
      <c r="ATY227" s="1868"/>
      <c r="ATZ227" s="1868"/>
      <c r="AUA227" s="1868"/>
      <c r="AUB227" s="1868"/>
      <c r="AUC227" s="1868"/>
      <c r="AUD227" s="1868"/>
      <c r="AUE227" s="1868"/>
      <c r="AUF227" s="1868"/>
      <c r="AUG227" s="1868"/>
      <c r="AUH227" s="1868"/>
      <c r="AUI227" s="1868"/>
      <c r="AUJ227" s="1868"/>
      <c r="AUK227" s="1868"/>
      <c r="AUL227" s="1868"/>
      <c r="AUM227" s="1868"/>
      <c r="AUN227" s="1868"/>
      <c r="AUO227" s="1868"/>
      <c r="AUP227" s="1868"/>
      <c r="AUQ227" s="1868"/>
      <c r="AUR227" s="1868"/>
      <c r="AUS227" s="1868"/>
      <c r="AUT227" s="1868"/>
      <c r="AUU227" s="1868"/>
      <c r="AUV227" s="1868"/>
      <c r="AUW227" s="1868"/>
      <c r="AUX227" s="1868"/>
      <c r="AUY227" s="1868"/>
      <c r="AUZ227" s="1868"/>
      <c r="AVA227" s="1868"/>
      <c r="AVB227" s="1868"/>
      <c r="AVC227" s="1868"/>
      <c r="AVD227" s="1868"/>
      <c r="AVE227" s="1868"/>
      <c r="AVF227" s="1868"/>
      <c r="AVG227" s="1868"/>
      <c r="AVH227" s="1868"/>
      <c r="AVI227" s="1868"/>
      <c r="AVJ227" s="1868"/>
      <c r="AVK227" s="1868"/>
      <c r="AVL227" s="1868"/>
      <c r="AVM227" s="1868"/>
      <c r="AVN227" s="1868"/>
      <c r="AVO227" s="1868"/>
      <c r="AVP227" s="1868"/>
      <c r="AVQ227" s="1868"/>
      <c r="AVR227" s="1868"/>
      <c r="AVS227" s="1868"/>
      <c r="AVT227" s="1868"/>
      <c r="AVU227" s="1868"/>
      <c r="AVV227" s="1868"/>
      <c r="AVW227" s="1868"/>
      <c r="AVX227" s="1868"/>
      <c r="AVY227" s="1868"/>
      <c r="AVZ227" s="1868"/>
      <c r="AWA227" s="1868"/>
      <c r="AWB227" s="1868"/>
      <c r="AWC227" s="1868"/>
      <c r="AWD227" s="1868"/>
      <c r="AWE227" s="1868"/>
      <c r="AWF227" s="1868"/>
      <c r="AWG227" s="1868"/>
      <c r="AWH227" s="1868"/>
      <c r="AWI227" s="1868"/>
      <c r="AWJ227" s="1868"/>
      <c r="AWK227" s="1868"/>
      <c r="AWL227" s="1868"/>
      <c r="AWM227" s="1868"/>
      <c r="AWN227" s="1868"/>
      <c r="AWO227" s="1868"/>
      <c r="AWP227" s="1868"/>
      <c r="AWQ227" s="1868"/>
    </row>
    <row r="228" spans="1:1291" ht="15" customHeight="1" x14ac:dyDescent="0.2">
      <c r="A228" s="1964"/>
      <c r="B228" s="1999"/>
      <c r="C228" s="1818" t="s">
        <v>583</v>
      </c>
      <c r="D228" s="1885"/>
      <c r="E228" s="1984"/>
      <c r="F228" s="1838">
        <v>0</v>
      </c>
      <c r="G228" s="1804">
        <v>0</v>
      </c>
      <c r="H228" s="1804">
        <v>0</v>
      </c>
      <c r="I228" s="1804">
        <v>0</v>
      </c>
      <c r="J228" s="1804">
        <v>0</v>
      </c>
      <c r="K228" s="1804">
        <v>0</v>
      </c>
      <c r="L228" s="1804">
        <v>0</v>
      </c>
      <c r="M228" s="1804">
        <v>0</v>
      </c>
      <c r="N228" s="1804">
        <v>0</v>
      </c>
      <c r="O228" s="1804">
        <v>0</v>
      </c>
      <c r="P228" s="1804">
        <v>0</v>
      </c>
      <c r="Q228" s="1804">
        <v>0</v>
      </c>
      <c r="R228" s="1804">
        <v>0</v>
      </c>
      <c r="S228" s="1804">
        <v>0</v>
      </c>
      <c r="T228" s="1804">
        <v>0</v>
      </c>
      <c r="U228" s="1804">
        <v>0</v>
      </c>
      <c r="V228" s="1804">
        <v>0</v>
      </c>
      <c r="W228" s="1804">
        <v>0</v>
      </c>
      <c r="X228" s="1804">
        <v>0</v>
      </c>
      <c r="Y228" s="1804">
        <v>0</v>
      </c>
      <c r="Z228" s="1804">
        <v>0</v>
      </c>
      <c r="AA228" s="1804">
        <v>0</v>
      </c>
      <c r="AB228" s="1804">
        <v>0</v>
      </c>
      <c r="AC228" s="1804">
        <v>0</v>
      </c>
      <c r="AD228" s="1804">
        <v>0</v>
      </c>
      <c r="AE228" s="1804">
        <v>0</v>
      </c>
      <c r="AF228" s="1804">
        <v>0</v>
      </c>
      <c r="AG228" s="1804">
        <v>0</v>
      </c>
      <c r="AH228" s="1804">
        <v>0</v>
      </c>
      <c r="AI228" s="1804">
        <v>0</v>
      </c>
      <c r="AJ228" s="1804">
        <v>0</v>
      </c>
      <c r="AK228" s="1804">
        <v>0</v>
      </c>
      <c r="AL228" s="1804">
        <v>0</v>
      </c>
      <c r="AM228" s="1804">
        <v>0</v>
      </c>
      <c r="AN228" s="1804">
        <v>0</v>
      </c>
      <c r="AO228" s="1804">
        <v>0</v>
      </c>
      <c r="AP228" s="1804">
        <v>0</v>
      </c>
      <c r="AQ228" s="1804">
        <v>0</v>
      </c>
      <c r="AR228" s="1804">
        <v>0</v>
      </c>
      <c r="AS228" s="1804">
        <v>0</v>
      </c>
      <c r="AT228" s="1804">
        <v>0</v>
      </c>
      <c r="AU228" s="1804">
        <v>0</v>
      </c>
      <c r="AV228" s="1804">
        <v>0</v>
      </c>
      <c r="AW228" s="1804">
        <v>0</v>
      </c>
      <c r="AX228" s="1804">
        <v>0</v>
      </c>
      <c r="AY228" s="1804">
        <v>0</v>
      </c>
      <c r="AZ228" s="1804">
        <v>0</v>
      </c>
      <c r="BA228" s="1804">
        <v>0</v>
      </c>
      <c r="BB228" s="1804">
        <v>0</v>
      </c>
      <c r="BC228" s="1804">
        <v>0</v>
      </c>
      <c r="BD228" s="1804">
        <v>0</v>
      </c>
      <c r="BE228" s="1804">
        <v>0</v>
      </c>
      <c r="BF228" s="1804">
        <v>0</v>
      </c>
      <c r="BG228" s="1804">
        <v>0</v>
      </c>
      <c r="BH228" s="1804">
        <v>0</v>
      </c>
      <c r="BI228" s="1804">
        <v>0</v>
      </c>
      <c r="BJ228" s="1804">
        <v>0</v>
      </c>
      <c r="BK228" s="1804">
        <v>0</v>
      </c>
      <c r="BL228" s="1804">
        <v>0</v>
      </c>
      <c r="BM228" s="1804">
        <v>0</v>
      </c>
      <c r="BN228" s="1804">
        <v>0</v>
      </c>
      <c r="BO228" s="1804">
        <v>0</v>
      </c>
      <c r="BP228" s="1804">
        <v>0</v>
      </c>
      <c r="BQ228" s="1804">
        <v>0</v>
      </c>
      <c r="BR228" s="1804">
        <v>0</v>
      </c>
      <c r="BS228" s="1804">
        <v>0</v>
      </c>
      <c r="BT228" s="1804">
        <v>0</v>
      </c>
      <c r="BU228" s="1804">
        <v>0</v>
      </c>
      <c r="BV228" s="1804">
        <v>0</v>
      </c>
      <c r="BW228" s="1804">
        <v>0</v>
      </c>
      <c r="BX228" s="1804">
        <v>0</v>
      </c>
      <c r="BY228" s="1804">
        <v>0</v>
      </c>
      <c r="BZ228" s="1804">
        <v>0</v>
      </c>
      <c r="CA228" s="1804">
        <v>0</v>
      </c>
      <c r="CB228" s="1804">
        <v>0</v>
      </c>
      <c r="CC228" s="1804">
        <v>0</v>
      </c>
      <c r="CD228" s="1804">
        <v>0</v>
      </c>
      <c r="CE228" s="1804">
        <v>0</v>
      </c>
      <c r="CF228" s="1804">
        <v>0</v>
      </c>
      <c r="CG228" s="1804">
        <v>0</v>
      </c>
      <c r="CH228" s="1804">
        <v>0</v>
      </c>
      <c r="CI228" s="1804">
        <v>0</v>
      </c>
      <c r="CJ228" s="1804">
        <v>0</v>
      </c>
      <c r="CK228" s="1804">
        <v>0</v>
      </c>
      <c r="CL228" s="1804">
        <v>0</v>
      </c>
      <c r="CM228" s="1804">
        <v>0</v>
      </c>
      <c r="CN228" s="1804">
        <v>0</v>
      </c>
      <c r="CO228" s="1804">
        <v>0</v>
      </c>
      <c r="CP228" s="1804">
        <v>0</v>
      </c>
      <c r="CQ228" s="1804">
        <v>0</v>
      </c>
      <c r="CR228" s="1804">
        <v>0</v>
      </c>
      <c r="CS228" s="1804">
        <v>0</v>
      </c>
      <c r="CT228" s="1804">
        <v>0</v>
      </c>
      <c r="CU228" s="1804">
        <v>0</v>
      </c>
      <c r="CV228" s="1804">
        <v>0</v>
      </c>
      <c r="CW228" s="1804">
        <v>0</v>
      </c>
      <c r="CX228" s="1804">
        <v>0</v>
      </c>
      <c r="CY228" s="1804">
        <v>0</v>
      </c>
      <c r="CZ228" s="1804">
        <v>0</v>
      </c>
      <c r="DA228" s="1804">
        <v>0</v>
      </c>
      <c r="DB228" s="1804">
        <v>0</v>
      </c>
      <c r="DC228" s="1804">
        <v>0</v>
      </c>
      <c r="DD228" s="1804">
        <v>0</v>
      </c>
      <c r="DE228" s="1804">
        <v>0</v>
      </c>
      <c r="DF228" s="1804">
        <v>0</v>
      </c>
      <c r="DG228" s="1804">
        <v>0</v>
      </c>
      <c r="DH228" s="1804">
        <v>0</v>
      </c>
      <c r="DI228" s="1804">
        <v>0</v>
      </c>
      <c r="DJ228" s="1804">
        <v>0</v>
      </c>
      <c r="DK228" s="1804">
        <v>0</v>
      </c>
      <c r="DL228" s="1804">
        <v>0</v>
      </c>
      <c r="DM228" s="1804">
        <v>0</v>
      </c>
      <c r="DN228" s="1804">
        <v>0</v>
      </c>
      <c r="DO228" s="1804">
        <v>0</v>
      </c>
      <c r="DP228" s="1804">
        <v>0</v>
      </c>
      <c r="DQ228" s="1804">
        <v>0</v>
      </c>
      <c r="DR228" s="1804">
        <v>0</v>
      </c>
      <c r="DS228" s="1804">
        <v>0</v>
      </c>
      <c r="DT228" s="1804">
        <v>0</v>
      </c>
      <c r="DU228" s="1804">
        <v>0</v>
      </c>
      <c r="DV228" s="1804">
        <v>0</v>
      </c>
      <c r="DW228" s="1804">
        <v>0</v>
      </c>
      <c r="DX228" s="1804">
        <v>0</v>
      </c>
      <c r="DY228" s="1804">
        <v>0</v>
      </c>
      <c r="DZ228" s="1804">
        <v>0</v>
      </c>
      <c r="EA228" s="1804">
        <v>0</v>
      </c>
      <c r="EB228" s="1804">
        <v>0</v>
      </c>
      <c r="EC228" s="1804">
        <v>0</v>
      </c>
      <c r="ED228" s="1804">
        <v>0</v>
      </c>
      <c r="EE228" s="1804">
        <v>0</v>
      </c>
      <c r="EF228" s="1804">
        <v>0</v>
      </c>
      <c r="EG228" s="1804">
        <v>0</v>
      </c>
      <c r="EH228" s="1804">
        <v>0</v>
      </c>
      <c r="EI228" s="1804">
        <v>0</v>
      </c>
      <c r="EJ228" s="1804">
        <v>0</v>
      </c>
      <c r="EK228" s="1804">
        <v>0</v>
      </c>
      <c r="EL228" s="1804">
        <v>0</v>
      </c>
      <c r="EM228" s="1804">
        <v>0</v>
      </c>
      <c r="EN228" s="1804">
        <v>0</v>
      </c>
      <c r="EO228" s="1804">
        <v>0</v>
      </c>
      <c r="EP228" s="1804">
        <v>0</v>
      </c>
      <c r="EQ228" s="1804">
        <v>0</v>
      </c>
      <c r="ER228" s="1804">
        <v>0</v>
      </c>
      <c r="ES228" s="1804">
        <v>0</v>
      </c>
      <c r="ET228" s="1804">
        <v>0</v>
      </c>
      <c r="EU228" s="1804">
        <v>0</v>
      </c>
      <c r="EV228" s="1804">
        <v>0</v>
      </c>
      <c r="EW228" s="1804">
        <v>0</v>
      </c>
      <c r="EX228" s="1804">
        <v>0</v>
      </c>
      <c r="EY228" s="1804">
        <v>0</v>
      </c>
      <c r="EZ228" s="1804">
        <v>0</v>
      </c>
      <c r="FA228" s="1804">
        <v>0</v>
      </c>
      <c r="FB228" s="1804">
        <v>0</v>
      </c>
      <c r="FC228" s="1804">
        <v>0</v>
      </c>
      <c r="FD228" s="1804">
        <v>0</v>
      </c>
      <c r="FE228" s="1804">
        <v>0</v>
      </c>
      <c r="FF228" s="1804">
        <v>0</v>
      </c>
      <c r="FG228" s="1804">
        <v>0</v>
      </c>
      <c r="FH228" s="1804">
        <v>0</v>
      </c>
      <c r="FI228" s="1804">
        <v>0</v>
      </c>
      <c r="FJ228" s="1804">
        <v>0</v>
      </c>
      <c r="FK228" s="1804">
        <v>0</v>
      </c>
      <c r="FL228" s="1804">
        <v>0</v>
      </c>
      <c r="FM228" s="1804">
        <v>0</v>
      </c>
      <c r="FN228" s="1804">
        <v>0</v>
      </c>
      <c r="FO228" s="1804">
        <v>0</v>
      </c>
      <c r="FP228" s="1804">
        <v>0</v>
      </c>
      <c r="FQ228" s="1804">
        <v>0</v>
      </c>
      <c r="FR228" s="1804">
        <v>0</v>
      </c>
      <c r="FS228" s="1804">
        <v>0</v>
      </c>
      <c r="FT228" s="1804">
        <v>0</v>
      </c>
      <c r="FU228" s="1804">
        <v>0</v>
      </c>
      <c r="FV228" s="1804">
        <v>0</v>
      </c>
      <c r="FW228" s="1804">
        <v>0</v>
      </c>
      <c r="FX228" s="1804">
        <v>0</v>
      </c>
      <c r="FY228" s="1804">
        <v>0</v>
      </c>
      <c r="FZ228" s="1804">
        <v>0</v>
      </c>
      <c r="GA228" s="1804">
        <v>0</v>
      </c>
      <c r="GB228" s="1804">
        <v>0</v>
      </c>
      <c r="GC228" s="1804">
        <v>0</v>
      </c>
      <c r="GD228" s="1804">
        <v>0</v>
      </c>
      <c r="GE228" s="1804">
        <v>0</v>
      </c>
      <c r="GF228" s="1804">
        <v>0</v>
      </c>
      <c r="GG228" s="1804">
        <v>0</v>
      </c>
      <c r="GH228" s="1804">
        <v>0</v>
      </c>
      <c r="GI228" s="1804">
        <v>0</v>
      </c>
      <c r="GJ228" s="1804">
        <v>0</v>
      </c>
      <c r="GK228" s="1804">
        <v>0</v>
      </c>
      <c r="GL228" s="1804">
        <v>0</v>
      </c>
      <c r="GM228" s="1804">
        <v>0</v>
      </c>
      <c r="GN228" s="1804">
        <v>0</v>
      </c>
      <c r="GO228" s="1804">
        <v>0</v>
      </c>
      <c r="GP228" s="1804">
        <v>0</v>
      </c>
      <c r="GQ228" s="1804">
        <v>0</v>
      </c>
      <c r="GR228" s="1804">
        <v>0</v>
      </c>
      <c r="GS228" s="1804">
        <v>0</v>
      </c>
      <c r="GT228" s="1804">
        <v>0</v>
      </c>
      <c r="GU228" s="1804">
        <v>0</v>
      </c>
      <c r="GV228" s="1804">
        <v>0</v>
      </c>
      <c r="GW228" s="1804">
        <v>0</v>
      </c>
      <c r="GX228" s="1804">
        <v>0</v>
      </c>
      <c r="GY228" s="1804">
        <v>0</v>
      </c>
      <c r="GZ228" s="1804">
        <v>0</v>
      </c>
      <c r="HA228" s="1804">
        <v>0</v>
      </c>
      <c r="HB228" s="1804">
        <v>0</v>
      </c>
      <c r="HC228" s="1804">
        <v>0</v>
      </c>
      <c r="HD228" s="1804">
        <v>0</v>
      </c>
      <c r="HE228" s="1804">
        <v>0</v>
      </c>
      <c r="IG228" s="1868"/>
      <c r="IH228" s="1868"/>
      <c r="II228" s="1868"/>
      <c r="IJ228" s="1868"/>
      <c r="IK228" s="1868"/>
      <c r="IL228" s="1868"/>
      <c r="IM228" s="1868"/>
      <c r="IN228" s="1868"/>
      <c r="IO228" s="1868"/>
      <c r="IP228" s="1868"/>
      <c r="IQ228" s="1868"/>
      <c r="IR228" s="1868"/>
      <c r="IS228" s="1868"/>
      <c r="IT228" s="1868"/>
      <c r="IU228" s="1868"/>
      <c r="IV228" s="1868"/>
      <c r="IW228" s="1868"/>
      <c r="IX228" s="1868"/>
      <c r="IY228" s="1868"/>
      <c r="IZ228" s="1868"/>
      <c r="JA228" s="1868"/>
      <c r="JB228" s="1868"/>
      <c r="JC228" s="1868"/>
      <c r="JD228" s="1868"/>
      <c r="JE228" s="1868"/>
      <c r="JF228" s="1868"/>
      <c r="JG228" s="1868"/>
      <c r="JH228" s="1868"/>
      <c r="JI228" s="1868"/>
      <c r="JJ228" s="1868"/>
      <c r="JK228" s="1868"/>
      <c r="JL228" s="1868"/>
      <c r="JM228" s="1868"/>
      <c r="JN228" s="1868"/>
      <c r="JO228" s="1868"/>
      <c r="JP228" s="1868"/>
      <c r="JQ228" s="1868"/>
      <c r="JR228" s="1868"/>
      <c r="JS228" s="1868"/>
      <c r="JT228" s="1868"/>
      <c r="JU228" s="1868"/>
      <c r="JV228" s="1868"/>
      <c r="JW228" s="1868"/>
      <c r="JX228" s="1868"/>
      <c r="JY228" s="1868"/>
      <c r="JZ228" s="1868"/>
      <c r="KA228" s="1868"/>
      <c r="KB228" s="1868"/>
      <c r="KC228" s="1868"/>
      <c r="KD228" s="1868"/>
      <c r="KE228" s="1868"/>
      <c r="KF228" s="1868"/>
      <c r="KG228" s="1868"/>
      <c r="KH228" s="1868"/>
      <c r="KI228" s="1868"/>
      <c r="KJ228" s="1868"/>
      <c r="KK228" s="1868"/>
      <c r="KL228" s="1868"/>
      <c r="KM228" s="1868"/>
      <c r="KN228" s="1868"/>
      <c r="KO228" s="1868"/>
      <c r="KP228" s="1868"/>
      <c r="KQ228" s="1868"/>
      <c r="KR228" s="1868"/>
      <c r="KS228" s="1868"/>
      <c r="KT228" s="1868"/>
      <c r="KU228" s="1868"/>
      <c r="KV228" s="1868"/>
      <c r="KW228" s="1868"/>
      <c r="KX228" s="1868"/>
      <c r="KY228" s="1868"/>
      <c r="KZ228" s="1868"/>
      <c r="LA228" s="1868"/>
      <c r="LB228" s="1868"/>
      <c r="LC228" s="1868"/>
      <c r="LD228" s="1868"/>
      <c r="LE228" s="1868"/>
      <c r="LF228" s="1868"/>
      <c r="LG228" s="1868"/>
      <c r="LH228" s="1868"/>
      <c r="LI228" s="1868"/>
      <c r="LJ228" s="1868"/>
      <c r="LK228" s="1868"/>
      <c r="LL228" s="1868"/>
      <c r="LM228" s="1868"/>
      <c r="LN228" s="1868"/>
      <c r="LO228" s="1868"/>
      <c r="LP228" s="1868"/>
      <c r="LQ228" s="1868"/>
      <c r="LR228" s="1868"/>
      <c r="LS228" s="1868"/>
      <c r="LT228" s="1868"/>
      <c r="LU228" s="1868"/>
      <c r="LV228" s="1868"/>
      <c r="LW228" s="1868"/>
      <c r="LX228" s="1868"/>
      <c r="LY228" s="1868"/>
      <c r="LZ228" s="1868"/>
      <c r="MA228" s="1868"/>
      <c r="MB228" s="1868"/>
      <c r="MC228" s="1868"/>
      <c r="MD228" s="1868"/>
      <c r="ME228" s="1868"/>
      <c r="MF228" s="1868"/>
      <c r="MG228" s="1868"/>
      <c r="MH228" s="1868"/>
      <c r="MI228" s="1868"/>
      <c r="MJ228" s="1868"/>
      <c r="MK228" s="1868"/>
      <c r="ML228" s="1868"/>
      <c r="MM228" s="1868"/>
      <c r="MN228" s="1868"/>
      <c r="MO228" s="1868"/>
      <c r="MP228" s="1868"/>
      <c r="MQ228" s="1868"/>
      <c r="MR228" s="1868"/>
      <c r="MS228" s="1868"/>
      <c r="MT228" s="1868"/>
      <c r="MU228" s="1868"/>
      <c r="MV228" s="1868"/>
      <c r="MW228" s="1868"/>
      <c r="MX228" s="1868"/>
      <c r="MY228" s="1868"/>
      <c r="MZ228" s="1868"/>
      <c r="NA228" s="1868"/>
      <c r="NB228" s="1868"/>
      <c r="NC228" s="1868"/>
      <c r="ND228" s="1868"/>
      <c r="NE228" s="1868"/>
      <c r="NF228" s="1868"/>
      <c r="NG228" s="1868"/>
      <c r="NH228" s="1868"/>
      <c r="NI228" s="1868"/>
      <c r="NJ228" s="1868"/>
      <c r="NK228" s="1868"/>
      <c r="NL228" s="1868"/>
      <c r="NM228" s="1868"/>
      <c r="NN228" s="1868"/>
      <c r="NO228" s="1868"/>
      <c r="NP228" s="1868"/>
      <c r="NQ228" s="1868"/>
      <c r="NR228" s="1868"/>
      <c r="NS228" s="1868"/>
      <c r="NT228" s="1868"/>
      <c r="NU228" s="1868"/>
      <c r="NV228" s="1868"/>
      <c r="NW228" s="1868"/>
      <c r="NX228" s="1868"/>
      <c r="NY228" s="1868"/>
      <c r="NZ228" s="1868"/>
      <c r="OA228" s="1868"/>
      <c r="OB228" s="1868"/>
      <c r="OC228" s="1868"/>
      <c r="OD228" s="1868"/>
      <c r="OE228" s="1868"/>
      <c r="OF228" s="1868"/>
      <c r="OG228" s="1868"/>
      <c r="OH228" s="1868"/>
      <c r="OI228" s="1868"/>
      <c r="OJ228" s="1868"/>
      <c r="OK228" s="1868"/>
      <c r="OL228" s="1868"/>
      <c r="OM228" s="1868"/>
      <c r="ON228" s="1868"/>
      <c r="OO228" s="1868"/>
      <c r="OP228" s="1868"/>
      <c r="OQ228" s="1868"/>
      <c r="OR228" s="1868"/>
      <c r="OS228" s="1868"/>
      <c r="OT228" s="1868"/>
      <c r="OU228" s="1868"/>
      <c r="OV228" s="1868"/>
      <c r="OW228" s="1868"/>
      <c r="OX228" s="1868"/>
      <c r="OY228" s="1868"/>
      <c r="OZ228" s="1868"/>
      <c r="PA228" s="1868"/>
      <c r="PB228" s="1868"/>
      <c r="PC228" s="1868"/>
      <c r="PD228" s="1868"/>
      <c r="PE228" s="1868"/>
      <c r="PF228" s="1868"/>
      <c r="PG228" s="1868"/>
      <c r="PH228" s="1868"/>
      <c r="PI228" s="1868"/>
      <c r="PJ228" s="1868"/>
      <c r="PK228" s="1868"/>
      <c r="PL228" s="1868"/>
      <c r="PM228" s="1868"/>
      <c r="PN228" s="1868"/>
      <c r="PO228" s="1868"/>
      <c r="PP228" s="1868"/>
      <c r="PQ228" s="1868"/>
      <c r="PR228" s="1868"/>
      <c r="PS228" s="1868"/>
      <c r="PT228" s="1868"/>
      <c r="PU228" s="1868"/>
      <c r="PV228" s="1868"/>
      <c r="PW228" s="1868"/>
      <c r="PX228" s="1868"/>
      <c r="PY228" s="1868"/>
      <c r="PZ228" s="1868"/>
      <c r="QA228" s="1868"/>
      <c r="QB228" s="1868"/>
      <c r="QC228" s="1868"/>
      <c r="QD228" s="1868"/>
      <c r="QE228" s="1868"/>
      <c r="QF228" s="1868"/>
      <c r="QG228" s="1868"/>
      <c r="QH228" s="1868"/>
      <c r="QI228" s="1868"/>
      <c r="QJ228" s="1868"/>
      <c r="QK228" s="1868"/>
      <c r="QL228" s="1868"/>
      <c r="QM228" s="1868"/>
      <c r="QN228" s="1868"/>
      <c r="QO228" s="1868"/>
      <c r="QP228" s="1868"/>
      <c r="QQ228" s="1868"/>
      <c r="QR228" s="1868"/>
      <c r="QS228" s="1868"/>
      <c r="QT228" s="1868"/>
      <c r="QU228" s="1868"/>
      <c r="QV228" s="1868"/>
      <c r="QW228" s="1868"/>
      <c r="QX228" s="1868"/>
      <c r="QY228" s="1868"/>
      <c r="QZ228" s="1868"/>
      <c r="RA228" s="1868"/>
      <c r="RB228" s="1868"/>
      <c r="RC228" s="1868"/>
      <c r="RD228" s="1868"/>
      <c r="RE228" s="1868"/>
      <c r="RF228" s="1868"/>
      <c r="RG228" s="1868"/>
      <c r="RH228" s="1868"/>
      <c r="RI228" s="1868"/>
      <c r="RJ228" s="1868"/>
      <c r="RK228" s="1868"/>
      <c r="RL228" s="1868"/>
      <c r="RM228" s="1868"/>
      <c r="RN228" s="1868"/>
      <c r="RO228" s="1868"/>
      <c r="RP228" s="1868"/>
      <c r="RQ228" s="1868"/>
      <c r="RR228" s="1868"/>
      <c r="RS228" s="1868"/>
      <c r="RT228" s="1868"/>
      <c r="RU228" s="1868"/>
      <c r="RV228" s="1868"/>
      <c r="RW228" s="1868"/>
      <c r="RX228" s="1868"/>
      <c r="RY228" s="1868"/>
      <c r="RZ228" s="1868"/>
      <c r="SA228" s="1868"/>
      <c r="SB228" s="1868"/>
      <c r="SC228" s="1868"/>
      <c r="SD228" s="1868"/>
      <c r="SE228" s="1868"/>
      <c r="SF228" s="1868"/>
      <c r="SG228" s="1868"/>
      <c r="SH228" s="1868"/>
      <c r="SI228" s="1868"/>
      <c r="SJ228" s="1868"/>
      <c r="SK228" s="1868"/>
      <c r="SL228" s="1868"/>
      <c r="SM228" s="1868"/>
      <c r="SN228" s="1868"/>
      <c r="SO228" s="1868"/>
      <c r="SP228" s="1868"/>
      <c r="SQ228" s="1868"/>
      <c r="SR228" s="1868"/>
      <c r="SS228" s="1868"/>
      <c r="ST228" s="1868"/>
      <c r="SU228" s="1868"/>
      <c r="SV228" s="1868"/>
      <c r="SW228" s="1868"/>
      <c r="SX228" s="1868"/>
      <c r="SY228" s="1868"/>
      <c r="SZ228" s="1868"/>
      <c r="TA228" s="1868"/>
      <c r="TB228" s="1868"/>
      <c r="TC228" s="1868"/>
      <c r="TD228" s="1868"/>
      <c r="TE228" s="1868"/>
      <c r="TF228" s="1868"/>
      <c r="TG228" s="1868"/>
      <c r="TH228" s="1868"/>
      <c r="TI228" s="1868"/>
      <c r="TJ228" s="1868"/>
      <c r="TK228" s="1868"/>
      <c r="TL228" s="1868"/>
      <c r="TM228" s="1868"/>
      <c r="TN228" s="1868"/>
      <c r="TO228" s="1868"/>
      <c r="TP228" s="1868"/>
      <c r="TQ228" s="1868"/>
      <c r="TR228" s="1868"/>
      <c r="TS228" s="1868"/>
      <c r="TT228" s="1868"/>
      <c r="TU228" s="1868"/>
      <c r="TV228" s="1868"/>
      <c r="TW228" s="1868"/>
      <c r="TX228" s="1868"/>
      <c r="TY228" s="1868"/>
      <c r="TZ228" s="1868"/>
      <c r="UA228" s="1868"/>
      <c r="UB228" s="1868"/>
      <c r="UC228" s="1868"/>
      <c r="UD228" s="1868"/>
      <c r="UE228" s="1868"/>
      <c r="UF228" s="1868"/>
      <c r="UG228" s="1868"/>
      <c r="UH228" s="1868"/>
      <c r="UI228" s="1868"/>
      <c r="UJ228" s="1868"/>
      <c r="UK228" s="1868"/>
      <c r="UL228" s="1868"/>
      <c r="UM228" s="1868"/>
      <c r="UN228" s="1868"/>
      <c r="UO228" s="1868"/>
      <c r="UP228" s="1868"/>
      <c r="UQ228" s="1868"/>
      <c r="UR228" s="1868"/>
      <c r="US228" s="1868"/>
      <c r="UT228" s="1868"/>
      <c r="UU228" s="1868"/>
      <c r="UV228" s="1868"/>
      <c r="UW228" s="1868"/>
      <c r="UX228" s="1868"/>
      <c r="UY228" s="1868"/>
      <c r="UZ228" s="1868"/>
      <c r="VA228" s="1868"/>
      <c r="VB228" s="1868"/>
      <c r="VC228" s="1868"/>
      <c r="VD228" s="1868"/>
      <c r="VE228" s="1868"/>
      <c r="VF228" s="1868"/>
      <c r="VG228" s="1868"/>
      <c r="VH228" s="1868"/>
      <c r="VI228" s="1868"/>
      <c r="VJ228" s="1868"/>
      <c r="VK228" s="1868"/>
      <c r="VL228" s="1868"/>
      <c r="VM228" s="1868"/>
      <c r="VN228" s="1868"/>
      <c r="VO228" s="1868"/>
      <c r="VP228" s="1868"/>
      <c r="VQ228" s="1868"/>
      <c r="VR228" s="1868"/>
      <c r="VS228" s="1868"/>
      <c r="VT228" s="1868"/>
      <c r="VU228" s="1868"/>
      <c r="VV228" s="1868"/>
      <c r="VW228" s="1868"/>
      <c r="VX228" s="1868"/>
      <c r="VY228" s="1868"/>
      <c r="VZ228" s="1868"/>
      <c r="WA228" s="1868"/>
      <c r="WB228" s="1868"/>
      <c r="WC228" s="1868"/>
      <c r="WD228" s="1868"/>
      <c r="WE228" s="1868"/>
      <c r="WF228" s="1868"/>
      <c r="WG228" s="1868"/>
      <c r="WH228" s="1868"/>
      <c r="WI228" s="1868"/>
      <c r="WJ228" s="1868"/>
      <c r="WK228" s="1868"/>
      <c r="WL228" s="1868"/>
      <c r="WM228" s="1868"/>
      <c r="WN228" s="1868"/>
      <c r="WO228" s="1868"/>
      <c r="WP228" s="1868"/>
      <c r="WQ228" s="1868"/>
      <c r="WR228" s="1868"/>
      <c r="WS228" s="1868"/>
      <c r="WT228" s="1868"/>
      <c r="WU228" s="1868"/>
      <c r="WV228" s="1868"/>
      <c r="WW228" s="1868"/>
      <c r="WX228" s="1868"/>
      <c r="WY228" s="1868"/>
      <c r="WZ228" s="1868"/>
      <c r="XA228" s="1868"/>
      <c r="XB228" s="1868"/>
      <c r="XC228" s="1868"/>
      <c r="XD228" s="1868"/>
      <c r="XE228" s="1868"/>
      <c r="XF228" s="1868"/>
      <c r="XG228" s="1868"/>
      <c r="XH228" s="1868"/>
      <c r="XI228" s="1868"/>
      <c r="XJ228" s="1868"/>
      <c r="XK228" s="1868"/>
      <c r="XL228" s="1868"/>
      <c r="XM228" s="1868"/>
      <c r="XN228" s="1868"/>
      <c r="XO228" s="1868"/>
      <c r="XP228" s="1868"/>
      <c r="XQ228" s="1868"/>
      <c r="XR228" s="1868"/>
      <c r="XS228" s="1868"/>
      <c r="XT228" s="1868"/>
      <c r="XU228" s="1868"/>
      <c r="XV228" s="1868"/>
      <c r="XW228" s="1868"/>
      <c r="XX228" s="1868"/>
      <c r="XY228" s="1868"/>
      <c r="XZ228" s="1868"/>
      <c r="YA228" s="1868"/>
      <c r="YB228" s="1868"/>
      <c r="YC228" s="1868"/>
      <c r="YD228" s="1868"/>
      <c r="YE228" s="1868"/>
      <c r="YF228" s="1868"/>
      <c r="YG228" s="1868"/>
      <c r="YH228" s="1868"/>
      <c r="YI228" s="1868"/>
      <c r="YJ228" s="1868"/>
      <c r="YK228" s="1868"/>
      <c r="YL228" s="1868"/>
      <c r="YM228" s="1868"/>
      <c r="YN228" s="1868"/>
      <c r="YO228" s="1868"/>
      <c r="YP228" s="1868"/>
      <c r="YQ228" s="1868"/>
      <c r="YR228" s="1868"/>
      <c r="YS228" s="1868"/>
      <c r="YT228" s="1868"/>
      <c r="YU228" s="1868"/>
      <c r="YV228" s="1868"/>
      <c r="YW228" s="1868"/>
      <c r="YX228" s="1868"/>
      <c r="YY228" s="1868"/>
      <c r="YZ228" s="1868"/>
      <c r="ZA228" s="1868"/>
      <c r="ZB228" s="1868"/>
      <c r="ZC228" s="1868"/>
      <c r="ZD228" s="1868"/>
      <c r="ZE228" s="1868"/>
      <c r="ZF228" s="1868"/>
      <c r="ZG228" s="1868"/>
      <c r="ZH228" s="1868"/>
      <c r="ZI228" s="1868"/>
      <c r="ZJ228" s="1868"/>
      <c r="ZK228" s="1868"/>
      <c r="ZL228" s="1868"/>
      <c r="ZM228" s="1868"/>
      <c r="ZN228" s="1868"/>
      <c r="ZO228" s="1868"/>
      <c r="ZP228" s="1868"/>
      <c r="ZQ228" s="1868"/>
      <c r="ZR228" s="1868"/>
      <c r="ZS228" s="1868"/>
      <c r="ZT228" s="1868"/>
      <c r="ZU228" s="1868"/>
      <c r="ZV228" s="1868"/>
      <c r="ZW228" s="1868"/>
      <c r="ZX228" s="1868"/>
      <c r="ZY228" s="1868"/>
      <c r="ZZ228" s="1868"/>
      <c r="AAA228" s="1868"/>
      <c r="AAB228" s="1868"/>
      <c r="AAC228" s="1868"/>
      <c r="AAD228" s="1868"/>
      <c r="AAE228" s="1868"/>
      <c r="AAF228" s="1868"/>
      <c r="AAG228" s="1868"/>
      <c r="AAH228" s="1868"/>
      <c r="AAI228" s="1868"/>
      <c r="AAJ228" s="1868"/>
      <c r="AAK228" s="1868"/>
      <c r="AAL228" s="1868"/>
      <c r="AAM228" s="1868"/>
      <c r="AAN228" s="1868"/>
      <c r="AAO228" s="1868"/>
      <c r="AAP228" s="1868"/>
      <c r="AAQ228" s="1868"/>
      <c r="AAR228" s="1868"/>
      <c r="AAS228" s="1868"/>
      <c r="AAT228" s="1868"/>
      <c r="AAU228" s="1868"/>
      <c r="AAV228" s="1868"/>
      <c r="AAW228" s="1868"/>
      <c r="AAX228" s="1868"/>
      <c r="AAY228" s="1868"/>
      <c r="AAZ228" s="1868"/>
      <c r="ABA228" s="1868"/>
      <c r="ABB228" s="1868"/>
      <c r="ABC228" s="1868"/>
      <c r="ABD228" s="1868"/>
      <c r="ABE228" s="1868"/>
      <c r="ABF228" s="1868"/>
      <c r="ABG228" s="1868"/>
      <c r="ABH228" s="1868"/>
      <c r="ABI228" s="1868"/>
      <c r="ABJ228" s="1868"/>
      <c r="ABK228" s="1868"/>
      <c r="ABL228" s="1868"/>
      <c r="ABM228" s="1868"/>
      <c r="ABN228" s="1868"/>
      <c r="ABO228" s="1868"/>
      <c r="ABP228" s="1868"/>
      <c r="ABQ228" s="1868"/>
      <c r="ABR228" s="1868"/>
      <c r="ABS228" s="1868"/>
      <c r="ABT228" s="1868"/>
      <c r="ABU228" s="1868"/>
      <c r="ABV228" s="1868"/>
      <c r="ABW228" s="1868"/>
      <c r="ABX228" s="1868"/>
      <c r="ABY228" s="1868"/>
      <c r="ABZ228" s="1868"/>
      <c r="ACA228" s="1868"/>
      <c r="ACB228" s="1868"/>
      <c r="ACC228" s="1868"/>
      <c r="ACD228" s="1868"/>
      <c r="ACE228" s="1868"/>
      <c r="ACF228" s="1868"/>
      <c r="ACG228" s="1868"/>
      <c r="ACH228" s="1868"/>
      <c r="ACI228" s="1868"/>
      <c r="ACJ228" s="1868"/>
      <c r="ACK228" s="1868"/>
      <c r="ACL228" s="1868"/>
      <c r="ACM228" s="1868"/>
      <c r="ACN228" s="1868"/>
      <c r="ACO228" s="1868"/>
      <c r="ACP228" s="1868"/>
      <c r="ACQ228" s="1868"/>
      <c r="ACR228" s="1868"/>
      <c r="ACS228" s="1868"/>
      <c r="ACT228" s="1868"/>
      <c r="ACU228" s="1868"/>
      <c r="ACV228" s="1868"/>
      <c r="ACW228" s="1868"/>
      <c r="ACX228" s="1868"/>
      <c r="ACY228" s="1868"/>
      <c r="ACZ228" s="1868"/>
      <c r="ADA228" s="1868"/>
      <c r="ADB228" s="1868"/>
      <c r="ADC228" s="1868"/>
      <c r="ADD228" s="1868"/>
      <c r="ADE228" s="1868"/>
      <c r="ADF228" s="1868"/>
      <c r="ADG228" s="1868"/>
      <c r="ADH228" s="1868"/>
      <c r="ADI228" s="1868"/>
      <c r="ADJ228" s="1868"/>
      <c r="ADK228" s="1868"/>
      <c r="ADL228" s="1868"/>
      <c r="ADM228" s="1868"/>
      <c r="ADN228" s="1868"/>
      <c r="ADO228" s="1868"/>
      <c r="ADP228" s="1868"/>
      <c r="ADQ228" s="1868"/>
      <c r="ADR228" s="1868"/>
      <c r="ADS228" s="1868"/>
      <c r="ADT228" s="1868"/>
      <c r="ADU228" s="1868"/>
      <c r="ADV228" s="1868"/>
      <c r="ADW228" s="1868"/>
      <c r="ADX228" s="1868"/>
      <c r="ADY228" s="1868"/>
      <c r="ADZ228" s="1868"/>
      <c r="AEA228" s="1868"/>
      <c r="AEB228" s="1868"/>
      <c r="AEC228" s="1868"/>
      <c r="AED228" s="1868"/>
      <c r="AEE228" s="1868"/>
      <c r="AEF228" s="1868"/>
      <c r="AEG228" s="1868"/>
      <c r="AEH228" s="1868"/>
      <c r="AEI228" s="1868"/>
      <c r="AEJ228" s="1868"/>
      <c r="AEK228" s="1868"/>
      <c r="AEL228" s="1868"/>
      <c r="AEM228" s="1868"/>
      <c r="AEN228" s="1868"/>
      <c r="AEO228" s="1868"/>
      <c r="AEP228" s="1868"/>
      <c r="AEQ228" s="1868"/>
      <c r="AER228" s="1868"/>
      <c r="AES228" s="1868"/>
      <c r="AET228" s="1868"/>
      <c r="AEU228" s="1868"/>
      <c r="AEV228" s="1868"/>
      <c r="AEW228" s="1868"/>
      <c r="AEX228" s="1868"/>
      <c r="AEY228" s="1868"/>
      <c r="AEZ228" s="1868"/>
      <c r="AFA228" s="1868"/>
      <c r="AFB228" s="1868"/>
      <c r="AFC228" s="1868"/>
      <c r="AFD228" s="1868"/>
      <c r="AFE228" s="1868"/>
      <c r="AFF228" s="1868"/>
      <c r="AFG228" s="1868"/>
      <c r="AFH228" s="1868"/>
      <c r="AFI228" s="1868"/>
      <c r="AFJ228" s="1868"/>
      <c r="AFK228" s="1868"/>
      <c r="AFL228" s="1868"/>
      <c r="AFM228" s="1868"/>
      <c r="AFN228" s="1868"/>
      <c r="AFO228" s="1868"/>
      <c r="AFP228" s="1868"/>
      <c r="AFQ228" s="1868"/>
      <c r="AFR228" s="1868"/>
      <c r="AFS228" s="1868"/>
      <c r="AFT228" s="1868"/>
      <c r="AFU228" s="1868"/>
      <c r="AFV228" s="1868"/>
      <c r="AFW228" s="1868"/>
      <c r="AFX228" s="1868"/>
      <c r="AFY228" s="1868"/>
      <c r="AFZ228" s="1868"/>
      <c r="AGA228" s="1868"/>
      <c r="AGB228" s="1868"/>
      <c r="AGC228" s="1868"/>
      <c r="AGD228" s="1868"/>
      <c r="AGE228" s="1868"/>
      <c r="AGF228" s="1868"/>
      <c r="AGG228" s="1868"/>
      <c r="AGH228" s="1868"/>
      <c r="AGI228" s="1868"/>
      <c r="AGJ228" s="1868"/>
      <c r="AGK228" s="1868"/>
      <c r="AGL228" s="1868"/>
      <c r="AGM228" s="1868"/>
      <c r="AGN228" s="1868"/>
      <c r="AGO228" s="1868"/>
      <c r="AGP228" s="1868"/>
      <c r="AGQ228" s="1868"/>
      <c r="AGR228" s="1868"/>
      <c r="AGS228" s="1868"/>
      <c r="AGT228" s="1868"/>
      <c r="AGU228" s="1868"/>
      <c r="AGV228" s="1868"/>
      <c r="AGW228" s="1868"/>
      <c r="AGX228" s="1868"/>
      <c r="AGY228" s="1868"/>
      <c r="AGZ228" s="1868"/>
      <c r="AHA228" s="1868"/>
      <c r="AHB228" s="1868"/>
      <c r="AHC228" s="1868"/>
      <c r="AHD228" s="1868"/>
      <c r="AHE228" s="1868"/>
      <c r="AHF228" s="1868"/>
      <c r="AHG228" s="1868"/>
      <c r="AHH228" s="1868"/>
      <c r="AHI228" s="1868"/>
      <c r="AHJ228" s="1868"/>
      <c r="AHK228" s="1868"/>
      <c r="AHL228" s="1868"/>
      <c r="AHM228" s="1868"/>
      <c r="AHN228" s="1868"/>
      <c r="AHO228" s="1868"/>
      <c r="AHP228" s="1868"/>
      <c r="AHQ228" s="1868"/>
      <c r="AHR228" s="1868"/>
      <c r="AHS228" s="1868"/>
      <c r="AHT228" s="1868"/>
      <c r="AHU228" s="1868"/>
      <c r="AHV228" s="1868"/>
      <c r="AHW228" s="1868"/>
      <c r="AHX228" s="1868"/>
      <c r="AHY228" s="1868"/>
      <c r="AHZ228" s="1868"/>
      <c r="AIA228" s="1868"/>
      <c r="AIB228" s="1868"/>
      <c r="AIC228" s="1868"/>
      <c r="AID228" s="1868"/>
      <c r="AIE228" s="1868"/>
      <c r="AIF228" s="1868"/>
      <c r="AIG228" s="1868"/>
      <c r="AIH228" s="1868"/>
      <c r="AII228" s="1868"/>
      <c r="AIJ228" s="1868"/>
      <c r="AIK228" s="1868"/>
      <c r="AIL228" s="1868"/>
      <c r="AIM228" s="1868"/>
      <c r="AIN228" s="1868"/>
      <c r="AIO228" s="1868"/>
      <c r="AIP228" s="1868"/>
      <c r="AIQ228" s="1868"/>
      <c r="AIR228" s="1868"/>
      <c r="AIS228" s="1868"/>
      <c r="AIT228" s="1868"/>
      <c r="AIU228" s="1868"/>
      <c r="AIV228" s="1868"/>
      <c r="AIW228" s="1868"/>
      <c r="AIX228" s="1868"/>
      <c r="AIY228" s="1868"/>
      <c r="AIZ228" s="1868"/>
      <c r="AJA228" s="1868"/>
      <c r="AJB228" s="1868"/>
      <c r="AJC228" s="1868"/>
      <c r="AJD228" s="1868"/>
      <c r="AJE228" s="1868"/>
      <c r="AJF228" s="1868"/>
      <c r="AJG228" s="1868"/>
      <c r="AJH228" s="1868"/>
      <c r="AJI228" s="1868"/>
      <c r="AJJ228" s="1868"/>
      <c r="AJK228" s="1868"/>
      <c r="AJL228" s="1868"/>
      <c r="AJM228" s="1868"/>
      <c r="AJN228" s="1868"/>
      <c r="AJO228" s="1868"/>
      <c r="AJP228" s="1868"/>
      <c r="AJQ228" s="1868"/>
      <c r="AJR228" s="1868"/>
      <c r="AJS228" s="1868"/>
      <c r="AJT228" s="1868"/>
      <c r="AJU228" s="1868"/>
      <c r="AJV228" s="1868"/>
      <c r="AJW228" s="1868"/>
      <c r="AJX228" s="1868"/>
      <c r="AJY228" s="1868"/>
      <c r="AJZ228" s="1868"/>
      <c r="AKA228" s="1868"/>
      <c r="AKB228" s="1868"/>
      <c r="AKC228" s="1868"/>
      <c r="AKD228" s="1868"/>
      <c r="AKE228" s="1868"/>
      <c r="AKF228" s="1868"/>
      <c r="AKG228" s="1868"/>
      <c r="AKH228" s="1868"/>
      <c r="AKI228" s="1868"/>
      <c r="AKJ228" s="1868"/>
      <c r="AKK228" s="1868"/>
      <c r="AKL228" s="1868"/>
      <c r="AKM228" s="1868"/>
      <c r="AKN228" s="1868"/>
      <c r="AKO228" s="1868"/>
      <c r="AKP228" s="1868"/>
      <c r="AKQ228" s="1868"/>
      <c r="AKR228" s="1868"/>
      <c r="AKS228" s="1868"/>
      <c r="AKT228" s="1868"/>
      <c r="AKU228" s="1868"/>
      <c r="AKV228" s="1868"/>
      <c r="AKW228" s="1868"/>
      <c r="AKX228" s="1868"/>
      <c r="AKY228" s="1868"/>
      <c r="AKZ228" s="1868"/>
      <c r="ALA228" s="1868"/>
      <c r="ALB228" s="1868"/>
      <c r="ALC228" s="1868"/>
      <c r="ALD228" s="1868"/>
      <c r="ALE228" s="1868"/>
      <c r="ALF228" s="1868"/>
      <c r="ALG228" s="1868"/>
      <c r="ALH228" s="1868"/>
      <c r="ALI228" s="1868"/>
      <c r="ALJ228" s="1868"/>
      <c r="ALK228" s="1868"/>
      <c r="ALL228" s="1868"/>
      <c r="ALM228" s="1868"/>
      <c r="ALN228" s="1868"/>
      <c r="ALO228" s="1868"/>
      <c r="ALP228" s="1868"/>
      <c r="ALQ228" s="1868"/>
      <c r="ALR228" s="1868"/>
      <c r="ALS228" s="1868"/>
      <c r="ALT228" s="1868"/>
      <c r="ALU228" s="1868"/>
      <c r="ALV228" s="1868"/>
      <c r="ALW228" s="1868"/>
      <c r="ALX228" s="1868"/>
      <c r="ALY228" s="1868"/>
      <c r="ALZ228" s="1868"/>
      <c r="AMA228" s="1868"/>
      <c r="AMB228" s="1868"/>
      <c r="AMC228" s="1868"/>
      <c r="AMD228" s="1868"/>
      <c r="AME228" s="1868"/>
      <c r="AMF228" s="1868"/>
      <c r="AMG228" s="1868"/>
      <c r="AMH228" s="1868"/>
      <c r="AMI228" s="1868"/>
      <c r="AMJ228" s="1868"/>
      <c r="AMK228" s="1868"/>
      <c r="AML228" s="1868"/>
      <c r="AMM228" s="1868"/>
      <c r="AMN228" s="1868"/>
      <c r="AMO228" s="1868"/>
      <c r="AMP228" s="1868"/>
      <c r="AMQ228" s="1868"/>
      <c r="AMR228" s="1868"/>
      <c r="AMS228" s="1868"/>
      <c r="AMT228" s="1868"/>
      <c r="AMU228" s="1868"/>
      <c r="AMV228" s="1868"/>
      <c r="AMW228" s="1868"/>
      <c r="AMX228" s="1868"/>
      <c r="AMY228" s="1868"/>
      <c r="AMZ228" s="1868"/>
      <c r="ANA228" s="1868"/>
      <c r="ANB228" s="1868"/>
      <c r="ANC228" s="1868"/>
      <c r="AND228" s="1868"/>
      <c r="ANE228" s="1868"/>
      <c r="ANF228" s="1868"/>
      <c r="ANG228" s="1868"/>
      <c r="ANH228" s="1868"/>
      <c r="ANI228" s="1868"/>
      <c r="ANJ228" s="1868"/>
      <c r="ANK228" s="1868"/>
      <c r="ANL228" s="1868"/>
      <c r="ANM228" s="1868"/>
      <c r="ANN228" s="1868"/>
      <c r="ANO228" s="1868"/>
      <c r="ANP228" s="1868"/>
      <c r="ANQ228" s="1868"/>
      <c r="ANR228" s="1868"/>
      <c r="ANS228" s="1868"/>
      <c r="ANT228" s="1868"/>
      <c r="ANU228" s="1868"/>
      <c r="ANV228" s="1868"/>
      <c r="ANW228" s="1868"/>
      <c r="ANX228" s="1868"/>
      <c r="ANY228" s="1868"/>
      <c r="ANZ228" s="1868"/>
      <c r="AOA228" s="1868"/>
      <c r="AOB228" s="1868"/>
      <c r="AOC228" s="1868"/>
      <c r="AOD228" s="1868"/>
      <c r="AOE228" s="1868"/>
      <c r="AOF228" s="1868"/>
      <c r="AOG228" s="1868"/>
      <c r="AOH228" s="1868"/>
      <c r="AOI228" s="1868"/>
      <c r="AOJ228" s="1868"/>
      <c r="AOK228" s="1868"/>
      <c r="AOL228" s="1868"/>
      <c r="AOM228" s="1868"/>
      <c r="AON228" s="1868"/>
      <c r="AOO228" s="1868"/>
      <c r="AOP228" s="1868"/>
      <c r="AOQ228" s="1868"/>
      <c r="AOR228" s="1868"/>
      <c r="AOS228" s="1868"/>
      <c r="AOT228" s="1868"/>
      <c r="AOU228" s="1868"/>
      <c r="AOV228" s="1868"/>
      <c r="AOW228" s="1868"/>
      <c r="AOX228" s="1868"/>
      <c r="AOY228" s="1868"/>
      <c r="AOZ228" s="1868"/>
      <c r="APA228" s="1868"/>
      <c r="APB228" s="1868"/>
      <c r="APC228" s="1868"/>
      <c r="APD228" s="1868"/>
      <c r="APE228" s="1868"/>
      <c r="APF228" s="1868"/>
      <c r="APG228" s="1868"/>
      <c r="APH228" s="1868"/>
      <c r="API228" s="1868"/>
      <c r="APJ228" s="1868"/>
      <c r="APK228" s="1868"/>
      <c r="APL228" s="1868"/>
      <c r="APM228" s="1868"/>
      <c r="APN228" s="1868"/>
      <c r="APO228" s="1868"/>
      <c r="APP228" s="1868"/>
      <c r="APQ228" s="1868"/>
      <c r="APR228" s="1868"/>
      <c r="APS228" s="1868"/>
      <c r="APT228" s="1868"/>
      <c r="APU228" s="1868"/>
      <c r="APV228" s="1868"/>
      <c r="APW228" s="1868"/>
      <c r="APX228" s="1868"/>
      <c r="APY228" s="1868"/>
      <c r="APZ228" s="1868"/>
      <c r="AQA228" s="1868"/>
      <c r="AQB228" s="1868"/>
      <c r="AQC228" s="1868"/>
      <c r="AQD228" s="1868"/>
      <c r="AQE228" s="1868"/>
      <c r="AQF228" s="1868"/>
      <c r="AQG228" s="1868"/>
      <c r="AQH228" s="1868"/>
      <c r="AQI228" s="1868"/>
      <c r="AQJ228" s="1868"/>
      <c r="AQK228" s="1868"/>
      <c r="AQL228" s="1868"/>
      <c r="AQM228" s="1868"/>
      <c r="AQN228" s="1868"/>
      <c r="AQO228" s="1868"/>
      <c r="AQP228" s="1868"/>
      <c r="AQQ228" s="1868"/>
      <c r="AQR228" s="1868"/>
      <c r="AQS228" s="1868"/>
      <c r="AQT228" s="1868"/>
      <c r="AQU228" s="1868"/>
      <c r="AQV228" s="1868"/>
      <c r="AQW228" s="1868"/>
      <c r="AQX228" s="1868"/>
      <c r="AQY228" s="1868"/>
      <c r="AQZ228" s="1868"/>
      <c r="ARA228" s="1868"/>
      <c r="ARB228" s="1868"/>
      <c r="ARC228" s="1868"/>
      <c r="ARD228" s="1868"/>
      <c r="ARE228" s="1868"/>
      <c r="ARF228" s="1868"/>
      <c r="ARG228" s="1868"/>
      <c r="ARH228" s="1868"/>
      <c r="ARI228" s="1868"/>
      <c r="ARJ228" s="1868"/>
      <c r="ARK228" s="1868"/>
      <c r="ARL228" s="1868"/>
      <c r="ARM228" s="1868"/>
      <c r="ARN228" s="1868"/>
      <c r="ARO228" s="1868"/>
      <c r="ARP228" s="1868"/>
      <c r="ARQ228" s="1868"/>
      <c r="ARR228" s="1868"/>
      <c r="ARS228" s="1868"/>
      <c r="ART228" s="1868"/>
      <c r="ARU228" s="1868"/>
      <c r="ARV228" s="1868"/>
      <c r="ARW228" s="1868"/>
      <c r="ARX228" s="1868"/>
      <c r="ARY228" s="1868"/>
      <c r="ARZ228" s="1868"/>
      <c r="ASA228" s="1868"/>
      <c r="ASB228" s="1868"/>
      <c r="ASC228" s="1868"/>
      <c r="ASD228" s="1868"/>
      <c r="ASE228" s="1868"/>
      <c r="ASF228" s="1868"/>
      <c r="ASG228" s="1868"/>
      <c r="ASH228" s="1868"/>
      <c r="ASI228" s="1868"/>
      <c r="ASJ228" s="1868"/>
      <c r="ASK228" s="1868"/>
      <c r="ASL228" s="1868"/>
      <c r="ASM228" s="1868"/>
      <c r="ASN228" s="1868"/>
      <c r="ASO228" s="1868"/>
      <c r="ASP228" s="1868"/>
      <c r="ASQ228" s="1868"/>
      <c r="ASR228" s="1868"/>
      <c r="ASS228" s="1868"/>
      <c r="AST228" s="1868"/>
      <c r="ASU228" s="1868"/>
      <c r="ASV228" s="1868"/>
      <c r="ASW228" s="1868"/>
      <c r="ASX228" s="1868"/>
      <c r="ASY228" s="1868"/>
      <c r="ASZ228" s="1868"/>
      <c r="ATA228" s="1868"/>
      <c r="ATB228" s="1868"/>
      <c r="ATC228" s="1868"/>
      <c r="ATD228" s="1868"/>
      <c r="ATE228" s="1868"/>
      <c r="ATF228" s="1868"/>
      <c r="ATG228" s="1868"/>
      <c r="ATH228" s="1868"/>
      <c r="ATI228" s="1868"/>
      <c r="ATJ228" s="1868"/>
      <c r="ATK228" s="1868"/>
      <c r="ATL228" s="1868"/>
      <c r="ATM228" s="1868"/>
      <c r="ATN228" s="1868"/>
      <c r="ATO228" s="1868"/>
      <c r="ATP228" s="1868"/>
      <c r="ATQ228" s="1868"/>
      <c r="ATR228" s="1868"/>
      <c r="ATS228" s="1868"/>
      <c r="ATT228" s="1868"/>
      <c r="ATU228" s="1868"/>
      <c r="ATV228" s="1868"/>
      <c r="ATW228" s="1868"/>
      <c r="ATX228" s="1868"/>
      <c r="ATY228" s="1868"/>
      <c r="ATZ228" s="1868"/>
      <c r="AUA228" s="1868"/>
      <c r="AUB228" s="1868"/>
      <c r="AUC228" s="1868"/>
      <c r="AUD228" s="1868"/>
      <c r="AUE228" s="1868"/>
      <c r="AUF228" s="1868"/>
      <c r="AUG228" s="1868"/>
      <c r="AUH228" s="1868"/>
      <c r="AUI228" s="1868"/>
      <c r="AUJ228" s="1868"/>
      <c r="AUK228" s="1868"/>
      <c r="AUL228" s="1868"/>
      <c r="AUM228" s="1868"/>
      <c r="AUN228" s="1868"/>
      <c r="AUO228" s="1868"/>
      <c r="AUP228" s="1868"/>
      <c r="AUQ228" s="1868"/>
      <c r="AUR228" s="1868"/>
      <c r="AUS228" s="1868"/>
      <c r="AUT228" s="1868"/>
      <c r="AUU228" s="1868"/>
      <c r="AUV228" s="1868"/>
      <c r="AUW228" s="1868"/>
      <c r="AUX228" s="1868"/>
      <c r="AUY228" s="1868"/>
      <c r="AUZ228" s="1868"/>
      <c r="AVA228" s="1868"/>
      <c r="AVB228" s="1868"/>
      <c r="AVC228" s="1868"/>
      <c r="AVD228" s="1868"/>
      <c r="AVE228" s="1868"/>
      <c r="AVF228" s="1868"/>
      <c r="AVG228" s="1868"/>
      <c r="AVH228" s="1868"/>
      <c r="AVI228" s="1868"/>
      <c r="AVJ228" s="1868"/>
      <c r="AVK228" s="1868"/>
      <c r="AVL228" s="1868"/>
      <c r="AVM228" s="1868"/>
      <c r="AVN228" s="1868"/>
      <c r="AVO228" s="1868"/>
      <c r="AVP228" s="1868"/>
      <c r="AVQ228" s="1868"/>
      <c r="AVR228" s="1868"/>
      <c r="AVS228" s="1868"/>
      <c r="AVT228" s="1868"/>
      <c r="AVU228" s="1868"/>
      <c r="AVV228" s="1868"/>
      <c r="AVW228" s="1868"/>
      <c r="AVX228" s="1868"/>
      <c r="AVY228" s="1868"/>
      <c r="AVZ228" s="1868"/>
      <c r="AWA228" s="1868"/>
      <c r="AWB228" s="1868"/>
      <c r="AWC228" s="1868"/>
      <c r="AWD228" s="1868"/>
      <c r="AWE228" s="1868"/>
      <c r="AWF228" s="1868"/>
      <c r="AWG228" s="1868"/>
      <c r="AWH228" s="1868"/>
      <c r="AWI228" s="1868"/>
      <c r="AWJ228" s="1868"/>
      <c r="AWK228" s="1868"/>
      <c r="AWL228" s="1868"/>
      <c r="AWM228" s="1868"/>
      <c r="AWN228" s="1868"/>
      <c r="AWO228" s="1868"/>
      <c r="AWP228" s="1868"/>
      <c r="AWQ228" s="1868"/>
    </row>
    <row r="229" spans="1:1291" ht="15" customHeight="1" thickBot="1" x14ac:dyDescent="0.25">
      <c r="A229" s="1964"/>
      <c r="B229" s="2002"/>
      <c r="C229" s="1822" t="s">
        <v>1376</v>
      </c>
      <c r="D229" s="1885"/>
      <c r="E229" s="1984"/>
      <c r="F229" s="1838">
        <v>0</v>
      </c>
      <c r="G229" s="1804">
        <v>0</v>
      </c>
      <c r="H229" s="1804">
        <v>0</v>
      </c>
      <c r="I229" s="1804">
        <v>0</v>
      </c>
      <c r="J229" s="1804">
        <v>0</v>
      </c>
      <c r="K229" s="1804">
        <v>0</v>
      </c>
      <c r="L229" s="1804">
        <v>0</v>
      </c>
      <c r="M229" s="1804">
        <v>0</v>
      </c>
      <c r="N229" s="1804">
        <v>0</v>
      </c>
      <c r="O229" s="1804">
        <v>0</v>
      </c>
      <c r="P229" s="1804">
        <v>0</v>
      </c>
      <c r="Q229" s="1804">
        <v>0</v>
      </c>
      <c r="R229" s="1804">
        <v>0</v>
      </c>
      <c r="S229" s="1804">
        <v>0</v>
      </c>
      <c r="T229" s="1804">
        <v>0</v>
      </c>
      <c r="U229" s="1804">
        <v>0</v>
      </c>
      <c r="V229" s="1804">
        <v>0</v>
      </c>
      <c r="W229" s="1804">
        <v>0</v>
      </c>
      <c r="X229" s="1804">
        <v>0</v>
      </c>
      <c r="Y229" s="1804">
        <v>0</v>
      </c>
      <c r="Z229" s="1804">
        <v>0</v>
      </c>
      <c r="AA229" s="1804">
        <v>0</v>
      </c>
      <c r="AB229" s="1804">
        <v>0</v>
      </c>
      <c r="AC229" s="1804">
        <v>0</v>
      </c>
      <c r="AD229" s="1804">
        <v>0</v>
      </c>
      <c r="AE229" s="1804">
        <v>0</v>
      </c>
      <c r="AF229" s="1804">
        <v>0</v>
      </c>
      <c r="AG229" s="1804">
        <v>0</v>
      </c>
      <c r="AH229" s="1804">
        <v>0</v>
      </c>
      <c r="AI229" s="1804">
        <v>0</v>
      </c>
      <c r="AJ229" s="1804">
        <v>0</v>
      </c>
      <c r="AK229" s="1804">
        <v>0</v>
      </c>
      <c r="AL229" s="1804">
        <v>0</v>
      </c>
      <c r="AM229" s="1804">
        <v>0</v>
      </c>
      <c r="AN229" s="1804">
        <v>0</v>
      </c>
      <c r="AO229" s="1804">
        <v>0</v>
      </c>
      <c r="AP229" s="1804">
        <v>0</v>
      </c>
      <c r="AQ229" s="1804">
        <v>0</v>
      </c>
      <c r="AR229" s="1804">
        <v>0</v>
      </c>
      <c r="AS229" s="1804">
        <v>0</v>
      </c>
      <c r="AT229" s="1804">
        <v>0</v>
      </c>
      <c r="AU229" s="1804">
        <v>0</v>
      </c>
      <c r="AV229" s="1804">
        <v>0</v>
      </c>
      <c r="AW229" s="1804">
        <v>0</v>
      </c>
      <c r="AX229" s="1804">
        <v>0</v>
      </c>
      <c r="AY229" s="1804">
        <v>0</v>
      </c>
      <c r="AZ229" s="1804">
        <v>0</v>
      </c>
      <c r="BA229" s="1804">
        <v>0</v>
      </c>
      <c r="BB229" s="1804">
        <v>0</v>
      </c>
      <c r="BC229" s="1804">
        <v>0</v>
      </c>
      <c r="BD229" s="1804">
        <v>0</v>
      </c>
      <c r="BE229" s="1804">
        <v>0</v>
      </c>
      <c r="BF229" s="1804">
        <v>0</v>
      </c>
      <c r="BG229" s="1804">
        <v>0</v>
      </c>
      <c r="BH229" s="1804">
        <v>0</v>
      </c>
      <c r="BI229" s="1804">
        <v>0</v>
      </c>
      <c r="BJ229" s="1804">
        <v>0</v>
      </c>
      <c r="BK229" s="1804">
        <v>0</v>
      </c>
      <c r="BL229" s="1804">
        <v>0</v>
      </c>
      <c r="BM229" s="1804">
        <v>0</v>
      </c>
      <c r="BN229" s="1804">
        <v>0</v>
      </c>
      <c r="BO229" s="1804">
        <v>0</v>
      </c>
      <c r="BP229" s="1804">
        <v>0</v>
      </c>
      <c r="BQ229" s="1804">
        <v>0</v>
      </c>
      <c r="BR229" s="1804">
        <v>0</v>
      </c>
      <c r="BS229" s="1804">
        <v>0</v>
      </c>
      <c r="BT229" s="1804">
        <v>0</v>
      </c>
      <c r="BU229" s="1804">
        <v>0</v>
      </c>
      <c r="BV229" s="1804">
        <v>0</v>
      </c>
      <c r="BW229" s="1804">
        <v>0</v>
      </c>
      <c r="BX229" s="1804">
        <v>0</v>
      </c>
      <c r="BY229" s="1804">
        <v>0</v>
      </c>
      <c r="BZ229" s="1804">
        <v>0</v>
      </c>
      <c r="CA229" s="1804">
        <v>0</v>
      </c>
      <c r="CB229" s="1804">
        <v>0</v>
      </c>
      <c r="CC229" s="1804">
        <v>0</v>
      </c>
      <c r="CD229" s="1804">
        <v>0</v>
      </c>
      <c r="CE229" s="1804">
        <v>0</v>
      </c>
      <c r="CF229" s="1804">
        <v>0</v>
      </c>
      <c r="CG229" s="1804">
        <v>0</v>
      </c>
      <c r="CH229" s="1804">
        <v>0</v>
      </c>
      <c r="CI229" s="1804">
        <v>0</v>
      </c>
      <c r="CJ229" s="1804">
        <v>0</v>
      </c>
      <c r="CK229" s="1804">
        <v>0</v>
      </c>
      <c r="CL229" s="1804">
        <v>0</v>
      </c>
      <c r="CM229" s="1804">
        <v>0</v>
      </c>
      <c r="CN229" s="1804">
        <v>0</v>
      </c>
      <c r="CO229" s="1804">
        <v>0</v>
      </c>
      <c r="CP229" s="1804">
        <v>0</v>
      </c>
      <c r="CQ229" s="1804">
        <v>0</v>
      </c>
      <c r="CR229" s="1804">
        <v>0</v>
      </c>
      <c r="CS229" s="1804">
        <v>0</v>
      </c>
      <c r="CT229" s="1804">
        <v>0</v>
      </c>
      <c r="CU229" s="1804">
        <v>0</v>
      </c>
      <c r="CV229" s="1804">
        <v>0</v>
      </c>
      <c r="CW229" s="1804">
        <v>0</v>
      </c>
      <c r="CX229" s="1804">
        <v>0</v>
      </c>
      <c r="CY229" s="1804">
        <v>0</v>
      </c>
      <c r="CZ229" s="1804">
        <v>0</v>
      </c>
      <c r="DA229" s="1804">
        <v>0</v>
      </c>
      <c r="DB229" s="1804">
        <v>0</v>
      </c>
      <c r="DC229" s="1804">
        <v>0</v>
      </c>
      <c r="DD229" s="1804">
        <v>0</v>
      </c>
      <c r="DE229" s="1804">
        <v>0</v>
      </c>
      <c r="DF229" s="1804">
        <v>0</v>
      </c>
      <c r="DG229" s="1804">
        <v>0</v>
      </c>
      <c r="DH229" s="1804">
        <v>0</v>
      </c>
      <c r="DI229" s="1804">
        <v>0</v>
      </c>
      <c r="DJ229" s="1804">
        <v>0</v>
      </c>
      <c r="DK229" s="1804">
        <v>0</v>
      </c>
      <c r="DL229" s="1804">
        <v>0</v>
      </c>
      <c r="DM229" s="1804">
        <v>0</v>
      </c>
      <c r="DN229" s="1804">
        <v>0</v>
      </c>
      <c r="DO229" s="1804">
        <v>0</v>
      </c>
      <c r="DP229" s="1804">
        <v>0</v>
      </c>
      <c r="DQ229" s="1804">
        <v>0</v>
      </c>
      <c r="DR229" s="1804">
        <v>0</v>
      </c>
      <c r="DS229" s="1804">
        <v>0</v>
      </c>
      <c r="DT229" s="1804">
        <v>0</v>
      </c>
      <c r="DU229" s="1804">
        <v>0</v>
      </c>
      <c r="DV229" s="1804">
        <v>0</v>
      </c>
      <c r="DW229" s="1804">
        <v>0</v>
      </c>
      <c r="DX229" s="1804">
        <v>0</v>
      </c>
      <c r="DY229" s="1804">
        <v>0</v>
      </c>
      <c r="DZ229" s="1804">
        <v>0</v>
      </c>
      <c r="EA229" s="1804">
        <v>0</v>
      </c>
      <c r="EB229" s="1804">
        <v>0</v>
      </c>
      <c r="EC229" s="1804">
        <v>0</v>
      </c>
      <c r="ED229" s="1804">
        <v>0</v>
      </c>
      <c r="EE229" s="1804">
        <v>0</v>
      </c>
      <c r="EF229" s="1804">
        <v>0</v>
      </c>
      <c r="EG229" s="1804">
        <v>0</v>
      </c>
      <c r="EH229" s="1804">
        <v>0</v>
      </c>
      <c r="EI229" s="1804">
        <v>0</v>
      </c>
      <c r="EJ229" s="1804">
        <v>0</v>
      </c>
      <c r="EK229" s="1804">
        <v>0</v>
      </c>
      <c r="EL229" s="1804">
        <v>0</v>
      </c>
      <c r="EM229" s="1804">
        <v>0</v>
      </c>
      <c r="EN229" s="1804">
        <v>0</v>
      </c>
      <c r="EO229" s="1804">
        <v>0</v>
      </c>
      <c r="EP229" s="1804">
        <v>0</v>
      </c>
      <c r="EQ229" s="1804">
        <v>0</v>
      </c>
      <c r="ER229" s="1804">
        <v>0</v>
      </c>
      <c r="ES229" s="1804">
        <v>0</v>
      </c>
      <c r="ET229" s="1804">
        <v>0</v>
      </c>
      <c r="EU229" s="1804">
        <v>0</v>
      </c>
      <c r="EV229" s="1804">
        <v>0</v>
      </c>
      <c r="EW229" s="1804">
        <v>0</v>
      </c>
      <c r="EX229" s="1804">
        <v>0</v>
      </c>
      <c r="EY229" s="1804">
        <v>0</v>
      </c>
      <c r="EZ229" s="1804">
        <v>0</v>
      </c>
      <c r="FA229" s="1804">
        <v>0</v>
      </c>
      <c r="FB229" s="1804">
        <v>0</v>
      </c>
      <c r="FC229" s="1804">
        <v>0</v>
      </c>
      <c r="FD229" s="1804">
        <v>0</v>
      </c>
      <c r="FE229" s="1804">
        <v>0</v>
      </c>
      <c r="FF229" s="1804">
        <v>0</v>
      </c>
      <c r="FG229" s="1804">
        <v>0</v>
      </c>
      <c r="FH229" s="1804">
        <v>0</v>
      </c>
      <c r="FI229" s="1804">
        <v>0</v>
      </c>
      <c r="FJ229" s="1804">
        <v>0</v>
      </c>
      <c r="FK229" s="1804">
        <v>0</v>
      </c>
      <c r="FL229" s="1804">
        <v>0</v>
      </c>
      <c r="FM229" s="1804">
        <v>0</v>
      </c>
      <c r="FN229" s="1804">
        <v>0</v>
      </c>
      <c r="FO229" s="1804">
        <v>0</v>
      </c>
      <c r="FP229" s="1804">
        <v>0</v>
      </c>
      <c r="FQ229" s="1804">
        <v>0</v>
      </c>
      <c r="FR229" s="1804">
        <v>0</v>
      </c>
      <c r="FS229" s="1804">
        <v>0</v>
      </c>
      <c r="FT229" s="1804">
        <v>0</v>
      </c>
      <c r="FU229" s="1804">
        <v>0</v>
      </c>
      <c r="FV229" s="1804">
        <v>0</v>
      </c>
      <c r="FW229" s="1804">
        <v>0</v>
      </c>
      <c r="FX229" s="1804">
        <v>0</v>
      </c>
      <c r="FY229" s="1804">
        <v>0</v>
      </c>
      <c r="FZ229" s="1804">
        <v>0</v>
      </c>
      <c r="GA229" s="1804">
        <v>0</v>
      </c>
      <c r="GB229" s="1804">
        <v>0</v>
      </c>
      <c r="GC229" s="1804">
        <v>0</v>
      </c>
      <c r="GD229" s="1804">
        <v>0</v>
      </c>
      <c r="GE229" s="1804">
        <v>0</v>
      </c>
      <c r="GF229" s="1804">
        <v>0</v>
      </c>
      <c r="GG229" s="1804">
        <v>0</v>
      </c>
      <c r="GH229" s="1804">
        <v>0</v>
      </c>
      <c r="GI229" s="1804">
        <v>0</v>
      </c>
      <c r="GJ229" s="1804">
        <v>0</v>
      </c>
      <c r="GK229" s="1804">
        <v>0</v>
      </c>
      <c r="GL229" s="1804">
        <v>0</v>
      </c>
      <c r="GM229" s="1804">
        <v>0</v>
      </c>
      <c r="GN229" s="1804">
        <v>0</v>
      </c>
      <c r="GO229" s="1804">
        <v>0</v>
      </c>
      <c r="GP229" s="1804">
        <v>0</v>
      </c>
      <c r="GQ229" s="1804">
        <v>0</v>
      </c>
      <c r="GR229" s="1804">
        <v>0</v>
      </c>
      <c r="GS229" s="1804">
        <v>0</v>
      </c>
      <c r="GT229" s="1804">
        <v>0</v>
      </c>
      <c r="GU229" s="1804">
        <v>0</v>
      </c>
      <c r="GV229" s="1804">
        <v>0</v>
      </c>
      <c r="GW229" s="1804">
        <v>0</v>
      </c>
      <c r="GX229" s="1804">
        <v>0</v>
      </c>
      <c r="GY229" s="1804">
        <v>0</v>
      </c>
      <c r="GZ229" s="1804">
        <v>0</v>
      </c>
      <c r="HA229" s="1804">
        <v>0</v>
      </c>
      <c r="HB229" s="1804">
        <v>0</v>
      </c>
      <c r="HC229" s="1804">
        <v>0</v>
      </c>
      <c r="HD229" s="1804">
        <v>0</v>
      </c>
      <c r="HE229" s="1804">
        <v>0</v>
      </c>
      <c r="MS229" s="1868"/>
      <c r="MT229" s="1868"/>
      <c r="MU229" s="1868"/>
      <c r="MV229" s="1868"/>
      <c r="MW229" s="1868"/>
      <c r="MX229" s="1868"/>
      <c r="MY229" s="1868"/>
      <c r="MZ229" s="1868"/>
      <c r="NA229" s="1868"/>
      <c r="NB229" s="1868"/>
      <c r="NC229" s="1868"/>
      <c r="ND229" s="1868"/>
      <c r="NE229" s="1868"/>
      <c r="NF229" s="1868"/>
      <c r="NG229" s="1868"/>
      <c r="NH229" s="1868"/>
      <c r="NI229" s="1868"/>
      <c r="NJ229" s="1868"/>
      <c r="NK229" s="1868"/>
      <c r="NL229" s="1868"/>
      <c r="NM229" s="1868"/>
      <c r="NN229" s="1868"/>
      <c r="NO229" s="1868"/>
      <c r="NP229" s="1868"/>
      <c r="NQ229" s="1868"/>
      <c r="NR229" s="1868"/>
      <c r="NS229" s="1868"/>
      <c r="NT229" s="1868"/>
      <c r="NU229" s="1868"/>
      <c r="NV229" s="1868"/>
      <c r="NW229" s="1868"/>
      <c r="NX229" s="1868"/>
      <c r="NY229" s="1868"/>
      <c r="NZ229" s="1868"/>
      <c r="OA229" s="1868"/>
      <c r="OB229" s="1868"/>
      <c r="OC229" s="1868"/>
      <c r="OD229" s="1868"/>
      <c r="OE229" s="1868"/>
      <c r="OF229" s="1868"/>
      <c r="OG229" s="1868"/>
      <c r="OH229" s="1868"/>
      <c r="OI229" s="1868"/>
      <c r="OJ229" s="1868"/>
      <c r="OK229" s="1868"/>
      <c r="OL229" s="1868"/>
      <c r="OM229" s="1868"/>
      <c r="ON229" s="1868"/>
      <c r="OO229" s="1868"/>
      <c r="OP229" s="1868"/>
      <c r="OQ229" s="1868"/>
      <c r="OR229" s="1868"/>
      <c r="OS229" s="1868"/>
      <c r="OT229" s="1868"/>
      <c r="OU229" s="1868"/>
      <c r="OV229" s="1868"/>
      <c r="OW229" s="1868"/>
      <c r="OX229" s="1868"/>
      <c r="OY229" s="1868"/>
      <c r="OZ229" s="1868"/>
      <c r="PA229" s="1868"/>
      <c r="PB229" s="1868"/>
      <c r="PC229" s="1868"/>
      <c r="PD229" s="1868"/>
      <c r="PE229" s="1868"/>
      <c r="PF229" s="1868"/>
      <c r="PG229" s="1868"/>
      <c r="PH229" s="1868"/>
      <c r="PI229" s="1868"/>
      <c r="PJ229" s="1868"/>
      <c r="PK229" s="1868"/>
      <c r="PL229" s="1868"/>
      <c r="PM229" s="1868"/>
      <c r="PN229" s="1868"/>
      <c r="PO229" s="1868"/>
      <c r="PP229" s="1868"/>
      <c r="PQ229" s="1868"/>
      <c r="PR229" s="1868"/>
      <c r="PS229" s="1868"/>
      <c r="PT229" s="1868"/>
      <c r="PU229" s="1868"/>
      <c r="PV229" s="1868"/>
      <c r="PW229" s="1868"/>
      <c r="PX229" s="1868"/>
      <c r="PY229" s="1868"/>
      <c r="PZ229" s="1868"/>
      <c r="QA229" s="1868"/>
      <c r="QB229" s="1868"/>
      <c r="QC229" s="1868"/>
      <c r="QD229" s="1868"/>
      <c r="QE229" s="1868"/>
      <c r="QF229" s="1868"/>
      <c r="QG229" s="1868"/>
      <c r="QH229" s="1868"/>
      <c r="QI229" s="1868"/>
      <c r="QJ229" s="1868"/>
      <c r="QK229" s="1868"/>
      <c r="QL229" s="1868"/>
      <c r="QM229" s="1868"/>
      <c r="QN229" s="1868"/>
      <c r="QO229" s="1868"/>
      <c r="QP229" s="1868"/>
      <c r="QQ229" s="1868"/>
      <c r="QR229" s="1868"/>
      <c r="QS229" s="1868"/>
      <c r="QT229" s="1868"/>
      <c r="QU229" s="1868"/>
      <c r="QV229" s="1868"/>
      <c r="QW229" s="1868"/>
      <c r="QX229" s="1868"/>
      <c r="QY229" s="1868"/>
      <c r="QZ229" s="1868"/>
      <c r="RA229" s="1868"/>
      <c r="RB229" s="1868"/>
      <c r="RC229" s="1868"/>
      <c r="RD229" s="1868"/>
      <c r="RE229" s="1868"/>
      <c r="RF229" s="1868"/>
      <c r="RG229" s="1868"/>
      <c r="RH229" s="1868"/>
      <c r="RI229" s="1868"/>
      <c r="RJ229" s="1868"/>
      <c r="RK229" s="1868"/>
      <c r="RL229" s="1868"/>
      <c r="RM229" s="1868"/>
      <c r="RN229" s="1868"/>
      <c r="RO229" s="1868"/>
      <c r="RP229" s="1868"/>
      <c r="RQ229" s="1868"/>
      <c r="RR229" s="1868"/>
      <c r="RS229" s="1868"/>
      <c r="RT229" s="1868"/>
      <c r="RU229" s="1868"/>
      <c r="RV229" s="1868"/>
      <c r="RW229" s="1868"/>
      <c r="RX229" s="1868"/>
      <c r="RY229" s="1868"/>
      <c r="RZ229" s="1868"/>
      <c r="SA229" s="1868"/>
      <c r="SB229" s="1868"/>
      <c r="SC229" s="1868"/>
      <c r="SD229" s="1868"/>
      <c r="SE229" s="1868"/>
      <c r="SF229" s="1868"/>
      <c r="SG229" s="1868"/>
      <c r="SH229" s="1868"/>
      <c r="SI229" s="1868"/>
      <c r="SJ229" s="1868"/>
      <c r="SK229" s="1868"/>
      <c r="SL229" s="1868"/>
      <c r="SM229" s="1868"/>
      <c r="SN229" s="1868"/>
      <c r="SO229" s="1868"/>
      <c r="SP229" s="1868"/>
      <c r="SQ229" s="1868"/>
      <c r="SR229" s="1868"/>
      <c r="SS229" s="1868"/>
      <c r="ST229" s="1868"/>
      <c r="SU229" s="1868"/>
      <c r="SV229" s="1868"/>
      <c r="SW229" s="1868"/>
      <c r="SX229" s="1868"/>
      <c r="SY229" s="1868"/>
      <c r="SZ229" s="1868"/>
      <c r="TA229" s="1868"/>
      <c r="TB229" s="1868"/>
      <c r="TC229" s="1868"/>
      <c r="TD229" s="1868"/>
      <c r="TE229" s="1868"/>
      <c r="TF229" s="1868"/>
      <c r="TG229" s="1868"/>
      <c r="TH229" s="1868"/>
      <c r="TI229" s="1868"/>
      <c r="TJ229" s="1868"/>
      <c r="TK229" s="1868"/>
      <c r="TL229" s="1868"/>
      <c r="TM229" s="1868"/>
      <c r="TN229" s="1868"/>
      <c r="TO229" s="1868"/>
      <c r="TP229" s="1868"/>
      <c r="TQ229" s="1868"/>
      <c r="TR229" s="1868"/>
      <c r="TS229" s="1868"/>
      <c r="TT229" s="1868"/>
      <c r="TU229" s="1868"/>
      <c r="TV229" s="1868"/>
      <c r="TW229" s="1868"/>
      <c r="TX229" s="1868"/>
      <c r="TY229" s="1868"/>
      <c r="TZ229" s="1868"/>
      <c r="UA229" s="1868"/>
      <c r="UB229" s="1868"/>
      <c r="UC229" s="1868"/>
      <c r="UD229" s="1868"/>
      <c r="UE229" s="1868"/>
      <c r="UF229" s="1868"/>
      <c r="UG229" s="1868"/>
      <c r="UH229" s="1868"/>
      <c r="UI229" s="1868"/>
      <c r="UJ229" s="1868"/>
      <c r="UK229" s="1868"/>
      <c r="UL229" s="1868"/>
      <c r="UM229" s="1868"/>
      <c r="UN229" s="1868"/>
      <c r="UO229" s="1868"/>
      <c r="UP229" s="1868"/>
      <c r="UQ229" s="1868"/>
      <c r="UR229" s="1868"/>
      <c r="US229" s="1868"/>
      <c r="UT229" s="1868"/>
      <c r="UU229" s="1868"/>
      <c r="UV229" s="1868"/>
      <c r="UW229" s="1868"/>
      <c r="UX229" s="1868"/>
      <c r="UY229" s="1868"/>
      <c r="UZ229" s="1868"/>
      <c r="VA229" s="1868"/>
      <c r="VB229" s="1868"/>
      <c r="VC229" s="1868"/>
      <c r="VD229" s="1868"/>
      <c r="VE229" s="1868"/>
      <c r="VF229" s="1868"/>
      <c r="VG229" s="1868"/>
      <c r="VH229" s="1868"/>
      <c r="VI229" s="1868"/>
      <c r="VJ229" s="1868"/>
      <c r="VK229" s="1868"/>
      <c r="VL229" s="1868"/>
      <c r="VM229" s="1868"/>
      <c r="VN229" s="1868"/>
      <c r="VO229" s="1868"/>
      <c r="VP229" s="1868"/>
      <c r="VQ229" s="1868"/>
      <c r="VR229" s="1868"/>
      <c r="VS229" s="1868"/>
      <c r="VT229" s="1868"/>
      <c r="VU229" s="1868"/>
      <c r="VV229" s="1868"/>
      <c r="VW229" s="1868"/>
      <c r="VX229" s="1868"/>
      <c r="VY229" s="1868"/>
      <c r="VZ229" s="1868"/>
      <c r="WA229" s="1868"/>
      <c r="WB229" s="1868"/>
      <c r="WC229" s="1868"/>
      <c r="WD229" s="1868"/>
      <c r="WE229" s="1868"/>
      <c r="WF229" s="1868"/>
      <c r="WG229" s="1868"/>
      <c r="WH229" s="1868"/>
      <c r="WI229" s="1868"/>
      <c r="WJ229" s="1868"/>
      <c r="WK229" s="1868"/>
      <c r="WL229" s="1868"/>
      <c r="WM229" s="1868"/>
      <c r="WN229" s="1868"/>
      <c r="WO229" s="1868"/>
      <c r="WP229" s="1868"/>
      <c r="WQ229" s="1868"/>
      <c r="WR229" s="1868"/>
      <c r="WS229" s="1868"/>
      <c r="WT229" s="1868"/>
      <c r="WU229" s="1868"/>
      <c r="WV229" s="1868"/>
      <c r="WW229" s="1868"/>
      <c r="WX229" s="1868"/>
      <c r="WY229" s="1868"/>
      <c r="WZ229" s="1868"/>
      <c r="XA229" s="1868"/>
      <c r="XB229" s="1868"/>
      <c r="XC229" s="1868"/>
      <c r="XD229" s="1868"/>
      <c r="XE229" s="1868"/>
      <c r="XF229" s="1868"/>
      <c r="XG229" s="1868"/>
      <c r="XH229" s="1868"/>
      <c r="XI229" s="1868"/>
      <c r="XJ229" s="1868"/>
      <c r="XK229" s="1868"/>
      <c r="XL229" s="1868"/>
      <c r="XM229" s="1868"/>
      <c r="XN229" s="1868"/>
      <c r="XO229" s="1868"/>
      <c r="XP229" s="1868"/>
      <c r="XQ229" s="1868"/>
      <c r="XR229" s="1868"/>
      <c r="XS229" s="1868"/>
      <c r="XT229" s="1868"/>
      <c r="XU229" s="1868"/>
      <c r="XV229" s="1868"/>
      <c r="XW229" s="1868"/>
      <c r="XX229" s="1868"/>
      <c r="XY229" s="1868"/>
      <c r="XZ229" s="1868"/>
      <c r="YA229" s="1868"/>
      <c r="YB229" s="1868"/>
      <c r="YC229" s="1868"/>
      <c r="YD229" s="1868"/>
      <c r="YE229" s="1868"/>
      <c r="YF229" s="1868"/>
      <c r="YG229" s="1868"/>
      <c r="YH229" s="1868"/>
      <c r="YI229" s="1868"/>
      <c r="YJ229" s="1868"/>
      <c r="YK229" s="1868"/>
      <c r="YL229" s="1868"/>
      <c r="YM229" s="1868"/>
      <c r="YN229" s="1868"/>
      <c r="YO229" s="1868"/>
      <c r="YP229" s="1868"/>
      <c r="YQ229" s="1868"/>
      <c r="YR229" s="1868"/>
      <c r="YS229" s="1868"/>
      <c r="YT229" s="1868"/>
      <c r="YU229" s="1868"/>
      <c r="YV229" s="1868"/>
      <c r="YW229" s="1868"/>
      <c r="YX229" s="1868"/>
      <c r="YY229" s="1868"/>
      <c r="YZ229" s="1868"/>
      <c r="ZA229" s="1868"/>
      <c r="ZB229" s="1868"/>
      <c r="ZC229" s="1868"/>
      <c r="ZD229" s="1868"/>
      <c r="ZE229" s="1868"/>
      <c r="ZF229" s="1868"/>
      <c r="ZG229" s="1868"/>
      <c r="ZH229" s="1868"/>
      <c r="ZI229" s="1868"/>
      <c r="ZJ229" s="1868"/>
      <c r="ZK229" s="1868"/>
      <c r="ZL229" s="1868"/>
      <c r="ZM229" s="1868"/>
      <c r="ZN229" s="1868"/>
      <c r="ZO229" s="1868"/>
      <c r="ZP229" s="1868"/>
      <c r="ZQ229" s="1868"/>
      <c r="ZR229" s="1868"/>
      <c r="ZS229" s="1868"/>
      <c r="ZT229" s="1868"/>
      <c r="ZU229" s="1868"/>
      <c r="ZV229" s="1868"/>
      <c r="ZW229" s="1868"/>
      <c r="ZX229" s="1868"/>
      <c r="ZY229" s="1868"/>
      <c r="ZZ229" s="1868"/>
      <c r="AAA229" s="1868"/>
      <c r="AAB229" s="1868"/>
      <c r="AAC229" s="1868"/>
      <c r="AAD229" s="1868"/>
      <c r="AAE229" s="1868"/>
      <c r="AAF229" s="1868"/>
      <c r="AAG229" s="1868"/>
      <c r="AAH229" s="1868"/>
      <c r="AAI229" s="1868"/>
      <c r="AAJ229" s="1868"/>
      <c r="AAK229" s="1868"/>
      <c r="AAL229" s="1868"/>
      <c r="AAM229" s="1868"/>
      <c r="AAN229" s="1868"/>
      <c r="AAO229" s="1868"/>
      <c r="AAP229" s="1868"/>
      <c r="AAQ229" s="1868"/>
      <c r="AAR229" s="1868"/>
      <c r="AAS229" s="1868"/>
      <c r="AAT229" s="1868"/>
      <c r="AAU229" s="1868"/>
      <c r="AAV229" s="1868"/>
      <c r="AAW229" s="1868"/>
      <c r="AAX229" s="1868"/>
      <c r="AAY229" s="1868"/>
      <c r="AAZ229" s="1868"/>
      <c r="ABA229" s="1868"/>
      <c r="ABB229" s="1868"/>
      <c r="ABC229" s="1868"/>
      <c r="ABD229" s="1868"/>
      <c r="ABE229" s="1868"/>
      <c r="ABF229" s="1868"/>
      <c r="ABG229" s="1868"/>
      <c r="ABH229" s="1868"/>
      <c r="ABI229" s="1868"/>
      <c r="ABJ229" s="1868"/>
      <c r="ABK229" s="1868"/>
      <c r="ABL229" s="1868"/>
      <c r="ABM229" s="1868"/>
      <c r="ABN229" s="1868"/>
      <c r="ABO229" s="1868"/>
      <c r="ABP229" s="1868"/>
      <c r="ABQ229" s="1868"/>
      <c r="ABR229" s="1868"/>
      <c r="ABS229" s="1868"/>
      <c r="ABT229" s="1868"/>
      <c r="ABU229" s="1868"/>
      <c r="ABV229" s="1868"/>
      <c r="ABW229" s="1868"/>
      <c r="ABX229" s="1868"/>
      <c r="ABY229" s="1868"/>
      <c r="ABZ229" s="1868"/>
      <c r="ACA229" s="1868"/>
      <c r="ACB229" s="1868"/>
      <c r="ACC229" s="1868"/>
      <c r="ACD229" s="1868"/>
      <c r="ACE229" s="1868"/>
      <c r="ACF229" s="1868"/>
      <c r="ACG229" s="1868"/>
      <c r="ACH229" s="1868"/>
      <c r="ACI229" s="1868"/>
      <c r="ACJ229" s="1868"/>
      <c r="ACK229" s="1868"/>
      <c r="ACL229" s="1868"/>
      <c r="ACM229" s="1868"/>
      <c r="ACN229" s="1868"/>
      <c r="ACO229" s="1868"/>
      <c r="ACP229" s="1868"/>
      <c r="ACQ229" s="1868"/>
      <c r="ACR229" s="1868"/>
      <c r="ACS229" s="1868"/>
      <c r="ACT229" s="1868"/>
      <c r="ACU229" s="1868"/>
      <c r="ACV229" s="1868"/>
      <c r="ACW229" s="1868"/>
      <c r="ACX229" s="1868"/>
      <c r="ACY229" s="1868"/>
      <c r="ACZ229" s="1868"/>
      <c r="ADA229" s="1868"/>
      <c r="ADB229" s="1868"/>
      <c r="ADC229" s="1868"/>
      <c r="ADD229" s="1868"/>
      <c r="ADE229" s="1868"/>
      <c r="ADF229" s="1868"/>
      <c r="ADG229" s="1868"/>
      <c r="ADH229" s="1868"/>
      <c r="ADI229" s="1868"/>
      <c r="ADJ229" s="1868"/>
      <c r="ADK229" s="1868"/>
      <c r="ADL229" s="1868"/>
      <c r="ADM229" s="1868"/>
      <c r="ADN229" s="1868"/>
      <c r="ADO229" s="1868"/>
      <c r="ADP229" s="1868"/>
      <c r="ADQ229" s="1868"/>
      <c r="ADR229" s="1868"/>
      <c r="ADS229" s="1868"/>
      <c r="ADT229" s="1868"/>
      <c r="ADU229" s="1868"/>
      <c r="ADV229" s="1868"/>
      <c r="ADW229" s="1868"/>
      <c r="ADX229" s="1868"/>
      <c r="ADY229" s="1868"/>
      <c r="ADZ229" s="1868"/>
      <c r="AEA229" s="1868"/>
      <c r="AEB229" s="1868"/>
      <c r="AEC229" s="1868"/>
      <c r="AED229" s="1868"/>
      <c r="AEE229" s="1868"/>
      <c r="AEF229" s="1868"/>
      <c r="AEG229" s="1868"/>
      <c r="AEH229" s="1868"/>
      <c r="AEI229" s="1868"/>
      <c r="AEJ229" s="1868"/>
      <c r="AEK229" s="1868"/>
      <c r="AEL229" s="1868"/>
      <c r="AEM229" s="1868"/>
      <c r="AEN229" s="1868"/>
      <c r="AEO229" s="1868"/>
      <c r="AEP229" s="1868"/>
      <c r="AEQ229" s="1868"/>
      <c r="AER229" s="1868"/>
      <c r="AES229" s="1868"/>
      <c r="AET229" s="1868"/>
      <c r="AEU229" s="1868"/>
      <c r="AEV229" s="1868"/>
      <c r="AEW229" s="1868"/>
      <c r="AEX229" s="1868"/>
      <c r="AEY229" s="1868"/>
      <c r="AEZ229" s="1868"/>
      <c r="AFA229" s="1868"/>
      <c r="AFB229" s="1868"/>
      <c r="AFC229" s="1868"/>
      <c r="AFD229" s="1868"/>
      <c r="AFE229" s="1868"/>
      <c r="AFF229" s="1868"/>
      <c r="AFG229" s="1868"/>
      <c r="AFH229" s="1868"/>
      <c r="AFI229" s="1868"/>
      <c r="AFJ229" s="1868"/>
      <c r="AFK229" s="1868"/>
      <c r="AFL229" s="1868"/>
      <c r="AFM229" s="1868"/>
      <c r="AFN229" s="1868"/>
      <c r="AFO229" s="1868"/>
      <c r="AFP229" s="1868"/>
      <c r="AFQ229" s="1868"/>
      <c r="AFR229" s="1868"/>
      <c r="AFS229" s="1868"/>
      <c r="AFT229" s="1868"/>
      <c r="AFU229" s="1868"/>
      <c r="AFV229" s="1868"/>
      <c r="AFW229" s="1868"/>
      <c r="AFX229" s="1868"/>
      <c r="AFY229" s="1868"/>
      <c r="AFZ229" s="1868"/>
      <c r="AGA229" s="1868"/>
      <c r="AGB229" s="1868"/>
      <c r="AGC229" s="1868"/>
      <c r="AGD229" s="1868"/>
      <c r="AGE229" s="1868"/>
      <c r="AGF229" s="1868"/>
      <c r="AGG229" s="1868"/>
      <c r="AGH229" s="1868"/>
      <c r="AGI229" s="1868"/>
      <c r="AGJ229" s="1868"/>
      <c r="AGK229" s="1868"/>
      <c r="AGL229" s="1868"/>
      <c r="AGM229" s="1868"/>
      <c r="AGN229" s="1868"/>
      <c r="AGO229" s="1868"/>
      <c r="AGP229" s="1868"/>
      <c r="AGQ229" s="1868"/>
      <c r="AGR229" s="1868"/>
      <c r="AGS229" s="1868"/>
      <c r="AGT229" s="1868"/>
      <c r="AGU229" s="1868"/>
      <c r="AGV229" s="1868"/>
      <c r="AGW229" s="1868"/>
      <c r="AGX229" s="1868"/>
      <c r="AGY229" s="1868"/>
      <c r="AGZ229" s="1868"/>
      <c r="AHA229" s="1868"/>
      <c r="AHB229" s="1868"/>
      <c r="AHC229" s="1868"/>
      <c r="AHD229" s="1868"/>
      <c r="AHE229" s="1868"/>
      <c r="AHF229" s="1868"/>
      <c r="AHG229" s="1868"/>
      <c r="AHH229" s="1868"/>
      <c r="AHI229" s="1868"/>
      <c r="AHJ229" s="1868"/>
      <c r="AHK229" s="1868"/>
      <c r="AHL229" s="1868"/>
      <c r="AHM229" s="1868"/>
      <c r="AHN229" s="1868"/>
      <c r="AHO229" s="1868"/>
      <c r="AHP229" s="1868"/>
      <c r="AHQ229" s="1868"/>
      <c r="AHR229" s="1868"/>
      <c r="AHS229" s="1868"/>
      <c r="AHT229" s="1868"/>
      <c r="AHU229" s="1868"/>
      <c r="AHV229" s="1868"/>
      <c r="AHW229" s="1868"/>
      <c r="AHX229" s="1868"/>
      <c r="AHY229" s="1868"/>
      <c r="AHZ229" s="1868"/>
      <c r="AIA229" s="1868"/>
      <c r="AIB229" s="1868"/>
      <c r="AIC229" s="1868"/>
      <c r="AID229" s="1868"/>
      <c r="AIE229" s="1868"/>
      <c r="AIF229" s="1868"/>
      <c r="AIG229" s="1868"/>
      <c r="AIH229" s="1868"/>
      <c r="AII229" s="1868"/>
      <c r="AIJ229" s="1868"/>
      <c r="AIK229" s="1868"/>
      <c r="AIL229" s="1868"/>
      <c r="AIM229" s="1868"/>
      <c r="AIN229" s="1868"/>
      <c r="AIO229" s="1868"/>
      <c r="AIP229" s="1868"/>
      <c r="AIQ229" s="1868"/>
      <c r="AIR229" s="1868"/>
      <c r="AIS229" s="1868"/>
      <c r="AIT229" s="1868"/>
      <c r="AIU229" s="1868"/>
      <c r="AIV229" s="1868"/>
      <c r="AIW229" s="1868"/>
      <c r="AIX229" s="1868"/>
      <c r="AIY229" s="1868"/>
      <c r="AIZ229" s="1868"/>
      <c r="AJA229" s="1868"/>
      <c r="AJB229" s="1868"/>
      <c r="AJC229" s="1868"/>
      <c r="AJD229" s="1868"/>
      <c r="AJE229" s="1868"/>
      <c r="AJF229" s="1868"/>
      <c r="AJG229" s="1868"/>
      <c r="AJH229" s="1868"/>
      <c r="AJI229" s="1868"/>
      <c r="AJJ229" s="1868"/>
      <c r="AJK229" s="1868"/>
      <c r="AJL229" s="1868"/>
      <c r="AJM229" s="1868"/>
      <c r="AJN229" s="1868"/>
      <c r="AJO229" s="1868"/>
      <c r="AJP229" s="1868"/>
      <c r="AJQ229" s="1868"/>
      <c r="AJR229" s="1868"/>
      <c r="AJS229" s="1868"/>
      <c r="AJT229" s="1868"/>
      <c r="AJU229" s="1868"/>
      <c r="AJV229" s="1868"/>
      <c r="AJW229" s="1868"/>
      <c r="AJX229" s="1868"/>
      <c r="AJY229" s="1868"/>
      <c r="AJZ229" s="1868"/>
      <c r="AKA229" s="1868"/>
      <c r="AKB229" s="1868"/>
      <c r="AKC229" s="1868"/>
      <c r="AKD229" s="1868"/>
      <c r="AKE229" s="1868"/>
      <c r="AKF229" s="1868"/>
      <c r="AKG229" s="1868"/>
      <c r="AKH229" s="1868"/>
      <c r="AKI229" s="1868"/>
      <c r="AKJ229" s="1868"/>
      <c r="AKK229" s="1868"/>
      <c r="AKL229" s="1868"/>
      <c r="AKM229" s="1868"/>
      <c r="AKN229" s="1868"/>
      <c r="AKO229" s="1868"/>
      <c r="AKP229" s="1868"/>
      <c r="AKQ229" s="1868"/>
      <c r="AKR229" s="1868"/>
      <c r="AKS229" s="1868"/>
      <c r="AKT229" s="1868"/>
      <c r="AKU229" s="1868"/>
      <c r="AKV229" s="1868"/>
      <c r="AKW229" s="1868"/>
      <c r="AKX229" s="1868"/>
      <c r="AKY229" s="1868"/>
      <c r="AKZ229" s="1868"/>
      <c r="ALA229" s="1868"/>
      <c r="ALB229" s="1868"/>
      <c r="ALC229" s="1868"/>
      <c r="ALD229" s="1868"/>
      <c r="ALE229" s="1868"/>
      <c r="ALF229" s="1868"/>
      <c r="ALG229" s="1868"/>
      <c r="ALH229" s="1868"/>
      <c r="ALI229" s="1868"/>
      <c r="ALJ229" s="1868"/>
      <c r="ALK229" s="1868"/>
      <c r="ALL229" s="1868"/>
      <c r="ALM229" s="1868"/>
      <c r="ALN229" s="1868"/>
      <c r="ALO229" s="1868"/>
      <c r="ALP229" s="1868"/>
      <c r="ALQ229" s="1868"/>
      <c r="ALR229" s="1868"/>
      <c r="ALS229" s="1868"/>
      <c r="ALT229" s="1868"/>
      <c r="ALU229" s="1868"/>
      <c r="ALV229" s="1868"/>
      <c r="ALW229" s="1868"/>
      <c r="ALX229" s="1868"/>
      <c r="ALY229" s="1868"/>
      <c r="ALZ229" s="1868"/>
      <c r="AMA229" s="1868"/>
      <c r="AMB229" s="1868"/>
      <c r="AMC229" s="1868"/>
      <c r="AMD229" s="1868"/>
      <c r="AME229" s="1868"/>
      <c r="AMF229" s="1868"/>
      <c r="AMG229" s="1868"/>
      <c r="AMH229" s="1868"/>
      <c r="AMI229" s="1868"/>
      <c r="AMJ229" s="1868"/>
      <c r="AMK229" s="1868"/>
      <c r="AML229" s="1868"/>
      <c r="AMM229" s="1868"/>
      <c r="AMN229" s="1868"/>
      <c r="AMO229" s="1868"/>
      <c r="AMP229" s="1868"/>
      <c r="AMQ229" s="1868"/>
      <c r="AMR229" s="1868"/>
      <c r="AMS229" s="1868"/>
      <c r="AMT229" s="1868"/>
      <c r="AMU229" s="1868"/>
      <c r="AMV229" s="1868"/>
      <c r="AMW229" s="1868"/>
      <c r="AMX229" s="1868"/>
      <c r="AMY229" s="1868"/>
      <c r="AMZ229" s="1868"/>
      <c r="ANA229" s="1868"/>
      <c r="ANB229" s="1868"/>
      <c r="ANC229" s="1868"/>
      <c r="AND229" s="1868"/>
      <c r="ANE229" s="1868"/>
      <c r="ANF229" s="1868"/>
      <c r="ANG229" s="1868"/>
      <c r="ANH229" s="1868"/>
      <c r="ANI229" s="1868"/>
      <c r="ANJ229" s="1868"/>
      <c r="ANK229" s="1868"/>
      <c r="ANL229" s="1868"/>
      <c r="ANM229" s="1868"/>
      <c r="ANN229" s="1868"/>
      <c r="ANO229" s="1868"/>
      <c r="ANP229" s="1868"/>
      <c r="ANQ229" s="1868"/>
      <c r="ANR229" s="1868"/>
      <c r="ANS229" s="1868"/>
      <c r="ANT229" s="1868"/>
      <c r="ANU229" s="1868"/>
      <c r="ANV229" s="1868"/>
      <c r="ANW229" s="1868"/>
      <c r="ANX229" s="1868"/>
      <c r="ANY229" s="1868"/>
      <c r="ANZ229" s="1868"/>
      <c r="AOA229" s="1868"/>
      <c r="AOB229" s="1868"/>
      <c r="AOC229" s="1868"/>
      <c r="AOD229" s="1868"/>
      <c r="AOE229" s="1868"/>
      <c r="AOF229" s="1868"/>
      <c r="AOG229" s="1868"/>
      <c r="AOH229" s="1868"/>
      <c r="AOI229" s="1868"/>
      <c r="AOJ229" s="1868"/>
      <c r="AOK229" s="1868"/>
      <c r="AOL229" s="1868"/>
      <c r="AOM229" s="1868"/>
      <c r="AON229" s="1868"/>
      <c r="AOO229" s="1868"/>
      <c r="AOP229" s="1868"/>
      <c r="AOQ229" s="1868"/>
      <c r="AOR229" s="1868"/>
      <c r="AOS229" s="1868"/>
      <c r="AOT229" s="1868"/>
      <c r="AOU229" s="1868"/>
      <c r="AOV229" s="1868"/>
      <c r="AOW229" s="1868"/>
      <c r="AOX229" s="1868"/>
      <c r="AOY229" s="1868"/>
      <c r="AOZ229" s="1868"/>
      <c r="APA229" s="1868"/>
      <c r="APB229" s="1868"/>
      <c r="APC229" s="1868"/>
      <c r="APD229" s="1868"/>
      <c r="APE229" s="1868"/>
      <c r="APF229" s="1868"/>
      <c r="APG229" s="1868"/>
      <c r="APH229" s="1868"/>
      <c r="API229" s="1868"/>
      <c r="APJ229" s="1868"/>
      <c r="APK229" s="1868"/>
      <c r="APL229" s="1868"/>
      <c r="APM229" s="1868"/>
      <c r="APN229" s="1868"/>
      <c r="APO229" s="1868"/>
      <c r="APP229" s="1868"/>
      <c r="APQ229" s="1868"/>
      <c r="APR229" s="1868"/>
      <c r="APS229" s="1868"/>
      <c r="APT229" s="1868"/>
      <c r="APU229" s="1868"/>
      <c r="APV229" s="1868"/>
      <c r="APW229" s="1868"/>
      <c r="APX229" s="1868"/>
      <c r="APY229" s="1868"/>
      <c r="APZ229" s="1868"/>
      <c r="AQA229" s="1868"/>
      <c r="AQB229" s="1868"/>
      <c r="AQC229" s="1868"/>
      <c r="AQD229" s="1868"/>
      <c r="AQE229" s="1868"/>
      <c r="AQF229" s="1868"/>
      <c r="AQG229" s="1868"/>
      <c r="AQH229" s="1868"/>
      <c r="AQI229" s="1868"/>
      <c r="AQJ229" s="1868"/>
      <c r="AQK229" s="1868"/>
      <c r="AQL229" s="1868"/>
      <c r="AQM229" s="1868"/>
      <c r="AQN229" s="1868"/>
      <c r="AQO229" s="1868"/>
      <c r="AQP229" s="1868"/>
      <c r="AQQ229" s="1868"/>
      <c r="AQR229" s="1868"/>
      <c r="AQS229" s="1868"/>
      <c r="AQT229" s="1868"/>
      <c r="AQU229" s="1868"/>
      <c r="AQV229" s="1868"/>
      <c r="AQW229" s="1868"/>
      <c r="AQX229" s="1868"/>
      <c r="AQY229" s="1868"/>
      <c r="AQZ229" s="1868"/>
      <c r="ARA229" s="1868"/>
      <c r="ARB229" s="1868"/>
      <c r="ARC229" s="1868"/>
      <c r="ARD229" s="1868"/>
      <c r="ARE229" s="1868"/>
      <c r="ARF229" s="1868"/>
      <c r="ARG229" s="1868"/>
      <c r="ARH229" s="1868"/>
      <c r="ARI229" s="1868"/>
      <c r="ARJ229" s="1868"/>
      <c r="ARK229" s="1868"/>
      <c r="ARL229" s="1868"/>
      <c r="ARM229" s="1868"/>
      <c r="ARN229" s="1868"/>
      <c r="ARO229" s="1868"/>
      <c r="ARP229" s="1868"/>
      <c r="ARQ229" s="1868"/>
      <c r="ARR229" s="1868"/>
      <c r="ARS229" s="1868"/>
      <c r="ART229" s="1868"/>
      <c r="ARU229" s="1868"/>
      <c r="ARV229" s="1868"/>
      <c r="ARW229" s="1868"/>
      <c r="ARX229" s="1868"/>
      <c r="ARY229" s="1868"/>
      <c r="ARZ229" s="1868"/>
      <c r="ASA229" s="1868"/>
      <c r="ASB229" s="1868"/>
      <c r="ASC229" s="1868"/>
      <c r="ASD229" s="1868"/>
      <c r="ASE229" s="1868"/>
      <c r="ASF229" s="1868"/>
      <c r="ASG229" s="1868"/>
      <c r="ASH229" s="1868"/>
      <c r="ASI229" s="1868"/>
      <c r="ASJ229" s="1868"/>
      <c r="ASK229" s="1868"/>
      <c r="ASL229" s="1868"/>
      <c r="ASM229" s="1868"/>
      <c r="ASN229" s="1868"/>
      <c r="ASO229" s="1868"/>
      <c r="ASP229" s="1868"/>
      <c r="ASQ229" s="1868"/>
      <c r="ASR229" s="1868"/>
      <c r="ASS229" s="1868"/>
      <c r="AST229" s="1868"/>
      <c r="ASU229" s="1868"/>
      <c r="ASV229" s="1868"/>
      <c r="ASW229" s="1868"/>
      <c r="ASX229" s="1868"/>
      <c r="ASY229" s="1868"/>
      <c r="ASZ229" s="1868"/>
      <c r="ATA229" s="1868"/>
      <c r="ATB229" s="1868"/>
      <c r="ATC229" s="1868"/>
      <c r="ATD229" s="1868"/>
      <c r="ATE229" s="1868"/>
      <c r="ATF229" s="1868"/>
      <c r="ATG229" s="1868"/>
      <c r="ATH229" s="1868"/>
      <c r="ATI229" s="1868"/>
      <c r="ATJ229" s="1868"/>
      <c r="ATK229" s="1868"/>
      <c r="ATL229" s="1868"/>
      <c r="ATM229" s="1868"/>
      <c r="ATN229" s="1868"/>
      <c r="ATO229" s="1868"/>
      <c r="ATP229" s="1868"/>
      <c r="ATQ229" s="1868"/>
      <c r="ATR229" s="1868"/>
      <c r="ATS229" s="1868"/>
      <c r="ATT229" s="1868"/>
      <c r="ATU229" s="1868"/>
      <c r="ATV229" s="1868"/>
      <c r="ATW229" s="1868"/>
      <c r="ATX229" s="1868"/>
      <c r="ATY229" s="1868"/>
      <c r="ATZ229" s="1868"/>
      <c r="AUA229" s="1868"/>
      <c r="AUB229" s="1868"/>
      <c r="AUC229" s="1868"/>
      <c r="AUD229" s="1868"/>
      <c r="AUE229" s="1868"/>
      <c r="AUF229" s="1868"/>
      <c r="AUG229" s="1868"/>
      <c r="AUH229" s="1868"/>
      <c r="AUI229" s="1868"/>
      <c r="AUJ229" s="1868"/>
      <c r="AUK229" s="1868"/>
      <c r="AUL229" s="1868"/>
      <c r="AUM229" s="1868"/>
      <c r="AUN229" s="1868"/>
      <c r="AUO229" s="1868"/>
      <c r="AUP229" s="1868"/>
      <c r="AUQ229" s="1868"/>
      <c r="AUR229" s="1868"/>
      <c r="AUS229" s="1868"/>
      <c r="AUT229" s="1868"/>
      <c r="AUU229" s="1868"/>
      <c r="AUV229" s="1868"/>
      <c r="AUW229" s="1868"/>
      <c r="AUX229" s="1868"/>
      <c r="AUY229" s="1868"/>
      <c r="AUZ229" s="1868"/>
      <c r="AVA229" s="1868"/>
      <c r="AVB229" s="1868"/>
      <c r="AVC229" s="1868"/>
      <c r="AVD229" s="1868"/>
      <c r="AVE229" s="1868"/>
      <c r="AVF229" s="1868"/>
      <c r="AVG229" s="1868"/>
      <c r="AVH229" s="1868"/>
      <c r="AVI229" s="1868"/>
      <c r="AVJ229" s="1868"/>
      <c r="AVK229" s="1868"/>
      <c r="AVL229" s="1868"/>
      <c r="AVM229" s="1868"/>
      <c r="AVN229" s="1868"/>
      <c r="AVO229" s="1868"/>
      <c r="AVP229" s="1868"/>
      <c r="AVQ229" s="1868"/>
      <c r="AVR229" s="1868"/>
      <c r="AVS229" s="1868"/>
      <c r="AVT229" s="1868"/>
      <c r="AVU229" s="1868"/>
      <c r="AVV229" s="1868"/>
      <c r="AVW229" s="1868"/>
      <c r="AVX229" s="1868"/>
      <c r="AVY229" s="1868"/>
      <c r="AVZ229" s="1868"/>
      <c r="AWA229" s="1868"/>
      <c r="AWB229" s="1868"/>
      <c r="AWC229" s="1868"/>
      <c r="AWD229" s="1868"/>
      <c r="AWE229" s="1868"/>
      <c r="AWF229" s="1868"/>
      <c r="AWG229" s="1868"/>
      <c r="AWH229" s="1868"/>
      <c r="AWI229" s="1868"/>
      <c r="AWJ229" s="1868"/>
      <c r="AWK229" s="1868"/>
      <c r="AWL229" s="1868"/>
      <c r="AWM229" s="1868"/>
      <c r="AWN229" s="1868"/>
      <c r="AWO229" s="1868"/>
      <c r="AWP229" s="1868"/>
      <c r="AWQ229" s="1868"/>
    </row>
    <row r="230" spans="1:1291" s="1869" customFormat="1" ht="21" customHeight="1" thickBot="1" x14ac:dyDescent="0.25">
      <c r="A230" s="1963" t="s">
        <v>294</v>
      </c>
      <c r="B230" s="1998" t="s">
        <v>552</v>
      </c>
      <c r="C230" s="1699" t="s">
        <v>874</v>
      </c>
      <c r="D230" s="1880"/>
      <c r="E230" s="1984"/>
      <c r="F230" s="1865"/>
      <c r="G230" s="1866"/>
      <c r="H230" s="1866"/>
      <c r="I230" s="1866"/>
      <c r="J230" s="1866"/>
      <c r="K230" s="1866"/>
      <c r="L230" s="1866"/>
      <c r="M230" s="1866"/>
      <c r="N230" s="1866"/>
      <c r="O230" s="1866"/>
      <c r="P230" s="1866"/>
      <c r="Q230" s="1866"/>
      <c r="R230" s="1866"/>
      <c r="S230" s="1866"/>
      <c r="T230" s="1866"/>
      <c r="U230" s="1866"/>
      <c r="V230" s="1866"/>
      <c r="W230" s="1866"/>
      <c r="X230" s="1866"/>
      <c r="Y230" s="1866"/>
      <c r="Z230" s="1866"/>
      <c r="AA230" s="1866"/>
      <c r="AB230" s="1866"/>
      <c r="AC230" s="1866"/>
      <c r="AD230" s="1866"/>
      <c r="AE230" s="1866"/>
      <c r="AF230" s="1866"/>
      <c r="AG230" s="1866"/>
      <c r="AH230" s="1866"/>
      <c r="AI230" s="1866"/>
      <c r="AJ230" s="1866"/>
      <c r="AK230" s="1866"/>
      <c r="AL230" s="1866"/>
      <c r="AM230" s="1866"/>
      <c r="AN230" s="1866"/>
      <c r="AO230" s="1866"/>
      <c r="AP230" s="1866"/>
      <c r="AQ230" s="1866"/>
      <c r="AR230" s="1866"/>
      <c r="AS230" s="1866"/>
      <c r="AT230" s="1866"/>
      <c r="AU230" s="1866"/>
      <c r="AV230" s="1866"/>
      <c r="AW230" s="1866"/>
      <c r="AX230" s="1866"/>
      <c r="AY230" s="1866"/>
      <c r="AZ230" s="1866"/>
      <c r="BA230" s="1866"/>
      <c r="BB230" s="1866"/>
      <c r="BC230" s="1866"/>
      <c r="BD230" s="1866"/>
      <c r="BE230" s="1866"/>
      <c r="BF230" s="1866"/>
      <c r="BG230" s="1866"/>
      <c r="BH230" s="1866"/>
      <c r="BI230" s="1866"/>
      <c r="BJ230" s="1866"/>
      <c r="BK230" s="1866"/>
      <c r="BL230" s="1866"/>
      <c r="BM230" s="1866"/>
      <c r="BN230" s="1866"/>
      <c r="BO230" s="1866"/>
      <c r="BP230" s="1866"/>
      <c r="BQ230" s="1866"/>
      <c r="BR230" s="1866"/>
      <c r="BS230" s="1866"/>
      <c r="BT230" s="1866"/>
      <c r="BU230" s="1866"/>
      <c r="BV230" s="1866"/>
      <c r="BW230" s="1866"/>
      <c r="BX230" s="1866"/>
      <c r="BY230" s="1866"/>
      <c r="BZ230" s="1866"/>
      <c r="CA230" s="1866"/>
      <c r="CB230" s="1866"/>
      <c r="CC230" s="1866"/>
      <c r="CD230" s="1866"/>
      <c r="CE230" s="1866"/>
      <c r="CF230" s="1866"/>
      <c r="CG230" s="1866"/>
      <c r="CH230" s="1866"/>
      <c r="CI230" s="1866"/>
      <c r="CJ230" s="1866"/>
      <c r="CK230" s="1866"/>
      <c r="CL230" s="1866"/>
      <c r="CM230" s="1866"/>
      <c r="CN230" s="1866"/>
      <c r="CO230" s="1866"/>
      <c r="CP230" s="1866"/>
      <c r="CQ230" s="1866"/>
      <c r="CR230" s="1866"/>
      <c r="CS230" s="1866"/>
      <c r="CT230" s="1866"/>
      <c r="CU230" s="1866"/>
      <c r="CV230" s="1866"/>
      <c r="CW230" s="1866"/>
      <c r="CX230" s="1866"/>
      <c r="CY230" s="1866"/>
      <c r="CZ230" s="1866"/>
      <c r="DA230" s="1866"/>
      <c r="DB230" s="1866"/>
      <c r="DC230" s="1866"/>
      <c r="DD230" s="1866"/>
      <c r="DE230" s="1866"/>
      <c r="DF230" s="1866"/>
      <c r="DG230" s="1866"/>
      <c r="DH230" s="1866"/>
      <c r="DI230" s="1866"/>
      <c r="DJ230" s="1866"/>
      <c r="DK230" s="1866"/>
      <c r="DL230" s="1866"/>
      <c r="DM230" s="1866"/>
      <c r="DN230" s="1866"/>
      <c r="DO230" s="1866"/>
      <c r="DP230" s="1866"/>
      <c r="DQ230" s="1866"/>
      <c r="DR230" s="1866"/>
      <c r="DS230" s="1866"/>
      <c r="DT230" s="1866"/>
      <c r="DU230" s="1866"/>
      <c r="DV230" s="1866"/>
      <c r="DW230" s="1866"/>
      <c r="DX230" s="1866"/>
      <c r="DY230" s="1866"/>
      <c r="DZ230" s="1866"/>
      <c r="EA230" s="1866"/>
      <c r="EB230" s="1866"/>
      <c r="EC230" s="1866"/>
      <c r="ED230" s="1866"/>
      <c r="EE230" s="1866"/>
      <c r="EF230" s="1866"/>
      <c r="EG230" s="1866"/>
      <c r="EH230" s="1866"/>
      <c r="EI230" s="1866"/>
      <c r="EJ230" s="1866"/>
      <c r="EK230" s="1866"/>
      <c r="EL230" s="1866"/>
      <c r="EM230" s="1866"/>
      <c r="EN230" s="1866"/>
      <c r="EO230" s="1866"/>
      <c r="EP230" s="1866"/>
      <c r="EQ230" s="1866"/>
      <c r="ER230" s="1866"/>
      <c r="ES230" s="1866"/>
      <c r="ET230" s="1866"/>
      <c r="EU230" s="1866"/>
      <c r="EV230" s="1866"/>
      <c r="EW230" s="1866"/>
      <c r="EX230" s="1866"/>
      <c r="EY230" s="1866"/>
      <c r="EZ230" s="1866"/>
      <c r="FA230" s="1866"/>
      <c r="FB230" s="1866"/>
      <c r="FC230" s="1866"/>
      <c r="FD230" s="1866"/>
      <c r="FE230" s="1866"/>
      <c r="FF230" s="1866"/>
      <c r="FG230" s="1866"/>
      <c r="FH230" s="1866"/>
      <c r="FI230" s="1866"/>
      <c r="FJ230" s="1866"/>
      <c r="FK230" s="1866"/>
      <c r="FL230" s="1866"/>
      <c r="FM230" s="1866"/>
      <c r="FN230" s="1866"/>
      <c r="FO230" s="1866"/>
      <c r="FP230" s="1866"/>
      <c r="FQ230" s="1866"/>
      <c r="FR230" s="1866"/>
      <c r="FS230" s="1866"/>
      <c r="FT230" s="1866"/>
      <c r="FU230" s="1866"/>
      <c r="FV230" s="1866"/>
      <c r="FW230" s="1866"/>
      <c r="FX230" s="1866"/>
      <c r="FY230" s="1866"/>
      <c r="FZ230" s="1866"/>
      <c r="GA230" s="1866"/>
      <c r="GB230" s="1866"/>
      <c r="GC230" s="1866"/>
      <c r="GD230" s="1866"/>
      <c r="GE230" s="1866"/>
      <c r="GF230" s="1866"/>
      <c r="GG230" s="1866"/>
      <c r="GH230" s="1866"/>
      <c r="GI230" s="1866"/>
      <c r="GJ230" s="1866"/>
      <c r="GK230" s="1866"/>
      <c r="GL230" s="1866"/>
      <c r="GM230" s="1866"/>
      <c r="GN230" s="1866"/>
      <c r="GO230" s="1866"/>
      <c r="GP230" s="1866"/>
      <c r="GQ230" s="1866"/>
      <c r="GR230" s="1866"/>
      <c r="GS230" s="1866"/>
      <c r="GT230" s="1866"/>
      <c r="GU230" s="1866"/>
      <c r="GV230" s="1866"/>
      <c r="GW230" s="1866"/>
      <c r="GX230" s="1866"/>
      <c r="GY230" s="1866"/>
      <c r="GZ230" s="1866"/>
      <c r="HA230" s="1866"/>
      <c r="HB230" s="1866"/>
      <c r="HC230" s="1866"/>
      <c r="HD230" s="1866"/>
      <c r="HE230" s="1866"/>
      <c r="HF230" s="1864"/>
      <c r="HG230" s="1864"/>
      <c r="HH230" s="1864"/>
      <c r="HI230" s="1864"/>
      <c r="HJ230" s="1864"/>
      <c r="HK230" s="1864"/>
      <c r="HL230" s="1864"/>
      <c r="HM230" s="1864"/>
      <c r="HN230" s="1864"/>
      <c r="HO230" s="1864"/>
      <c r="HP230" s="1864"/>
      <c r="HQ230" s="1864"/>
      <c r="HR230" s="1864"/>
      <c r="HS230" s="1864"/>
      <c r="HT230" s="1864"/>
      <c r="HU230" s="1864"/>
      <c r="HV230" s="1864"/>
      <c r="HW230" s="1864"/>
      <c r="HX230" s="1864"/>
      <c r="HY230" s="1864"/>
      <c r="HZ230" s="1864"/>
      <c r="IA230" s="1864"/>
      <c r="IB230" s="1864"/>
      <c r="IC230" s="1864"/>
      <c r="ID230" s="1864"/>
      <c r="IE230" s="1864"/>
      <c r="IF230" s="1864"/>
      <c r="IG230" s="1864"/>
      <c r="IH230" s="1864"/>
      <c r="II230" s="1864"/>
      <c r="IJ230" s="1864"/>
      <c r="IK230" s="1864"/>
      <c r="IL230" s="1864"/>
      <c r="IM230" s="1864"/>
      <c r="IN230" s="1864"/>
      <c r="IO230" s="1864"/>
      <c r="IP230" s="1864"/>
      <c r="IQ230" s="1864"/>
      <c r="IR230" s="1864"/>
      <c r="IS230" s="1864"/>
      <c r="IT230" s="1864"/>
      <c r="IU230" s="1864"/>
      <c r="IV230" s="1864"/>
      <c r="IW230" s="1864"/>
      <c r="IX230" s="1864"/>
      <c r="IY230" s="1864"/>
      <c r="IZ230" s="1864"/>
      <c r="JA230" s="1864"/>
      <c r="JB230" s="1864"/>
      <c r="JC230" s="1864"/>
      <c r="JD230" s="1864"/>
      <c r="JE230" s="1864"/>
      <c r="JF230" s="1864"/>
      <c r="JG230" s="1864"/>
      <c r="JH230" s="1864"/>
      <c r="JI230" s="1864"/>
      <c r="JJ230" s="1864"/>
      <c r="JK230" s="1864"/>
      <c r="JL230" s="1864"/>
      <c r="JM230" s="1864"/>
      <c r="JN230" s="1864"/>
      <c r="JO230" s="1864"/>
      <c r="JP230" s="1864"/>
      <c r="JQ230" s="1864"/>
      <c r="JR230" s="1864"/>
      <c r="JS230" s="1864"/>
      <c r="JT230" s="1864"/>
      <c r="JU230" s="1864"/>
      <c r="JV230" s="1864"/>
      <c r="JW230" s="1864"/>
      <c r="JX230" s="1864"/>
      <c r="JY230" s="1864"/>
      <c r="JZ230" s="1864"/>
      <c r="KA230" s="1864"/>
      <c r="KB230" s="1864"/>
      <c r="KC230" s="1864"/>
      <c r="KD230" s="1864"/>
      <c r="KE230" s="1864"/>
      <c r="KF230" s="1864"/>
      <c r="KG230" s="1864"/>
      <c r="KH230" s="1864"/>
      <c r="KI230" s="1864"/>
      <c r="KJ230" s="1864"/>
      <c r="KK230" s="1864"/>
      <c r="KL230" s="1864"/>
      <c r="KM230" s="1864"/>
      <c r="KN230" s="1864"/>
      <c r="KO230" s="1864"/>
      <c r="KP230" s="1864"/>
      <c r="KQ230" s="1864"/>
      <c r="KR230" s="1864"/>
      <c r="KS230" s="1864"/>
      <c r="KT230" s="1864"/>
      <c r="KU230" s="1864"/>
      <c r="KV230" s="1864"/>
      <c r="KW230" s="1864"/>
      <c r="KX230" s="1864"/>
      <c r="KY230" s="1864"/>
      <c r="KZ230" s="1864"/>
      <c r="LA230" s="1864"/>
      <c r="LB230" s="1864"/>
      <c r="LC230" s="1864"/>
      <c r="LD230" s="1864"/>
      <c r="LE230" s="1864"/>
      <c r="LF230" s="1864"/>
      <c r="LG230" s="1864"/>
      <c r="LH230" s="1864"/>
      <c r="LI230" s="1864"/>
      <c r="LJ230" s="1864"/>
      <c r="LK230" s="1864"/>
      <c r="LL230" s="1864"/>
      <c r="LM230" s="1864"/>
      <c r="LN230" s="1864"/>
      <c r="LO230" s="1864"/>
      <c r="LP230" s="1864"/>
      <c r="LQ230" s="1864"/>
      <c r="LR230" s="1864"/>
      <c r="LS230" s="1864"/>
      <c r="LT230" s="1864"/>
      <c r="LU230" s="1864"/>
      <c r="LV230" s="1864"/>
      <c r="LW230" s="1864"/>
      <c r="LX230" s="1864"/>
      <c r="LY230" s="1864"/>
      <c r="LZ230" s="1864"/>
      <c r="MA230" s="1864"/>
      <c r="MB230" s="1864"/>
      <c r="MC230" s="1864"/>
      <c r="MD230" s="1864"/>
      <c r="ME230" s="1864"/>
      <c r="MF230" s="1864"/>
      <c r="MG230" s="1864"/>
      <c r="MH230" s="1864"/>
      <c r="MI230" s="1864"/>
      <c r="MJ230" s="1864"/>
      <c r="MK230" s="1864"/>
      <c r="ML230" s="1864"/>
      <c r="MM230" s="1864"/>
      <c r="MN230" s="1864"/>
      <c r="MO230" s="1864"/>
      <c r="MP230" s="1864"/>
      <c r="MQ230" s="1864"/>
      <c r="MR230" s="1864"/>
      <c r="MS230" s="1864"/>
      <c r="MT230" s="1864"/>
      <c r="MU230" s="1864"/>
      <c r="MV230" s="1864"/>
      <c r="MW230" s="1864"/>
      <c r="MX230" s="1864"/>
      <c r="MY230" s="1864"/>
      <c r="MZ230" s="1864"/>
      <c r="NA230" s="1864"/>
      <c r="NB230" s="1864"/>
      <c r="NC230" s="1864"/>
      <c r="ND230" s="1864"/>
      <c r="NE230" s="1864"/>
      <c r="NF230" s="1864"/>
      <c r="NG230" s="1864"/>
      <c r="NH230" s="1864"/>
      <c r="NI230" s="1864"/>
      <c r="NJ230" s="1864"/>
      <c r="NK230" s="1864"/>
      <c r="NL230" s="1864"/>
      <c r="NM230" s="1864"/>
      <c r="NN230" s="1864"/>
      <c r="NO230" s="1864"/>
      <c r="NP230" s="1864"/>
      <c r="NQ230" s="1864"/>
      <c r="NR230" s="1864"/>
      <c r="NS230" s="1864"/>
      <c r="NT230" s="1864"/>
      <c r="NU230" s="1864"/>
      <c r="NV230" s="1864"/>
      <c r="NW230" s="1864"/>
      <c r="NX230" s="1864"/>
      <c r="NY230" s="1864"/>
      <c r="NZ230" s="1864"/>
      <c r="OA230" s="1864"/>
      <c r="OB230" s="1864"/>
      <c r="OC230" s="1864"/>
      <c r="OD230" s="1864"/>
      <c r="OE230" s="1864"/>
      <c r="OF230" s="1864"/>
      <c r="OG230" s="1864"/>
      <c r="OH230" s="1864"/>
      <c r="OI230" s="1864"/>
      <c r="OJ230" s="1864"/>
      <c r="OK230" s="1864"/>
      <c r="OL230" s="1864"/>
      <c r="OM230" s="1864"/>
      <c r="ON230" s="1864"/>
      <c r="OO230" s="1864"/>
      <c r="OP230" s="1864"/>
      <c r="OQ230" s="1864"/>
      <c r="OR230" s="1864"/>
      <c r="OS230" s="1864"/>
      <c r="OT230" s="1864"/>
      <c r="OU230" s="1864"/>
      <c r="OV230" s="1864"/>
      <c r="OW230" s="1864"/>
      <c r="OX230" s="1864"/>
      <c r="OY230" s="1864"/>
      <c r="OZ230" s="1864"/>
      <c r="PA230" s="1864"/>
      <c r="PB230" s="1864"/>
      <c r="PC230" s="1864"/>
      <c r="PD230" s="1864"/>
      <c r="PE230" s="1864"/>
      <c r="PF230" s="1864"/>
      <c r="PG230" s="1864"/>
      <c r="PH230" s="1864"/>
      <c r="PI230" s="1864"/>
      <c r="PJ230" s="1864"/>
      <c r="PK230" s="1864"/>
      <c r="PL230" s="1864"/>
      <c r="PM230" s="1864"/>
      <c r="PN230" s="1864"/>
      <c r="PO230" s="1864"/>
      <c r="PP230" s="1864"/>
      <c r="PQ230" s="1864"/>
      <c r="PR230" s="1864"/>
      <c r="PS230" s="1864"/>
      <c r="PT230" s="1864"/>
      <c r="PU230" s="1864"/>
      <c r="PV230" s="1864"/>
      <c r="PW230" s="1864"/>
      <c r="PX230" s="1864"/>
      <c r="PY230" s="1864"/>
      <c r="PZ230" s="1864"/>
      <c r="QA230" s="1864"/>
      <c r="QB230" s="1864"/>
      <c r="QC230" s="1864"/>
      <c r="QD230" s="1864"/>
      <c r="QE230" s="1864"/>
      <c r="QF230" s="1864"/>
      <c r="QG230" s="1864"/>
      <c r="QH230" s="1864"/>
      <c r="QI230" s="1864"/>
      <c r="QJ230" s="1864"/>
      <c r="QK230" s="1864"/>
      <c r="QL230" s="1864"/>
      <c r="QM230" s="1864"/>
      <c r="QN230" s="1864"/>
      <c r="QO230" s="1864"/>
      <c r="QP230" s="1864"/>
      <c r="QQ230" s="1864"/>
      <c r="QR230" s="1864"/>
      <c r="QS230" s="1864"/>
      <c r="QT230" s="1864"/>
      <c r="QU230" s="1864"/>
      <c r="QV230" s="1864"/>
      <c r="QW230" s="1864"/>
      <c r="QX230" s="1864"/>
      <c r="QY230" s="1864"/>
      <c r="QZ230" s="1864"/>
      <c r="RA230" s="1864"/>
      <c r="RB230" s="1864"/>
      <c r="RC230" s="1864"/>
      <c r="RD230" s="1864"/>
      <c r="RE230" s="1864"/>
      <c r="RF230" s="1864"/>
      <c r="RG230" s="1864"/>
      <c r="RH230" s="1864"/>
      <c r="RI230" s="1864"/>
      <c r="RJ230" s="1864"/>
      <c r="RK230" s="1864"/>
      <c r="RL230" s="1864"/>
      <c r="RM230" s="1864"/>
      <c r="RN230" s="1864"/>
      <c r="RO230" s="1864"/>
      <c r="RP230" s="1864"/>
      <c r="RQ230" s="1864"/>
      <c r="RR230" s="1864"/>
      <c r="RS230" s="1864"/>
      <c r="RT230" s="1864"/>
      <c r="RU230" s="1864"/>
      <c r="RV230" s="1864"/>
      <c r="RW230" s="1864"/>
      <c r="RX230" s="1864"/>
      <c r="RY230" s="1864"/>
      <c r="RZ230" s="1864"/>
      <c r="SA230" s="1864"/>
      <c r="SB230" s="1864"/>
      <c r="SC230" s="1864"/>
      <c r="SD230" s="1864"/>
      <c r="SE230" s="1864"/>
      <c r="SF230" s="1864"/>
      <c r="SG230" s="1864"/>
      <c r="SH230" s="1864"/>
      <c r="SI230" s="1864"/>
      <c r="SJ230" s="1864"/>
      <c r="SK230" s="1864"/>
      <c r="SL230" s="1864"/>
      <c r="SM230" s="1864"/>
      <c r="SN230" s="1864"/>
      <c r="SO230" s="1864"/>
      <c r="SP230" s="1864"/>
      <c r="SQ230" s="1864"/>
      <c r="SR230" s="1864"/>
      <c r="SS230" s="1864"/>
      <c r="ST230" s="1864"/>
      <c r="SU230" s="1864"/>
      <c r="SV230" s="1864"/>
      <c r="SW230" s="1864"/>
      <c r="SX230" s="1864"/>
      <c r="SY230" s="1864"/>
      <c r="SZ230" s="1864"/>
      <c r="TA230" s="1864"/>
      <c r="TB230" s="1864"/>
      <c r="TC230" s="1864"/>
      <c r="TD230" s="1864"/>
      <c r="TE230" s="1864"/>
      <c r="TF230" s="1864"/>
      <c r="TG230" s="1864"/>
      <c r="TH230" s="1864"/>
      <c r="TI230" s="1864"/>
      <c r="TJ230" s="1864"/>
      <c r="TK230" s="1864"/>
      <c r="TL230" s="1864"/>
      <c r="TM230" s="1864"/>
      <c r="TN230" s="1864"/>
      <c r="TO230" s="1864"/>
      <c r="TP230" s="1864"/>
      <c r="TQ230" s="1864"/>
      <c r="TR230" s="1864"/>
      <c r="TS230" s="1864"/>
      <c r="TT230" s="1864"/>
      <c r="TU230" s="1864"/>
      <c r="TV230" s="1864"/>
      <c r="TW230" s="1864"/>
      <c r="TX230" s="1864"/>
      <c r="TY230" s="1864"/>
      <c r="TZ230" s="1864"/>
      <c r="UA230" s="1864"/>
      <c r="UB230" s="1864"/>
      <c r="UC230" s="1864"/>
      <c r="UD230" s="1864"/>
      <c r="UE230" s="1864"/>
      <c r="UF230" s="1864"/>
      <c r="UG230" s="1864"/>
      <c r="UH230" s="1864"/>
      <c r="UI230" s="1864"/>
      <c r="UJ230" s="1864"/>
      <c r="UK230" s="1864"/>
      <c r="UL230" s="1864"/>
      <c r="UM230" s="1864"/>
      <c r="UN230" s="1864"/>
      <c r="UO230" s="1864"/>
      <c r="UP230" s="1864"/>
      <c r="UQ230" s="1864"/>
      <c r="UR230" s="1864"/>
      <c r="US230" s="1864"/>
      <c r="UT230" s="1864"/>
      <c r="UU230" s="1864"/>
      <c r="UV230" s="1864"/>
      <c r="UW230" s="1864"/>
      <c r="UX230" s="1864"/>
      <c r="UY230" s="1864"/>
      <c r="UZ230" s="1864"/>
      <c r="VA230" s="1864"/>
      <c r="VB230" s="1864"/>
      <c r="VC230" s="1864"/>
      <c r="VD230" s="1864"/>
      <c r="VE230" s="1864"/>
      <c r="VF230" s="1864"/>
      <c r="VG230" s="1864"/>
      <c r="VH230" s="1864"/>
      <c r="VI230" s="1864"/>
      <c r="VJ230" s="1864"/>
      <c r="VK230" s="1864"/>
      <c r="VL230" s="1864"/>
      <c r="VM230" s="1864"/>
      <c r="VN230" s="1864"/>
      <c r="VO230" s="1864"/>
      <c r="VP230" s="1864"/>
      <c r="VQ230" s="1864"/>
      <c r="VR230" s="1864"/>
      <c r="VS230" s="1864"/>
      <c r="VT230" s="1864"/>
      <c r="VU230" s="1864"/>
      <c r="VV230" s="1864"/>
      <c r="VW230" s="1864"/>
      <c r="VX230" s="1864"/>
      <c r="VY230" s="1864"/>
      <c r="VZ230" s="1864"/>
      <c r="WA230" s="1864"/>
      <c r="WB230" s="1864"/>
      <c r="WC230" s="1864"/>
      <c r="WD230" s="1864"/>
      <c r="WE230" s="1864"/>
      <c r="WF230" s="1864"/>
      <c r="WG230" s="1864"/>
      <c r="WH230" s="1864"/>
      <c r="WI230" s="1864"/>
      <c r="WJ230" s="1864"/>
      <c r="WK230" s="1864"/>
      <c r="WL230" s="1864"/>
      <c r="WM230" s="1864"/>
      <c r="WN230" s="1864"/>
      <c r="WO230" s="1864"/>
      <c r="WP230" s="1864"/>
      <c r="WQ230" s="1864"/>
      <c r="WR230" s="1864"/>
      <c r="WS230" s="1864"/>
      <c r="WT230" s="1864"/>
      <c r="WU230" s="1864"/>
      <c r="WV230" s="1864"/>
      <c r="WW230" s="1864"/>
      <c r="WX230" s="1864"/>
      <c r="WY230" s="1864"/>
      <c r="WZ230" s="1864"/>
      <c r="XA230" s="1864"/>
      <c r="XB230" s="1864"/>
      <c r="XC230" s="1864"/>
      <c r="XD230" s="1864"/>
      <c r="XE230" s="1864"/>
      <c r="XF230" s="1864"/>
      <c r="XG230" s="1864"/>
      <c r="XH230" s="1864"/>
      <c r="XI230" s="1864"/>
      <c r="XJ230" s="1864"/>
      <c r="XK230" s="1864"/>
      <c r="XL230" s="1864"/>
      <c r="XM230" s="1864"/>
      <c r="XN230" s="1864"/>
      <c r="XO230" s="1864"/>
      <c r="XP230" s="1864"/>
      <c r="XQ230" s="1864"/>
      <c r="XR230" s="1864"/>
      <c r="XS230" s="1864"/>
      <c r="XT230" s="1864"/>
      <c r="XU230" s="1864"/>
      <c r="XV230" s="1864"/>
      <c r="XW230" s="1864"/>
      <c r="XX230" s="1864"/>
      <c r="XY230" s="1864"/>
      <c r="XZ230" s="1864"/>
      <c r="YA230" s="1864"/>
      <c r="YB230" s="1864"/>
      <c r="YC230" s="1864"/>
      <c r="YD230" s="1864"/>
      <c r="YE230" s="1864"/>
      <c r="YF230" s="1864"/>
      <c r="YG230" s="1864"/>
      <c r="YH230" s="1864"/>
      <c r="YI230" s="1864"/>
      <c r="YJ230" s="1864"/>
      <c r="YK230" s="1864"/>
      <c r="YL230" s="1864"/>
      <c r="YM230" s="1864"/>
      <c r="YN230" s="1864"/>
      <c r="YO230" s="1864"/>
      <c r="YP230" s="1864"/>
      <c r="YQ230" s="1864"/>
      <c r="YR230" s="1864"/>
      <c r="YS230" s="1864"/>
      <c r="YT230" s="1864"/>
      <c r="YU230" s="1864"/>
      <c r="YV230" s="1864"/>
      <c r="YW230" s="1864"/>
      <c r="YX230" s="1864"/>
      <c r="YY230" s="1864"/>
      <c r="YZ230" s="1864"/>
      <c r="ZA230" s="1864"/>
      <c r="ZB230" s="1864"/>
      <c r="ZC230" s="1864"/>
      <c r="ZD230" s="1864"/>
      <c r="ZE230" s="1864"/>
      <c r="ZF230" s="1864"/>
      <c r="ZG230" s="1864"/>
      <c r="ZH230" s="1864"/>
      <c r="ZI230" s="1864"/>
      <c r="ZJ230" s="1864"/>
      <c r="ZK230" s="1864"/>
      <c r="ZL230" s="1864"/>
      <c r="ZM230" s="1864"/>
      <c r="ZN230" s="1864"/>
      <c r="ZO230" s="1864"/>
      <c r="ZP230" s="1864"/>
      <c r="ZQ230" s="1864"/>
      <c r="ZR230" s="1864"/>
      <c r="ZS230" s="1864"/>
      <c r="ZT230" s="1864"/>
      <c r="ZU230" s="1864"/>
      <c r="ZV230" s="1864"/>
      <c r="ZW230" s="1864"/>
      <c r="ZX230" s="1864"/>
      <c r="ZY230" s="1864"/>
      <c r="ZZ230" s="1864"/>
      <c r="AAA230" s="1864"/>
      <c r="AAB230" s="1864"/>
      <c r="AAC230" s="1864"/>
      <c r="AAD230" s="1864"/>
      <c r="AAE230" s="1864"/>
      <c r="AAF230" s="1864"/>
      <c r="AAG230" s="1864"/>
      <c r="AAH230" s="1864"/>
      <c r="AAI230" s="1864"/>
      <c r="AAJ230" s="1864"/>
      <c r="AAK230" s="1864"/>
      <c r="AAL230" s="1864"/>
      <c r="AAM230" s="1864"/>
      <c r="AAN230" s="1864"/>
      <c r="AAO230" s="1864"/>
      <c r="AAP230" s="1864"/>
      <c r="AAQ230" s="1864"/>
      <c r="AAR230" s="1864"/>
      <c r="AAS230" s="1864"/>
      <c r="AAT230" s="1864"/>
      <c r="AAU230" s="1864"/>
      <c r="AAV230" s="1864"/>
      <c r="AAW230" s="1864"/>
      <c r="AAX230" s="1864"/>
      <c r="AAY230" s="1864"/>
      <c r="AAZ230" s="1864"/>
      <c r="ABA230" s="1864"/>
      <c r="ABB230" s="1864"/>
      <c r="ABC230" s="1864"/>
      <c r="ABD230" s="1864"/>
      <c r="ABE230" s="1864"/>
      <c r="ABF230" s="1864"/>
      <c r="ABG230" s="1864"/>
      <c r="ABH230" s="1864"/>
      <c r="ABI230" s="1864"/>
      <c r="ABJ230" s="1864"/>
      <c r="ABK230" s="1864"/>
      <c r="ABL230" s="1864"/>
      <c r="ABM230" s="1864"/>
      <c r="ABN230" s="1864"/>
      <c r="ABO230" s="1864"/>
      <c r="ABP230" s="1864"/>
      <c r="ABQ230" s="1864"/>
      <c r="ABR230" s="1864"/>
      <c r="ABS230" s="1864"/>
      <c r="ABT230" s="1864"/>
      <c r="ABU230" s="1864"/>
      <c r="ABV230" s="1864"/>
      <c r="ABW230" s="1864"/>
      <c r="ABX230" s="1864"/>
      <c r="ABY230" s="1864"/>
      <c r="ABZ230" s="1864"/>
      <c r="ACA230" s="1864"/>
      <c r="ACB230" s="1864"/>
      <c r="ACC230" s="1864"/>
      <c r="ACD230" s="1864"/>
      <c r="ACE230" s="1864"/>
      <c r="ACF230" s="1864"/>
      <c r="ACG230" s="1864"/>
      <c r="ACH230" s="1864"/>
      <c r="ACI230" s="1864"/>
      <c r="ACJ230" s="1864"/>
      <c r="ACK230" s="1864"/>
      <c r="ACL230" s="1864"/>
      <c r="ACM230" s="1864"/>
      <c r="ACN230" s="1864"/>
      <c r="ACO230" s="1864"/>
      <c r="ACP230" s="1864"/>
      <c r="ACQ230" s="1864"/>
      <c r="ACR230" s="1864"/>
      <c r="ACS230" s="1864"/>
      <c r="ACT230" s="1864"/>
      <c r="ACU230" s="1864"/>
      <c r="ACV230" s="1864"/>
      <c r="ACW230" s="1864"/>
      <c r="ACX230" s="1864"/>
      <c r="ACY230" s="1864"/>
      <c r="ACZ230" s="1864"/>
      <c r="ADA230" s="1864"/>
      <c r="ADB230" s="1864"/>
      <c r="ADC230" s="1864"/>
      <c r="ADD230" s="1864"/>
      <c r="ADE230" s="1864"/>
      <c r="ADF230" s="1864"/>
      <c r="ADG230" s="1864"/>
      <c r="ADH230" s="1864"/>
      <c r="ADI230" s="1864"/>
      <c r="ADJ230" s="1864"/>
      <c r="ADK230" s="1864"/>
      <c r="ADL230" s="1864"/>
      <c r="ADM230" s="1864"/>
      <c r="ADN230" s="1864"/>
      <c r="ADO230" s="1864"/>
      <c r="ADP230" s="1864"/>
      <c r="ADQ230" s="1864"/>
      <c r="ADR230" s="1864"/>
      <c r="ADS230" s="1864"/>
      <c r="ADT230" s="1864"/>
      <c r="ADU230" s="1864"/>
      <c r="ADV230" s="1864"/>
      <c r="ADW230" s="1864"/>
      <c r="ADX230" s="1864"/>
      <c r="ADY230" s="1864"/>
      <c r="ADZ230" s="1864"/>
      <c r="AEA230" s="1864"/>
      <c r="AEB230" s="1864"/>
      <c r="AEC230" s="1864"/>
      <c r="AED230" s="1864"/>
      <c r="AEE230" s="1864"/>
      <c r="AEF230" s="1864"/>
      <c r="AEG230" s="1864"/>
      <c r="AEH230" s="1864"/>
      <c r="AEI230" s="1864"/>
      <c r="AEJ230" s="1864"/>
      <c r="AEK230" s="1864"/>
      <c r="AEL230" s="1864"/>
      <c r="AEM230" s="1864"/>
      <c r="AEN230" s="1864"/>
      <c r="AEO230" s="1864"/>
      <c r="AEP230" s="1864"/>
      <c r="AEQ230" s="1864"/>
      <c r="AER230" s="1864"/>
      <c r="AES230" s="1864"/>
      <c r="AET230" s="1864"/>
      <c r="AEU230" s="1864"/>
      <c r="AEV230" s="1864"/>
      <c r="AEW230" s="1864"/>
      <c r="AEX230" s="1864"/>
      <c r="AEY230" s="1864"/>
      <c r="AEZ230" s="1864"/>
      <c r="AFA230" s="1864"/>
      <c r="AFB230" s="1864"/>
      <c r="AFC230" s="1864"/>
      <c r="AFD230" s="1864"/>
      <c r="AFE230" s="1864"/>
      <c r="AFF230" s="1864"/>
      <c r="AFG230" s="1864"/>
      <c r="AFH230" s="1864"/>
      <c r="AFI230" s="1864"/>
      <c r="AFJ230" s="1864"/>
      <c r="AFK230" s="1864"/>
      <c r="AFL230" s="1864"/>
      <c r="AFM230" s="1864"/>
      <c r="AFN230" s="1864"/>
      <c r="AFO230" s="1864"/>
      <c r="AFP230" s="1864"/>
      <c r="AFQ230" s="1864"/>
      <c r="AFR230" s="1864"/>
      <c r="AFS230" s="1864"/>
      <c r="AFT230" s="1864"/>
      <c r="AFU230" s="1864"/>
      <c r="AFV230" s="1864"/>
      <c r="AFW230" s="1864"/>
      <c r="AFX230" s="1864"/>
      <c r="AFY230" s="1864"/>
      <c r="AFZ230" s="1864"/>
      <c r="AGA230" s="1864"/>
      <c r="AGB230" s="1864"/>
      <c r="AGC230" s="1864"/>
      <c r="AGD230" s="1864"/>
      <c r="AGE230" s="1864"/>
      <c r="AGF230" s="1864"/>
      <c r="AGG230" s="1864"/>
      <c r="AGH230" s="1864"/>
      <c r="AGI230" s="1864"/>
      <c r="AGJ230" s="1864"/>
      <c r="AGK230" s="1864"/>
      <c r="AGL230" s="1864"/>
      <c r="AGM230" s="1864"/>
      <c r="AGN230" s="1864"/>
      <c r="AGO230" s="1864"/>
      <c r="AGP230" s="1864"/>
      <c r="AGQ230" s="1864"/>
      <c r="AGR230" s="1864"/>
      <c r="AGS230" s="1864"/>
      <c r="AGT230" s="1864"/>
      <c r="AGU230" s="1864"/>
      <c r="AGV230" s="1864"/>
      <c r="AGW230" s="1864"/>
      <c r="AGX230" s="1864"/>
      <c r="AGY230" s="1864"/>
      <c r="AGZ230" s="1864"/>
      <c r="AHA230" s="1864"/>
      <c r="AHB230" s="1864"/>
      <c r="AHC230" s="1864"/>
      <c r="AHD230" s="1864"/>
      <c r="AHE230" s="1864"/>
      <c r="AHF230" s="1864"/>
      <c r="AHG230" s="1864"/>
      <c r="AHH230" s="1864"/>
      <c r="AHI230" s="1864"/>
      <c r="AHJ230" s="1864"/>
      <c r="AHK230" s="1864"/>
      <c r="AHL230" s="1864"/>
      <c r="AHM230" s="1864"/>
      <c r="AHN230" s="1864"/>
      <c r="AHO230" s="1864"/>
      <c r="AHP230" s="1864"/>
      <c r="AHQ230" s="1864"/>
      <c r="AHR230" s="1864"/>
      <c r="AHS230" s="1864"/>
      <c r="AHT230" s="1864"/>
      <c r="AHU230" s="1864"/>
      <c r="AHV230" s="1864"/>
      <c r="AHW230" s="1864"/>
      <c r="AHX230" s="1864"/>
      <c r="AHY230" s="1864"/>
      <c r="AHZ230" s="1864"/>
      <c r="AIA230" s="1864"/>
      <c r="AIB230" s="1864"/>
      <c r="AIC230" s="1864"/>
      <c r="AID230" s="1864"/>
      <c r="AIE230" s="1864"/>
      <c r="AIF230" s="1864"/>
      <c r="AIG230" s="1864"/>
      <c r="AIH230" s="1864"/>
      <c r="AII230" s="1864"/>
      <c r="AIJ230" s="1864"/>
      <c r="AIK230" s="1864"/>
      <c r="AIL230" s="1864"/>
      <c r="AIM230" s="1864"/>
      <c r="AIN230" s="1864"/>
      <c r="AIO230" s="1864"/>
      <c r="AIP230" s="1864"/>
      <c r="AIQ230" s="1864"/>
      <c r="AIR230" s="1864"/>
      <c r="AIS230" s="1864"/>
      <c r="AIT230" s="1864"/>
      <c r="AIU230" s="1864"/>
      <c r="AIV230" s="1864"/>
      <c r="AIW230" s="1864"/>
      <c r="AIX230" s="1864"/>
      <c r="AIY230" s="1864"/>
      <c r="AIZ230" s="1864"/>
      <c r="AJA230" s="1864"/>
      <c r="AJB230" s="1864"/>
      <c r="AJC230" s="1864"/>
      <c r="AJD230" s="1864"/>
      <c r="AJE230" s="1864"/>
      <c r="AJF230" s="1864"/>
      <c r="AJG230" s="1864"/>
      <c r="AJH230" s="1864"/>
      <c r="AJI230" s="1864"/>
      <c r="AJJ230" s="1864"/>
      <c r="AJK230" s="1864"/>
      <c r="AJL230" s="1864"/>
      <c r="AJM230" s="1864"/>
      <c r="AJN230" s="1864"/>
      <c r="AJO230" s="1864"/>
      <c r="AJP230" s="1864"/>
      <c r="AJQ230" s="1864"/>
      <c r="AJR230" s="1864"/>
      <c r="AJS230" s="1864"/>
      <c r="AJT230" s="1864"/>
      <c r="AJU230" s="1864"/>
      <c r="AJV230" s="1864"/>
      <c r="AJW230" s="1864"/>
      <c r="AJX230" s="1864"/>
      <c r="AJY230" s="1864"/>
      <c r="AJZ230" s="1864"/>
      <c r="AKA230" s="1864"/>
      <c r="AKB230" s="1864"/>
      <c r="AKC230" s="1864"/>
      <c r="AKD230" s="1864"/>
      <c r="AKE230" s="1864"/>
      <c r="AKF230" s="1864"/>
      <c r="AKG230" s="1864"/>
      <c r="AKH230" s="1864"/>
      <c r="AKI230" s="1864"/>
      <c r="AKJ230" s="1864"/>
      <c r="AKK230" s="1864"/>
      <c r="AKL230" s="1864"/>
      <c r="AKM230" s="1864"/>
      <c r="AKN230" s="1864"/>
      <c r="AKO230" s="1864"/>
      <c r="AKP230" s="1864"/>
      <c r="AKQ230" s="1864"/>
      <c r="AKR230" s="1864"/>
      <c r="AKS230" s="1864"/>
      <c r="AKT230" s="1864"/>
      <c r="AKU230" s="1864"/>
      <c r="AKV230" s="1864"/>
      <c r="AKW230" s="1864"/>
      <c r="AKX230" s="1864"/>
      <c r="AKY230" s="1864"/>
      <c r="AKZ230" s="1864"/>
      <c r="ALA230" s="1864"/>
      <c r="ALB230" s="1864"/>
      <c r="ALC230" s="1864"/>
      <c r="ALD230" s="1864"/>
      <c r="ALE230" s="1864"/>
      <c r="ALF230" s="1864"/>
      <c r="ALG230" s="1864"/>
      <c r="ALH230" s="1864"/>
      <c r="ALI230" s="1864"/>
      <c r="ALJ230" s="1864"/>
      <c r="ALK230" s="1864"/>
      <c r="ALL230" s="1864"/>
      <c r="ALM230" s="1864"/>
      <c r="ALN230" s="1864"/>
      <c r="ALO230" s="1864"/>
      <c r="ALP230" s="1864"/>
      <c r="ALQ230" s="1864"/>
      <c r="ALR230" s="1864"/>
      <c r="ALS230" s="1864"/>
      <c r="ALT230" s="1864"/>
      <c r="ALU230" s="1864"/>
      <c r="ALV230" s="1864"/>
      <c r="ALW230" s="1864"/>
      <c r="ALX230" s="1864"/>
      <c r="ALY230" s="1864"/>
      <c r="ALZ230" s="1864"/>
      <c r="AMA230" s="1864"/>
      <c r="AMB230" s="1864"/>
      <c r="AMC230" s="1864"/>
      <c r="AMD230" s="1864"/>
      <c r="AME230" s="1864"/>
      <c r="AMF230" s="1864"/>
      <c r="AMG230" s="1864"/>
      <c r="AMH230" s="1864"/>
      <c r="AMI230" s="1864"/>
      <c r="AMJ230" s="1864"/>
      <c r="AMK230" s="1864"/>
      <c r="AML230" s="1864"/>
      <c r="AMM230" s="1864"/>
      <c r="AMN230" s="1864"/>
      <c r="AMO230" s="1864"/>
      <c r="AMP230" s="1864"/>
      <c r="AMQ230" s="1864"/>
      <c r="AMR230" s="1864"/>
      <c r="AMS230" s="1864"/>
      <c r="AMT230" s="1864"/>
      <c r="AMU230" s="1864"/>
      <c r="AMV230" s="1864"/>
      <c r="AMW230" s="1864"/>
      <c r="AMX230" s="1864"/>
      <c r="AMY230" s="1864"/>
      <c r="AMZ230" s="1864"/>
      <c r="ANA230" s="1864"/>
      <c r="ANB230" s="1864"/>
      <c r="ANC230" s="1864"/>
      <c r="AND230" s="1864"/>
      <c r="ANE230" s="1864"/>
      <c r="ANF230" s="1864"/>
      <c r="ANG230" s="1864"/>
      <c r="ANH230" s="1864"/>
      <c r="ANI230" s="1864"/>
      <c r="ANJ230" s="1864"/>
      <c r="ANK230" s="1864"/>
      <c r="ANL230" s="1864"/>
      <c r="ANM230" s="1864"/>
      <c r="ANN230" s="1864"/>
      <c r="ANO230" s="1864"/>
      <c r="ANP230" s="1864"/>
      <c r="ANQ230" s="1864"/>
      <c r="ANR230" s="1864"/>
      <c r="ANS230" s="1864"/>
      <c r="ANT230" s="1864"/>
      <c r="ANU230" s="1864"/>
      <c r="ANV230" s="1864"/>
      <c r="ANW230" s="1864"/>
      <c r="ANX230" s="1864"/>
      <c r="ANY230" s="1864"/>
      <c r="ANZ230" s="1864"/>
      <c r="AOA230" s="1864"/>
      <c r="AOB230" s="1864"/>
      <c r="AOC230" s="1864"/>
      <c r="AOD230" s="1864"/>
      <c r="AOE230" s="1864"/>
      <c r="AOF230" s="1864"/>
      <c r="AOG230" s="1864"/>
      <c r="AOH230" s="1864"/>
      <c r="AOI230" s="1864"/>
      <c r="AOJ230" s="1864"/>
      <c r="AOK230" s="1864"/>
      <c r="AOL230" s="1864"/>
      <c r="AOM230" s="1864"/>
      <c r="AON230" s="1864"/>
      <c r="AOO230" s="1864"/>
      <c r="AOP230" s="1864"/>
      <c r="AOQ230" s="1864"/>
      <c r="AOR230" s="1864"/>
      <c r="AOS230" s="1864"/>
      <c r="AOT230" s="1864"/>
      <c r="AOU230" s="1864"/>
      <c r="AOV230" s="1864"/>
      <c r="AOW230" s="1864"/>
      <c r="AOX230" s="1864"/>
      <c r="AOY230" s="1864"/>
      <c r="AOZ230" s="1864"/>
      <c r="APA230" s="1864"/>
      <c r="APB230" s="1864"/>
      <c r="APC230" s="1864"/>
      <c r="APD230" s="1864"/>
      <c r="APE230" s="1864"/>
      <c r="APF230" s="1864"/>
      <c r="APG230" s="1864"/>
      <c r="APH230" s="1864"/>
      <c r="API230" s="1864"/>
      <c r="APJ230" s="1864"/>
      <c r="APK230" s="1864"/>
      <c r="APL230" s="1864"/>
      <c r="APM230" s="1864"/>
      <c r="APN230" s="1864"/>
      <c r="APO230" s="1864"/>
      <c r="APP230" s="1864"/>
      <c r="APQ230" s="1864"/>
      <c r="APR230" s="1864"/>
      <c r="APS230" s="1864"/>
      <c r="APT230" s="1864"/>
      <c r="APU230" s="1864"/>
      <c r="APV230" s="1864"/>
      <c r="APW230" s="1864"/>
      <c r="APX230" s="1864"/>
      <c r="APY230" s="1864"/>
      <c r="APZ230" s="1864"/>
      <c r="AQA230" s="1864"/>
      <c r="AQB230" s="1864"/>
      <c r="AQC230" s="1864"/>
      <c r="AQD230" s="1864"/>
      <c r="AQE230" s="1864"/>
      <c r="AQF230" s="1864"/>
      <c r="AQG230" s="1864"/>
      <c r="AQH230" s="1864"/>
      <c r="AQI230" s="1864"/>
      <c r="AQJ230" s="1864"/>
      <c r="AQK230" s="1864"/>
      <c r="AQL230" s="1864"/>
      <c r="AQM230" s="1864"/>
      <c r="AQN230" s="1864"/>
      <c r="AQO230" s="1864"/>
      <c r="AQP230" s="1864"/>
      <c r="AQQ230" s="1864"/>
      <c r="AQR230" s="1864"/>
      <c r="AQS230" s="1864"/>
      <c r="AQT230" s="1864"/>
      <c r="AQU230" s="1864"/>
      <c r="AQV230" s="1864"/>
      <c r="AQW230" s="1864"/>
      <c r="AQX230" s="1864"/>
      <c r="AQY230" s="1864"/>
      <c r="AQZ230" s="1864"/>
      <c r="ARA230" s="1864"/>
      <c r="ARB230" s="1864"/>
      <c r="ARC230" s="1864"/>
      <c r="ARD230" s="1864"/>
      <c r="ARE230" s="1864"/>
      <c r="ARF230" s="1864"/>
      <c r="ARG230" s="1864"/>
      <c r="ARH230" s="1864"/>
      <c r="ARI230" s="1864"/>
      <c r="ARJ230" s="1864"/>
      <c r="ARK230" s="1864"/>
      <c r="ARL230" s="1864"/>
      <c r="ARM230" s="1864"/>
      <c r="ARN230" s="1864"/>
      <c r="ARO230" s="1864"/>
      <c r="ARP230" s="1864"/>
      <c r="ARQ230" s="1864"/>
      <c r="ARR230" s="1864"/>
      <c r="ARS230" s="1864"/>
      <c r="ART230" s="1864"/>
      <c r="ARU230" s="1864"/>
      <c r="ARV230" s="1864"/>
      <c r="ARW230" s="1864"/>
      <c r="ARX230" s="1864"/>
      <c r="ARY230" s="1864"/>
      <c r="ARZ230" s="1864"/>
      <c r="ASA230" s="1864"/>
      <c r="ASB230" s="1864"/>
      <c r="ASC230" s="1864"/>
      <c r="ASD230" s="1864"/>
      <c r="ASE230" s="1864"/>
      <c r="ASF230" s="1864"/>
      <c r="ASG230" s="1864"/>
      <c r="ASH230" s="1864"/>
      <c r="ASI230" s="1864"/>
      <c r="ASJ230" s="1864"/>
      <c r="ASK230" s="1864"/>
      <c r="ASL230" s="1864"/>
      <c r="ASM230" s="1864"/>
      <c r="ASN230" s="1864"/>
      <c r="ASO230" s="1864"/>
      <c r="ASP230" s="1864"/>
      <c r="ASQ230" s="1864"/>
      <c r="ASR230" s="1864"/>
      <c r="ASS230" s="1864"/>
      <c r="AST230" s="1864"/>
      <c r="ASU230" s="1864"/>
      <c r="ASV230" s="1864"/>
      <c r="ASW230" s="1864"/>
      <c r="ASX230" s="1864"/>
      <c r="ASY230" s="1864"/>
      <c r="ASZ230" s="1864"/>
      <c r="ATA230" s="1864"/>
      <c r="ATB230" s="1864"/>
      <c r="ATC230" s="1864"/>
      <c r="ATD230" s="1864"/>
      <c r="ATE230" s="1864"/>
      <c r="ATF230" s="1864"/>
      <c r="ATG230" s="1864"/>
      <c r="ATH230" s="1864"/>
      <c r="ATI230" s="1864"/>
      <c r="ATJ230" s="1864"/>
      <c r="ATK230" s="1864"/>
      <c r="ATL230" s="1864"/>
      <c r="ATM230" s="1864"/>
      <c r="ATN230" s="1864"/>
      <c r="ATO230" s="1864"/>
      <c r="ATP230" s="1864"/>
      <c r="ATQ230" s="1864"/>
      <c r="ATR230" s="1864"/>
      <c r="ATS230" s="1864"/>
      <c r="ATT230" s="1864"/>
      <c r="ATU230" s="1864"/>
      <c r="ATV230" s="1864"/>
      <c r="ATW230" s="1864"/>
      <c r="ATX230" s="1864"/>
      <c r="ATY230" s="1864"/>
      <c r="ATZ230" s="1864"/>
      <c r="AUA230" s="1864"/>
      <c r="AUB230" s="1864"/>
      <c r="AUC230" s="1864"/>
      <c r="AUD230" s="1864"/>
      <c r="AUE230" s="1864"/>
      <c r="AUF230" s="1864"/>
      <c r="AUG230" s="1864"/>
      <c r="AUH230" s="1864"/>
      <c r="AUI230" s="1864"/>
      <c r="AUJ230" s="1864"/>
      <c r="AUK230" s="1864"/>
      <c r="AUL230" s="1864"/>
      <c r="AUM230" s="1864"/>
      <c r="AUN230" s="1864"/>
      <c r="AUO230" s="1864"/>
      <c r="AUP230" s="1864"/>
      <c r="AUQ230" s="1864"/>
      <c r="AUR230" s="1864"/>
      <c r="AUS230" s="1864"/>
      <c r="AUT230" s="1864"/>
      <c r="AUU230" s="1864"/>
      <c r="AUV230" s="1864"/>
      <c r="AUW230" s="1864"/>
      <c r="AUX230" s="1864"/>
      <c r="AUY230" s="1864"/>
      <c r="AUZ230" s="1864"/>
      <c r="AVA230" s="1864"/>
      <c r="AVB230" s="1864"/>
      <c r="AVC230" s="1864"/>
      <c r="AVD230" s="1864"/>
      <c r="AVE230" s="1864"/>
      <c r="AVF230" s="1864"/>
      <c r="AVG230" s="1864"/>
      <c r="AVH230" s="1864"/>
      <c r="AVI230" s="1864"/>
      <c r="AVJ230" s="1864"/>
      <c r="AVK230" s="1864"/>
      <c r="AVL230" s="1864"/>
      <c r="AVM230" s="1864"/>
      <c r="AVN230" s="1864"/>
      <c r="AVO230" s="1864"/>
      <c r="AVP230" s="1864"/>
      <c r="AVQ230" s="1864"/>
      <c r="AVR230" s="1864"/>
      <c r="AVS230" s="1864"/>
      <c r="AVT230" s="1864"/>
      <c r="AVU230" s="1864"/>
      <c r="AVV230" s="1864"/>
      <c r="AVW230" s="1864"/>
      <c r="AVX230" s="1864"/>
      <c r="AVY230" s="1864"/>
      <c r="AVZ230" s="1864"/>
      <c r="AWA230" s="1864"/>
      <c r="AWB230" s="1864"/>
      <c r="AWC230" s="1864"/>
      <c r="AWD230" s="1864"/>
      <c r="AWE230" s="1864"/>
      <c r="AWF230" s="1864"/>
      <c r="AWG230" s="1864"/>
      <c r="AWH230" s="1864"/>
      <c r="AWI230" s="1864"/>
      <c r="AWJ230" s="1864"/>
      <c r="AWK230" s="1864"/>
      <c r="AWL230" s="1864"/>
      <c r="AWM230" s="1864"/>
      <c r="AWN230" s="1864"/>
      <c r="AWO230" s="1864"/>
      <c r="AWP230" s="1864"/>
      <c r="AWQ230" s="1864"/>
    </row>
    <row r="231" spans="1:1291" s="1868" customFormat="1" ht="15" customHeight="1" x14ac:dyDescent="0.2">
      <c r="A231" s="1964"/>
      <c r="B231" s="1999"/>
      <c r="C231" s="1705" t="s">
        <v>831</v>
      </c>
      <c r="D231" s="1885"/>
      <c r="E231" s="1984"/>
      <c r="F231" s="1838">
        <v>0</v>
      </c>
      <c r="G231" s="1804">
        <v>0</v>
      </c>
      <c r="H231" s="1804">
        <v>0</v>
      </c>
      <c r="I231" s="1804">
        <v>0</v>
      </c>
      <c r="J231" s="1804">
        <v>0</v>
      </c>
      <c r="K231" s="1804">
        <v>0</v>
      </c>
      <c r="L231" s="1804">
        <v>0</v>
      </c>
      <c r="M231" s="1804">
        <v>0</v>
      </c>
      <c r="N231" s="1804">
        <v>0</v>
      </c>
      <c r="O231" s="1804">
        <v>0</v>
      </c>
      <c r="P231" s="1804">
        <v>0</v>
      </c>
      <c r="Q231" s="1804">
        <v>0</v>
      </c>
      <c r="R231" s="1804">
        <v>0</v>
      </c>
      <c r="S231" s="1804">
        <v>0</v>
      </c>
      <c r="T231" s="1804">
        <v>0</v>
      </c>
      <c r="U231" s="1804">
        <v>0</v>
      </c>
      <c r="V231" s="1804">
        <v>0</v>
      </c>
      <c r="W231" s="1804">
        <v>0</v>
      </c>
      <c r="X231" s="1804">
        <v>0</v>
      </c>
      <c r="Y231" s="1804">
        <v>0</v>
      </c>
      <c r="Z231" s="1804">
        <v>0</v>
      </c>
      <c r="AA231" s="1804">
        <v>0</v>
      </c>
      <c r="AB231" s="1804">
        <v>0</v>
      </c>
      <c r="AC231" s="1804">
        <v>0</v>
      </c>
      <c r="AD231" s="1804">
        <v>0</v>
      </c>
      <c r="AE231" s="1804">
        <v>0</v>
      </c>
      <c r="AF231" s="1804">
        <v>0</v>
      </c>
      <c r="AG231" s="1804">
        <v>0</v>
      </c>
      <c r="AH231" s="1804">
        <v>0</v>
      </c>
      <c r="AI231" s="1804">
        <v>0</v>
      </c>
      <c r="AJ231" s="1804">
        <v>0</v>
      </c>
      <c r="AK231" s="1804">
        <v>0</v>
      </c>
      <c r="AL231" s="1804">
        <v>0</v>
      </c>
      <c r="AM231" s="1804">
        <v>0</v>
      </c>
      <c r="AN231" s="1804">
        <v>0</v>
      </c>
      <c r="AO231" s="1804">
        <v>0</v>
      </c>
      <c r="AP231" s="1804">
        <v>0</v>
      </c>
      <c r="AQ231" s="1804">
        <v>0</v>
      </c>
      <c r="AR231" s="1804">
        <v>0</v>
      </c>
      <c r="AS231" s="1804">
        <v>0</v>
      </c>
      <c r="AT231" s="1804">
        <v>0</v>
      </c>
      <c r="AU231" s="1804">
        <v>0</v>
      </c>
      <c r="AV231" s="1804">
        <v>0</v>
      </c>
      <c r="AW231" s="1804">
        <v>0</v>
      </c>
      <c r="AX231" s="1804">
        <v>0</v>
      </c>
      <c r="AY231" s="1804">
        <v>0</v>
      </c>
      <c r="AZ231" s="1804">
        <v>0</v>
      </c>
      <c r="BA231" s="1804">
        <v>0</v>
      </c>
      <c r="BB231" s="1804">
        <v>0</v>
      </c>
      <c r="BC231" s="1804">
        <v>0</v>
      </c>
      <c r="BD231" s="1804">
        <v>0</v>
      </c>
      <c r="BE231" s="1804">
        <v>0</v>
      </c>
      <c r="BF231" s="1804">
        <v>0</v>
      </c>
      <c r="BG231" s="1804">
        <v>0</v>
      </c>
      <c r="BH231" s="1804">
        <v>0</v>
      </c>
      <c r="BI231" s="1804">
        <v>0</v>
      </c>
      <c r="BJ231" s="1804">
        <v>0</v>
      </c>
      <c r="BK231" s="1804">
        <v>0</v>
      </c>
      <c r="BL231" s="1804">
        <v>0</v>
      </c>
      <c r="BM231" s="1804">
        <v>0</v>
      </c>
      <c r="BN231" s="1804">
        <v>0</v>
      </c>
      <c r="BO231" s="1804">
        <v>0</v>
      </c>
      <c r="BP231" s="1804">
        <v>0</v>
      </c>
      <c r="BQ231" s="1804">
        <v>0</v>
      </c>
      <c r="BR231" s="1804">
        <v>0</v>
      </c>
      <c r="BS231" s="1804">
        <v>0</v>
      </c>
      <c r="BT231" s="1804">
        <v>0</v>
      </c>
      <c r="BU231" s="1804">
        <v>0</v>
      </c>
      <c r="BV231" s="1804">
        <v>0</v>
      </c>
      <c r="BW231" s="1804">
        <v>0</v>
      </c>
      <c r="BX231" s="1804">
        <v>0</v>
      </c>
      <c r="BY231" s="1804">
        <v>0</v>
      </c>
      <c r="BZ231" s="1804">
        <v>0</v>
      </c>
      <c r="CA231" s="1804">
        <v>0</v>
      </c>
      <c r="CB231" s="1804">
        <v>0</v>
      </c>
      <c r="CC231" s="1804">
        <v>0</v>
      </c>
      <c r="CD231" s="1804">
        <v>0</v>
      </c>
      <c r="CE231" s="1804">
        <v>0</v>
      </c>
      <c r="CF231" s="1804">
        <v>0</v>
      </c>
      <c r="CG231" s="1804">
        <v>0</v>
      </c>
      <c r="CH231" s="1804">
        <v>0</v>
      </c>
      <c r="CI231" s="1804">
        <v>0</v>
      </c>
      <c r="CJ231" s="1804">
        <v>0</v>
      </c>
      <c r="CK231" s="1804">
        <v>0</v>
      </c>
      <c r="CL231" s="1804">
        <v>0</v>
      </c>
      <c r="CM231" s="1804">
        <v>0</v>
      </c>
      <c r="CN231" s="1804">
        <v>0</v>
      </c>
      <c r="CO231" s="1804">
        <v>0</v>
      </c>
      <c r="CP231" s="1804">
        <v>0</v>
      </c>
      <c r="CQ231" s="1804">
        <v>0</v>
      </c>
      <c r="CR231" s="1804">
        <v>0</v>
      </c>
      <c r="CS231" s="1804">
        <v>0</v>
      </c>
      <c r="CT231" s="1804">
        <v>0</v>
      </c>
      <c r="CU231" s="1804">
        <v>0</v>
      </c>
      <c r="CV231" s="1804">
        <v>0</v>
      </c>
      <c r="CW231" s="1804">
        <v>0</v>
      </c>
      <c r="CX231" s="1804">
        <v>0</v>
      </c>
      <c r="CY231" s="1804">
        <v>0</v>
      </c>
      <c r="CZ231" s="1804">
        <v>0</v>
      </c>
      <c r="DA231" s="1804">
        <v>0</v>
      </c>
      <c r="DB231" s="1804">
        <v>0</v>
      </c>
      <c r="DC231" s="1804">
        <v>0</v>
      </c>
      <c r="DD231" s="1804">
        <v>0</v>
      </c>
      <c r="DE231" s="1804">
        <v>0</v>
      </c>
      <c r="DF231" s="1804">
        <v>0</v>
      </c>
      <c r="DG231" s="1804">
        <v>0</v>
      </c>
      <c r="DH231" s="1804">
        <v>0</v>
      </c>
      <c r="DI231" s="1804">
        <v>0</v>
      </c>
      <c r="DJ231" s="1804">
        <v>0</v>
      </c>
      <c r="DK231" s="1804">
        <v>0</v>
      </c>
      <c r="DL231" s="1804">
        <v>0</v>
      </c>
      <c r="DM231" s="1804">
        <v>0</v>
      </c>
      <c r="DN231" s="1804">
        <v>0</v>
      </c>
      <c r="DO231" s="1804">
        <v>0</v>
      </c>
      <c r="DP231" s="1804">
        <v>0</v>
      </c>
      <c r="DQ231" s="1804">
        <v>0</v>
      </c>
      <c r="DR231" s="1804">
        <v>0</v>
      </c>
      <c r="DS231" s="1804">
        <v>0</v>
      </c>
      <c r="DT231" s="1804">
        <v>0</v>
      </c>
      <c r="DU231" s="1804">
        <v>0</v>
      </c>
      <c r="DV231" s="1804">
        <v>0</v>
      </c>
      <c r="DW231" s="1804">
        <v>0</v>
      </c>
      <c r="DX231" s="1804">
        <v>0</v>
      </c>
      <c r="DY231" s="1804">
        <v>0</v>
      </c>
      <c r="DZ231" s="1804">
        <v>0</v>
      </c>
      <c r="EA231" s="1804">
        <v>0</v>
      </c>
      <c r="EB231" s="1804">
        <v>0</v>
      </c>
      <c r="EC231" s="1804">
        <v>0</v>
      </c>
      <c r="ED231" s="1804">
        <v>0</v>
      </c>
      <c r="EE231" s="1804">
        <v>0</v>
      </c>
      <c r="EF231" s="1804">
        <v>0</v>
      </c>
      <c r="EG231" s="1804">
        <v>0</v>
      </c>
      <c r="EH231" s="1804">
        <v>0</v>
      </c>
      <c r="EI231" s="1804">
        <v>0</v>
      </c>
      <c r="EJ231" s="1804">
        <v>0</v>
      </c>
      <c r="EK231" s="1804">
        <v>0</v>
      </c>
      <c r="EL231" s="1804">
        <v>0</v>
      </c>
      <c r="EM231" s="1804">
        <v>0</v>
      </c>
      <c r="EN231" s="1804">
        <v>0</v>
      </c>
      <c r="EO231" s="1804">
        <v>0</v>
      </c>
      <c r="EP231" s="1804">
        <v>0</v>
      </c>
      <c r="EQ231" s="1804">
        <v>0</v>
      </c>
      <c r="ER231" s="1804">
        <v>0</v>
      </c>
      <c r="ES231" s="1804">
        <v>0</v>
      </c>
      <c r="ET231" s="1804">
        <v>0</v>
      </c>
      <c r="EU231" s="1804">
        <v>0</v>
      </c>
      <c r="EV231" s="1804">
        <v>0</v>
      </c>
      <c r="EW231" s="1804">
        <v>0</v>
      </c>
      <c r="EX231" s="1804">
        <v>0</v>
      </c>
      <c r="EY231" s="1804">
        <v>0</v>
      </c>
      <c r="EZ231" s="1804">
        <v>0</v>
      </c>
      <c r="FA231" s="1804">
        <v>0</v>
      </c>
      <c r="FB231" s="1804">
        <v>0</v>
      </c>
      <c r="FC231" s="1804">
        <v>0</v>
      </c>
      <c r="FD231" s="1804">
        <v>0</v>
      </c>
      <c r="FE231" s="1804">
        <v>0</v>
      </c>
      <c r="FF231" s="1804">
        <v>0</v>
      </c>
      <c r="FG231" s="1804">
        <v>0</v>
      </c>
      <c r="FH231" s="1804">
        <v>0</v>
      </c>
      <c r="FI231" s="1804">
        <v>0</v>
      </c>
      <c r="FJ231" s="1804">
        <v>0</v>
      </c>
      <c r="FK231" s="1804">
        <v>0</v>
      </c>
      <c r="FL231" s="1804">
        <v>0</v>
      </c>
      <c r="FM231" s="1804">
        <v>0</v>
      </c>
      <c r="FN231" s="1804">
        <v>0</v>
      </c>
      <c r="FO231" s="1804">
        <v>0</v>
      </c>
      <c r="FP231" s="1804">
        <v>0</v>
      </c>
      <c r="FQ231" s="1804">
        <v>0</v>
      </c>
      <c r="FR231" s="1804">
        <v>0</v>
      </c>
      <c r="FS231" s="1804">
        <v>0</v>
      </c>
      <c r="FT231" s="1804">
        <v>0</v>
      </c>
      <c r="FU231" s="1804">
        <v>0</v>
      </c>
      <c r="FV231" s="1804">
        <v>0</v>
      </c>
      <c r="FW231" s="1804">
        <v>0</v>
      </c>
      <c r="FX231" s="1804">
        <v>0</v>
      </c>
      <c r="FY231" s="1804">
        <v>0</v>
      </c>
      <c r="FZ231" s="1804">
        <v>0</v>
      </c>
      <c r="GA231" s="1804">
        <v>0</v>
      </c>
      <c r="GB231" s="1804">
        <v>0</v>
      </c>
      <c r="GC231" s="1804">
        <v>0</v>
      </c>
      <c r="GD231" s="1804">
        <v>0</v>
      </c>
      <c r="GE231" s="1804">
        <v>0</v>
      </c>
      <c r="GF231" s="1804">
        <v>0</v>
      </c>
      <c r="GG231" s="1804">
        <v>0</v>
      </c>
      <c r="GH231" s="1804">
        <v>0</v>
      </c>
      <c r="GI231" s="1804">
        <v>0</v>
      </c>
      <c r="GJ231" s="1804">
        <v>0</v>
      </c>
      <c r="GK231" s="1804">
        <v>0</v>
      </c>
      <c r="GL231" s="1804">
        <v>0</v>
      </c>
      <c r="GM231" s="1804">
        <v>0</v>
      </c>
      <c r="GN231" s="1804">
        <v>0</v>
      </c>
      <c r="GO231" s="1804">
        <v>0</v>
      </c>
      <c r="GP231" s="1804">
        <v>0</v>
      </c>
      <c r="GQ231" s="1804">
        <v>0</v>
      </c>
      <c r="GR231" s="1804">
        <v>0</v>
      </c>
      <c r="GS231" s="1804">
        <v>0</v>
      </c>
      <c r="GT231" s="1804">
        <v>0</v>
      </c>
      <c r="GU231" s="1804">
        <v>0</v>
      </c>
      <c r="GV231" s="1804">
        <v>0</v>
      </c>
      <c r="GW231" s="1804">
        <v>0</v>
      </c>
      <c r="GX231" s="1804">
        <v>0</v>
      </c>
      <c r="GY231" s="1804">
        <v>0</v>
      </c>
      <c r="GZ231" s="1804">
        <v>0</v>
      </c>
      <c r="HA231" s="1804">
        <v>0</v>
      </c>
      <c r="HB231" s="1804">
        <v>0</v>
      </c>
      <c r="HC231" s="1804">
        <v>0</v>
      </c>
      <c r="HD231" s="1804">
        <v>0</v>
      </c>
      <c r="HE231" s="1804">
        <v>0</v>
      </c>
      <c r="HF231" s="1864"/>
      <c r="HG231" s="1864"/>
      <c r="HH231" s="1864"/>
      <c r="HI231" s="1864"/>
      <c r="HJ231" s="1864"/>
      <c r="HK231" s="1864"/>
      <c r="HL231" s="1864"/>
      <c r="HM231" s="1864"/>
      <c r="HN231" s="1864"/>
      <c r="HO231" s="1864"/>
      <c r="HP231" s="1864"/>
      <c r="HQ231" s="1864"/>
      <c r="HR231" s="1864"/>
      <c r="HS231" s="1864"/>
      <c r="HT231" s="1864"/>
      <c r="HU231" s="1864"/>
      <c r="HV231" s="1864"/>
      <c r="HW231" s="1864"/>
      <c r="HX231" s="1864"/>
      <c r="HY231" s="1864"/>
      <c r="HZ231" s="1864"/>
      <c r="IA231" s="1864"/>
      <c r="IB231" s="1864"/>
      <c r="IC231" s="1864"/>
      <c r="ID231" s="1864"/>
      <c r="IE231" s="1864"/>
      <c r="IF231" s="1864"/>
      <c r="IG231" s="1864"/>
      <c r="IH231" s="1864"/>
      <c r="II231" s="1864"/>
      <c r="IJ231" s="1864"/>
      <c r="IK231" s="1864"/>
      <c r="IL231" s="1864"/>
      <c r="IM231" s="1864"/>
      <c r="IN231" s="1864"/>
      <c r="IO231" s="1864"/>
      <c r="IP231" s="1864"/>
      <c r="IQ231" s="1864"/>
      <c r="IR231" s="1864"/>
      <c r="IS231" s="1864"/>
      <c r="IT231" s="1864"/>
      <c r="IU231" s="1864"/>
      <c r="IV231" s="1864"/>
      <c r="IW231" s="1864"/>
      <c r="IX231" s="1864"/>
      <c r="IY231" s="1864"/>
      <c r="IZ231" s="1864"/>
      <c r="JA231" s="1864"/>
      <c r="JB231" s="1864"/>
      <c r="JC231" s="1864"/>
      <c r="JD231" s="1864"/>
      <c r="JE231" s="1864"/>
      <c r="JF231" s="1864"/>
      <c r="JG231" s="1864"/>
      <c r="JH231" s="1864"/>
      <c r="JI231" s="1864"/>
      <c r="JJ231" s="1864"/>
      <c r="JK231" s="1864"/>
      <c r="JL231" s="1864"/>
      <c r="JM231" s="1864"/>
      <c r="JN231" s="1864"/>
      <c r="JO231" s="1864"/>
      <c r="JP231" s="1864"/>
      <c r="JQ231" s="1864"/>
      <c r="JR231" s="1864"/>
      <c r="JS231" s="1864"/>
      <c r="JT231" s="1864"/>
      <c r="JU231" s="1864"/>
      <c r="JV231" s="1864"/>
      <c r="JW231" s="1864"/>
      <c r="JX231" s="1864"/>
      <c r="JY231" s="1864"/>
      <c r="JZ231" s="1864"/>
      <c r="KA231" s="1864"/>
      <c r="KB231" s="1864"/>
      <c r="KC231" s="1864"/>
      <c r="KD231" s="1864"/>
      <c r="KE231" s="1864"/>
      <c r="KF231" s="1864"/>
      <c r="KG231" s="1864"/>
      <c r="KH231" s="1864"/>
      <c r="KI231" s="1864"/>
      <c r="KJ231" s="1864"/>
      <c r="KK231" s="1864"/>
      <c r="KL231" s="1864"/>
      <c r="KM231" s="1864"/>
      <c r="KN231" s="1864"/>
      <c r="KO231" s="1864"/>
      <c r="KP231" s="1864"/>
      <c r="KQ231" s="1864"/>
      <c r="KR231" s="1864"/>
      <c r="KS231" s="1864"/>
      <c r="KT231" s="1864"/>
      <c r="KU231" s="1864"/>
      <c r="KV231" s="1864"/>
      <c r="KW231" s="1864"/>
      <c r="KX231" s="1864"/>
      <c r="KY231" s="1864"/>
      <c r="KZ231" s="1864"/>
      <c r="LA231" s="1864"/>
      <c r="LB231" s="1864"/>
      <c r="LC231" s="1864"/>
      <c r="LD231" s="1864"/>
      <c r="LE231" s="1864"/>
      <c r="LF231" s="1864"/>
      <c r="LG231" s="1864"/>
      <c r="LH231" s="1864"/>
      <c r="LI231" s="1864"/>
      <c r="LJ231" s="1864"/>
      <c r="LK231" s="1864"/>
      <c r="LL231" s="1864"/>
      <c r="LM231" s="1864"/>
      <c r="LN231" s="1864"/>
      <c r="LO231" s="1864"/>
      <c r="LP231" s="1864"/>
      <c r="LQ231" s="1864"/>
      <c r="LR231" s="1864"/>
      <c r="LS231" s="1864"/>
      <c r="LT231" s="1864"/>
      <c r="LU231" s="1864"/>
      <c r="LV231" s="1864"/>
      <c r="LW231" s="1864"/>
      <c r="LX231" s="1864"/>
      <c r="LY231" s="1864"/>
      <c r="LZ231" s="1864"/>
      <c r="MA231" s="1864"/>
      <c r="MB231" s="1864"/>
      <c r="MC231" s="1864"/>
      <c r="MD231" s="1864"/>
      <c r="ME231" s="1864"/>
      <c r="MF231" s="1864"/>
      <c r="MG231" s="1864"/>
      <c r="MH231" s="1864"/>
      <c r="MI231" s="1864"/>
      <c r="MJ231" s="1864"/>
      <c r="MK231" s="1864"/>
      <c r="ML231" s="1864"/>
      <c r="MM231" s="1864"/>
      <c r="MN231" s="1864"/>
      <c r="MO231" s="1864"/>
      <c r="MP231" s="1864"/>
      <c r="MQ231" s="1864"/>
      <c r="MR231" s="1864"/>
      <c r="MS231" s="1864"/>
      <c r="MT231" s="1864"/>
      <c r="MU231" s="1864"/>
      <c r="MV231" s="1864"/>
      <c r="MW231" s="1864"/>
      <c r="MX231" s="1864"/>
      <c r="MY231" s="1864"/>
      <c r="MZ231" s="1864"/>
      <c r="NA231" s="1864"/>
      <c r="NB231" s="1864"/>
      <c r="NC231" s="1864"/>
      <c r="ND231" s="1864"/>
      <c r="NE231" s="1864"/>
      <c r="NF231" s="1864"/>
      <c r="NG231" s="1864"/>
      <c r="NH231" s="1864"/>
      <c r="NI231" s="1864"/>
      <c r="NJ231" s="1864"/>
      <c r="NK231" s="1864"/>
      <c r="NL231" s="1864"/>
      <c r="NM231" s="1864"/>
      <c r="NN231" s="1864"/>
      <c r="NO231" s="1864"/>
      <c r="NP231" s="1864"/>
      <c r="NQ231" s="1864"/>
      <c r="NR231" s="1864"/>
      <c r="NS231" s="1864"/>
      <c r="NT231" s="1864"/>
      <c r="NU231" s="1864"/>
      <c r="NV231" s="1864"/>
      <c r="NW231" s="1864"/>
      <c r="NX231" s="1864"/>
      <c r="NY231" s="1864"/>
      <c r="NZ231" s="1864"/>
      <c r="OA231" s="1864"/>
      <c r="OB231" s="1864"/>
      <c r="OC231" s="1864"/>
      <c r="OD231" s="1864"/>
      <c r="OE231" s="1864"/>
      <c r="OF231" s="1864"/>
      <c r="OG231" s="1864"/>
      <c r="OH231" s="1864"/>
      <c r="OI231" s="1864"/>
      <c r="OJ231" s="1864"/>
      <c r="OK231" s="1864"/>
      <c r="OL231" s="1864"/>
      <c r="OM231" s="1864"/>
      <c r="ON231" s="1864"/>
      <c r="OO231" s="1864"/>
      <c r="OP231" s="1864"/>
      <c r="OQ231" s="1864"/>
      <c r="OR231" s="1864"/>
      <c r="OS231" s="1864"/>
      <c r="OT231" s="1864"/>
      <c r="OU231" s="1864"/>
      <c r="OV231" s="1864"/>
      <c r="OW231" s="1864"/>
      <c r="OX231" s="1864"/>
      <c r="OY231" s="1864"/>
      <c r="OZ231" s="1864"/>
      <c r="PA231" s="1864"/>
      <c r="PB231" s="1864"/>
      <c r="PC231" s="1864"/>
      <c r="PD231" s="1864"/>
      <c r="PE231" s="1864"/>
      <c r="PF231" s="1864"/>
      <c r="PG231" s="1864"/>
      <c r="PH231" s="1864"/>
      <c r="PI231" s="1864"/>
      <c r="PJ231" s="1864"/>
      <c r="PK231" s="1864"/>
      <c r="PL231" s="1864"/>
      <c r="PM231" s="1864"/>
      <c r="PN231" s="1864"/>
      <c r="PO231" s="1864"/>
      <c r="PP231" s="1864"/>
      <c r="PQ231" s="1864"/>
      <c r="PR231" s="1864"/>
      <c r="PS231" s="1864"/>
      <c r="PT231" s="1864"/>
      <c r="PU231" s="1864"/>
      <c r="PV231" s="1864"/>
      <c r="PW231" s="1864"/>
      <c r="PX231" s="1864"/>
      <c r="PY231" s="1864"/>
      <c r="PZ231" s="1864"/>
      <c r="QA231" s="1864"/>
      <c r="QB231" s="1864"/>
      <c r="QC231" s="1864"/>
      <c r="QD231" s="1864"/>
      <c r="QE231" s="1864"/>
      <c r="QF231" s="1864"/>
      <c r="QG231" s="1864"/>
      <c r="QH231" s="1864"/>
      <c r="QI231" s="1864"/>
      <c r="QJ231" s="1864"/>
      <c r="QK231" s="1864"/>
      <c r="QL231" s="1864"/>
      <c r="QM231" s="1864"/>
      <c r="QN231" s="1864"/>
      <c r="QO231" s="1864"/>
      <c r="QP231" s="1864"/>
      <c r="QQ231" s="1864"/>
      <c r="QR231" s="1864"/>
      <c r="QS231" s="1864"/>
      <c r="QT231" s="1864"/>
      <c r="QU231" s="1864"/>
      <c r="QV231" s="1864"/>
      <c r="QW231" s="1864"/>
      <c r="QX231" s="1864"/>
      <c r="QY231" s="1864"/>
      <c r="QZ231" s="1864"/>
      <c r="RA231" s="1864"/>
      <c r="RB231" s="1864"/>
      <c r="RC231" s="1864"/>
      <c r="RD231" s="1864"/>
      <c r="RE231" s="1864"/>
      <c r="RF231" s="1864"/>
      <c r="RG231" s="1864"/>
      <c r="RH231" s="1864"/>
      <c r="RI231" s="1864"/>
      <c r="RJ231" s="1864"/>
      <c r="RK231" s="1864"/>
      <c r="RL231" s="1864"/>
      <c r="RM231" s="1864"/>
      <c r="RN231" s="1864"/>
      <c r="RO231" s="1864"/>
      <c r="RP231" s="1864"/>
      <c r="RQ231" s="1864"/>
      <c r="RR231" s="1864"/>
      <c r="RS231" s="1864"/>
      <c r="RT231" s="1864"/>
      <c r="RU231" s="1864"/>
      <c r="RV231" s="1864"/>
      <c r="RW231" s="1864"/>
      <c r="RX231" s="1864"/>
      <c r="RY231" s="1864"/>
      <c r="RZ231" s="1864"/>
      <c r="SA231" s="1864"/>
      <c r="SB231" s="1864"/>
      <c r="SC231" s="1864"/>
      <c r="SD231" s="1864"/>
      <c r="SE231" s="1864"/>
      <c r="SF231" s="1864"/>
      <c r="SG231" s="1864"/>
      <c r="SH231" s="1864"/>
      <c r="SI231" s="1864"/>
      <c r="SJ231" s="1864"/>
      <c r="SK231" s="1864"/>
      <c r="SL231" s="1864"/>
      <c r="SM231" s="1864"/>
      <c r="SN231" s="1864"/>
      <c r="SO231" s="1864"/>
      <c r="SP231" s="1864"/>
      <c r="SQ231" s="1864"/>
      <c r="SR231" s="1864"/>
      <c r="SS231" s="1864"/>
      <c r="ST231" s="1864"/>
      <c r="SU231" s="1864"/>
      <c r="SV231" s="1864"/>
      <c r="SW231" s="1864"/>
      <c r="SX231" s="1864"/>
      <c r="SY231" s="1864"/>
      <c r="SZ231" s="1864"/>
      <c r="TA231" s="1864"/>
      <c r="TB231" s="1864"/>
      <c r="TC231" s="1864"/>
      <c r="TD231" s="1864"/>
      <c r="TE231" s="1864"/>
      <c r="TF231" s="1864"/>
      <c r="TG231" s="1864"/>
      <c r="TH231" s="1864"/>
      <c r="TI231" s="1864"/>
      <c r="TJ231" s="1864"/>
      <c r="TK231" s="1864"/>
      <c r="TL231" s="1864"/>
      <c r="TM231" s="1864"/>
      <c r="TN231" s="1864"/>
      <c r="TO231" s="1864"/>
      <c r="TP231" s="1864"/>
      <c r="TQ231" s="1864"/>
      <c r="TR231" s="1864"/>
      <c r="TS231" s="1864"/>
      <c r="TT231" s="1864"/>
      <c r="TU231" s="1864"/>
      <c r="TV231" s="1864"/>
      <c r="TW231" s="1864"/>
      <c r="TX231" s="1864"/>
      <c r="TY231" s="1864"/>
      <c r="TZ231" s="1864"/>
      <c r="UA231" s="1864"/>
      <c r="UB231" s="1864"/>
      <c r="UC231" s="1864"/>
      <c r="UD231" s="1864"/>
      <c r="UE231" s="1864"/>
      <c r="UF231" s="1864"/>
      <c r="UG231" s="1864"/>
      <c r="UH231" s="1864"/>
      <c r="UI231" s="1864"/>
      <c r="UJ231" s="1864"/>
      <c r="UK231" s="1864"/>
      <c r="UL231" s="1864"/>
      <c r="UM231" s="1864"/>
      <c r="UN231" s="1864"/>
      <c r="UO231" s="1864"/>
      <c r="UP231" s="1864"/>
      <c r="UQ231" s="1864"/>
      <c r="UR231" s="1864"/>
      <c r="US231" s="1864"/>
      <c r="UT231" s="1864"/>
      <c r="UU231" s="1864"/>
      <c r="UV231" s="1864"/>
      <c r="UW231" s="1864"/>
      <c r="UX231" s="1864"/>
      <c r="UY231" s="1864"/>
      <c r="UZ231" s="1864"/>
      <c r="VA231" s="1864"/>
      <c r="VB231" s="1864"/>
      <c r="VC231" s="1864"/>
      <c r="VD231" s="1864"/>
      <c r="VE231" s="1864"/>
      <c r="VF231" s="1864"/>
      <c r="VG231" s="1864"/>
      <c r="VH231" s="1864"/>
      <c r="VI231" s="1864"/>
      <c r="VJ231" s="1864"/>
      <c r="VK231" s="1864"/>
      <c r="VL231" s="1864"/>
      <c r="VM231" s="1864"/>
      <c r="VN231" s="1864"/>
      <c r="VO231" s="1864"/>
      <c r="VP231" s="1864"/>
      <c r="VQ231" s="1864"/>
      <c r="VR231" s="1864"/>
      <c r="VS231" s="1864"/>
      <c r="VT231" s="1864"/>
      <c r="VU231" s="1864"/>
      <c r="VV231" s="1864"/>
      <c r="VW231" s="1864"/>
      <c r="VX231" s="1864"/>
      <c r="VY231" s="1864"/>
      <c r="VZ231" s="1864"/>
      <c r="WA231" s="1864"/>
      <c r="WB231" s="1864"/>
      <c r="WC231" s="1864"/>
      <c r="WD231" s="1864"/>
      <c r="WE231" s="1864"/>
      <c r="WF231" s="1864"/>
      <c r="WG231" s="1864"/>
      <c r="WH231" s="1864"/>
      <c r="WI231" s="1864"/>
      <c r="WJ231" s="1864"/>
      <c r="WK231" s="1864"/>
      <c r="WL231" s="1864"/>
      <c r="WM231" s="1864"/>
      <c r="WN231" s="1864"/>
      <c r="WO231" s="1864"/>
      <c r="WP231" s="1864"/>
      <c r="WQ231" s="1864"/>
      <c r="WR231" s="1864"/>
      <c r="WS231" s="1864"/>
      <c r="WT231" s="1864"/>
      <c r="WU231" s="1864"/>
      <c r="WV231" s="1864"/>
      <c r="WW231" s="1864"/>
      <c r="WX231" s="1864"/>
      <c r="WY231" s="1864"/>
      <c r="WZ231" s="1864"/>
      <c r="XA231" s="1864"/>
      <c r="XB231" s="1864"/>
      <c r="XC231" s="1864"/>
      <c r="XD231" s="1864"/>
      <c r="XE231" s="1864"/>
      <c r="XF231" s="1864"/>
      <c r="XG231" s="1864"/>
      <c r="XH231" s="1864"/>
      <c r="XI231" s="1864"/>
      <c r="XJ231" s="1864"/>
      <c r="XK231" s="1864"/>
      <c r="XL231" s="1864"/>
      <c r="XM231" s="1864"/>
      <c r="XN231" s="1864"/>
      <c r="XO231" s="1864"/>
      <c r="XP231" s="1864"/>
      <c r="XQ231" s="1864"/>
      <c r="XR231" s="1864"/>
      <c r="XS231" s="1864"/>
      <c r="XT231" s="1864"/>
      <c r="XU231" s="1864"/>
      <c r="XV231" s="1864"/>
      <c r="XW231" s="1864"/>
      <c r="XX231" s="1864"/>
      <c r="XY231" s="1864"/>
      <c r="XZ231" s="1864"/>
      <c r="YA231" s="1864"/>
      <c r="YB231" s="1864"/>
      <c r="YC231" s="1864"/>
      <c r="YD231" s="1864"/>
      <c r="YE231" s="1864"/>
      <c r="YF231" s="1864"/>
      <c r="YG231" s="1864"/>
      <c r="YH231" s="1864"/>
      <c r="YI231" s="1864"/>
      <c r="YJ231" s="1864"/>
      <c r="YK231" s="1864"/>
      <c r="YL231" s="1864"/>
      <c r="YM231" s="1864"/>
      <c r="YN231" s="1864"/>
      <c r="YO231" s="1864"/>
      <c r="YP231" s="1864"/>
      <c r="YQ231" s="1864"/>
      <c r="YR231" s="1864"/>
      <c r="YS231" s="1864"/>
      <c r="YT231" s="1864"/>
      <c r="YU231" s="1864"/>
      <c r="YV231" s="1864"/>
      <c r="YW231" s="1864"/>
      <c r="YX231" s="1864"/>
      <c r="YY231" s="1864"/>
      <c r="YZ231" s="1864"/>
      <c r="ZA231" s="1864"/>
      <c r="ZB231" s="1864"/>
      <c r="ZC231" s="1864"/>
      <c r="ZD231" s="1864"/>
      <c r="ZE231" s="1864"/>
      <c r="ZF231" s="1864"/>
      <c r="ZG231" s="1864"/>
      <c r="ZH231" s="1864"/>
      <c r="ZI231" s="1864"/>
      <c r="ZJ231" s="1864"/>
      <c r="ZK231" s="1864"/>
      <c r="ZL231" s="1864"/>
      <c r="ZM231" s="1864"/>
      <c r="ZN231" s="1864"/>
      <c r="ZO231" s="1864"/>
      <c r="ZP231" s="1864"/>
      <c r="ZQ231" s="1864"/>
      <c r="ZR231" s="1864"/>
      <c r="ZS231" s="1864"/>
      <c r="ZT231" s="1864"/>
      <c r="ZU231" s="1864"/>
      <c r="ZV231" s="1864"/>
      <c r="ZW231" s="1864"/>
      <c r="ZX231" s="1864"/>
      <c r="ZY231" s="1864"/>
      <c r="ZZ231" s="1864"/>
      <c r="AAA231" s="1864"/>
      <c r="AAB231" s="1864"/>
      <c r="AAC231" s="1864"/>
      <c r="AAD231" s="1864"/>
      <c r="AAE231" s="1864"/>
      <c r="AAF231" s="1864"/>
      <c r="AAG231" s="1864"/>
      <c r="AAH231" s="1864"/>
      <c r="AAI231" s="1864"/>
      <c r="AAJ231" s="1864"/>
      <c r="AAK231" s="1864"/>
      <c r="AAL231" s="1864"/>
      <c r="AAM231" s="1864"/>
      <c r="AAN231" s="1864"/>
      <c r="AAO231" s="1864"/>
      <c r="AAP231" s="1864"/>
      <c r="AAQ231" s="1864"/>
      <c r="AAR231" s="1864"/>
      <c r="AAS231" s="1864"/>
      <c r="AAT231" s="1864"/>
      <c r="AAU231" s="1864"/>
      <c r="AAV231" s="1864"/>
      <c r="AAW231" s="1864"/>
      <c r="AAX231" s="1864"/>
      <c r="AAY231" s="1864"/>
      <c r="AAZ231" s="1864"/>
      <c r="ABA231" s="1864"/>
      <c r="ABB231" s="1864"/>
      <c r="ABC231" s="1864"/>
      <c r="ABD231" s="1864"/>
      <c r="ABE231" s="1864"/>
      <c r="ABF231" s="1864"/>
      <c r="ABG231" s="1864"/>
      <c r="ABH231" s="1864"/>
      <c r="ABI231" s="1864"/>
      <c r="ABJ231" s="1864"/>
      <c r="ABK231" s="1864"/>
      <c r="ABL231" s="1864"/>
      <c r="ABM231" s="1864"/>
      <c r="ABN231" s="1864"/>
      <c r="ABO231" s="1864"/>
      <c r="ABP231" s="1864"/>
      <c r="ABQ231" s="1864"/>
      <c r="ABR231" s="1864"/>
      <c r="ABS231" s="1864"/>
      <c r="ABT231" s="1864"/>
      <c r="ABU231" s="1864"/>
      <c r="ABV231" s="1864"/>
      <c r="ABW231" s="1864"/>
      <c r="ABX231" s="1864"/>
      <c r="ABY231" s="1864"/>
      <c r="ABZ231" s="1864"/>
      <c r="ACA231" s="1864"/>
      <c r="ACB231" s="1864"/>
      <c r="ACC231" s="1864"/>
      <c r="ACD231" s="1864"/>
      <c r="ACE231" s="1864"/>
      <c r="ACF231" s="1864"/>
      <c r="ACG231" s="1864"/>
      <c r="ACH231" s="1864"/>
      <c r="ACI231" s="1864"/>
      <c r="ACJ231" s="1864"/>
      <c r="ACK231" s="1864"/>
      <c r="ACL231" s="1864"/>
      <c r="ACM231" s="1864"/>
      <c r="ACN231" s="1864"/>
      <c r="ACO231" s="1864"/>
      <c r="ACP231" s="1864"/>
      <c r="ACQ231" s="1864"/>
      <c r="ACR231" s="1864"/>
      <c r="ACS231" s="1864"/>
      <c r="ACT231" s="1864"/>
      <c r="ACU231" s="1864"/>
      <c r="ACV231" s="1864"/>
      <c r="ACW231" s="1864"/>
      <c r="ACX231" s="1864"/>
      <c r="ACY231" s="1864"/>
      <c r="ACZ231" s="1864"/>
      <c r="ADA231" s="1864"/>
      <c r="ADB231" s="1864"/>
      <c r="ADC231" s="1864"/>
      <c r="ADD231" s="1864"/>
      <c r="ADE231" s="1864"/>
      <c r="ADF231" s="1864"/>
      <c r="ADG231" s="1864"/>
      <c r="ADH231" s="1864"/>
      <c r="ADI231" s="1864"/>
      <c r="ADJ231" s="1864"/>
      <c r="ADK231" s="1864"/>
      <c r="ADL231" s="1864"/>
      <c r="ADM231" s="1864"/>
      <c r="ADN231" s="1864"/>
      <c r="ADO231" s="1864"/>
      <c r="ADP231" s="1864"/>
      <c r="ADQ231" s="1864"/>
      <c r="ADR231" s="1864"/>
      <c r="ADS231" s="1864"/>
      <c r="ADT231" s="1864"/>
      <c r="ADU231" s="1864"/>
      <c r="ADV231" s="1864"/>
      <c r="ADW231" s="1864"/>
      <c r="ADX231" s="1864"/>
      <c r="ADY231" s="1864"/>
      <c r="ADZ231" s="1864"/>
      <c r="AEA231" s="1864"/>
      <c r="AEB231" s="1864"/>
      <c r="AEC231" s="1864"/>
      <c r="AED231" s="1864"/>
      <c r="AEE231" s="1864"/>
      <c r="AEF231" s="1864"/>
      <c r="AEG231" s="1864"/>
      <c r="AEH231" s="1864"/>
      <c r="AEI231" s="1864"/>
      <c r="AEJ231" s="1864"/>
      <c r="AEK231" s="1864"/>
      <c r="AEL231" s="1864"/>
      <c r="AEM231" s="1864"/>
      <c r="AEN231" s="1864"/>
      <c r="AEO231" s="1864"/>
      <c r="AEP231" s="1864"/>
      <c r="AEQ231" s="1864"/>
      <c r="AER231" s="1864"/>
      <c r="AES231" s="1864"/>
      <c r="AET231" s="1864"/>
      <c r="AEU231" s="1864"/>
      <c r="AEV231" s="1864"/>
      <c r="AEW231" s="1864"/>
      <c r="AEX231" s="1864"/>
      <c r="AEY231" s="1864"/>
      <c r="AEZ231" s="1864"/>
      <c r="AFA231" s="1864"/>
      <c r="AFB231" s="1864"/>
      <c r="AFC231" s="1864"/>
      <c r="AFD231" s="1864"/>
      <c r="AFE231" s="1864"/>
      <c r="AFF231" s="1864"/>
      <c r="AFG231" s="1864"/>
      <c r="AFH231" s="1864"/>
      <c r="AFI231" s="1864"/>
      <c r="AFJ231" s="1864"/>
      <c r="AFK231" s="1864"/>
      <c r="AFL231" s="1864"/>
      <c r="AFM231" s="1864"/>
      <c r="AFN231" s="1864"/>
      <c r="AFO231" s="1864"/>
      <c r="AFP231" s="1864"/>
      <c r="AFQ231" s="1864"/>
      <c r="AFR231" s="1864"/>
      <c r="AFS231" s="1864"/>
      <c r="AFT231" s="1864"/>
      <c r="AFU231" s="1864"/>
      <c r="AFV231" s="1864"/>
      <c r="AFW231" s="1864"/>
      <c r="AFX231" s="1864"/>
      <c r="AFY231" s="1864"/>
      <c r="AFZ231" s="1864"/>
      <c r="AGA231" s="1864"/>
      <c r="AGB231" s="1864"/>
      <c r="AGC231" s="1864"/>
      <c r="AGD231" s="1864"/>
      <c r="AGE231" s="1864"/>
      <c r="AGF231" s="1864"/>
      <c r="AGG231" s="1864"/>
      <c r="AGH231" s="1864"/>
      <c r="AGI231" s="1864"/>
      <c r="AGJ231" s="1864"/>
      <c r="AGK231" s="1864"/>
      <c r="AGL231" s="1864"/>
      <c r="AGM231" s="1864"/>
      <c r="AGN231" s="1864"/>
      <c r="AGO231" s="1864"/>
      <c r="AGP231" s="1864"/>
      <c r="AGQ231" s="1864"/>
      <c r="AGR231" s="1864"/>
      <c r="AGS231" s="1864"/>
      <c r="AGT231" s="1864"/>
      <c r="AGU231" s="1864"/>
      <c r="AGV231" s="1864"/>
      <c r="AGW231" s="1864"/>
      <c r="AGX231" s="1864"/>
      <c r="AGY231" s="1864"/>
      <c r="AGZ231" s="1864"/>
      <c r="AHA231" s="1864"/>
      <c r="AHB231" s="1864"/>
      <c r="AHC231" s="1864"/>
      <c r="AHD231" s="1864"/>
      <c r="AHE231" s="1864"/>
      <c r="AHF231" s="1864"/>
      <c r="AHG231" s="1864"/>
      <c r="AHH231" s="1864"/>
      <c r="AHI231" s="1864"/>
      <c r="AHJ231" s="1864"/>
      <c r="AHK231" s="1864"/>
      <c r="AHL231" s="1864"/>
      <c r="AHM231" s="1864"/>
      <c r="AHN231" s="1864"/>
      <c r="AHO231" s="1864"/>
      <c r="AHP231" s="1864"/>
      <c r="AHQ231" s="1864"/>
      <c r="AHR231" s="1864"/>
      <c r="AHS231" s="1864"/>
      <c r="AHT231" s="1864"/>
      <c r="AHU231" s="1864"/>
      <c r="AHV231" s="1864"/>
      <c r="AHW231" s="1864"/>
      <c r="AHX231" s="1864"/>
      <c r="AHY231" s="1864"/>
      <c r="AHZ231" s="1864"/>
      <c r="AIA231" s="1864"/>
      <c r="AIB231" s="1864"/>
      <c r="AIC231" s="1864"/>
      <c r="AID231" s="1864"/>
      <c r="AIE231" s="1864"/>
      <c r="AIF231" s="1864"/>
      <c r="AIG231" s="1864"/>
      <c r="AIH231" s="1864"/>
      <c r="AII231" s="1864"/>
      <c r="AIJ231" s="1864"/>
      <c r="AIK231" s="1864"/>
      <c r="AIL231" s="1864"/>
      <c r="AIM231" s="1864"/>
      <c r="AIN231" s="1864"/>
      <c r="AIO231" s="1864"/>
      <c r="AIP231" s="1864"/>
      <c r="AIQ231" s="1864"/>
      <c r="AIR231" s="1864"/>
      <c r="AIS231" s="1864"/>
      <c r="AIT231" s="1864"/>
      <c r="AIU231" s="1864"/>
      <c r="AIV231" s="1864"/>
      <c r="AIW231" s="1864"/>
      <c r="AIX231" s="1864"/>
      <c r="AIY231" s="1864"/>
      <c r="AIZ231" s="1864"/>
      <c r="AJA231" s="1864"/>
      <c r="AJB231" s="1864"/>
      <c r="AJC231" s="1864"/>
      <c r="AJD231" s="1864"/>
      <c r="AJE231" s="1864"/>
      <c r="AJF231" s="1864"/>
      <c r="AJG231" s="1864"/>
      <c r="AJH231" s="1864"/>
      <c r="AJI231" s="1864"/>
      <c r="AJJ231" s="1864"/>
      <c r="AJK231" s="1864"/>
      <c r="AJL231" s="1864"/>
      <c r="AJM231" s="1864"/>
      <c r="AJN231" s="1864"/>
      <c r="AJO231" s="1864"/>
      <c r="AJP231" s="1864"/>
      <c r="AJQ231" s="1864"/>
      <c r="AJR231" s="1864"/>
      <c r="AJS231" s="1864"/>
      <c r="AJT231" s="1864"/>
      <c r="AJU231" s="1864"/>
      <c r="AJV231" s="1864"/>
      <c r="AJW231" s="1864"/>
      <c r="AJX231" s="1864"/>
      <c r="AJY231" s="1864"/>
      <c r="AJZ231" s="1864"/>
      <c r="AKA231" s="1864"/>
      <c r="AKB231" s="1864"/>
      <c r="AKC231" s="1864"/>
      <c r="AKD231" s="1864"/>
      <c r="AKE231" s="1864"/>
      <c r="AKF231" s="1864"/>
      <c r="AKG231" s="1864"/>
      <c r="AKH231" s="1864"/>
      <c r="AKI231" s="1864"/>
      <c r="AKJ231" s="1864"/>
      <c r="AKK231" s="1864"/>
      <c r="AKL231" s="1864"/>
      <c r="AKM231" s="1864"/>
      <c r="AKN231" s="1864"/>
      <c r="AKO231" s="1864"/>
      <c r="AKP231" s="1864"/>
      <c r="AKQ231" s="1864"/>
      <c r="AKR231" s="1864"/>
      <c r="AKS231" s="1864"/>
      <c r="AKT231" s="1864"/>
      <c r="AKU231" s="1864"/>
      <c r="AKV231" s="1864"/>
      <c r="AKW231" s="1864"/>
      <c r="AKX231" s="1864"/>
      <c r="AKY231" s="1864"/>
      <c r="AKZ231" s="1864"/>
      <c r="ALA231" s="1864"/>
      <c r="ALB231" s="1864"/>
      <c r="ALC231" s="1864"/>
      <c r="ALD231" s="1864"/>
      <c r="ALE231" s="1864"/>
      <c r="ALF231" s="1864"/>
      <c r="ALG231" s="1864"/>
      <c r="ALH231" s="1864"/>
      <c r="ALI231" s="1864"/>
      <c r="ALJ231" s="1864"/>
      <c r="ALK231" s="1864"/>
      <c r="ALL231" s="1864"/>
      <c r="ALM231" s="1864"/>
      <c r="ALN231" s="1864"/>
      <c r="ALO231" s="1864"/>
      <c r="ALP231" s="1864"/>
      <c r="ALQ231" s="1864"/>
      <c r="ALR231" s="1864"/>
      <c r="ALS231" s="1864"/>
      <c r="ALT231" s="1864"/>
      <c r="ALU231" s="1864"/>
      <c r="ALV231" s="1864"/>
      <c r="ALW231" s="1864"/>
      <c r="ALX231" s="1864"/>
      <c r="ALY231" s="1864"/>
      <c r="ALZ231" s="1864"/>
      <c r="AMA231" s="1864"/>
      <c r="AMB231" s="1864"/>
      <c r="AMC231" s="1864"/>
      <c r="AMD231" s="1864"/>
      <c r="AME231" s="1864"/>
      <c r="AMF231" s="1864"/>
      <c r="AMG231" s="1864"/>
      <c r="AMH231" s="1864"/>
      <c r="AMI231" s="1864"/>
      <c r="AMJ231" s="1864"/>
      <c r="AMK231" s="1864"/>
      <c r="AML231" s="1864"/>
      <c r="AMM231" s="1864"/>
      <c r="AMN231" s="1864"/>
      <c r="AMO231" s="1864"/>
      <c r="AMP231" s="1864"/>
      <c r="AMQ231" s="1864"/>
      <c r="AMR231" s="1864"/>
      <c r="AMS231" s="1864"/>
      <c r="AMT231" s="1864"/>
      <c r="AMU231" s="1864"/>
      <c r="AMV231" s="1864"/>
      <c r="AMW231" s="1864"/>
      <c r="AMX231" s="1864"/>
      <c r="AMY231" s="1864"/>
      <c r="AMZ231" s="1864"/>
      <c r="ANA231" s="1864"/>
      <c r="ANB231" s="1864"/>
      <c r="ANC231" s="1864"/>
      <c r="AND231" s="1864"/>
      <c r="ANE231" s="1864"/>
      <c r="ANF231" s="1864"/>
      <c r="ANG231" s="1864"/>
      <c r="ANH231" s="1864"/>
      <c r="ANI231" s="1864"/>
      <c r="ANJ231" s="1864"/>
      <c r="ANK231" s="1864"/>
      <c r="ANL231" s="1864"/>
      <c r="ANM231" s="1864"/>
      <c r="ANN231" s="1864"/>
      <c r="ANO231" s="1864"/>
      <c r="ANP231" s="1864"/>
      <c r="ANQ231" s="1864"/>
      <c r="ANR231" s="1864"/>
      <c r="ANS231" s="1864"/>
      <c r="ANT231" s="1864"/>
      <c r="ANU231" s="1864"/>
      <c r="ANV231" s="1864"/>
      <c r="ANW231" s="1864"/>
      <c r="ANX231" s="1864"/>
      <c r="ANY231" s="1864"/>
      <c r="ANZ231" s="1864"/>
      <c r="AOA231" s="1864"/>
      <c r="AOB231" s="1864"/>
      <c r="AOC231" s="1864"/>
      <c r="AOD231" s="1864"/>
      <c r="AOE231" s="1864"/>
      <c r="AOF231" s="1864"/>
      <c r="AOG231" s="1864"/>
      <c r="AOH231" s="1864"/>
      <c r="AOI231" s="1864"/>
      <c r="AOJ231" s="1864"/>
      <c r="AOK231" s="1864"/>
      <c r="AOL231" s="1864"/>
      <c r="AOM231" s="1864"/>
      <c r="AON231" s="1864"/>
      <c r="AOO231" s="1864"/>
      <c r="AOP231" s="1864"/>
      <c r="AOQ231" s="1864"/>
      <c r="AOR231" s="1864"/>
      <c r="AOS231" s="1864"/>
      <c r="AOT231" s="1864"/>
      <c r="AOU231" s="1864"/>
      <c r="AOV231" s="1864"/>
      <c r="AOW231" s="1864"/>
      <c r="AOX231" s="1864"/>
      <c r="AOY231" s="1864"/>
      <c r="AOZ231" s="1864"/>
      <c r="APA231" s="1864"/>
      <c r="APB231" s="1864"/>
      <c r="APC231" s="1864"/>
      <c r="APD231" s="1864"/>
      <c r="APE231" s="1864"/>
      <c r="APF231" s="1864"/>
      <c r="APG231" s="1864"/>
      <c r="APH231" s="1864"/>
      <c r="API231" s="1864"/>
      <c r="APJ231" s="1864"/>
      <c r="APK231" s="1864"/>
      <c r="APL231" s="1864"/>
      <c r="APM231" s="1864"/>
      <c r="APN231" s="1864"/>
      <c r="APO231" s="1864"/>
      <c r="APP231" s="1864"/>
      <c r="APQ231" s="1864"/>
      <c r="APR231" s="1864"/>
      <c r="APS231" s="1864"/>
      <c r="APT231" s="1864"/>
      <c r="APU231" s="1864"/>
      <c r="APV231" s="1864"/>
      <c r="APW231" s="1864"/>
      <c r="APX231" s="1864"/>
      <c r="APY231" s="1864"/>
      <c r="APZ231" s="1864"/>
      <c r="AQA231" s="1864"/>
      <c r="AQB231" s="1864"/>
      <c r="AQC231" s="1864"/>
      <c r="AQD231" s="1864"/>
      <c r="AQE231" s="1864"/>
      <c r="AQF231" s="1864"/>
      <c r="AQG231" s="1864"/>
      <c r="AQH231" s="1864"/>
      <c r="AQI231" s="1864"/>
      <c r="AQJ231" s="1864"/>
      <c r="AQK231" s="1864"/>
      <c r="AQL231" s="1864"/>
      <c r="AQM231" s="1864"/>
      <c r="AQN231" s="1864"/>
      <c r="AQO231" s="1864"/>
      <c r="AQP231" s="1864"/>
      <c r="AQQ231" s="1864"/>
      <c r="AQR231" s="1864"/>
      <c r="AQS231" s="1864"/>
      <c r="AQT231" s="1864"/>
      <c r="AQU231" s="1864"/>
      <c r="AQV231" s="1864"/>
      <c r="AQW231" s="1864"/>
      <c r="AQX231" s="1864"/>
      <c r="AQY231" s="1864"/>
      <c r="AQZ231" s="1864"/>
      <c r="ARA231" s="1864"/>
      <c r="ARB231" s="1864"/>
      <c r="ARC231" s="1864"/>
      <c r="ARD231" s="1864"/>
      <c r="ARE231" s="1864"/>
      <c r="ARF231" s="1864"/>
      <c r="ARG231" s="1864"/>
      <c r="ARH231" s="1864"/>
      <c r="ARI231" s="1864"/>
      <c r="ARJ231" s="1864"/>
      <c r="ARK231" s="1864"/>
      <c r="ARL231" s="1864"/>
      <c r="ARM231" s="1864"/>
      <c r="ARN231" s="1864"/>
      <c r="ARO231" s="1864"/>
      <c r="ARP231" s="1864"/>
      <c r="ARQ231" s="1864"/>
      <c r="ARR231" s="1864"/>
      <c r="ARS231" s="1864"/>
      <c r="ART231" s="1864"/>
      <c r="ARU231" s="1864"/>
      <c r="ARV231" s="1864"/>
      <c r="ARW231" s="1864"/>
      <c r="ARX231" s="1864"/>
      <c r="ARY231" s="1864"/>
      <c r="ARZ231" s="1864"/>
      <c r="ASA231" s="1864"/>
      <c r="ASB231" s="1864"/>
      <c r="ASC231" s="1864"/>
      <c r="ASD231" s="1864"/>
      <c r="ASE231" s="1864"/>
      <c r="ASF231" s="1864"/>
      <c r="ASG231" s="1864"/>
      <c r="ASH231" s="1864"/>
      <c r="ASI231" s="1864"/>
      <c r="ASJ231" s="1864"/>
      <c r="ASK231" s="1864"/>
      <c r="ASL231" s="1864"/>
      <c r="ASM231" s="1864"/>
      <c r="ASN231" s="1864"/>
      <c r="ASO231" s="1864"/>
      <c r="ASP231" s="1864"/>
      <c r="ASQ231" s="1864"/>
      <c r="ASR231" s="1864"/>
      <c r="ASS231" s="1864"/>
      <c r="AST231" s="1864"/>
      <c r="ASU231" s="1864"/>
      <c r="ASV231" s="1864"/>
      <c r="ASW231" s="1864"/>
      <c r="ASX231" s="1864"/>
      <c r="ASY231" s="1864"/>
      <c r="ASZ231" s="1864"/>
      <c r="ATA231" s="1864"/>
      <c r="ATB231" s="1864"/>
      <c r="ATC231" s="1864"/>
      <c r="ATD231" s="1864"/>
      <c r="ATE231" s="1864"/>
      <c r="ATF231" s="1864"/>
      <c r="ATG231" s="1864"/>
      <c r="ATH231" s="1864"/>
      <c r="ATI231" s="1864"/>
      <c r="ATJ231" s="1864"/>
      <c r="ATK231" s="1864"/>
      <c r="ATL231" s="1864"/>
      <c r="ATM231" s="1864"/>
      <c r="ATN231" s="1864"/>
      <c r="ATO231" s="1864"/>
      <c r="ATP231" s="1864"/>
      <c r="ATQ231" s="1864"/>
      <c r="ATR231" s="1864"/>
      <c r="ATS231" s="1864"/>
      <c r="ATT231" s="1864"/>
      <c r="ATU231" s="1864"/>
      <c r="ATV231" s="1864"/>
      <c r="ATW231" s="1864"/>
      <c r="ATX231" s="1864"/>
      <c r="ATY231" s="1864"/>
      <c r="ATZ231" s="1864"/>
      <c r="AUA231" s="1864"/>
      <c r="AUB231" s="1864"/>
      <c r="AUC231" s="1864"/>
      <c r="AUD231" s="1864"/>
      <c r="AUE231" s="1864"/>
      <c r="AUF231" s="1864"/>
      <c r="AUG231" s="1864"/>
      <c r="AUH231" s="1864"/>
      <c r="AUI231" s="1864"/>
      <c r="AUJ231" s="1864"/>
      <c r="AUK231" s="1864"/>
      <c r="AUL231" s="1864"/>
      <c r="AUM231" s="1864"/>
      <c r="AUN231" s="1864"/>
      <c r="AUO231" s="1864"/>
      <c r="AUP231" s="1864"/>
      <c r="AUQ231" s="1864"/>
      <c r="AUR231" s="1864"/>
      <c r="AUS231" s="1864"/>
      <c r="AUT231" s="1864"/>
      <c r="AUU231" s="1864"/>
      <c r="AUV231" s="1864"/>
      <c r="AUW231" s="1864"/>
      <c r="AUX231" s="1864"/>
      <c r="AUY231" s="1864"/>
      <c r="AUZ231" s="1864"/>
      <c r="AVA231" s="1864"/>
      <c r="AVB231" s="1864"/>
      <c r="AVC231" s="1864"/>
      <c r="AVD231" s="1864"/>
      <c r="AVE231" s="1864"/>
      <c r="AVF231" s="1864"/>
      <c r="AVG231" s="1864"/>
      <c r="AVH231" s="1864"/>
      <c r="AVI231" s="1864"/>
      <c r="AVJ231" s="1864"/>
      <c r="AVK231" s="1864"/>
      <c r="AVL231" s="1864"/>
      <c r="AVM231" s="1864"/>
      <c r="AVN231" s="1864"/>
      <c r="AVO231" s="1864"/>
      <c r="AVP231" s="1864"/>
      <c r="AVQ231" s="1864"/>
      <c r="AVR231" s="1864"/>
      <c r="AVS231" s="1864"/>
      <c r="AVT231" s="1864"/>
      <c r="AVU231" s="1864"/>
      <c r="AVV231" s="1864"/>
      <c r="AVW231" s="1864"/>
      <c r="AVX231" s="1864"/>
      <c r="AVY231" s="1864"/>
      <c r="AVZ231" s="1864"/>
      <c r="AWA231" s="1864"/>
      <c r="AWB231" s="1864"/>
      <c r="AWC231" s="1864"/>
      <c r="AWD231" s="1864"/>
      <c r="AWE231" s="1864"/>
      <c r="AWF231" s="1864"/>
      <c r="AWG231" s="1864"/>
      <c r="AWH231" s="1864"/>
      <c r="AWI231" s="1864"/>
      <c r="AWJ231" s="1864"/>
      <c r="AWK231" s="1864"/>
      <c r="AWL231" s="1864"/>
      <c r="AWM231" s="1864"/>
      <c r="AWN231" s="1864"/>
      <c r="AWO231" s="1864"/>
      <c r="AWP231" s="1864"/>
      <c r="AWQ231" s="1864"/>
    </row>
    <row r="232" spans="1:1291" s="1868" customFormat="1" ht="15" customHeight="1" x14ac:dyDescent="0.2">
      <c r="A232" s="1964"/>
      <c r="B232" s="1999"/>
      <c r="C232" s="1818" t="s">
        <v>577</v>
      </c>
      <c r="D232" s="1885"/>
      <c r="E232" s="1984"/>
      <c r="F232" s="1838">
        <v>0</v>
      </c>
      <c r="G232" s="1804">
        <v>0</v>
      </c>
      <c r="H232" s="1804">
        <v>0</v>
      </c>
      <c r="I232" s="1804">
        <v>0</v>
      </c>
      <c r="J232" s="1804">
        <v>0</v>
      </c>
      <c r="K232" s="1804">
        <v>0</v>
      </c>
      <c r="L232" s="1804">
        <v>0</v>
      </c>
      <c r="M232" s="1804">
        <v>0</v>
      </c>
      <c r="N232" s="1804">
        <v>0</v>
      </c>
      <c r="O232" s="1804">
        <v>0</v>
      </c>
      <c r="P232" s="1804">
        <v>0</v>
      </c>
      <c r="Q232" s="1804">
        <v>0</v>
      </c>
      <c r="R232" s="1804">
        <v>0</v>
      </c>
      <c r="S232" s="1804">
        <v>0</v>
      </c>
      <c r="T232" s="1804">
        <v>0</v>
      </c>
      <c r="U232" s="1804">
        <v>0</v>
      </c>
      <c r="V232" s="1804">
        <v>0</v>
      </c>
      <c r="W232" s="1804">
        <v>0</v>
      </c>
      <c r="X232" s="1804">
        <v>0</v>
      </c>
      <c r="Y232" s="1804">
        <v>0</v>
      </c>
      <c r="Z232" s="1804">
        <v>0</v>
      </c>
      <c r="AA232" s="1804">
        <v>0</v>
      </c>
      <c r="AB232" s="1804">
        <v>0</v>
      </c>
      <c r="AC232" s="1804">
        <v>0</v>
      </c>
      <c r="AD232" s="1804">
        <v>0</v>
      </c>
      <c r="AE232" s="1804">
        <v>0</v>
      </c>
      <c r="AF232" s="1804">
        <v>0</v>
      </c>
      <c r="AG232" s="1804">
        <v>0</v>
      </c>
      <c r="AH232" s="1804">
        <v>0</v>
      </c>
      <c r="AI232" s="1804">
        <v>0</v>
      </c>
      <c r="AJ232" s="1804">
        <v>0</v>
      </c>
      <c r="AK232" s="1804">
        <v>0</v>
      </c>
      <c r="AL232" s="1804">
        <v>0</v>
      </c>
      <c r="AM232" s="1804">
        <v>0</v>
      </c>
      <c r="AN232" s="1804">
        <v>0</v>
      </c>
      <c r="AO232" s="1804">
        <v>0</v>
      </c>
      <c r="AP232" s="1804">
        <v>0</v>
      </c>
      <c r="AQ232" s="1804">
        <v>0</v>
      </c>
      <c r="AR232" s="1804">
        <v>0</v>
      </c>
      <c r="AS232" s="1804">
        <v>0</v>
      </c>
      <c r="AT232" s="1804">
        <v>0</v>
      </c>
      <c r="AU232" s="1804">
        <v>0</v>
      </c>
      <c r="AV232" s="1804">
        <v>0</v>
      </c>
      <c r="AW232" s="1804">
        <v>0</v>
      </c>
      <c r="AX232" s="1804">
        <v>0</v>
      </c>
      <c r="AY232" s="1804">
        <v>0</v>
      </c>
      <c r="AZ232" s="1804">
        <v>0</v>
      </c>
      <c r="BA232" s="1804">
        <v>0</v>
      </c>
      <c r="BB232" s="1804">
        <v>0</v>
      </c>
      <c r="BC232" s="1804">
        <v>0</v>
      </c>
      <c r="BD232" s="1804">
        <v>0</v>
      </c>
      <c r="BE232" s="1804">
        <v>0</v>
      </c>
      <c r="BF232" s="1804">
        <v>0</v>
      </c>
      <c r="BG232" s="1804">
        <v>0</v>
      </c>
      <c r="BH232" s="1804">
        <v>0</v>
      </c>
      <c r="BI232" s="1804">
        <v>0</v>
      </c>
      <c r="BJ232" s="1804">
        <v>0</v>
      </c>
      <c r="BK232" s="1804">
        <v>0</v>
      </c>
      <c r="BL232" s="1804">
        <v>0</v>
      </c>
      <c r="BM232" s="1804">
        <v>0</v>
      </c>
      <c r="BN232" s="1804">
        <v>0</v>
      </c>
      <c r="BO232" s="1804">
        <v>0</v>
      </c>
      <c r="BP232" s="1804">
        <v>0</v>
      </c>
      <c r="BQ232" s="1804">
        <v>0</v>
      </c>
      <c r="BR232" s="1804">
        <v>0</v>
      </c>
      <c r="BS232" s="1804">
        <v>0</v>
      </c>
      <c r="BT232" s="1804">
        <v>0</v>
      </c>
      <c r="BU232" s="1804">
        <v>0</v>
      </c>
      <c r="BV232" s="1804">
        <v>0</v>
      </c>
      <c r="BW232" s="1804">
        <v>0</v>
      </c>
      <c r="BX232" s="1804">
        <v>0</v>
      </c>
      <c r="BY232" s="1804">
        <v>0</v>
      </c>
      <c r="BZ232" s="1804">
        <v>0</v>
      </c>
      <c r="CA232" s="1804">
        <v>0</v>
      </c>
      <c r="CB232" s="1804">
        <v>0</v>
      </c>
      <c r="CC232" s="1804">
        <v>0</v>
      </c>
      <c r="CD232" s="1804">
        <v>0</v>
      </c>
      <c r="CE232" s="1804">
        <v>0</v>
      </c>
      <c r="CF232" s="1804">
        <v>0</v>
      </c>
      <c r="CG232" s="1804">
        <v>0</v>
      </c>
      <c r="CH232" s="1804">
        <v>0</v>
      </c>
      <c r="CI232" s="1804">
        <v>0</v>
      </c>
      <c r="CJ232" s="1804">
        <v>0</v>
      </c>
      <c r="CK232" s="1804">
        <v>0</v>
      </c>
      <c r="CL232" s="1804">
        <v>0</v>
      </c>
      <c r="CM232" s="1804">
        <v>0</v>
      </c>
      <c r="CN232" s="1804">
        <v>0</v>
      </c>
      <c r="CO232" s="1804">
        <v>0</v>
      </c>
      <c r="CP232" s="1804">
        <v>0</v>
      </c>
      <c r="CQ232" s="1804">
        <v>0</v>
      </c>
      <c r="CR232" s="1804">
        <v>0</v>
      </c>
      <c r="CS232" s="1804">
        <v>0</v>
      </c>
      <c r="CT232" s="1804">
        <v>0</v>
      </c>
      <c r="CU232" s="1804">
        <v>0</v>
      </c>
      <c r="CV232" s="1804">
        <v>0</v>
      </c>
      <c r="CW232" s="1804">
        <v>0</v>
      </c>
      <c r="CX232" s="1804">
        <v>0</v>
      </c>
      <c r="CY232" s="1804">
        <v>0</v>
      </c>
      <c r="CZ232" s="1804">
        <v>0</v>
      </c>
      <c r="DA232" s="1804">
        <v>0</v>
      </c>
      <c r="DB232" s="1804">
        <v>0</v>
      </c>
      <c r="DC232" s="1804">
        <v>0</v>
      </c>
      <c r="DD232" s="1804">
        <v>0</v>
      </c>
      <c r="DE232" s="1804">
        <v>0</v>
      </c>
      <c r="DF232" s="1804">
        <v>0</v>
      </c>
      <c r="DG232" s="1804">
        <v>0</v>
      </c>
      <c r="DH232" s="1804">
        <v>0</v>
      </c>
      <c r="DI232" s="1804">
        <v>0</v>
      </c>
      <c r="DJ232" s="1804">
        <v>0</v>
      </c>
      <c r="DK232" s="1804">
        <v>0</v>
      </c>
      <c r="DL232" s="1804">
        <v>0</v>
      </c>
      <c r="DM232" s="1804">
        <v>0</v>
      </c>
      <c r="DN232" s="1804">
        <v>0</v>
      </c>
      <c r="DO232" s="1804">
        <v>0</v>
      </c>
      <c r="DP232" s="1804">
        <v>0</v>
      </c>
      <c r="DQ232" s="1804">
        <v>0</v>
      </c>
      <c r="DR232" s="1804">
        <v>0</v>
      </c>
      <c r="DS232" s="1804">
        <v>0</v>
      </c>
      <c r="DT232" s="1804">
        <v>0</v>
      </c>
      <c r="DU232" s="1804">
        <v>0</v>
      </c>
      <c r="DV232" s="1804">
        <v>0</v>
      </c>
      <c r="DW232" s="1804">
        <v>0</v>
      </c>
      <c r="DX232" s="1804">
        <v>0</v>
      </c>
      <c r="DY232" s="1804">
        <v>0</v>
      </c>
      <c r="DZ232" s="1804">
        <v>0</v>
      </c>
      <c r="EA232" s="1804">
        <v>0</v>
      </c>
      <c r="EB232" s="1804">
        <v>0</v>
      </c>
      <c r="EC232" s="1804">
        <v>0</v>
      </c>
      <c r="ED232" s="1804">
        <v>0</v>
      </c>
      <c r="EE232" s="1804">
        <v>0</v>
      </c>
      <c r="EF232" s="1804">
        <v>0</v>
      </c>
      <c r="EG232" s="1804">
        <v>0</v>
      </c>
      <c r="EH232" s="1804">
        <v>0</v>
      </c>
      <c r="EI232" s="1804">
        <v>0</v>
      </c>
      <c r="EJ232" s="1804">
        <v>0</v>
      </c>
      <c r="EK232" s="1804">
        <v>0</v>
      </c>
      <c r="EL232" s="1804">
        <v>0</v>
      </c>
      <c r="EM232" s="1804">
        <v>0</v>
      </c>
      <c r="EN232" s="1804">
        <v>0</v>
      </c>
      <c r="EO232" s="1804">
        <v>0</v>
      </c>
      <c r="EP232" s="1804">
        <v>0</v>
      </c>
      <c r="EQ232" s="1804">
        <v>0</v>
      </c>
      <c r="ER232" s="1804">
        <v>0</v>
      </c>
      <c r="ES232" s="1804">
        <v>0</v>
      </c>
      <c r="ET232" s="1804">
        <v>0</v>
      </c>
      <c r="EU232" s="1804">
        <v>0</v>
      </c>
      <c r="EV232" s="1804">
        <v>0</v>
      </c>
      <c r="EW232" s="1804">
        <v>0</v>
      </c>
      <c r="EX232" s="1804">
        <v>0</v>
      </c>
      <c r="EY232" s="1804">
        <v>0</v>
      </c>
      <c r="EZ232" s="1804">
        <v>0</v>
      </c>
      <c r="FA232" s="1804">
        <v>0</v>
      </c>
      <c r="FB232" s="1804">
        <v>0</v>
      </c>
      <c r="FC232" s="1804">
        <v>0</v>
      </c>
      <c r="FD232" s="1804">
        <v>0</v>
      </c>
      <c r="FE232" s="1804">
        <v>0</v>
      </c>
      <c r="FF232" s="1804">
        <v>0</v>
      </c>
      <c r="FG232" s="1804">
        <v>0</v>
      </c>
      <c r="FH232" s="1804">
        <v>0</v>
      </c>
      <c r="FI232" s="1804">
        <v>0</v>
      </c>
      <c r="FJ232" s="1804">
        <v>0</v>
      </c>
      <c r="FK232" s="1804">
        <v>0</v>
      </c>
      <c r="FL232" s="1804">
        <v>0</v>
      </c>
      <c r="FM232" s="1804">
        <v>0</v>
      </c>
      <c r="FN232" s="1804">
        <v>0</v>
      </c>
      <c r="FO232" s="1804">
        <v>0</v>
      </c>
      <c r="FP232" s="1804">
        <v>0</v>
      </c>
      <c r="FQ232" s="1804">
        <v>0</v>
      </c>
      <c r="FR232" s="1804">
        <v>0</v>
      </c>
      <c r="FS232" s="1804">
        <v>0</v>
      </c>
      <c r="FT232" s="1804">
        <v>0</v>
      </c>
      <c r="FU232" s="1804">
        <v>0</v>
      </c>
      <c r="FV232" s="1804">
        <v>0</v>
      </c>
      <c r="FW232" s="1804">
        <v>0</v>
      </c>
      <c r="FX232" s="1804">
        <v>0</v>
      </c>
      <c r="FY232" s="1804">
        <v>0</v>
      </c>
      <c r="FZ232" s="1804">
        <v>0</v>
      </c>
      <c r="GA232" s="1804">
        <v>0</v>
      </c>
      <c r="GB232" s="1804">
        <v>0</v>
      </c>
      <c r="GC232" s="1804">
        <v>0</v>
      </c>
      <c r="GD232" s="1804">
        <v>0</v>
      </c>
      <c r="GE232" s="1804">
        <v>0</v>
      </c>
      <c r="GF232" s="1804">
        <v>0</v>
      </c>
      <c r="GG232" s="1804">
        <v>0</v>
      </c>
      <c r="GH232" s="1804">
        <v>0</v>
      </c>
      <c r="GI232" s="1804">
        <v>0</v>
      </c>
      <c r="GJ232" s="1804">
        <v>0</v>
      </c>
      <c r="GK232" s="1804">
        <v>0</v>
      </c>
      <c r="GL232" s="1804">
        <v>0</v>
      </c>
      <c r="GM232" s="1804">
        <v>0</v>
      </c>
      <c r="GN232" s="1804">
        <v>0</v>
      </c>
      <c r="GO232" s="1804">
        <v>0</v>
      </c>
      <c r="GP232" s="1804">
        <v>0</v>
      </c>
      <c r="GQ232" s="1804">
        <v>0</v>
      </c>
      <c r="GR232" s="1804">
        <v>0</v>
      </c>
      <c r="GS232" s="1804">
        <v>0</v>
      </c>
      <c r="GT232" s="1804">
        <v>0</v>
      </c>
      <c r="GU232" s="1804">
        <v>0</v>
      </c>
      <c r="GV232" s="1804">
        <v>0</v>
      </c>
      <c r="GW232" s="1804">
        <v>0</v>
      </c>
      <c r="GX232" s="1804">
        <v>0</v>
      </c>
      <c r="GY232" s="1804">
        <v>0</v>
      </c>
      <c r="GZ232" s="1804">
        <v>0</v>
      </c>
      <c r="HA232" s="1804">
        <v>0</v>
      </c>
      <c r="HB232" s="1804">
        <v>0</v>
      </c>
      <c r="HC232" s="1804">
        <v>0</v>
      </c>
      <c r="HD232" s="1804">
        <v>0</v>
      </c>
      <c r="HE232" s="1804">
        <v>0</v>
      </c>
      <c r="HF232" s="1864"/>
      <c r="HG232" s="1864"/>
      <c r="HH232" s="1864"/>
      <c r="HI232" s="1864"/>
      <c r="HJ232" s="1864"/>
      <c r="HK232" s="1864"/>
      <c r="HL232" s="1864"/>
      <c r="HM232" s="1864"/>
      <c r="HN232" s="1864"/>
      <c r="HO232" s="1864"/>
      <c r="HP232" s="1864"/>
      <c r="HQ232" s="1864"/>
      <c r="HR232" s="1864"/>
      <c r="HS232" s="1864"/>
      <c r="HT232" s="1864"/>
      <c r="HU232" s="1864"/>
      <c r="HV232" s="1864"/>
      <c r="HW232" s="1864"/>
      <c r="HX232" s="1864"/>
      <c r="HY232" s="1864"/>
      <c r="HZ232" s="1864"/>
      <c r="IA232" s="1864"/>
      <c r="IB232" s="1864"/>
      <c r="IC232" s="1864"/>
      <c r="ID232" s="1864"/>
      <c r="IE232" s="1864"/>
      <c r="IF232" s="1864"/>
      <c r="IG232" s="1864"/>
      <c r="IH232" s="1864"/>
      <c r="II232" s="1864"/>
      <c r="IJ232" s="1864"/>
      <c r="IK232" s="1864"/>
      <c r="IL232" s="1864"/>
      <c r="IM232" s="1864"/>
      <c r="IN232" s="1864"/>
      <c r="IO232" s="1864"/>
      <c r="IP232" s="1864"/>
      <c r="IQ232" s="1864"/>
      <c r="IR232" s="1864"/>
      <c r="IS232" s="1864"/>
      <c r="IT232" s="1864"/>
      <c r="IU232" s="1864"/>
      <c r="IV232" s="1864"/>
      <c r="IW232" s="1864"/>
      <c r="IX232" s="1864"/>
      <c r="IY232" s="1864"/>
      <c r="IZ232" s="1864"/>
      <c r="JA232" s="1864"/>
      <c r="JB232" s="1864"/>
      <c r="JC232" s="1864"/>
      <c r="JD232" s="1864"/>
      <c r="JE232" s="1864"/>
      <c r="JF232" s="1864"/>
      <c r="JG232" s="1864"/>
      <c r="JH232" s="1864"/>
      <c r="JI232" s="1864"/>
      <c r="JJ232" s="1864"/>
      <c r="JK232" s="1864"/>
      <c r="JL232" s="1864"/>
      <c r="JM232" s="1864"/>
      <c r="JN232" s="1864"/>
      <c r="JO232" s="1864"/>
      <c r="JP232" s="1864"/>
      <c r="JQ232" s="1864"/>
      <c r="JR232" s="1864"/>
      <c r="JS232" s="1864"/>
      <c r="JT232" s="1864"/>
      <c r="JU232" s="1864"/>
      <c r="JV232" s="1864"/>
      <c r="JW232" s="1864"/>
      <c r="JX232" s="1864"/>
      <c r="JY232" s="1864"/>
      <c r="JZ232" s="1864"/>
      <c r="KA232" s="1864"/>
      <c r="KB232" s="1864"/>
      <c r="KC232" s="1864"/>
      <c r="KD232" s="1864"/>
      <c r="KE232" s="1864"/>
      <c r="KF232" s="1864"/>
      <c r="KG232" s="1864"/>
      <c r="KH232" s="1864"/>
      <c r="KI232" s="1864"/>
      <c r="KJ232" s="1864"/>
      <c r="KK232" s="1864"/>
      <c r="KL232" s="1864"/>
      <c r="KM232" s="1864"/>
      <c r="KN232" s="1864"/>
      <c r="KO232" s="1864"/>
      <c r="KP232" s="1864"/>
      <c r="KQ232" s="1864"/>
      <c r="KR232" s="1864"/>
      <c r="KS232" s="1864"/>
      <c r="KT232" s="1864"/>
      <c r="KU232" s="1864"/>
      <c r="KV232" s="1864"/>
      <c r="KW232" s="1864"/>
      <c r="KX232" s="1864"/>
      <c r="KY232" s="1864"/>
      <c r="KZ232" s="1864"/>
      <c r="LA232" s="1864"/>
      <c r="LB232" s="1864"/>
      <c r="LC232" s="1864"/>
      <c r="LD232" s="1864"/>
      <c r="LE232" s="1864"/>
      <c r="LF232" s="1864"/>
      <c r="LG232" s="1864"/>
      <c r="LH232" s="1864"/>
      <c r="LI232" s="1864"/>
      <c r="LJ232" s="1864"/>
      <c r="LK232" s="1864"/>
      <c r="LL232" s="1864"/>
      <c r="LM232" s="1864"/>
      <c r="LN232" s="1864"/>
      <c r="LO232" s="1864"/>
      <c r="LP232" s="1864"/>
      <c r="LQ232" s="1864"/>
      <c r="LR232" s="1864"/>
      <c r="LS232" s="1864"/>
      <c r="LT232" s="1864"/>
      <c r="LU232" s="1864"/>
      <c r="LV232" s="1864"/>
      <c r="LW232" s="1864"/>
      <c r="LX232" s="1864"/>
      <c r="LY232" s="1864"/>
      <c r="LZ232" s="1864"/>
      <c r="MA232" s="1864"/>
      <c r="MB232" s="1864"/>
      <c r="MC232" s="1864"/>
      <c r="MD232" s="1864"/>
      <c r="ME232" s="1864"/>
      <c r="MF232" s="1864"/>
      <c r="MG232" s="1864"/>
      <c r="MH232" s="1864"/>
      <c r="MI232" s="1864"/>
      <c r="MJ232" s="1864"/>
      <c r="MK232" s="1864"/>
      <c r="ML232" s="1864"/>
      <c r="MM232" s="1864"/>
      <c r="MN232" s="1864"/>
      <c r="MO232" s="1864"/>
      <c r="MP232" s="1864"/>
      <c r="MQ232" s="1864"/>
      <c r="MR232" s="1864"/>
      <c r="MS232" s="1864"/>
      <c r="MT232" s="1864"/>
      <c r="MU232" s="1864"/>
      <c r="MV232" s="1864"/>
      <c r="MW232" s="1864"/>
      <c r="MX232" s="1864"/>
      <c r="MY232" s="1864"/>
      <c r="MZ232" s="1864"/>
      <c r="NA232" s="1864"/>
      <c r="NB232" s="1864"/>
      <c r="NC232" s="1864"/>
      <c r="ND232" s="1864"/>
      <c r="NE232" s="1864"/>
      <c r="NF232" s="1864"/>
      <c r="NG232" s="1864"/>
      <c r="NH232" s="1864"/>
      <c r="NI232" s="1864"/>
      <c r="NJ232" s="1864"/>
      <c r="NK232" s="1864"/>
      <c r="NL232" s="1864"/>
      <c r="NM232" s="1864"/>
      <c r="NN232" s="1864"/>
      <c r="NO232" s="1864"/>
      <c r="NP232" s="1864"/>
      <c r="NQ232" s="1864"/>
      <c r="NR232" s="1864"/>
      <c r="NS232" s="1864"/>
      <c r="NT232" s="1864"/>
      <c r="NU232" s="1864"/>
      <c r="NV232" s="1864"/>
      <c r="NW232" s="1864"/>
      <c r="NX232" s="1864"/>
      <c r="NY232" s="1864"/>
      <c r="NZ232" s="1864"/>
      <c r="OA232" s="1864"/>
      <c r="OB232" s="1864"/>
      <c r="OC232" s="1864"/>
      <c r="OD232" s="1864"/>
      <c r="OE232" s="1864"/>
      <c r="OF232" s="1864"/>
      <c r="OG232" s="1864"/>
      <c r="OH232" s="1864"/>
      <c r="OI232" s="1864"/>
      <c r="OJ232" s="1864"/>
      <c r="OK232" s="1864"/>
      <c r="OL232" s="1864"/>
      <c r="OM232" s="1864"/>
      <c r="ON232" s="1864"/>
      <c r="OO232" s="1864"/>
      <c r="OP232" s="1864"/>
      <c r="OQ232" s="1864"/>
      <c r="OR232" s="1864"/>
      <c r="OS232" s="1864"/>
      <c r="OT232" s="1864"/>
      <c r="OU232" s="1864"/>
      <c r="OV232" s="1864"/>
      <c r="OW232" s="1864"/>
      <c r="OX232" s="1864"/>
      <c r="OY232" s="1864"/>
      <c r="OZ232" s="1864"/>
      <c r="PA232" s="1864"/>
      <c r="PB232" s="1864"/>
      <c r="PC232" s="1864"/>
      <c r="PD232" s="1864"/>
      <c r="PE232" s="1864"/>
      <c r="PF232" s="1864"/>
      <c r="PG232" s="1864"/>
      <c r="PH232" s="1864"/>
      <c r="PI232" s="1864"/>
      <c r="PJ232" s="1864"/>
      <c r="PK232" s="1864"/>
      <c r="PL232" s="1864"/>
      <c r="PM232" s="1864"/>
      <c r="PN232" s="1864"/>
      <c r="PO232" s="1864"/>
      <c r="PP232" s="1864"/>
      <c r="PQ232" s="1864"/>
      <c r="PR232" s="1864"/>
      <c r="PS232" s="1864"/>
      <c r="PT232" s="1864"/>
      <c r="PU232" s="1864"/>
      <c r="PV232" s="1864"/>
      <c r="PW232" s="1864"/>
      <c r="PX232" s="1864"/>
      <c r="PY232" s="1864"/>
      <c r="PZ232" s="1864"/>
      <c r="QA232" s="1864"/>
      <c r="QB232" s="1864"/>
      <c r="QC232" s="1864"/>
      <c r="QD232" s="1864"/>
      <c r="QE232" s="1864"/>
      <c r="QF232" s="1864"/>
      <c r="QG232" s="1864"/>
      <c r="QH232" s="1864"/>
      <c r="QI232" s="1864"/>
      <c r="QJ232" s="1864"/>
      <c r="QK232" s="1864"/>
      <c r="QL232" s="1864"/>
      <c r="QM232" s="1864"/>
      <c r="QN232" s="1864"/>
      <c r="QO232" s="1864"/>
      <c r="QP232" s="1864"/>
      <c r="QQ232" s="1864"/>
      <c r="QR232" s="1864"/>
      <c r="QS232" s="1864"/>
      <c r="QT232" s="1864"/>
      <c r="QU232" s="1864"/>
      <c r="QV232" s="1864"/>
      <c r="QW232" s="1864"/>
      <c r="QX232" s="1864"/>
      <c r="QY232" s="1864"/>
      <c r="QZ232" s="1864"/>
      <c r="RA232" s="1864"/>
      <c r="RB232" s="1864"/>
      <c r="RC232" s="1864"/>
      <c r="RD232" s="1864"/>
      <c r="RE232" s="1864"/>
      <c r="RF232" s="1864"/>
      <c r="RG232" s="1864"/>
      <c r="RH232" s="1864"/>
      <c r="RI232" s="1864"/>
      <c r="RJ232" s="1864"/>
      <c r="RK232" s="1864"/>
      <c r="RL232" s="1864"/>
      <c r="RM232" s="1864"/>
      <c r="RN232" s="1864"/>
      <c r="RO232" s="1864"/>
      <c r="RP232" s="1864"/>
      <c r="RQ232" s="1864"/>
      <c r="RR232" s="1864"/>
      <c r="RS232" s="1864"/>
      <c r="RT232" s="1864"/>
      <c r="RU232" s="1864"/>
      <c r="RV232" s="1864"/>
      <c r="RW232" s="1864"/>
      <c r="RX232" s="1864"/>
      <c r="RY232" s="1864"/>
      <c r="RZ232" s="1864"/>
      <c r="SA232" s="1864"/>
      <c r="SB232" s="1864"/>
      <c r="SC232" s="1864"/>
      <c r="SD232" s="1864"/>
      <c r="SE232" s="1864"/>
      <c r="SF232" s="1864"/>
      <c r="SG232" s="1864"/>
      <c r="SH232" s="1864"/>
      <c r="SI232" s="1864"/>
      <c r="SJ232" s="1864"/>
      <c r="SK232" s="1864"/>
      <c r="SL232" s="1864"/>
      <c r="SM232" s="1864"/>
      <c r="SN232" s="1864"/>
      <c r="SO232" s="1864"/>
      <c r="SP232" s="1864"/>
      <c r="SQ232" s="1864"/>
      <c r="SR232" s="1864"/>
      <c r="SS232" s="1864"/>
      <c r="ST232" s="1864"/>
      <c r="SU232" s="1864"/>
      <c r="SV232" s="1864"/>
      <c r="SW232" s="1864"/>
      <c r="SX232" s="1864"/>
      <c r="SY232" s="1864"/>
      <c r="SZ232" s="1864"/>
      <c r="TA232" s="1864"/>
      <c r="TB232" s="1864"/>
      <c r="TC232" s="1864"/>
      <c r="TD232" s="1864"/>
      <c r="TE232" s="1864"/>
      <c r="TF232" s="1864"/>
      <c r="TG232" s="1864"/>
      <c r="TH232" s="1864"/>
      <c r="TI232" s="1864"/>
      <c r="TJ232" s="1864"/>
      <c r="TK232" s="1864"/>
      <c r="TL232" s="1864"/>
      <c r="TM232" s="1864"/>
      <c r="TN232" s="1864"/>
      <c r="TO232" s="1864"/>
      <c r="TP232" s="1864"/>
      <c r="TQ232" s="1864"/>
      <c r="TR232" s="1864"/>
      <c r="TS232" s="1864"/>
      <c r="TT232" s="1864"/>
      <c r="TU232" s="1864"/>
      <c r="TV232" s="1864"/>
      <c r="TW232" s="1864"/>
      <c r="TX232" s="1864"/>
      <c r="TY232" s="1864"/>
      <c r="TZ232" s="1864"/>
      <c r="UA232" s="1864"/>
      <c r="UB232" s="1864"/>
      <c r="UC232" s="1864"/>
      <c r="UD232" s="1864"/>
      <c r="UE232" s="1864"/>
      <c r="UF232" s="1864"/>
      <c r="UG232" s="1864"/>
      <c r="UH232" s="1864"/>
      <c r="UI232" s="1864"/>
      <c r="UJ232" s="1864"/>
      <c r="UK232" s="1864"/>
      <c r="UL232" s="1864"/>
      <c r="UM232" s="1864"/>
      <c r="UN232" s="1864"/>
      <c r="UO232" s="1864"/>
      <c r="UP232" s="1864"/>
      <c r="UQ232" s="1864"/>
      <c r="UR232" s="1864"/>
      <c r="US232" s="1864"/>
      <c r="UT232" s="1864"/>
      <c r="UU232" s="1864"/>
      <c r="UV232" s="1864"/>
      <c r="UW232" s="1864"/>
      <c r="UX232" s="1864"/>
      <c r="UY232" s="1864"/>
      <c r="UZ232" s="1864"/>
      <c r="VA232" s="1864"/>
      <c r="VB232" s="1864"/>
      <c r="VC232" s="1864"/>
      <c r="VD232" s="1864"/>
      <c r="VE232" s="1864"/>
      <c r="VF232" s="1864"/>
      <c r="VG232" s="1864"/>
      <c r="VH232" s="1864"/>
      <c r="VI232" s="1864"/>
      <c r="VJ232" s="1864"/>
      <c r="VK232" s="1864"/>
      <c r="VL232" s="1864"/>
      <c r="VM232" s="1864"/>
      <c r="VN232" s="1864"/>
      <c r="VO232" s="1864"/>
      <c r="VP232" s="1864"/>
      <c r="VQ232" s="1864"/>
      <c r="VR232" s="1864"/>
      <c r="VS232" s="1864"/>
      <c r="VT232" s="1864"/>
      <c r="VU232" s="1864"/>
      <c r="VV232" s="1864"/>
      <c r="VW232" s="1864"/>
      <c r="VX232" s="1864"/>
      <c r="VY232" s="1864"/>
      <c r="VZ232" s="1864"/>
      <c r="WA232" s="1864"/>
      <c r="WB232" s="1864"/>
      <c r="WC232" s="1864"/>
      <c r="WD232" s="1864"/>
      <c r="WE232" s="1864"/>
      <c r="WF232" s="1864"/>
      <c r="WG232" s="1864"/>
      <c r="WH232" s="1864"/>
      <c r="WI232" s="1864"/>
      <c r="WJ232" s="1864"/>
      <c r="WK232" s="1864"/>
      <c r="WL232" s="1864"/>
      <c r="WM232" s="1864"/>
      <c r="WN232" s="1864"/>
      <c r="WO232" s="1864"/>
      <c r="WP232" s="1864"/>
      <c r="WQ232" s="1864"/>
      <c r="WR232" s="1864"/>
      <c r="WS232" s="1864"/>
      <c r="WT232" s="1864"/>
      <c r="WU232" s="1864"/>
      <c r="WV232" s="1864"/>
      <c r="WW232" s="1864"/>
      <c r="WX232" s="1864"/>
      <c r="WY232" s="1864"/>
      <c r="WZ232" s="1864"/>
      <c r="XA232" s="1864"/>
      <c r="XB232" s="1864"/>
      <c r="XC232" s="1864"/>
      <c r="XD232" s="1864"/>
      <c r="XE232" s="1864"/>
      <c r="XF232" s="1864"/>
      <c r="XG232" s="1864"/>
      <c r="XH232" s="1864"/>
      <c r="XI232" s="1864"/>
      <c r="XJ232" s="1864"/>
      <c r="XK232" s="1864"/>
      <c r="XL232" s="1864"/>
      <c r="XM232" s="1864"/>
      <c r="XN232" s="1864"/>
      <c r="XO232" s="1864"/>
      <c r="XP232" s="1864"/>
      <c r="XQ232" s="1864"/>
      <c r="XR232" s="1864"/>
      <c r="XS232" s="1864"/>
      <c r="XT232" s="1864"/>
      <c r="XU232" s="1864"/>
      <c r="XV232" s="1864"/>
      <c r="XW232" s="1864"/>
      <c r="XX232" s="1864"/>
      <c r="XY232" s="1864"/>
      <c r="XZ232" s="1864"/>
      <c r="YA232" s="1864"/>
      <c r="YB232" s="1864"/>
      <c r="YC232" s="1864"/>
      <c r="YD232" s="1864"/>
      <c r="YE232" s="1864"/>
      <c r="YF232" s="1864"/>
      <c r="YG232" s="1864"/>
      <c r="YH232" s="1864"/>
      <c r="YI232" s="1864"/>
      <c r="YJ232" s="1864"/>
      <c r="YK232" s="1864"/>
      <c r="YL232" s="1864"/>
      <c r="YM232" s="1864"/>
      <c r="YN232" s="1864"/>
      <c r="YO232" s="1864"/>
      <c r="YP232" s="1864"/>
      <c r="YQ232" s="1864"/>
      <c r="YR232" s="1864"/>
      <c r="YS232" s="1864"/>
      <c r="YT232" s="1864"/>
      <c r="YU232" s="1864"/>
      <c r="YV232" s="1864"/>
      <c r="YW232" s="1864"/>
      <c r="YX232" s="1864"/>
      <c r="YY232" s="1864"/>
      <c r="YZ232" s="1864"/>
      <c r="ZA232" s="1864"/>
      <c r="ZB232" s="1864"/>
      <c r="ZC232" s="1864"/>
      <c r="ZD232" s="1864"/>
      <c r="ZE232" s="1864"/>
      <c r="ZF232" s="1864"/>
      <c r="ZG232" s="1864"/>
      <c r="ZH232" s="1864"/>
      <c r="ZI232" s="1864"/>
      <c r="ZJ232" s="1864"/>
      <c r="ZK232" s="1864"/>
      <c r="ZL232" s="1864"/>
      <c r="ZM232" s="1864"/>
      <c r="ZN232" s="1864"/>
      <c r="ZO232" s="1864"/>
      <c r="ZP232" s="1864"/>
      <c r="ZQ232" s="1864"/>
      <c r="ZR232" s="1864"/>
      <c r="ZS232" s="1864"/>
      <c r="ZT232" s="1864"/>
      <c r="ZU232" s="1864"/>
      <c r="ZV232" s="1864"/>
      <c r="ZW232" s="1864"/>
      <c r="ZX232" s="1864"/>
      <c r="ZY232" s="1864"/>
      <c r="ZZ232" s="1864"/>
      <c r="AAA232" s="1864"/>
      <c r="AAB232" s="1864"/>
      <c r="AAC232" s="1864"/>
      <c r="AAD232" s="1864"/>
      <c r="AAE232" s="1864"/>
      <c r="AAF232" s="1864"/>
      <c r="AAG232" s="1864"/>
      <c r="AAH232" s="1864"/>
      <c r="AAI232" s="1864"/>
      <c r="AAJ232" s="1864"/>
      <c r="AAK232" s="1864"/>
      <c r="AAL232" s="1864"/>
      <c r="AAM232" s="1864"/>
      <c r="AAN232" s="1864"/>
      <c r="AAO232" s="1864"/>
      <c r="AAP232" s="1864"/>
      <c r="AAQ232" s="1864"/>
      <c r="AAR232" s="1864"/>
      <c r="AAS232" s="1864"/>
      <c r="AAT232" s="1864"/>
      <c r="AAU232" s="1864"/>
      <c r="AAV232" s="1864"/>
      <c r="AAW232" s="1864"/>
      <c r="AAX232" s="1864"/>
      <c r="AAY232" s="1864"/>
      <c r="AAZ232" s="1864"/>
      <c r="ABA232" s="1864"/>
      <c r="ABB232" s="1864"/>
      <c r="ABC232" s="1864"/>
      <c r="ABD232" s="1864"/>
      <c r="ABE232" s="1864"/>
      <c r="ABF232" s="1864"/>
      <c r="ABG232" s="1864"/>
      <c r="ABH232" s="1864"/>
      <c r="ABI232" s="1864"/>
      <c r="ABJ232" s="1864"/>
      <c r="ABK232" s="1864"/>
      <c r="ABL232" s="1864"/>
      <c r="ABM232" s="1864"/>
      <c r="ABN232" s="1864"/>
      <c r="ABO232" s="1864"/>
      <c r="ABP232" s="1864"/>
      <c r="ABQ232" s="1864"/>
      <c r="ABR232" s="1864"/>
      <c r="ABS232" s="1864"/>
      <c r="ABT232" s="1864"/>
      <c r="ABU232" s="1864"/>
      <c r="ABV232" s="1864"/>
      <c r="ABW232" s="1864"/>
      <c r="ABX232" s="1864"/>
      <c r="ABY232" s="1864"/>
      <c r="ABZ232" s="1864"/>
      <c r="ACA232" s="1864"/>
      <c r="ACB232" s="1864"/>
      <c r="ACC232" s="1864"/>
      <c r="ACD232" s="1864"/>
      <c r="ACE232" s="1864"/>
      <c r="ACF232" s="1864"/>
      <c r="ACG232" s="1864"/>
      <c r="ACH232" s="1864"/>
      <c r="ACI232" s="1864"/>
      <c r="ACJ232" s="1864"/>
      <c r="ACK232" s="1864"/>
      <c r="ACL232" s="1864"/>
      <c r="ACM232" s="1864"/>
      <c r="ACN232" s="1864"/>
      <c r="ACO232" s="1864"/>
      <c r="ACP232" s="1864"/>
      <c r="ACQ232" s="1864"/>
      <c r="ACR232" s="1864"/>
      <c r="ACS232" s="1864"/>
      <c r="ACT232" s="1864"/>
      <c r="ACU232" s="1864"/>
      <c r="ACV232" s="1864"/>
      <c r="ACW232" s="1864"/>
      <c r="ACX232" s="1864"/>
      <c r="ACY232" s="1864"/>
      <c r="ACZ232" s="1864"/>
      <c r="ADA232" s="1864"/>
      <c r="ADB232" s="1864"/>
      <c r="ADC232" s="1864"/>
      <c r="ADD232" s="1864"/>
      <c r="ADE232" s="1864"/>
      <c r="ADF232" s="1864"/>
      <c r="ADG232" s="1864"/>
      <c r="ADH232" s="1864"/>
      <c r="ADI232" s="1864"/>
      <c r="ADJ232" s="1864"/>
      <c r="ADK232" s="1864"/>
      <c r="ADL232" s="1864"/>
      <c r="ADM232" s="1864"/>
      <c r="ADN232" s="1864"/>
      <c r="ADO232" s="1864"/>
      <c r="ADP232" s="1864"/>
      <c r="ADQ232" s="1864"/>
      <c r="ADR232" s="1864"/>
      <c r="ADS232" s="1864"/>
      <c r="ADT232" s="1864"/>
      <c r="ADU232" s="1864"/>
      <c r="ADV232" s="1864"/>
      <c r="ADW232" s="1864"/>
      <c r="ADX232" s="1864"/>
      <c r="ADY232" s="1864"/>
      <c r="ADZ232" s="1864"/>
      <c r="AEA232" s="1864"/>
      <c r="AEB232" s="1864"/>
      <c r="AEC232" s="1864"/>
      <c r="AED232" s="1864"/>
      <c r="AEE232" s="1864"/>
      <c r="AEF232" s="1864"/>
      <c r="AEG232" s="1864"/>
      <c r="AEH232" s="1864"/>
      <c r="AEI232" s="1864"/>
      <c r="AEJ232" s="1864"/>
      <c r="AEK232" s="1864"/>
      <c r="AEL232" s="1864"/>
      <c r="AEM232" s="1864"/>
      <c r="AEN232" s="1864"/>
      <c r="AEO232" s="1864"/>
      <c r="AEP232" s="1864"/>
      <c r="AEQ232" s="1864"/>
      <c r="AER232" s="1864"/>
      <c r="AES232" s="1864"/>
      <c r="AET232" s="1864"/>
      <c r="AEU232" s="1864"/>
      <c r="AEV232" s="1864"/>
      <c r="AEW232" s="1864"/>
      <c r="AEX232" s="1864"/>
      <c r="AEY232" s="1864"/>
      <c r="AEZ232" s="1864"/>
      <c r="AFA232" s="1864"/>
      <c r="AFB232" s="1864"/>
      <c r="AFC232" s="1864"/>
      <c r="AFD232" s="1864"/>
      <c r="AFE232" s="1864"/>
      <c r="AFF232" s="1864"/>
      <c r="AFG232" s="1864"/>
      <c r="AFH232" s="1864"/>
      <c r="AFI232" s="1864"/>
      <c r="AFJ232" s="1864"/>
      <c r="AFK232" s="1864"/>
      <c r="AFL232" s="1864"/>
      <c r="AFM232" s="1864"/>
      <c r="AFN232" s="1864"/>
      <c r="AFO232" s="1864"/>
      <c r="AFP232" s="1864"/>
      <c r="AFQ232" s="1864"/>
      <c r="AFR232" s="1864"/>
      <c r="AFS232" s="1864"/>
      <c r="AFT232" s="1864"/>
      <c r="AFU232" s="1864"/>
      <c r="AFV232" s="1864"/>
      <c r="AFW232" s="1864"/>
      <c r="AFX232" s="1864"/>
      <c r="AFY232" s="1864"/>
      <c r="AFZ232" s="1864"/>
      <c r="AGA232" s="1864"/>
      <c r="AGB232" s="1864"/>
      <c r="AGC232" s="1864"/>
      <c r="AGD232" s="1864"/>
      <c r="AGE232" s="1864"/>
      <c r="AGF232" s="1864"/>
      <c r="AGG232" s="1864"/>
      <c r="AGH232" s="1864"/>
      <c r="AGI232" s="1864"/>
      <c r="AGJ232" s="1864"/>
      <c r="AGK232" s="1864"/>
      <c r="AGL232" s="1864"/>
      <c r="AGM232" s="1864"/>
      <c r="AGN232" s="1864"/>
      <c r="AGO232" s="1864"/>
      <c r="AGP232" s="1864"/>
      <c r="AGQ232" s="1864"/>
      <c r="AGR232" s="1864"/>
      <c r="AGS232" s="1864"/>
      <c r="AGT232" s="1864"/>
      <c r="AGU232" s="1864"/>
      <c r="AGV232" s="1864"/>
      <c r="AGW232" s="1864"/>
      <c r="AGX232" s="1864"/>
      <c r="AGY232" s="1864"/>
      <c r="AGZ232" s="1864"/>
      <c r="AHA232" s="1864"/>
      <c r="AHB232" s="1864"/>
      <c r="AHC232" s="1864"/>
      <c r="AHD232" s="1864"/>
      <c r="AHE232" s="1864"/>
      <c r="AHF232" s="1864"/>
      <c r="AHG232" s="1864"/>
      <c r="AHH232" s="1864"/>
      <c r="AHI232" s="1864"/>
      <c r="AHJ232" s="1864"/>
      <c r="AHK232" s="1864"/>
      <c r="AHL232" s="1864"/>
      <c r="AHM232" s="1864"/>
      <c r="AHN232" s="1864"/>
      <c r="AHO232" s="1864"/>
      <c r="AHP232" s="1864"/>
      <c r="AHQ232" s="1864"/>
      <c r="AHR232" s="1864"/>
      <c r="AHS232" s="1864"/>
      <c r="AHT232" s="1864"/>
      <c r="AHU232" s="1864"/>
      <c r="AHV232" s="1864"/>
      <c r="AHW232" s="1864"/>
      <c r="AHX232" s="1864"/>
      <c r="AHY232" s="1864"/>
      <c r="AHZ232" s="1864"/>
      <c r="AIA232" s="1864"/>
      <c r="AIB232" s="1864"/>
      <c r="AIC232" s="1864"/>
      <c r="AID232" s="1864"/>
      <c r="AIE232" s="1864"/>
      <c r="AIF232" s="1864"/>
      <c r="AIG232" s="1864"/>
      <c r="AIH232" s="1864"/>
      <c r="AII232" s="1864"/>
      <c r="AIJ232" s="1864"/>
      <c r="AIK232" s="1864"/>
      <c r="AIL232" s="1864"/>
      <c r="AIM232" s="1864"/>
      <c r="AIN232" s="1864"/>
      <c r="AIO232" s="1864"/>
      <c r="AIP232" s="1864"/>
      <c r="AIQ232" s="1864"/>
      <c r="AIR232" s="1864"/>
      <c r="AIS232" s="1864"/>
      <c r="AIT232" s="1864"/>
      <c r="AIU232" s="1864"/>
      <c r="AIV232" s="1864"/>
      <c r="AIW232" s="1864"/>
      <c r="AIX232" s="1864"/>
      <c r="AIY232" s="1864"/>
      <c r="AIZ232" s="1864"/>
      <c r="AJA232" s="1864"/>
      <c r="AJB232" s="1864"/>
      <c r="AJC232" s="1864"/>
      <c r="AJD232" s="1864"/>
      <c r="AJE232" s="1864"/>
      <c r="AJF232" s="1864"/>
      <c r="AJG232" s="1864"/>
      <c r="AJH232" s="1864"/>
      <c r="AJI232" s="1864"/>
      <c r="AJJ232" s="1864"/>
      <c r="AJK232" s="1864"/>
      <c r="AJL232" s="1864"/>
      <c r="AJM232" s="1864"/>
      <c r="AJN232" s="1864"/>
      <c r="AJO232" s="1864"/>
      <c r="AJP232" s="1864"/>
      <c r="AJQ232" s="1864"/>
      <c r="AJR232" s="1864"/>
      <c r="AJS232" s="1864"/>
      <c r="AJT232" s="1864"/>
      <c r="AJU232" s="1864"/>
      <c r="AJV232" s="1864"/>
      <c r="AJW232" s="1864"/>
      <c r="AJX232" s="1864"/>
      <c r="AJY232" s="1864"/>
      <c r="AJZ232" s="1864"/>
      <c r="AKA232" s="1864"/>
      <c r="AKB232" s="1864"/>
      <c r="AKC232" s="1864"/>
      <c r="AKD232" s="1864"/>
      <c r="AKE232" s="1864"/>
      <c r="AKF232" s="1864"/>
      <c r="AKG232" s="1864"/>
      <c r="AKH232" s="1864"/>
      <c r="AKI232" s="1864"/>
      <c r="AKJ232" s="1864"/>
      <c r="AKK232" s="1864"/>
      <c r="AKL232" s="1864"/>
      <c r="AKM232" s="1864"/>
      <c r="AKN232" s="1864"/>
      <c r="AKO232" s="1864"/>
      <c r="AKP232" s="1864"/>
      <c r="AKQ232" s="1864"/>
      <c r="AKR232" s="1864"/>
      <c r="AKS232" s="1864"/>
      <c r="AKT232" s="1864"/>
      <c r="AKU232" s="1864"/>
      <c r="AKV232" s="1864"/>
      <c r="AKW232" s="1864"/>
      <c r="AKX232" s="1864"/>
      <c r="AKY232" s="1864"/>
      <c r="AKZ232" s="1864"/>
      <c r="ALA232" s="1864"/>
      <c r="ALB232" s="1864"/>
      <c r="ALC232" s="1864"/>
      <c r="ALD232" s="1864"/>
      <c r="ALE232" s="1864"/>
      <c r="ALF232" s="1864"/>
      <c r="ALG232" s="1864"/>
      <c r="ALH232" s="1864"/>
      <c r="ALI232" s="1864"/>
      <c r="ALJ232" s="1864"/>
      <c r="ALK232" s="1864"/>
      <c r="ALL232" s="1864"/>
      <c r="ALM232" s="1864"/>
      <c r="ALN232" s="1864"/>
      <c r="ALO232" s="1864"/>
      <c r="ALP232" s="1864"/>
      <c r="ALQ232" s="1864"/>
      <c r="ALR232" s="1864"/>
      <c r="ALS232" s="1864"/>
      <c r="ALT232" s="1864"/>
      <c r="ALU232" s="1864"/>
      <c r="ALV232" s="1864"/>
      <c r="ALW232" s="1864"/>
      <c r="ALX232" s="1864"/>
      <c r="ALY232" s="1864"/>
      <c r="ALZ232" s="1864"/>
      <c r="AMA232" s="1864"/>
      <c r="AMB232" s="1864"/>
      <c r="AMC232" s="1864"/>
      <c r="AMD232" s="1864"/>
      <c r="AME232" s="1864"/>
      <c r="AMF232" s="1864"/>
      <c r="AMG232" s="1864"/>
      <c r="AMH232" s="1864"/>
      <c r="AMI232" s="1864"/>
      <c r="AMJ232" s="1864"/>
      <c r="AMK232" s="1864"/>
      <c r="AML232" s="1864"/>
      <c r="AMM232" s="1864"/>
      <c r="AMN232" s="1864"/>
      <c r="AMO232" s="1864"/>
      <c r="AMP232" s="1864"/>
      <c r="AMQ232" s="1864"/>
      <c r="AMR232" s="1864"/>
      <c r="AMS232" s="1864"/>
      <c r="AMT232" s="1864"/>
      <c r="AMU232" s="1864"/>
      <c r="AMV232" s="1864"/>
      <c r="AMW232" s="1864"/>
      <c r="AMX232" s="1864"/>
      <c r="AMY232" s="1864"/>
      <c r="AMZ232" s="1864"/>
      <c r="ANA232" s="1864"/>
      <c r="ANB232" s="1864"/>
      <c r="ANC232" s="1864"/>
      <c r="AND232" s="1864"/>
      <c r="ANE232" s="1864"/>
      <c r="ANF232" s="1864"/>
      <c r="ANG232" s="1864"/>
      <c r="ANH232" s="1864"/>
      <c r="ANI232" s="1864"/>
      <c r="ANJ232" s="1864"/>
      <c r="ANK232" s="1864"/>
      <c r="ANL232" s="1864"/>
      <c r="ANM232" s="1864"/>
      <c r="ANN232" s="1864"/>
      <c r="ANO232" s="1864"/>
      <c r="ANP232" s="1864"/>
      <c r="ANQ232" s="1864"/>
      <c r="ANR232" s="1864"/>
      <c r="ANS232" s="1864"/>
      <c r="ANT232" s="1864"/>
      <c r="ANU232" s="1864"/>
      <c r="ANV232" s="1864"/>
      <c r="ANW232" s="1864"/>
      <c r="ANX232" s="1864"/>
      <c r="ANY232" s="1864"/>
      <c r="ANZ232" s="1864"/>
      <c r="AOA232" s="1864"/>
      <c r="AOB232" s="1864"/>
      <c r="AOC232" s="1864"/>
      <c r="AOD232" s="1864"/>
      <c r="AOE232" s="1864"/>
      <c r="AOF232" s="1864"/>
      <c r="AOG232" s="1864"/>
      <c r="AOH232" s="1864"/>
      <c r="AOI232" s="1864"/>
      <c r="AOJ232" s="1864"/>
      <c r="AOK232" s="1864"/>
      <c r="AOL232" s="1864"/>
      <c r="AOM232" s="1864"/>
      <c r="AON232" s="1864"/>
      <c r="AOO232" s="1864"/>
      <c r="AOP232" s="1864"/>
      <c r="AOQ232" s="1864"/>
      <c r="AOR232" s="1864"/>
      <c r="AOS232" s="1864"/>
      <c r="AOT232" s="1864"/>
      <c r="AOU232" s="1864"/>
      <c r="AOV232" s="1864"/>
      <c r="AOW232" s="1864"/>
      <c r="AOX232" s="1864"/>
      <c r="AOY232" s="1864"/>
      <c r="AOZ232" s="1864"/>
      <c r="APA232" s="1864"/>
      <c r="APB232" s="1864"/>
      <c r="APC232" s="1864"/>
      <c r="APD232" s="1864"/>
      <c r="APE232" s="1864"/>
      <c r="APF232" s="1864"/>
      <c r="APG232" s="1864"/>
      <c r="APH232" s="1864"/>
      <c r="API232" s="1864"/>
      <c r="APJ232" s="1864"/>
      <c r="APK232" s="1864"/>
      <c r="APL232" s="1864"/>
      <c r="APM232" s="1864"/>
      <c r="APN232" s="1864"/>
      <c r="APO232" s="1864"/>
      <c r="APP232" s="1864"/>
      <c r="APQ232" s="1864"/>
      <c r="APR232" s="1864"/>
      <c r="APS232" s="1864"/>
      <c r="APT232" s="1864"/>
      <c r="APU232" s="1864"/>
      <c r="APV232" s="1864"/>
      <c r="APW232" s="1864"/>
      <c r="APX232" s="1864"/>
      <c r="APY232" s="1864"/>
      <c r="APZ232" s="1864"/>
      <c r="AQA232" s="1864"/>
      <c r="AQB232" s="1864"/>
      <c r="AQC232" s="1864"/>
      <c r="AQD232" s="1864"/>
      <c r="AQE232" s="1864"/>
      <c r="AQF232" s="1864"/>
      <c r="AQG232" s="1864"/>
      <c r="AQH232" s="1864"/>
      <c r="AQI232" s="1864"/>
      <c r="AQJ232" s="1864"/>
      <c r="AQK232" s="1864"/>
      <c r="AQL232" s="1864"/>
      <c r="AQM232" s="1864"/>
      <c r="AQN232" s="1864"/>
      <c r="AQO232" s="1864"/>
      <c r="AQP232" s="1864"/>
      <c r="AQQ232" s="1864"/>
      <c r="AQR232" s="1864"/>
      <c r="AQS232" s="1864"/>
      <c r="AQT232" s="1864"/>
      <c r="AQU232" s="1864"/>
      <c r="AQV232" s="1864"/>
      <c r="AQW232" s="1864"/>
      <c r="AQX232" s="1864"/>
      <c r="AQY232" s="1864"/>
      <c r="AQZ232" s="1864"/>
      <c r="ARA232" s="1864"/>
      <c r="ARB232" s="1864"/>
      <c r="ARC232" s="1864"/>
      <c r="ARD232" s="1864"/>
      <c r="ARE232" s="1864"/>
      <c r="ARF232" s="1864"/>
      <c r="ARG232" s="1864"/>
      <c r="ARH232" s="1864"/>
      <c r="ARI232" s="1864"/>
      <c r="ARJ232" s="1864"/>
      <c r="ARK232" s="1864"/>
      <c r="ARL232" s="1864"/>
      <c r="ARM232" s="1864"/>
      <c r="ARN232" s="1864"/>
      <c r="ARO232" s="1864"/>
      <c r="ARP232" s="1864"/>
      <c r="ARQ232" s="1864"/>
      <c r="ARR232" s="1864"/>
      <c r="ARS232" s="1864"/>
      <c r="ART232" s="1864"/>
      <c r="ARU232" s="1864"/>
      <c r="ARV232" s="1864"/>
      <c r="ARW232" s="1864"/>
      <c r="ARX232" s="1864"/>
      <c r="ARY232" s="1864"/>
      <c r="ARZ232" s="1864"/>
      <c r="ASA232" s="1864"/>
      <c r="ASB232" s="1864"/>
      <c r="ASC232" s="1864"/>
      <c r="ASD232" s="1864"/>
      <c r="ASE232" s="1864"/>
      <c r="ASF232" s="1864"/>
      <c r="ASG232" s="1864"/>
      <c r="ASH232" s="1864"/>
      <c r="ASI232" s="1864"/>
      <c r="ASJ232" s="1864"/>
      <c r="ASK232" s="1864"/>
      <c r="ASL232" s="1864"/>
      <c r="ASM232" s="1864"/>
      <c r="ASN232" s="1864"/>
      <c r="ASO232" s="1864"/>
      <c r="ASP232" s="1864"/>
      <c r="ASQ232" s="1864"/>
      <c r="ASR232" s="1864"/>
      <c r="ASS232" s="1864"/>
      <c r="AST232" s="1864"/>
      <c r="ASU232" s="1864"/>
      <c r="ASV232" s="1864"/>
      <c r="ASW232" s="1864"/>
      <c r="ASX232" s="1864"/>
      <c r="ASY232" s="1864"/>
      <c r="ASZ232" s="1864"/>
      <c r="ATA232" s="1864"/>
      <c r="ATB232" s="1864"/>
      <c r="ATC232" s="1864"/>
      <c r="ATD232" s="1864"/>
      <c r="ATE232" s="1864"/>
      <c r="ATF232" s="1864"/>
      <c r="ATG232" s="1864"/>
      <c r="ATH232" s="1864"/>
      <c r="ATI232" s="1864"/>
      <c r="ATJ232" s="1864"/>
      <c r="ATK232" s="1864"/>
      <c r="ATL232" s="1864"/>
      <c r="ATM232" s="1864"/>
      <c r="ATN232" s="1864"/>
      <c r="ATO232" s="1864"/>
      <c r="ATP232" s="1864"/>
      <c r="ATQ232" s="1864"/>
      <c r="ATR232" s="1864"/>
      <c r="ATS232" s="1864"/>
      <c r="ATT232" s="1864"/>
      <c r="ATU232" s="1864"/>
      <c r="ATV232" s="1864"/>
      <c r="ATW232" s="1864"/>
      <c r="ATX232" s="1864"/>
      <c r="ATY232" s="1864"/>
      <c r="ATZ232" s="1864"/>
      <c r="AUA232" s="1864"/>
      <c r="AUB232" s="1864"/>
      <c r="AUC232" s="1864"/>
      <c r="AUD232" s="1864"/>
      <c r="AUE232" s="1864"/>
      <c r="AUF232" s="1864"/>
      <c r="AUG232" s="1864"/>
      <c r="AUH232" s="1864"/>
      <c r="AUI232" s="1864"/>
      <c r="AUJ232" s="1864"/>
      <c r="AUK232" s="1864"/>
      <c r="AUL232" s="1864"/>
      <c r="AUM232" s="1864"/>
      <c r="AUN232" s="1864"/>
      <c r="AUO232" s="1864"/>
      <c r="AUP232" s="1864"/>
      <c r="AUQ232" s="1864"/>
      <c r="AUR232" s="1864"/>
      <c r="AUS232" s="1864"/>
      <c r="AUT232" s="1864"/>
      <c r="AUU232" s="1864"/>
      <c r="AUV232" s="1864"/>
      <c r="AUW232" s="1864"/>
      <c r="AUX232" s="1864"/>
      <c r="AUY232" s="1864"/>
      <c r="AUZ232" s="1864"/>
      <c r="AVA232" s="1864"/>
      <c r="AVB232" s="1864"/>
      <c r="AVC232" s="1864"/>
      <c r="AVD232" s="1864"/>
      <c r="AVE232" s="1864"/>
      <c r="AVF232" s="1864"/>
      <c r="AVG232" s="1864"/>
      <c r="AVH232" s="1864"/>
      <c r="AVI232" s="1864"/>
      <c r="AVJ232" s="1864"/>
      <c r="AVK232" s="1864"/>
      <c r="AVL232" s="1864"/>
      <c r="AVM232" s="1864"/>
      <c r="AVN232" s="1864"/>
      <c r="AVO232" s="1864"/>
      <c r="AVP232" s="1864"/>
      <c r="AVQ232" s="1864"/>
      <c r="AVR232" s="1864"/>
      <c r="AVS232" s="1864"/>
      <c r="AVT232" s="1864"/>
      <c r="AVU232" s="1864"/>
      <c r="AVV232" s="1864"/>
      <c r="AVW232" s="1864"/>
      <c r="AVX232" s="1864"/>
      <c r="AVY232" s="1864"/>
      <c r="AVZ232" s="1864"/>
      <c r="AWA232" s="1864"/>
      <c r="AWB232" s="1864"/>
      <c r="AWC232" s="1864"/>
      <c r="AWD232" s="1864"/>
      <c r="AWE232" s="1864"/>
      <c r="AWF232" s="1864"/>
      <c r="AWG232" s="1864"/>
      <c r="AWH232" s="1864"/>
      <c r="AWI232" s="1864"/>
      <c r="AWJ232" s="1864"/>
      <c r="AWK232" s="1864"/>
      <c r="AWL232" s="1864"/>
      <c r="AWM232" s="1864"/>
      <c r="AWN232" s="1864"/>
      <c r="AWO232" s="1864"/>
      <c r="AWP232" s="1864"/>
      <c r="AWQ232" s="1864"/>
    </row>
    <row r="233" spans="1:1291" s="1868" customFormat="1" ht="15" customHeight="1" x14ac:dyDescent="0.2">
      <c r="A233" s="1964"/>
      <c r="B233" s="1999"/>
      <c r="C233" s="1818" t="s">
        <v>578</v>
      </c>
      <c r="D233" s="1885"/>
      <c r="E233" s="1984"/>
      <c r="F233" s="1838">
        <v>0</v>
      </c>
      <c r="G233" s="1804">
        <v>0</v>
      </c>
      <c r="H233" s="1804">
        <v>0</v>
      </c>
      <c r="I233" s="1804">
        <v>0</v>
      </c>
      <c r="J233" s="1804">
        <v>0</v>
      </c>
      <c r="K233" s="1804">
        <v>0</v>
      </c>
      <c r="L233" s="1804">
        <v>0</v>
      </c>
      <c r="M233" s="1804">
        <v>0</v>
      </c>
      <c r="N233" s="1804">
        <v>0</v>
      </c>
      <c r="O233" s="1804">
        <v>0</v>
      </c>
      <c r="P233" s="1804">
        <v>0</v>
      </c>
      <c r="Q233" s="1804">
        <v>0</v>
      </c>
      <c r="R233" s="1804">
        <v>0</v>
      </c>
      <c r="S233" s="1804">
        <v>0</v>
      </c>
      <c r="T233" s="1804">
        <v>0</v>
      </c>
      <c r="U233" s="1804">
        <v>0</v>
      </c>
      <c r="V233" s="1804">
        <v>0</v>
      </c>
      <c r="W233" s="1804">
        <v>0</v>
      </c>
      <c r="X233" s="1804">
        <v>0</v>
      </c>
      <c r="Y233" s="1804">
        <v>0</v>
      </c>
      <c r="Z233" s="1804">
        <v>0</v>
      </c>
      <c r="AA233" s="1804">
        <v>0</v>
      </c>
      <c r="AB233" s="1804">
        <v>0</v>
      </c>
      <c r="AC233" s="1804">
        <v>0</v>
      </c>
      <c r="AD233" s="1804">
        <v>0</v>
      </c>
      <c r="AE233" s="1804">
        <v>0</v>
      </c>
      <c r="AF233" s="1804">
        <v>0</v>
      </c>
      <c r="AG233" s="1804">
        <v>0</v>
      </c>
      <c r="AH233" s="1804">
        <v>0</v>
      </c>
      <c r="AI233" s="1804">
        <v>0</v>
      </c>
      <c r="AJ233" s="1804">
        <v>0</v>
      </c>
      <c r="AK233" s="1804">
        <v>0</v>
      </c>
      <c r="AL233" s="1804">
        <v>0</v>
      </c>
      <c r="AM233" s="1804">
        <v>0</v>
      </c>
      <c r="AN233" s="1804">
        <v>0</v>
      </c>
      <c r="AO233" s="1804">
        <v>0</v>
      </c>
      <c r="AP233" s="1804">
        <v>0</v>
      </c>
      <c r="AQ233" s="1804">
        <v>0</v>
      </c>
      <c r="AR233" s="1804">
        <v>0</v>
      </c>
      <c r="AS233" s="1804">
        <v>0</v>
      </c>
      <c r="AT233" s="1804">
        <v>0</v>
      </c>
      <c r="AU233" s="1804">
        <v>0</v>
      </c>
      <c r="AV233" s="1804">
        <v>0</v>
      </c>
      <c r="AW233" s="1804">
        <v>0</v>
      </c>
      <c r="AX233" s="1804">
        <v>0</v>
      </c>
      <c r="AY233" s="1804">
        <v>0</v>
      </c>
      <c r="AZ233" s="1804">
        <v>0</v>
      </c>
      <c r="BA233" s="1804">
        <v>0</v>
      </c>
      <c r="BB233" s="1804">
        <v>0</v>
      </c>
      <c r="BC233" s="1804">
        <v>0</v>
      </c>
      <c r="BD233" s="1804">
        <v>0</v>
      </c>
      <c r="BE233" s="1804">
        <v>0</v>
      </c>
      <c r="BF233" s="1804">
        <v>0</v>
      </c>
      <c r="BG233" s="1804">
        <v>0</v>
      </c>
      <c r="BH233" s="1804">
        <v>0</v>
      </c>
      <c r="BI233" s="1804">
        <v>0</v>
      </c>
      <c r="BJ233" s="1804">
        <v>0</v>
      </c>
      <c r="BK233" s="1804">
        <v>0</v>
      </c>
      <c r="BL233" s="1804">
        <v>0</v>
      </c>
      <c r="BM233" s="1804">
        <v>0</v>
      </c>
      <c r="BN233" s="1804">
        <v>0</v>
      </c>
      <c r="BO233" s="1804">
        <v>0</v>
      </c>
      <c r="BP233" s="1804">
        <v>0</v>
      </c>
      <c r="BQ233" s="1804">
        <v>0</v>
      </c>
      <c r="BR233" s="1804">
        <v>0</v>
      </c>
      <c r="BS233" s="1804">
        <v>0</v>
      </c>
      <c r="BT233" s="1804">
        <v>0</v>
      </c>
      <c r="BU233" s="1804">
        <v>0</v>
      </c>
      <c r="BV233" s="1804">
        <v>0</v>
      </c>
      <c r="BW233" s="1804">
        <v>0</v>
      </c>
      <c r="BX233" s="1804">
        <v>0</v>
      </c>
      <c r="BY233" s="1804">
        <v>0</v>
      </c>
      <c r="BZ233" s="1804">
        <v>0</v>
      </c>
      <c r="CA233" s="1804">
        <v>0</v>
      </c>
      <c r="CB233" s="1804">
        <v>0</v>
      </c>
      <c r="CC233" s="1804">
        <v>0</v>
      </c>
      <c r="CD233" s="1804">
        <v>0</v>
      </c>
      <c r="CE233" s="1804">
        <v>0</v>
      </c>
      <c r="CF233" s="1804">
        <v>0</v>
      </c>
      <c r="CG233" s="1804">
        <v>0</v>
      </c>
      <c r="CH233" s="1804">
        <v>0</v>
      </c>
      <c r="CI233" s="1804">
        <v>0</v>
      </c>
      <c r="CJ233" s="1804">
        <v>0</v>
      </c>
      <c r="CK233" s="1804">
        <v>0</v>
      </c>
      <c r="CL233" s="1804">
        <v>0</v>
      </c>
      <c r="CM233" s="1804">
        <v>0</v>
      </c>
      <c r="CN233" s="1804">
        <v>0</v>
      </c>
      <c r="CO233" s="1804">
        <v>0</v>
      </c>
      <c r="CP233" s="1804">
        <v>0</v>
      </c>
      <c r="CQ233" s="1804">
        <v>0</v>
      </c>
      <c r="CR233" s="1804">
        <v>0</v>
      </c>
      <c r="CS233" s="1804">
        <v>0</v>
      </c>
      <c r="CT233" s="1804">
        <v>0</v>
      </c>
      <c r="CU233" s="1804">
        <v>0</v>
      </c>
      <c r="CV233" s="1804">
        <v>0</v>
      </c>
      <c r="CW233" s="1804">
        <v>0</v>
      </c>
      <c r="CX233" s="1804">
        <v>0</v>
      </c>
      <c r="CY233" s="1804">
        <v>0</v>
      </c>
      <c r="CZ233" s="1804">
        <v>0</v>
      </c>
      <c r="DA233" s="1804">
        <v>0</v>
      </c>
      <c r="DB233" s="1804">
        <v>0</v>
      </c>
      <c r="DC233" s="1804">
        <v>0</v>
      </c>
      <c r="DD233" s="1804">
        <v>0</v>
      </c>
      <c r="DE233" s="1804">
        <v>0</v>
      </c>
      <c r="DF233" s="1804">
        <v>0</v>
      </c>
      <c r="DG233" s="1804">
        <v>0</v>
      </c>
      <c r="DH233" s="1804">
        <v>0</v>
      </c>
      <c r="DI233" s="1804">
        <v>0</v>
      </c>
      <c r="DJ233" s="1804">
        <v>0</v>
      </c>
      <c r="DK233" s="1804">
        <v>0</v>
      </c>
      <c r="DL233" s="1804">
        <v>0</v>
      </c>
      <c r="DM233" s="1804">
        <v>0</v>
      </c>
      <c r="DN233" s="1804">
        <v>0</v>
      </c>
      <c r="DO233" s="1804">
        <v>0</v>
      </c>
      <c r="DP233" s="1804">
        <v>0</v>
      </c>
      <c r="DQ233" s="1804">
        <v>0</v>
      </c>
      <c r="DR233" s="1804">
        <v>0</v>
      </c>
      <c r="DS233" s="1804">
        <v>0</v>
      </c>
      <c r="DT233" s="1804">
        <v>0</v>
      </c>
      <c r="DU233" s="1804">
        <v>0</v>
      </c>
      <c r="DV233" s="1804">
        <v>0</v>
      </c>
      <c r="DW233" s="1804">
        <v>0</v>
      </c>
      <c r="DX233" s="1804">
        <v>0</v>
      </c>
      <c r="DY233" s="1804">
        <v>0</v>
      </c>
      <c r="DZ233" s="1804">
        <v>0</v>
      </c>
      <c r="EA233" s="1804">
        <v>0</v>
      </c>
      <c r="EB233" s="1804">
        <v>0</v>
      </c>
      <c r="EC233" s="1804">
        <v>0</v>
      </c>
      <c r="ED233" s="1804">
        <v>0</v>
      </c>
      <c r="EE233" s="1804">
        <v>0</v>
      </c>
      <c r="EF233" s="1804">
        <v>0</v>
      </c>
      <c r="EG233" s="1804">
        <v>0</v>
      </c>
      <c r="EH233" s="1804">
        <v>0</v>
      </c>
      <c r="EI233" s="1804">
        <v>0</v>
      </c>
      <c r="EJ233" s="1804">
        <v>0</v>
      </c>
      <c r="EK233" s="1804">
        <v>0</v>
      </c>
      <c r="EL233" s="1804">
        <v>0</v>
      </c>
      <c r="EM233" s="1804">
        <v>0</v>
      </c>
      <c r="EN233" s="1804">
        <v>0</v>
      </c>
      <c r="EO233" s="1804">
        <v>0</v>
      </c>
      <c r="EP233" s="1804">
        <v>0</v>
      </c>
      <c r="EQ233" s="1804">
        <v>0</v>
      </c>
      <c r="ER233" s="1804">
        <v>0</v>
      </c>
      <c r="ES233" s="1804">
        <v>0</v>
      </c>
      <c r="ET233" s="1804">
        <v>0</v>
      </c>
      <c r="EU233" s="1804">
        <v>0</v>
      </c>
      <c r="EV233" s="1804">
        <v>0</v>
      </c>
      <c r="EW233" s="1804">
        <v>0</v>
      </c>
      <c r="EX233" s="1804">
        <v>0</v>
      </c>
      <c r="EY233" s="1804">
        <v>0</v>
      </c>
      <c r="EZ233" s="1804">
        <v>0</v>
      </c>
      <c r="FA233" s="1804">
        <v>0</v>
      </c>
      <c r="FB233" s="1804">
        <v>0</v>
      </c>
      <c r="FC233" s="1804">
        <v>0</v>
      </c>
      <c r="FD233" s="1804">
        <v>0</v>
      </c>
      <c r="FE233" s="1804">
        <v>0</v>
      </c>
      <c r="FF233" s="1804">
        <v>0</v>
      </c>
      <c r="FG233" s="1804">
        <v>0</v>
      </c>
      <c r="FH233" s="1804">
        <v>0</v>
      </c>
      <c r="FI233" s="1804">
        <v>0</v>
      </c>
      <c r="FJ233" s="1804">
        <v>0</v>
      </c>
      <c r="FK233" s="1804">
        <v>0</v>
      </c>
      <c r="FL233" s="1804">
        <v>0</v>
      </c>
      <c r="FM233" s="1804">
        <v>0</v>
      </c>
      <c r="FN233" s="1804">
        <v>0</v>
      </c>
      <c r="FO233" s="1804">
        <v>0</v>
      </c>
      <c r="FP233" s="1804">
        <v>0</v>
      </c>
      <c r="FQ233" s="1804">
        <v>0</v>
      </c>
      <c r="FR233" s="1804">
        <v>0</v>
      </c>
      <c r="FS233" s="1804">
        <v>0</v>
      </c>
      <c r="FT233" s="1804">
        <v>0</v>
      </c>
      <c r="FU233" s="1804">
        <v>0</v>
      </c>
      <c r="FV233" s="1804">
        <v>0</v>
      </c>
      <c r="FW233" s="1804">
        <v>0</v>
      </c>
      <c r="FX233" s="1804">
        <v>0</v>
      </c>
      <c r="FY233" s="1804">
        <v>0</v>
      </c>
      <c r="FZ233" s="1804">
        <v>0</v>
      </c>
      <c r="GA233" s="1804">
        <v>0</v>
      </c>
      <c r="GB233" s="1804">
        <v>0</v>
      </c>
      <c r="GC233" s="1804">
        <v>0</v>
      </c>
      <c r="GD233" s="1804">
        <v>0</v>
      </c>
      <c r="GE233" s="1804">
        <v>0</v>
      </c>
      <c r="GF233" s="1804">
        <v>0</v>
      </c>
      <c r="GG233" s="1804">
        <v>0</v>
      </c>
      <c r="GH233" s="1804">
        <v>0</v>
      </c>
      <c r="GI233" s="1804">
        <v>0</v>
      </c>
      <c r="GJ233" s="1804">
        <v>0</v>
      </c>
      <c r="GK233" s="1804">
        <v>0</v>
      </c>
      <c r="GL233" s="1804">
        <v>0</v>
      </c>
      <c r="GM233" s="1804">
        <v>0</v>
      </c>
      <c r="GN233" s="1804">
        <v>0</v>
      </c>
      <c r="GO233" s="1804">
        <v>0</v>
      </c>
      <c r="GP233" s="1804">
        <v>0</v>
      </c>
      <c r="GQ233" s="1804">
        <v>0</v>
      </c>
      <c r="GR233" s="1804">
        <v>0</v>
      </c>
      <c r="GS233" s="1804">
        <v>0</v>
      </c>
      <c r="GT233" s="1804">
        <v>0</v>
      </c>
      <c r="GU233" s="1804">
        <v>0</v>
      </c>
      <c r="GV233" s="1804">
        <v>0</v>
      </c>
      <c r="GW233" s="1804">
        <v>0</v>
      </c>
      <c r="GX233" s="1804">
        <v>0</v>
      </c>
      <c r="GY233" s="1804">
        <v>0</v>
      </c>
      <c r="GZ233" s="1804">
        <v>0</v>
      </c>
      <c r="HA233" s="1804">
        <v>0</v>
      </c>
      <c r="HB233" s="1804">
        <v>0</v>
      </c>
      <c r="HC233" s="1804">
        <v>0</v>
      </c>
      <c r="HD233" s="1804">
        <v>0</v>
      </c>
      <c r="HE233" s="1804">
        <v>0</v>
      </c>
      <c r="HF233" s="1864"/>
      <c r="HG233" s="1864"/>
      <c r="HH233" s="1864"/>
      <c r="HI233" s="1864"/>
      <c r="HJ233" s="1864"/>
      <c r="HK233" s="1864"/>
      <c r="HL233" s="1864"/>
      <c r="HM233" s="1864"/>
      <c r="HN233" s="1864"/>
      <c r="HO233" s="1864"/>
      <c r="HP233" s="1864"/>
      <c r="HQ233" s="1864"/>
      <c r="HR233" s="1864"/>
      <c r="HS233" s="1864"/>
      <c r="HT233" s="1864"/>
      <c r="HU233" s="1864"/>
      <c r="HV233" s="1864"/>
      <c r="HW233" s="1864"/>
      <c r="HX233" s="1864"/>
      <c r="HY233" s="1864"/>
      <c r="HZ233" s="1864"/>
      <c r="IA233" s="1864"/>
      <c r="IB233" s="1864"/>
      <c r="IC233" s="1864"/>
      <c r="ID233" s="1864"/>
      <c r="IE233" s="1864"/>
      <c r="IF233" s="1864"/>
      <c r="IG233" s="1864"/>
      <c r="IH233" s="1864"/>
      <c r="II233" s="1864"/>
      <c r="IJ233" s="1864"/>
      <c r="IK233" s="1864"/>
      <c r="IL233" s="1864"/>
      <c r="IM233" s="1864"/>
      <c r="IN233" s="1864"/>
      <c r="IO233" s="1864"/>
      <c r="IP233" s="1864"/>
      <c r="IQ233" s="1864"/>
      <c r="IR233" s="1864"/>
      <c r="IS233" s="1864"/>
      <c r="IT233" s="1864"/>
      <c r="IU233" s="1864"/>
      <c r="IV233" s="1864"/>
      <c r="IW233" s="1864"/>
      <c r="IX233" s="1864"/>
      <c r="IY233" s="1864"/>
      <c r="IZ233" s="1864"/>
      <c r="JA233" s="1864"/>
      <c r="JB233" s="1864"/>
      <c r="JC233" s="1864"/>
      <c r="JD233" s="1864"/>
      <c r="JE233" s="1864"/>
      <c r="JF233" s="1864"/>
      <c r="JG233" s="1864"/>
      <c r="JH233" s="1864"/>
      <c r="JI233" s="1864"/>
      <c r="JJ233" s="1864"/>
      <c r="JK233" s="1864"/>
      <c r="JL233" s="1864"/>
      <c r="JM233" s="1864"/>
      <c r="JN233" s="1864"/>
      <c r="JO233" s="1864"/>
      <c r="JP233" s="1864"/>
      <c r="JQ233" s="1864"/>
      <c r="JR233" s="1864"/>
      <c r="JS233" s="1864"/>
      <c r="JT233" s="1864"/>
      <c r="JU233" s="1864"/>
      <c r="JV233" s="1864"/>
      <c r="JW233" s="1864"/>
      <c r="JX233" s="1864"/>
      <c r="JY233" s="1864"/>
      <c r="JZ233" s="1864"/>
      <c r="KA233" s="1864"/>
      <c r="KB233" s="1864"/>
      <c r="KC233" s="1864"/>
      <c r="KD233" s="1864"/>
      <c r="KE233" s="1864"/>
      <c r="KF233" s="1864"/>
      <c r="KG233" s="1864"/>
      <c r="KH233" s="1864"/>
      <c r="KI233" s="1864"/>
      <c r="KJ233" s="1864"/>
      <c r="KK233" s="1864"/>
      <c r="KL233" s="1864"/>
      <c r="KM233" s="1864"/>
      <c r="KN233" s="1864"/>
      <c r="KO233" s="1864"/>
      <c r="KP233" s="1864"/>
      <c r="KQ233" s="1864"/>
      <c r="KR233" s="1864"/>
      <c r="KS233" s="1864"/>
      <c r="KT233" s="1864"/>
      <c r="KU233" s="1864"/>
      <c r="KV233" s="1864"/>
      <c r="KW233" s="1864"/>
      <c r="KX233" s="1864"/>
      <c r="KY233" s="1864"/>
      <c r="KZ233" s="1864"/>
      <c r="LA233" s="1864"/>
      <c r="LB233" s="1864"/>
      <c r="LC233" s="1864"/>
      <c r="LD233" s="1864"/>
      <c r="LE233" s="1864"/>
      <c r="LF233" s="1864"/>
      <c r="LG233" s="1864"/>
      <c r="LH233" s="1864"/>
      <c r="LI233" s="1864"/>
      <c r="LJ233" s="1864"/>
      <c r="LK233" s="1864"/>
      <c r="LL233" s="1864"/>
      <c r="LM233" s="1864"/>
      <c r="LN233" s="1864"/>
      <c r="LO233" s="1864"/>
      <c r="LP233" s="1864"/>
      <c r="LQ233" s="1864"/>
      <c r="LR233" s="1864"/>
      <c r="LS233" s="1864"/>
      <c r="LT233" s="1864"/>
      <c r="LU233" s="1864"/>
      <c r="LV233" s="1864"/>
      <c r="LW233" s="1864"/>
      <c r="LX233" s="1864"/>
      <c r="LY233" s="1864"/>
      <c r="LZ233" s="1864"/>
      <c r="MA233" s="1864"/>
      <c r="MB233" s="1864"/>
      <c r="MC233" s="1864"/>
      <c r="MD233" s="1864"/>
      <c r="ME233" s="1864"/>
      <c r="MF233" s="1864"/>
      <c r="MG233" s="1864"/>
      <c r="MH233" s="1864"/>
      <c r="MI233" s="1864"/>
      <c r="MJ233" s="1864"/>
      <c r="MK233" s="1864"/>
      <c r="ML233" s="1864"/>
      <c r="MM233" s="1864"/>
      <c r="MN233" s="1864"/>
      <c r="MO233" s="1864"/>
      <c r="MP233" s="1864"/>
      <c r="MQ233" s="1864"/>
      <c r="MR233" s="1864"/>
      <c r="MS233" s="1864"/>
      <c r="MT233" s="1864"/>
      <c r="MU233" s="1864"/>
      <c r="MV233" s="1864"/>
      <c r="MW233" s="1864"/>
      <c r="MX233" s="1864"/>
      <c r="MY233" s="1864"/>
      <c r="MZ233" s="1864"/>
      <c r="NA233" s="1864"/>
      <c r="NB233" s="1864"/>
      <c r="NC233" s="1864"/>
      <c r="ND233" s="1864"/>
      <c r="NE233" s="1864"/>
      <c r="NF233" s="1864"/>
      <c r="NG233" s="1864"/>
      <c r="NH233" s="1864"/>
      <c r="NI233" s="1864"/>
      <c r="NJ233" s="1864"/>
      <c r="NK233" s="1864"/>
      <c r="NL233" s="1864"/>
      <c r="NM233" s="1864"/>
      <c r="NN233" s="1864"/>
      <c r="NO233" s="1864"/>
      <c r="NP233" s="1864"/>
      <c r="NQ233" s="1864"/>
      <c r="NR233" s="1864"/>
      <c r="NS233" s="1864"/>
      <c r="NT233" s="1864"/>
      <c r="NU233" s="1864"/>
      <c r="NV233" s="1864"/>
      <c r="NW233" s="1864"/>
      <c r="NX233" s="1864"/>
      <c r="NY233" s="1864"/>
      <c r="NZ233" s="1864"/>
      <c r="OA233" s="1864"/>
      <c r="OB233" s="1864"/>
      <c r="OC233" s="1864"/>
      <c r="OD233" s="1864"/>
      <c r="OE233" s="1864"/>
      <c r="OF233" s="1864"/>
      <c r="OG233" s="1864"/>
      <c r="OH233" s="1864"/>
      <c r="OI233" s="1864"/>
      <c r="OJ233" s="1864"/>
      <c r="OK233" s="1864"/>
      <c r="OL233" s="1864"/>
      <c r="OM233" s="1864"/>
      <c r="ON233" s="1864"/>
      <c r="OO233" s="1864"/>
      <c r="OP233" s="1864"/>
      <c r="OQ233" s="1864"/>
      <c r="OR233" s="1864"/>
      <c r="OS233" s="1864"/>
      <c r="OT233" s="1864"/>
      <c r="OU233" s="1864"/>
      <c r="OV233" s="1864"/>
      <c r="OW233" s="1864"/>
      <c r="OX233" s="1864"/>
      <c r="OY233" s="1864"/>
      <c r="OZ233" s="1864"/>
      <c r="PA233" s="1864"/>
      <c r="PB233" s="1864"/>
      <c r="PC233" s="1864"/>
      <c r="PD233" s="1864"/>
      <c r="PE233" s="1864"/>
      <c r="PF233" s="1864"/>
      <c r="PG233" s="1864"/>
      <c r="PH233" s="1864"/>
      <c r="PI233" s="1864"/>
      <c r="PJ233" s="1864"/>
      <c r="PK233" s="1864"/>
      <c r="PL233" s="1864"/>
      <c r="PM233" s="1864"/>
      <c r="PN233" s="1864"/>
      <c r="PO233" s="1864"/>
      <c r="PP233" s="1864"/>
      <c r="PQ233" s="1864"/>
      <c r="PR233" s="1864"/>
      <c r="PS233" s="1864"/>
      <c r="PT233" s="1864"/>
      <c r="PU233" s="1864"/>
      <c r="PV233" s="1864"/>
      <c r="PW233" s="1864"/>
      <c r="PX233" s="1864"/>
      <c r="PY233" s="1864"/>
      <c r="PZ233" s="1864"/>
      <c r="QA233" s="1864"/>
      <c r="QB233" s="1864"/>
      <c r="QC233" s="1864"/>
      <c r="QD233" s="1864"/>
      <c r="QE233" s="1864"/>
      <c r="QF233" s="1864"/>
      <c r="QG233" s="1864"/>
      <c r="QH233" s="1864"/>
      <c r="QI233" s="1864"/>
      <c r="QJ233" s="1864"/>
      <c r="QK233" s="1864"/>
      <c r="QL233" s="1864"/>
      <c r="QM233" s="1864"/>
      <c r="QN233" s="1864"/>
      <c r="QO233" s="1864"/>
      <c r="QP233" s="1864"/>
      <c r="QQ233" s="1864"/>
      <c r="QR233" s="1864"/>
      <c r="QS233" s="1864"/>
      <c r="QT233" s="1864"/>
      <c r="QU233" s="1864"/>
      <c r="QV233" s="1864"/>
      <c r="QW233" s="1864"/>
      <c r="QX233" s="1864"/>
      <c r="QY233" s="1864"/>
      <c r="QZ233" s="1864"/>
      <c r="RA233" s="1864"/>
      <c r="RB233" s="1864"/>
      <c r="RC233" s="1864"/>
      <c r="RD233" s="1864"/>
      <c r="RE233" s="1864"/>
      <c r="RF233" s="1864"/>
      <c r="RG233" s="1864"/>
      <c r="RH233" s="1864"/>
      <c r="RI233" s="1864"/>
      <c r="RJ233" s="1864"/>
      <c r="RK233" s="1864"/>
      <c r="RL233" s="1864"/>
      <c r="RM233" s="1864"/>
      <c r="RN233" s="1864"/>
      <c r="RO233" s="1864"/>
      <c r="RP233" s="1864"/>
      <c r="RQ233" s="1864"/>
      <c r="RR233" s="1864"/>
      <c r="RS233" s="1864"/>
      <c r="RT233" s="1864"/>
      <c r="RU233" s="1864"/>
      <c r="RV233" s="1864"/>
      <c r="RW233" s="1864"/>
      <c r="RX233" s="1864"/>
      <c r="RY233" s="1864"/>
      <c r="RZ233" s="1864"/>
      <c r="SA233" s="1864"/>
      <c r="SB233" s="1864"/>
      <c r="SC233" s="1864"/>
      <c r="SD233" s="1864"/>
      <c r="SE233" s="1864"/>
      <c r="SF233" s="1864"/>
      <c r="SG233" s="1864"/>
      <c r="SH233" s="1864"/>
      <c r="SI233" s="1864"/>
      <c r="SJ233" s="1864"/>
      <c r="SK233" s="1864"/>
      <c r="SL233" s="1864"/>
      <c r="SM233" s="1864"/>
      <c r="SN233" s="1864"/>
      <c r="SO233" s="1864"/>
      <c r="SP233" s="1864"/>
      <c r="SQ233" s="1864"/>
      <c r="SR233" s="1864"/>
      <c r="SS233" s="1864"/>
      <c r="ST233" s="1864"/>
      <c r="SU233" s="1864"/>
      <c r="SV233" s="1864"/>
      <c r="SW233" s="1864"/>
      <c r="SX233" s="1864"/>
      <c r="SY233" s="1864"/>
      <c r="SZ233" s="1864"/>
      <c r="TA233" s="1864"/>
      <c r="TB233" s="1864"/>
      <c r="TC233" s="1864"/>
      <c r="TD233" s="1864"/>
      <c r="TE233" s="1864"/>
      <c r="TF233" s="1864"/>
      <c r="TG233" s="1864"/>
      <c r="TH233" s="1864"/>
      <c r="TI233" s="1864"/>
      <c r="TJ233" s="1864"/>
      <c r="TK233" s="1864"/>
      <c r="TL233" s="1864"/>
      <c r="TM233" s="1864"/>
      <c r="TN233" s="1864"/>
      <c r="TO233" s="1864"/>
      <c r="TP233" s="1864"/>
      <c r="TQ233" s="1864"/>
      <c r="TR233" s="1864"/>
      <c r="TS233" s="1864"/>
      <c r="TT233" s="1864"/>
      <c r="TU233" s="1864"/>
      <c r="TV233" s="1864"/>
      <c r="TW233" s="1864"/>
      <c r="TX233" s="1864"/>
      <c r="TY233" s="1864"/>
      <c r="TZ233" s="1864"/>
      <c r="UA233" s="1864"/>
      <c r="UB233" s="1864"/>
      <c r="UC233" s="1864"/>
      <c r="UD233" s="1864"/>
      <c r="UE233" s="1864"/>
      <c r="UF233" s="1864"/>
      <c r="UG233" s="1864"/>
      <c r="UH233" s="1864"/>
      <c r="UI233" s="1864"/>
      <c r="UJ233" s="1864"/>
      <c r="UK233" s="1864"/>
      <c r="UL233" s="1864"/>
      <c r="UM233" s="1864"/>
      <c r="UN233" s="1864"/>
      <c r="UO233" s="1864"/>
      <c r="UP233" s="1864"/>
      <c r="UQ233" s="1864"/>
      <c r="UR233" s="1864"/>
      <c r="US233" s="1864"/>
      <c r="UT233" s="1864"/>
      <c r="UU233" s="1864"/>
      <c r="UV233" s="1864"/>
      <c r="UW233" s="1864"/>
      <c r="UX233" s="1864"/>
      <c r="UY233" s="1864"/>
      <c r="UZ233" s="1864"/>
      <c r="VA233" s="1864"/>
      <c r="VB233" s="1864"/>
      <c r="VC233" s="1864"/>
      <c r="VD233" s="1864"/>
      <c r="VE233" s="1864"/>
      <c r="VF233" s="1864"/>
      <c r="VG233" s="1864"/>
      <c r="VH233" s="1864"/>
      <c r="VI233" s="1864"/>
      <c r="VJ233" s="1864"/>
      <c r="VK233" s="1864"/>
      <c r="VL233" s="1864"/>
      <c r="VM233" s="1864"/>
      <c r="VN233" s="1864"/>
      <c r="VO233" s="1864"/>
      <c r="VP233" s="1864"/>
      <c r="VQ233" s="1864"/>
      <c r="VR233" s="1864"/>
      <c r="VS233" s="1864"/>
      <c r="VT233" s="1864"/>
      <c r="VU233" s="1864"/>
      <c r="VV233" s="1864"/>
      <c r="VW233" s="1864"/>
      <c r="VX233" s="1864"/>
      <c r="VY233" s="1864"/>
      <c r="VZ233" s="1864"/>
      <c r="WA233" s="1864"/>
      <c r="WB233" s="1864"/>
      <c r="WC233" s="1864"/>
      <c r="WD233" s="1864"/>
      <c r="WE233" s="1864"/>
      <c r="WF233" s="1864"/>
      <c r="WG233" s="1864"/>
      <c r="WH233" s="1864"/>
      <c r="WI233" s="1864"/>
      <c r="WJ233" s="1864"/>
      <c r="WK233" s="1864"/>
      <c r="WL233" s="1864"/>
      <c r="WM233" s="1864"/>
      <c r="WN233" s="1864"/>
      <c r="WO233" s="1864"/>
      <c r="WP233" s="1864"/>
      <c r="WQ233" s="1864"/>
      <c r="WR233" s="1864"/>
      <c r="WS233" s="1864"/>
      <c r="WT233" s="1864"/>
      <c r="WU233" s="1864"/>
      <c r="WV233" s="1864"/>
      <c r="WW233" s="1864"/>
      <c r="WX233" s="1864"/>
      <c r="WY233" s="1864"/>
      <c r="WZ233" s="1864"/>
      <c r="XA233" s="1864"/>
      <c r="XB233" s="1864"/>
      <c r="XC233" s="1864"/>
      <c r="XD233" s="1864"/>
      <c r="XE233" s="1864"/>
      <c r="XF233" s="1864"/>
      <c r="XG233" s="1864"/>
      <c r="XH233" s="1864"/>
      <c r="XI233" s="1864"/>
      <c r="XJ233" s="1864"/>
      <c r="XK233" s="1864"/>
      <c r="XL233" s="1864"/>
      <c r="XM233" s="1864"/>
      <c r="XN233" s="1864"/>
      <c r="XO233" s="1864"/>
      <c r="XP233" s="1864"/>
      <c r="XQ233" s="1864"/>
      <c r="XR233" s="1864"/>
      <c r="XS233" s="1864"/>
      <c r="XT233" s="1864"/>
      <c r="XU233" s="1864"/>
      <c r="XV233" s="1864"/>
      <c r="XW233" s="1864"/>
      <c r="XX233" s="1864"/>
      <c r="XY233" s="1864"/>
      <c r="XZ233" s="1864"/>
      <c r="YA233" s="1864"/>
      <c r="YB233" s="1864"/>
      <c r="YC233" s="1864"/>
      <c r="YD233" s="1864"/>
      <c r="YE233" s="1864"/>
      <c r="YF233" s="1864"/>
      <c r="YG233" s="1864"/>
      <c r="YH233" s="1864"/>
      <c r="YI233" s="1864"/>
      <c r="YJ233" s="1864"/>
      <c r="YK233" s="1864"/>
      <c r="YL233" s="1864"/>
      <c r="YM233" s="1864"/>
      <c r="YN233" s="1864"/>
      <c r="YO233" s="1864"/>
      <c r="YP233" s="1864"/>
      <c r="YQ233" s="1864"/>
      <c r="YR233" s="1864"/>
      <c r="YS233" s="1864"/>
      <c r="YT233" s="1864"/>
      <c r="YU233" s="1864"/>
      <c r="YV233" s="1864"/>
      <c r="YW233" s="1864"/>
      <c r="YX233" s="1864"/>
      <c r="YY233" s="1864"/>
      <c r="YZ233" s="1864"/>
      <c r="ZA233" s="1864"/>
      <c r="ZB233" s="1864"/>
      <c r="ZC233" s="1864"/>
      <c r="ZD233" s="1864"/>
      <c r="ZE233" s="1864"/>
      <c r="ZF233" s="1864"/>
      <c r="ZG233" s="1864"/>
      <c r="ZH233" s="1864"/>
      <c r="ZI233" s="1864"/>
      <c r="ZJ233" s="1864"/>
      <c r="ZK233" s="1864"/>
      <c r="ZL233" s="1864"/>
      <c r="ZM233" s="1864"/>
      <c r="ZN233" s="1864"/>
      <c r="ZO233" s="1864"/>
      <c r="ZP233" s="1864"/>
      <c r="ZQ233" s="1864"/>
      <c r="ZR233" s="1864"/>
      <c r="ZS233" s="1864"/>
      <c r="ZT233" s="1864"/>
      <c r="ZU233" s="1864"/>
      <c r="ZV233" s="1864"/>
      <c r="ZW233" s="1864"/>
      <c r="ZX233" s="1864"/>
      <c r="ZY233" s="1864"/>
      <c r="ZZ233" s="1864"/>
      <c r="AAA233" s="1864"/>
      <c r="AAB233" s="1864"/>
      <c r="AAC233" s="1864"/>
      <c r="AAD233" s="1864"/>
      <c r="AAE233" s="1864"/>
      <c r="AAF233" s="1864"/>
      <c r="AAG233" s="1864"/>
      <c r="AAH233" s="1864"/>
      <c r="AAI233" s="1864"/>
      <c r="AAJ233" s="1864"/>
      <c r="AAK233" s="1864"/>
      <c r="AAL233" s="1864"/>
      <c r="AAM233" s="1864"/>
      <c r="AAN233" s="1864"/>
      <c r="AAO233" s="1864"/>
      <c r="AAP233" s="1864"/>
      <c r="AAQ233" s="1864"/>
      <c r="AAR233" s="1864"/>
      <c r="AAS233" s="1864"/>
      <c r="AAT233" s="1864"/>
      <c r="AAU233" s="1864"/>
      <c r="AAV233" s="1864"/>
      <c r="AAW233" s="1864"/>
      <c r="AAX233" s="1864"/>
      <c r="AAY233" s="1864"/>
      <c r="AAZ233" s="1864"/>
      <c r="ABA233" s="1864"/>
      <c r="ABB233" s="1864"/>
      <c r="ABC233" s="1864"/>
      <c r="ABD233" s="1864"/>
      <c r="ABE233" s="1864"/>
      <c r="ABF233" s="1864"/>
      <c r="ABG233" s="1864"/>
      <c r="ABH233" s="1864"/>
      <c r="ABI233" s="1864"/>
      <c r="ABJ233" s="1864"/>
      <c r="ABK233" s="1864"/>
      <c r="ABL233" s="1864"/>
      <c r="ABM233" s="1864"/>
      <c r="ABN233" s="1864"/>
      <c r="ABO233" s="1864"/>
      <c r="ABP233" s="1864"/>
      <c r="ABQ233" s="1864"/>
      <c r="ABR233" s="1864"/>
      <c r="ABS233" s="1864"/>
      <c r="ABT233" s="1864"/>
      <c r="ABU233" s="1864"/>
      <c r="ABV233" s="1864"/>
      <c r="ABW233" s="1864"/>
      <c r="ABX233" s="1864"/>
      <c r="ABY233" s="1864"/>
      <c r="ABZ233" s="1864"/>
      <c r="ACA233" s="1864"/>
      <c r="ACB233" s="1864"/>
      <c r="ACC233" s="1864"/>
      <c r="ACD233" s="1864"/>
      <c r="ACE233" s="1864"/>
      <c r="ACF233" s="1864"/>
      <c r="ACG233" s="1864"/>
      <c r="ACH233" s="1864"/>
      <c r="ACI233" s="1864"/>
      <c r="ACJ233" s="1864"/>
      <c r="ACK233" s="1864"/>
      <c r="ACL233" s="1864"/>
      <c r="ACM233" s="1864"/>
      <c r="ACN233" s="1864"/>
      <c r="ACO233" s="1864"/>
      <c r="ACP233" s="1864"/>
      <c r="ACQ233" s="1864"/>
      <c r="ACR233" s="1864"/>
      <c r="ACS233" s="1864"/>
      <c r="ACT233" s="1864"/>
      <c r="ACU233" s="1864"/>
      <c r="ACV233" s="1864"/>
      <c r="ACW233" s="1864"/>
      <c r="ACX233" s="1864"/>
      <c r="ACY233" s="1864"/>
      <c r="ACZ233" s="1864"/>
      <c r="ADA233" s="1864"/>
      <c r="ADB233" s="1864"/>
      <c r="ADC233" s="1864"/>
      <c r="ADD233" s="1864"/>
      <c r="ADE233" s="1864"/>
      <c r="ADF233" s="1864"/>
      <c r="ADG233" s="1864"/>
      <c r="ADH233" s="1864"/>
      <c r="ADI233" s="1864"/>
      <c r="ADJ233" s="1864"/>
      <c r="ADK233" s="1864"/>
      <c r="ADL233" s="1864"/>
      <c r="ADM233" s="1864"/>
      <c r="ADN233" s="1864"/>
      <c r="ADO233" s="1864"/>
      <c r="ADP233" s="1864"/>
      <c r="ADQ233" s="1864"/>
      <c r="ADR233" s="1864"/>
      <c r="ADS233" s="1864"/>
      <c r="ADT233" s="1864"/>
      <c r="ADU233" s="1864"/>
      <c r="ADV233" s="1864"/>
      <c r="ADW233" s="1864"/>
      <c r="ADX233" s="1864"/>
      <c r="ADY233" s="1864"/>
      <c r="ADZ233" s="1864"/>
      <c r="AEA233" s="1864"/>
      <c r="AEB233" s="1864"/>
      <c r="AEC233" s="1864"/>
      <c r="AED233" s="1864"/>
      <c r="AEE233" s="1864"/>
      <c r="AEF233" s="1864"/>
      <c r="AEG233" s="1864"/>
      <c r="AEH233" s="1864"/>
      <c r="AEI233" s="1864"/>
      <c r="AEJ233" s="1864"/>
      <c r="AEK233" s="1864"/>
      <c r="AEL233" s="1864"/>
      <c r="AEM233" s="1864"/>
      <c r="AEN233" s="1864"/>
      <c r="AEO233" s="1864"/>
      <c r="AEP233" s="1864"/>
      <c r="AEQ233" s="1864"/>
      <c r="AER233" s="1864"/>
      <c r="AES233" s="1864"/>
      <c r="AET233" s="1864"/>
      <c r="AEU233" s="1864"/>
      <c r="AEV233" s="1864"/>
      <c r="AEW233" s="1864"/>
      <c r="AEX233" s="1864"/>
      <c r="AEY233" s="1864"/>
      <c r="AEZ233" s="1864"/>
      <c r="AFA233" s="1864"/>
      <c r="AFB233" s="1864"/>
      <c r="AFC233" s="1864"/>
      <c r="AFD233" s="1864"/>
      <c r="AFE233" s="1864"/>
      <c r="AFF233" s="1864"/>
      <c r="AFG233" s="1864"/>
      <c r="AFH233" s="1864"/>
      <c r="AFI233" s="1864"/>
      <c r="AFJ233" s="1864"/>
      <c r="AFK233" s="1864"/>
      <c r="AFL233" s="1864"/>
      <c r="AFM233" s="1864"/>
      <c r="AFN233" s="1864"/>
      <c r="AFO233" s="1864"/>
      <c r="AFP233" s="1864"/>
      <c r="AFQ233" s="1864"/>
      <c r="AFR233" s="1864"/>
      <c r="AFS233" s="1864"/>
      <c r="AFT233" s="1864"/>
      <c r="AFU233" s="1864"/>
      <c r="AFV233" s="1864"/>
      <c r="AFW233" s="1864"/>
      <c r="AFX233" s="1864"/>
      <c r="AFY233" s="1864"/>
      <c r="AFZ233" s="1864"/>
      <c r="AGA233" s="1864"/>
      <c r="AGB233" s="1864"/>
      <c r="AGC233" s="1864"/>
      <c r="AGD233" s="1864"/>
      <c r="AGE233" s="1864"/>
      <c r="AGF233" s="1864"/>
      <c r="AGG233" s="1864"/>
      <c r="AGH233" s="1864"/>
      <c r="AGI233" s="1864"/>
      <c r="AGJ233" s="1864"/>
      <c r="AGK233" s="1864"/>
      <c r="AGL233" s="1864"/>
      <c r="AGM233" s="1864"/>
      <c r="AGN233" s="1864"/>
      <c r="AGO233" s="1864"/>
      <c r="AGP233" s="1864"/>
      <c r="AGQ233" s="1864"/>
      <c r="AGR233" s="1864"/>
      <c r="AGS233" s="1864"/>
      <c r="AGT233" s="1864"/>
      <c r="AGU233" s="1864"/>
      <c r="AGV233" s="1864"/>
      <c r="AGW233" s="1864"/>
      <c r="AGX233" s="1864"/>
      <c r="AGY233" s="1864"/>
      <c r="AGZ233" s="1864"/>
      <c r="AHA233" s="1864"/>
      <c r="AHB233" s="1864"/>
      <c r="AHC233" s="1864"/>
      <c r="AHD233" s="1864"/>
      <c r="AHE233" s="1864"/>
      <c r="AHF233" s="1864"/>
      <c r="AHG233" s="1864"/>
      <c r="AHH233" s="1864"/>
      <c r="AHI233" s="1864"/>
      <c r="AHJ233" s="1864"/>
      <c r="AHK233" s="1864"/>
      <c r="AHL233" s="1864"/>
      <c r="AHM233" s="1864"/>
      <c r="AHN233" s="1864"/>
      <c r="AHO233" s="1864"/>
      <c r="AHP233" s="1864"/>
      <c r="AHQ233" s="1864"/>
      <c r="AHR233" s="1864"/>
      <c r="AHS233" s="1864"/>
      <c r="AHT233" s="1864"/>
      <c r="AHU233" s="1864"/>
      <c r="AHV233" s="1864"/>
      <c r="AHW233" s="1864"/>
      <c r="AHX233" s="1864"/>
      <c r="AHY233" s="1864"/>
      <c r="AHZ233" s="1864"/>
      <c r="AIA233" s="1864"/>
      <c r="AIB233" s="1864"/>
      <c r="AIC233" s="1864"/>
      <c r="AID233" s="1864"/>
      <c r="AIE233" s="1864"/>
      <c r="AIF233" s="1864"/>
      <c r="AIG233" s="1864"/>
      <c r="AIH233" s="1864"/>
      <c r="AII233" s="1864"/>
      <c r="AIJ233" s="1864"/>
      <c r="AIK233" s="1864"/>
      <c r="AIL233" s="1864"/>
      <c r="AIM233" s="1864"/>
      <c r="AIN233" s="1864"/>
      <c r="AIO233" s="1864"/>
      <c r="AIP233" s="1864"/>
      <c r="AIQ233" s="1864"/>
      <c r="AIR233" s="1864"/>
      <c r="AIS233" s="1864"/>
      <c r="AIT233" s="1864"/>
      <c r="AIU233" s="1864"/>
      <c r="AIV233" s="1864"/>
      <c r="AIW233" s="1864"/>
      <c r="AIX233" s="1864"/>
      <c r="AIY233" s="1864"/>
      <c r="AIZ233" s="1864"/>
      <c r="AJA233" s="1864"/>
      <c r="AJB233" s="1864"/>
      <c r="AJC233" s="1864"/>
      <c r="AJD233" s="1864"/>
      <c r="AJE233" s="1864"/>
      <c r="AJF233" s="1864"/>
      <c r="AJG233" s="1864"/>
      <c r="AJH233" s="1864"/>
      <c r="AJI233" s="1864"/>
      <c r="AJJ233" s="1864"/>
      <c r="AJK233" s="1864"/>
      <c r="AJL233" s="1864"/>
      <c r="AJM233" s="1864"/>
      <c r="AJN233" s="1864"/>
      <c r="AJO233" s="1864"/>
      <c r="AJP233" s="1864"/>
      <c r="AJQ233" s="1864"/>
      <c r="AJR233" s="1864"/>
      <c r="AJS233" s="1864"/>
      <c r="AJT233" s="1864"/>
      <c r="AJU233" s="1864"/>
      <c r="AJV233" s="1864"/>
      <c r="AJW233" s="1864"/>
      <c r="AJX233" s="1864"/>
      <c r="AJY233" s="1864"/>
      <c r="AJZ233" s="1864"/>
      <c r="AKA233" s="1864"/>
      <c r="AKB233" s="1864"/>
      <c r="AKC233" s="1864"/>
      <c r="AKD233" s="1864"/>
      <c r="AKE233" s="1864"/>
      <c r="AKF233" s="1864"/>
      <c r="AKG233" s="1864"/>
      <c r="AKH233" s="1864"/>
      <c r="AKI233" s="1864"/>
      <c r="AKJ233" s="1864"/>
      <c r="AKK233" s="1864"/>
      <c r="AKL233" s="1864"/>
      <c r="AKM233" s="1864"/>
      <c r="AKN233" s="1864"/>
      <c r="AKO233" s="1864"/>
      <c r="AKP233" s="1864"/>
      <c r="AKQ233" s="1864"/>
      <c r="AKR233" s="1864"/>
      <c r="AKS233" s="1864"/>
      <c r="AKT233" s="1864"/>
      <c r="AKU233" s="1864"/>
      <c r="AKV233" s="1864"/>
      <c r="AKW233" s="1864"/>
      <c r="AKX233" s="1864"/>
      <c r="AKY233" s="1864"/>
      <c r="AKZ233" s="1864"/>
      <c r="ALA233" s="1864"/>
      <c r="ALB233" s="1864"/>
      <c r="ALC233" s="1864"/>
      <c r="ALD233" s="1864"/>
      <c r="ALE233" s="1864"/>
      <c r="ALF233" s="1864"/>
      <c r="ALG233" s="1864"/>
      <c r="ALH233" s="1864"/>
      <c r="ALI233" s="1864"/>
      <c r="ALJ233" s="1864"/>
      <c r="ALK233" s="1864"/>
      <c r="ALL233" s="1864"/>
      <c r="ALM233" s="1864"/>
      <c r="ALN233" s="1864"/>
      <c r="ALO233" s="1864"/>
      <c r="ALP233" s="1864"/>
      <c r="ALQ233" s="1864"/>
      <c r="ALR233" s="1864"/>
      <c r="ALS233" s="1864"/>
      <c r="ALT233" s="1864"/>
      <c r="ALU233" s="1864"/>
      <c r="ALV233" s="1864"/>
      <c r="ALW233" s="1864"/>
      <c r="ALX233" s="1864"/>
      <c r="ALY233" s="1864"/>
      <c r="ALZ233" s="1864"/>
      <c r="AMA233" s="1864"/>
      <c r="AMB233" s="1864"/>
      <c r="AMC233" s="1864"/>
      <c r="AMD233" s="1864"/>
      <c r="AME233" s="1864"/>
      <c r="AMF233" s="1864"/>
      <c r="AMG233" s="1864"/>
      <c r="AMH233" s="1864"/>
      <c r="AMI233" s="1864"/>
      <c r="AMJ233" s="1864"/>
      <c r="AMK233" s="1864"/>
      <c r="AML233" s="1864"/>
      <c r="AMM233" s="1864"/>
      <c r="AMN233" s="1864"/>
      <c r="AMO233" s="1864"/>
      <c r="AMP233" s="1864"/>
      <c r="AMQ233" s="1864"/>
      <c r="AMR233" s="1864"/>
      <c r="AMS233" s="1864"/>
      <c r="AMT233" s="1864"/>
      <c r="AMU233" s="1864"/>
      <c r="AMV233" s="1864"/>
      <c r="AMW233" s="1864"/>
      <c r="AMX233" s="1864"/>
      <c r="AMY233" s="1864"/>
      <c r="AMZ233" s="1864"/>
      <c r="ANA233" s="1864"/>
      <c r="ANB233" s="1864"/>
      <c r="ANC233" s="1864"/>
      <c r="AND233" s="1864"/>
      <c r="ANE233" s="1864"/>
      <c r="ANF233" s="1864"/>
      <c r="ANG233" s="1864"/>
      <c r="ANH233" s="1864"/>
      <c r="ANI233" s="1864"/>
      <c r="ANJ233" s="1864"/>
      <c r="ANK233" s="1864"/>
      <c r="ANL233" s="1864"/>
      <c r="ANM233" s="1864"/>
      <c r="ANN233" s="1864"/>
      <c r="ANO233" s="1864"/>
      <c r="ANP233" s="1864"/>
      <c r="ANQ233" s="1864"/>
      <c r="ANR233" s="1864"/>
      <c r="ANS233" s="1864"/>
      <c r="ANT233" s="1864"/>
      <c r="ANU233" s="1864"/>
      <c r="ANV233" s="1864"/>
      <c r="ANW233" s="1864"/>
      <c r="ANX233" s="1864"/>
      <c r="ANY233" s="1864"/>
      <c r="ANZ233" s="1864"/>
      <c r="AOA233" s="1864"/>
      <c r="AOB233" s="1864"/>
      <c r="AOC233" s="1864"/>
      <c r="AOD233" s="1864"/>
      <c r="AOE233" s="1864"/>
      <c r="AOF233" s="1864"/>
      <c r="AOG233" s="1864"/>
      <c r="AOH233" s="1864"/>
      <c r="AOI233" s="1864"/>
      <c r="AOJ233" s="1864"/>
      <c r="AOK233" s="1864"/>
      <c r="AOL233" s="1864"/>
      <c r="AOM233" s="1864"/>
      <c r="AON233" s="1864"/>
      <c r="AOO233" s="1864"/>
      <c r="AOP233" s="1864"/>
      <c r="AOQ233" s="1864"/>
      <c r="AOR233" s="1864"/>
      <c r="AOS233" s="1864"/>
      <c r="AOT233" s="1864"/>
      <c r="AOU233" s="1864"/>
      <c r="AOV233" s="1864"/>
      <c r="AOW233" s="1864"/>
      <c r="AOX233" s="1864"/>
      <c r="AOY233" s="1864"/>
      <c r="AOZ233" s="1864"/>
      <c r="APA233" s="1864"/>
      <c r="APB233" s="1864"/>
      <c r="APC233" s="1864"/>
      <c r="APD233" s="1864"/>
      <c r="APE233" s="1864"/>
      <c r="APF233" s="1864"/>
      <c r="APG233" s="1864"/>
      <c r="APH233" s="1864"/>
      <c r="API233" s="1864"/>
      <c r="APJ233" s="1864"/>
      <c r="APK233" s="1864"/>
      <c r="APL233" s="1864"/>
      <c r="APM233" s="1864"/>
      <c r="APN233" s="1864"/>
      <c r="APO233" s="1864"/>
      <c r="APP233" s="1864"/>
      <c r="APQ233" s="1864"/>
      <c r="APR233" s="1864"/>
      <c r="APS233" s="1864"/>
      <c r="APT233" s="1864"/>
      <c r="APU233" s="1864"/>
      <c r="APV233" s="1864"/>
      <c r="APW233" s="1864"/>
      <c r="APX233" s="1864"/>
      <c r="APY233" s="1864"/>
      <c r="APZ233" s="1864"/>
      <c r="AQA233" s="1864"/>
      <c r="AQB233" s="1864"/>
      <c r="AQC233" s="1864"/>
      <c r="AQD233" s="1864"/>
      <c r="AQE233" s="1864"/>
      <c r="AQF233" s="1864"/>
      <c r="AQG233" s="1864"/>
      <c r="AQH233" s="1864"/>
      <c r="AQI233" s="1864"/>
      <c r="AQJ233" s="1864"/>
      <c r="AQK233" s="1864"/>
      <c r="AQL233" s="1864"/>
      <c r="AQM233" s="1864"/>
      <c r="AQN233" s="1864"/>
      <c r="AQO233" s="1864"/>
      <c r="AQP233" s="1864"/>
      <c r="AQQ233" s="1864"/>
      <c r="AQR233" s="1864"/>
      <c r="AQS233" s="1864"/>
      <c r="AQT233" s="1864"/>
      <c r="AQU233" s="1864"/>
      <c r="AQV233" s="1864"/>
      <c r="AQW233" s="1864"/>
      <c r="AQX233" s="1864"/>
      <c r="AQY233" s="1864"/>
      <c r="AQZ233" s="1864"/>
      <c r="ARA233" s="1864"/>
      <c r="ARB233" s="1864"/>
      <c r="ARC233" s="1864"/>
      <c r="ARD233" s="1864"/>
      <c r="ARE233" s="1864"/>
      <c r="ARF233" s="1864"/>
      <c r="ARG233" s="1864"/>
      <c r="ARH233" s="1864"/>
      <c r="ARI233" s="1864"/>
      <c r="ARJ233" s="1864"/>
      <c r="ARK233" s="1864"/>
      <c r="ARL233" s="1864"/>
      <c r="ARM233" s="1864"/>
      <c r="ARN233" s="1864"/>
      <c r="ARO233" s="1864"/>
      <c r="ARP233" s="1864"/>
      <c r="ARQ233" s="1864"/>
      <c r="ARR233" s="1864"/>
      <c r="ARS233" s="1864"/>
      <c r="ART233" s="1864"/>
      <c r="ARU233" s="1864"/>
      <c r="ARV233" s="1864"/>
      <c r="ARW233" s="1864"/>
      <c r="ARX233" s="1864"/>
      <c r="ARY233" s="1864"/>
      <c r="ARZ233" s="1864"/>
      <c r="ASA233" s="1864"/>
      <c r="ASB233" s="1864"/>
      <c r="ASC233" s="1864"/>
      <c r="ASD233" s="1864"/>
      <c r="ASE233" s="1864"/>
      <c r="ASF233" s="1864"/>
      <c r="ASG233" s="1864"/>
      <c r="ASH233" s="1864"/>
      <c r="ASI233" s="1864"/>
      <c r="ASJ233" s="1864"/>
      <c r="ASK233" s="1864"/>
      <c r="ASL233" s="1864"/>
      <c r="ASM233" s="1864"/>
      <c r="ASN233" s="1864"/>
      <c r="ASO233" s="1864"/>
      <c r="ASP233" s="1864"/>
      <c r="ASQ233" s="1864"/>
      <c r="ASR233" s="1864"/>
      <c r="ASS233" s="1864"/>
      <c r="AST233" s="1864"/>
      <c r="ASU233" s="1864"/>
      <c r="ASV233" s="1864"/>
      <c r="ASW233" s="1864"/>
      <c r="ASX233" s="1864"/>
      <c r="ASY233" s="1864"/>
      <c r="ASZ233" s="1864"/>
      <c r="ATA233" s="1864"/>
      <c r="ATB233" s="1864"/>
      <c r="ATC233" s="1864"/>
      <c r="ATD233" s="1864"/>
      <c r="ATE233" s="1864"/>
      <c r="ATF233" s="1864"/>
      <c r="ATG233" s="1864"/>
      <c r="ATH233" s="1864"/>
      <c r="ATI233" s="1864"/>
      <c r="ATJ233" s="1864"/>
      <c r="ATK233" s="1864"/>
      <c r="ATL233" s="1864"/>
      <c r="ATM233" s="1864"/>
      <c r="ATN233" s="1864"/>
      <c r="ATO233" s="1864"/>
      <c r="ATP233" s="1864"/>
      <c r="ATQ233" s="1864"/>
      <c r="ATR233" s="1864"/>
      <c r="ATS233" s="1864"/>
      <c r="ATT233" s="1864"/>
      <c r="ATU233" s="1864"/>
      <c r="ATV233" s="1864"/>
      <c r="ATW233" s="1864"/>
      <c r="ATX233" s="1864"/>
      <c r="ATY233" s="1864"/>
      <c r="ATZ233" s="1864"/>
      <c r="AUA233" s="1864"/>
      <c r="AUB233" s="1864"/>
      <c r="AUC233" s="1864"/>
      <c r="AUD233" s="1864"/>
      <c r="AUE233" s="1864"/>
      <c r="AUF233" s="1864"/>
      <c r="AUG233" s="1864"/>
      <c r="AUH233" s="1864"/>
      <c r="AUI233" s="1864"/>
      <c r="AUJ233" s="1864"/>
      <c r="AUK233" s="1864"/>
      <c r="AUL233" s="1864"/>
      <c r="AUM233" s="1864"/>
      <c r="AUN233" s="1864"/>
      <c r="AUO233" s="1864"/>
      <c r="AUP233" s="1864"/>
      <c r="AUQ233" s="1864"/>
      <c r="AUR233" s="1864"/>
      <c r="AUS233" s="1864"/>
      <c r="AUT233" s="1864"/>
      <c r="AUU233" s="1864"/>
      <c r="AUV233" s="1864"/>
      <c r="AUW233" s="1864"/>
      <c r="AUX233" s="1864"/>
      <c r="AUY233" s="1864"/>
      <c r="AUZ233" s="1864"/>
      <c r="AVA233" s="1864"/>
      <c r="AVB233" s="1864"/>
      <c r="AVC233" s="1864"/>
      <c r="AVD233" s="1864"/>
      <c r="AVE233" s="1864"/>
      <c r="AVF233" s="1864"/>
      <c r="AVG233" s="1864"/>
      <c r="AVH233" s="1864"/>
      <c r="AVI233" s="1864"/>
      <c r="AVJ233" s="1864"/>
      <c r="AVK233" s="1864"/>
      <c r="AVL233" s="1864"/>
      <c r="AVM233" s="1864"/>
      <c r="AVN233" s="1864"/>
      <c r="AVO233" s="1864"/>
      <c r="AVP233" s="1864"/>
      <c r="AVQ233" s="1864"/>
      <c r="AVR233" s="1864"/>
      <c r="AVS233" s="1864"/>
      <c r="AVT233" s="1864"/>
      <c r="AVU233" s="1864"/>
      <c r="AVV233" s="1864"/>
      <c r="AVW233" s="1864"/>
      <c r="AVX233" s="1864"/>
      <c r="AVY233" s="1864"/>
      <c r="AVZ233" s="1864"/>
      <c r="AWA233" s="1864"/>
      <c r="AWB233" s="1864"/>
      <c r="AWC233" s="1864"/>
      <c r="AWD233" s="1864"/>
      <c r="AWE233" s="1864"/>
      <c r="AWF233" s="1864"/>
      <c r="AWG233" s="1864"/>
      <c r="AWH233" s="1864"/>
      <c r="AWI233" s="1864"/>
      <c r="AWJ233" s="1864"/>
      <c r="AWK233" s="1864"/>
      <c r="AWL233" s="1864"/>
      <c r="AWM233" s="1864"/>
      <c r="AWN233" s="1864"/>
      <c r="AWO233" s="1864"/>
      <c r="AWP233" s="1864"/>
      <c r="AWQ233" s="1864"/>
    </row>
    <row r="234" spans="1:1291" s="1868" customFormat="1" ht="15" customHeight="1" thickBot="1" x14ac:dyDescent="0.25">
      <c r="A234" s="1965"/>
      <c r="B234" s="2000"/>
      <c r="C234" s="1697" t="s">
        <v>579</v>
      </c>
      <c r="D234" s="1885"/>
      <c r="E234" s="1984"/>
      <c r="F234" s="1838">
        <v>0</v>
      </c>
      <c r="G234" s="1804">
        <v>0</v>
      </c>
      <c r="H234" s="1804">
        <v>0</v>
      </c>
      <c r="I234" s="1804">
        <v>0</v>
      </c>
      <c r="J234" s="1804">
        <v>0</v>
      </c>
      <c r="K234" s="1804">
        <v>0</v>
      </c>
      <c r="L234" s="1804">
        <v>0</v>
      </c>
      <c r="M234" s="1804">
        <v>0</v>
      </c>
      <c r="N234" s="1804">
        <v>0</v>
      </c>
      <c r="O234" s="1804">
        <v>0</v>
      </c>
      <c r="P234" s="1804">
        <v>0</v>
      </c>
      <c r="Q234" s="1804">
        <v>0</v>
      </c>
      <c r="R234" s="1804">
        <v>0</v>
      </c>
      <c r="S234" s="1804">
        <v>0</v>
      </c>
      <c r="T234" s="1804">
        <v>0</v>
      </c>
      <c r="U234" s="1804">
        <v>0</v>
      </c>
      <c r="V234" s="1804">
        <v>0</v>
      </c>
      <c r="W234" s="1804">
        <v>0</v>
      </c>
      <c r="X234" s="1804">
        <v>0</v>
      </c>
      <c r="Y234" s="1804">
        <v>0</v>
      </c>
      <c r="Z234" s="1804">
        <v>0</v>
      </c>
      <c r="AA234" s="1804">
        <v>0</v>
      </c>
      <c r="AB234" s="1804">
        <v>0</v>
      </c>
      <c r="AC234" s="1804">
        <v>0</v>
      </c>
      <c r="AD234" s="1804">
        <v>0</v>
      </c>
      <c r="AE234" s="1804">
        <v>0</v>
      </c>
      <c r="AF234" s="1804">
        <v>0</v>
      </c>
      <c r="AG234" s="1804">
        <v>0</v>
      </c>
      <c r="AH234" s="1804">
        <v>0</v>
      </c>
      <c r="AI234" s="1804">
        <v>0</v>
      </c>
      <c r="AJ234" s="1804">
        <v>0</v>
      </c>
      <c r="AK234" s="1804">
        <v>0</v>
      </c>
      <c r="AL234" s="1804">
        <v>0</v>
      </c>
      <c r="AM234" s="1804">
        <v>0</v>
      </c>
      <c r="AN234" s="1804">
        <v>0</v>
      </c>
      <c r="AO234" s="1804">
        <v>0</v>
      </c>
      <c r="AP234" s="1804">
        <v>0</v>
      </c>
      <c r="AQ234" s="1804">
        <v>0</v>
      </c>
      <c r="AR234" s="1804">
        <v>0</v>
      </c>
      <c r="AS234" s="1804">
        <v>0</v>
      </c>
      <c r="AT234" s="1804">
        <v>0</v>
      </c>
      <c r="AU234" s="1804">
        <v>0</v>
      </c>
      <c r="AV234" s="1804">
        <v>0</v>
      </c>
      <c r="AW234" s="1804">
        <v>0</v>
      </c>
      <c r="AX234" s="1804">
        <v>0</v>
      </c>
      <c r="AY234" s="1804">
        <v>0</v>
      </c>
      <c r="AZ234" s="1804">
        <v>0</v>
      </c>
      <c r="BA234" s="1804">
        <v>0</v>
      </c>
      <c r="BB234" s="1804">
        <v>0</v>
      </c>
      <c r="BC234" s="1804">
        <v>0</v>
      </c>
      <c r="BD234" s="1804">
        <v>0</v>
      </c>
      <c r="BE234" s="1804">
        <v>0</v>
      </c>
      <c r="BF234" s="1804">
        <v>0</v>
      </c>
      <c r="BG234" s="1804">
        <v>0</v>
      </c>
      <c r="BH234" s="1804">
        <v>0</v>
      </c>
      <c r="BI234" s="1804">
        <v>0</v>
      </c>
      <c r="BJ234" s="1804">
        <v>0</v>
      </c>
      <c r="BK234" s="1804">
        <v>0</v>
      </c>
      <c r="BL234" s="1804">
        <v>0</v>
      </c>
      <c r="BM234" s="1804">
        <v>0</v>
      </c>
      <c r="BN234" s="1804">
        <v>0</v>
      </c>
      <c r="BO234" s="1804">
        <v>0</v>
      </c>
      <c r="BP234" s="1804">
        <v>0</v>
      </c>
      <c r="BQ234" s="1804">
        <v>0</v>
      </c>
      <c r="BR234" s="1804">
        <v>0</v>
      </c>
      <c r="BS234" s="1804">
        <v>0</v>
      </c>
      <c r="BT234" s="1804">
        <v>0</v>
      </c>
      <c r="BU234" s="1804">
        <v>0</v>
      </c>
      <c r="BV234" s="1804">
        <v>0</v>
      </c>
      <c r="BW234" s="1804">
        <v>0</v>
      </c>
      <c r="BX234" s="1804">
        <v>0</v>
      </c>
      <c r="BY234" s="1804">
        <v>0</v>
      </c>
      <c r="BZ234" s="1804">
        <v>0</v>
      </c>
      <c r="CA234" s="1804">
        <v>0</v>
      </c>
      <c r="CB234" s="1804">
        <v>0</v>
      </c>
      <c r="CC234" s="1804">
        <v>0</v>
      </c>
      <c r="CD234" s="1804">
        <v>0</v>
      </c>
      <c r="CE234" s="1804">
        <v>0</v>
      </c>
      <c r="CF234" s="1804">
        <v>0</v>
      </c>
      <c r="CG234" s="1804">
        <v>0</v>
      </c>
      <c r="CH234" s="1804">
        <v>0</v>
      </c>
      <c r="CI234" s="1804">
        <v>0</v>
      </c>
      <c r="CJ234" s="1804">
        <v>0</v>
      </c>
      <c r="CK234" s="1804">
        <v>0</v>
      </c>
      <c r="CL234" s="1804">
        <v>0</v>
      </c>
      <c r="CM234" s="1804">
        <v>0</v>
      </c>
      <c r="CN234" s="1804">
        <v>0</v>
      </c>
      <c r="CO234" s="1804">
        <v>0</v>
      </c>
      <c r="CP234" s="1804">
        <v>0</v>
      </c>
      <c r="CQ234" s="1804">
        <v>0</v>
      </c>
      <c r="CR234" s="1804">
        <v>0</v>
      </c>
      <c r="CS234" s="1804">
        <v>0</v>
      </c>
      <c r="CT234" s="1804">
        <v>0</v>
      </c>
      <c r="CU234" s="1804">
        <v>0</v>
      </c>
      <c r="CV234" s="1804">
        <v>0</v>
      </c>
      <c r="CW234" s="1804">
        <v>0</v>
      </c>
      <c r="CX234" s="1804">
        <v>0</v>
      </c>
      <c r="CY234" s="1804">
        <v>0</v>
      </c>
      <c r="CZ234" s="1804">
        <v>0</v>
      </c>
      <c r="DA234" s="1804">
        <v>0</v>
      </c>
      <c r="DB234" s="1804">
        <v>0</v>
      </c>
      <c r="DC234" s="1804">
        <v>0</v>
      </c>
      <c r="DD234" s="1804">
        <v>0</v>
      </c>
      <c r="DE234" s="1804">
        <v>0</v>
      </c>
      <c r="DF234" s="1804">
        <v>0</v>
      </c>
      <c r="DG234" s="1804">
        <v>0</v>
      </c>
      <c r="DH234" s="1804">
        <v>0</v>
      </c>
      <c r="DI234" s="1804">
        <v>0</v>
      </c>
      <c r="DJ234" s="1804">
        <v>0</v>
      </c>
      <c r="DK234" s="1804">
        <v>0</v>
      </c>
      <c r="DL234" s="1804">
        <v>0</v>
      </c>
      <c r="DM234" s="1804">
        <v>0</v>
      </c>
      <c r="DN234" s="1804">
        <v>0</v>
      </c>
      <c r="DO234" s="1804">
        <v>0</v>
      </c>
      <c r="DP234" s="1804">
        <v>0</v>
      </c>
      <c r="DQ234" s="1804">
        <v>0</v>
      </c>
      <c r="DR234" s="1804">
        <v>0</v>
      </c>
      <c r="DS234" s="1804">
        <v>0</v>
      </c>
      <c r="DT234" s="1804">
        <v>0</v>
      </c>
      <c r="DU234" s="1804">
        <v>0</v>
      </c>
      <c r="DV234" s="1804">
        <v>0</v>
      </c>
      <c r="DW234" s="1804">
        <v>0</v>
      </c>
      <c r="DX234" s="1804">
        <v>0</v>
      </c>
      <c r="DY234" s="1804">
        <v>0</v>
      </c>
      <c r="DZ234" s="1804">
        <v>0</v>
      </c>
      <c r="EA234" s="1804">
        <v>0</v>
      </c>
      <c r="EB234" s="1804">
        <v>0</v>
      </c>
      <c r="EC234" s="1804">
        <v>0</v>
      </c>
      <c r="ED234" s="1804">
        <v>0</v>
      </c>
      <c r="EE234" s="1804">
        <v>0</v>
      </c>
      <c r="EF234" s="1804">
        <v>0</v>
      </c>
      <c r="EG234" s="1804">
        <v>0</v>
      </c>
      <c r="EH234" s="1804">
        <v>0</v>
      </c>
      <c r="EI234" s="1804">
        <v>0</v>
      </c>
      <c r="EJ234" s="1804">
        <v>0</v>
      </c>
      <c r="EK234" s="1804">
        <v>0</v>
      </c>
      <c r="EL234" s="1804">
        <v>0</v>
      </c>
      <c r="EM234" s="1804">
        <v>0</v>
      </c>
      <c r="EN234" s="1804">
        <v>0</v>
      </c>
      <c r="EO234" s="1804">
        <v>0</v>
      </c>
      <c r="EP234" s="1804">
        <v>0</v>
      </c>
      <c r="EQ234" s="1804">
        <v>0</v>
      </c>
      <c r="ER234" s="1804">
        <v>0</v>
      </c>
      <c r="ES234" s="1804">
        <v>0</v>
      </c>
      <c r="ET234" s="1804">
        <v>0</v>
      </c>
      <c r="EU234" s="1804">
        <v>0</v>
      </c>
      <c r="EV234" s="1804">
        <v>0</v>
      </c>
      <c r="EW234" s="1804">
        <v>0</v>
      </c>
      <c r="EX234" s="1804">
        <v>0</v>
      </c>
      <c r="EY234" s="1804">
        <v>0</v>
      </c>
      <c r="EZ234" s="1804">
        <v>0</v>
      </c>
      <c r="FA234" s="1804">
        <v>0</v>
      </c>
      <c r="FB234" s="1804">
        <v>0</v>
      </c>
      <c r="FC234" s="1804">
        <v>0</v>
      </c>
      <c r="FD234" s="1804">
        <v>0</v>
      </c>
      <c r="FE234" s="1804">
        <v>0</v>
      </c>
      <c r="FF234" s="1804">
        <v>0</v>
      </c>
      <c r="FG234" s="1804">
        <v>0</v>
      </c>
      <c r="FH234" s="1804">
        <v>0</v>
      </c>
      <c r="FI234" s="1804">
        <v>0</v>
      </c>
      <c r="FJ234" s="1804">
        <v>0</v>
      </c>
      <c r="FK234" s="1804">
        <v>0</v>
      </c>
      <c r="FL234" s="1804">
        <v>0</v>
      </c>
      <c r="FM234" s="1804">
        <v>0</v>
      </c>
      <c r="FN234" s="1804">
        <v>0</v>
      </c>
      <c r="FO234" s="1804">
        <v>0</v>
      </c>
      <c r="FP234" s="1804">
        <v>0</v>
      </c>
      <c r="FQ234" s="1804">
        <v>0</v>
      </c>
      <c r="FR234" s="1804">
        <v>0</v>
      </c>
      <c r="FS234" s="1804">
        <v>0</v>
      </c>
      <c r="FT234" s="1804">
        <v>0</v>
      </c>
      <c r="FU234" s="1804">
        <v>0</v>
      </c>
      <c r="FV234" s="1804">
        <v>0</v>
      </c>
      <c r="FW234" s="1804">
        <v>0</v>
      </c>
      <c r="FX234" s="1804">
        <v>0</v>
      </c>
      <c r="FY234" s="1804">
        <v>0</v>
      </c>
      <c r="FZ234" s="1804">
        <v>0</v>
      </c>
      <c r="GA234" s="1804">
        <v>0</v>
      </c>
      <c r="GB234" s="1804">
        <v>0</v>
      </c>
      <c r="GC234" s="1804">
        <v>0</v>
      </c>
      <c r="GD234" s="1804">
        <v>0</v>
      </c>
      <c r="GE234" s="1804">
        <v>0</v>
      </c>
      <c r="GF234" s="1804">
        <v>0</v>
      </c>
      <c r="GG234" s="1804">
        <v>0</v>
      </c>
      <c r="GH234" s="1804">
        <v>0</v>
      </c>
      <c r="GI234" s="1804">
        <v>0</v>
      </c>
      <c r="GJ234" s="1804">
        <v>0</v>
      </c>
      <c r="GK234" s="1804">
        <v>0</v>
      </c>
      <c r="GL234" s="1804">
        <v>0</v>
      </c>
      <c r="GM234" s="1804">
        <v>0</v>
      </c>
      <c r="GN234" s="1804">
        <v>0</v>
      </c>
      <c r="GO234" s="1804">
        <v>0</v>
      </c>
      <c r="GP234" s="1804">
        <v>0</v>
      </c>
      <c r="GQ234" s="1804">
        <v>0</v>
      </c>
      <c r="GR234" s="1804">
        <v>0</v>
      </c>
      <c r="GS234" s="1804">
        <v>0</v>
      </c>
      <c r="GT234" s="1804">
        <v>0</v>
      </c>
      <c r="GU234" s="1804">
        <v>0</v>
      </c>
      <c r="GV234" s="1804">
        <v>0</v>
      </c>
      <c r="GW234" s="1804">
        <v>0</v>
      </c>
      <c r="GX234" s="1804">
        <v>0</v>
      </c>
      <c r="GY234" s="1804">
        <v>0</v>
      </c>
      <c r="GZ234" s="1804">
        <v>0</v>
      </c>
      <c r="HA234" s="1804">
        <v>0</v>
      </c>
      <c r="HB234" s="1804">
        <v>0</v>
      </c>
      <c r="HC234" s="1804">
        <v>0</v>
      </c>
      <c r="HD234" s="1804">
        <v>0</v>
      </c>
      <c r="HE234" s="1804">
        <v>0</v>
      </c>
      <c r="HF234" s="1864"/>
      <c r="HG234" s="1864"/>
      <c r="HH234" s="1864"/>
      <c r="HI234" s="1864"/>
      <c r="HJ234" s="1864"/>
      <c r="HK234" s="1864"/>
      <c r="HL234" s="1864"/>
      <c r="HM234" s="1864"/>
      <c r="HN234" s="1864"/>
      <c r="HO234" s="1864"/>
      <c r="HP234" s="1864"/>
      <c r="HQ234" s="1864"/>
      <c r="HR234" s="1864"/>
      <c r="HS234" s="1864"/>
      <c r="HT234" s="1864"/>
      <c r="HU234" s="1864"/>
      <c r="HV234" s="1864"/>
      <c r="HW234" s="1864"/>
      <c r="HX234" s="1864"/>
      <c r="HY234" s="1864"/>
      <c r="HZ234" s="1864"/>
      <c r="IA234" s="1864"/>
      <c r="IB234" s="1864"/>
      <c r="IC234" s="1864"/>
      <c r="ID234" s="1864"/>
      <c r="IE234" s="1864"/>
      <c r="IF234" s="1864"/>
      <c r="IG234" s="1864"/>
      <c r="IH234" s="1864"/>
      <c r="II234" s="1864"/>
      <c r="IJ234" s="1864"/>
      <c r="IK234" s="1864"/>
      <c r="IL234" s="1864"/>
      <c r="IM234" s="1864"/>
      <c r="IN234" s="1864"/>
      <c r="IO234" s="1864"/>
      <c r="IP234" s="1864"/>
      <c r="IQ234" s="1864"/>
      <c r="IR234" s="1864"/>
      <c r="IS234" s="1864"/>
      <c r="IT234" s="1864"/>
      <c r="IU234" s="1864"/>
      <c r="IV234" s="1864"/>
      <c r="IW234" s="1864"/>
      <c r="IX234" s="1864"/>
      <c r="IY234" s="1864"/>
      <c r="IZ234" s="1864"/>
      <c r="JA234" s="1864"/>
      <c r="JB234" s="1864"/>
      <c r="JC234" s="1864"/>
      <c r="JD234" s="1864"/>
      <c r="JE234" s="1864"/>
      <c r="JF234" s="1864"/>
      <c r="JG234" s="1864"/>
      <c r="JH234" s="1864"/>
      <c r="JI234" s="1864"/>
      <c r="JJ234" s="1864"/>
      <c r="JK234" s="1864"/>
      <c r="JL234" s="1864"/>
      <c r="JM234" s="1864"/>
      <c r="JN234" s="1864"/>
      <c r="JO234" s="1864"/>
      <c r="JP234" s="1864"/>
      <c r="JQ234" s="1864"/>
      <c r="JR234" s="1864"/>
      <c r="JS234" s="1864"/>
      <c r="JT234" s="1864"/>
      <c r="JU234" s="1864"/>
      <c r="JV234" s="1864"/>
      <c r="JW234" s="1864"/>
      <c r="JX234" s="1864"/>
      <c r="JY234" s="1864"/>
      <c r="JZ234" s="1864"/>
      <c r="KA234" s="1864"/>
      <c r="KB234" s="1864"/>
      <c r="KC234" s="1864"/>
      <c r="KD234" s="1864"/>
      <c r="KE234" s="1864"/>
      <c r="KF234" s="1864"/>
      <c r="KG234" s="1864"/>
      <c r="KH234" s="1864"/>
      <c r="KI234" s="1864"/>
      <c r="KJ234" s="1864"/>
      <c r="KK234" s="1864"/>
      <c r="KL234" s="1864"/>
      <c r="KM234" s="1864"/>
      <c r="KN234" s="1864"/>
      <c r="KO234" s="1864"/>
      <c r="KP234" s="1864"/>
      <c r="KQ234" s="1864"/>
      <c r="KR234" s="1864"/>
      <c r="KS234" s="1864"/>
      <c r="KT234" s="1864"/>
      <c r="KU234" s="1864"/>
      <c r="KV234" s="1864"/>
      <c r="KW234" s="1864"/>
      <c r="KX234" s="1864"/>
      <c r="KY234" s="1864"/>
      <c r="KZ234" s="1864"/>
      <c r="LA234" s="1864"/>
      <c r="LB234" s="1864"/>
      <c r="LC234" s="1864"/>
      <c r="LD234" s="1864"/>
      <c r="LE234" s="1864"/>
      <c r="LF234" s="1864"/>
      <c r="LG234" s="1864"/>
      <c r="LH234" s="1864"/>
      <c r="LI234" s="1864"/>
      <c r="LJ234" s="1864"/>
      <c r="LK234" s="1864"/>
      <c r="LL234" s="1864"/>
      <c r="LM234" s="1864"/>
      <c r="LN234" s="1864"/>
      <c r="LO234" s="1864"/>
      <c r="LP234" s="1864"/>
      <c r="LQ234" s="1864"/>
      <c r="LR234" s="1864"/>
      <c r="LS234" s="1864"/>
      <c r="LT234" s="1864"/>
      <c r="LU234" s="1864"/>
      <c r="LV234" s="1864"/>
      <c r="LW234" s="1864"/>
      <c r="LX234" s="1864"/>
      <c r="LY234" s="1864"/>
      <c r="LZ234" s="1864"/>
      <c r="MA234" s="1864"/>
      <c r="MB234" s="1864"/>
      <c r="MC234" s="1864"/>
      <c r="MD234" s="1864"/>
      <c r="ME234" s="1864"/>
      <c r="MF234" s="1864"/>
      <c r="MG234" s="1864"/>
      <c r="MH234" s="1864"/>
      <c r="MI234" s="1864"/>
      <c r="MJ234" s="1864"/>
      <c r="MK234" s="1864"/>
      <c r="ML234" s="1864"/>
      <c r="MM234" s="1864"/>
      <c r="MN234" s="1864"/>
      <c r="MO234" s="1864"/>
      <c r="MP234" s="1864"/>
      <c r="MQ234" s="1864"/>
      <c r="MR234" s="1864"/>
      <c r="MS234" s="1864"/>
      <c r="MT234" s="1864"/>
      <c r="MU234" s="1864"/>
      <c r="MV234" s="1864"/>
      <c r="MW234" s="1864"/>
      <c r="MX234" s="1864"/>
      <c r="MY234" s="1864"/>
      <c r="MZ234" s="1864"/>
      <c r="NA234" s="1864"/>
      <c r="NB234" s="1864"/>
      <c r="NC234" s="1864"/>
      <c r="ND234" s="1864"/>
      <c r="NE234" s="1864"/>
      <c r="NF234" s="1864"/>
      <c r="NG234" s="1864"/>
      <c r="NH234" s="1864"/>
      <c r="NI234" s="1864"/>
      <c r="NJ234" s="1864"/>
      <c r="NK234" s="1864"/>
      <c r="NL234" s="1864"/>
      <c r="NM234" s="1864"/>
      <c r="NN234" s="1864"/>
      <c r="NO234" s="1864"/>
      <c r="NP234" s="1864"/>
      <c r="NQ234" s="1864"/>
      <c r="NR234" s="1864"/>
      <c r="NS234" s="1864"/>
      <c r="NT234" s="1864"/>
      <c r="NU234" s="1864"/>
      <c r="NV234" s="1864"/>
      <c r="NW234" s="1864"/>
      <c r="NX234" s="1864"/>
      <c r="NY234" s="1864"/>
      <c r="NZ234" s="1864"/>
      <c r="OA234" s="1864"/>
      <c r="OB234" s="1864"/>
      <c r="OC234" s="1864"/>
      <c r="OD234" s="1864"/>
      <c r="OE234" s="1864"/>
      <c r="OF234" s="1864"/>
      <c r="OG234" s="1864"/>
      <c r="OH234" s="1864"/>
      <c r="OI234" s="1864"/>
      <c r="OJ234" s="1864"/>
      <c r="OK234" s="1864"/>
      <c r="OL234" s="1864"/>
      <c r="OM234" s="1864"/>
      <c r="ON234" s="1864"/>
      <c r="OO234" s="1864"/>
      <c r="OP234" s="1864"/>
      <c r="OQ234" s="1864"/>
      <c r="OR234" s="1864"/>
      <c r="OS234" s="1864"/>
      <c r="OT234" s="1864"/>
      <c r="OU234" s="1864"/>
      <c r="OV234" s="1864"/>
      <c r="OW234" s="1864"/>
      <c r="OX234" s="1864"/>
      <c r="OY234" s="1864"/>
      <c r="OZ234" s="1864"/>
      <c r="PA234" s="1864"/>
      <c r="PB234" s="1864"/>
      <c r="PC234" s="1864"/>
      <c r="PD234" s="1864"/>
      <c r="PE234" s="1864"/>
      <c r="PF234" s="1864"/>
      <c r="PG234" s="1864"/>
      <c r="PH234" s="1864"/>
      <c r="PI234" s="1864"/>
      <c r="PJ234" s="1864"/>
      <c r="PK234" s="1864"/>
      <c r="PL234" s="1864"/>
      <c r="PM234" s="1864"/>
      <c r="PN234" s="1864"/>
      <c r="PO234" s="1864"/>
      <c r="PP234" s="1864"/>
      <c r="PQ234" s="1864"/>
      <c r="PR234" s="1864"/>
      <c r="PS234" s="1864"/>
      <c r="PT234" s="1864"/>
      <c r="PU234" s="1864"/>
      <c r="PV234" s="1864"/>
      <c r="PW234" s="1864"/>
      <c r="PX234" s="1864"/>
      <c r="PY234" s="1864"/>
      <c r="PZ234" s="1864"/>
      <c r="QA234" s="1864"/>
      <c r="QB234" s="1864"/>
      <c r="QC234" s="1864"/>
      <c r="QD234" s="1864"/>
      <c r="QE234" s="1864"/>
      <c r="QF234" s="1864"/>
      <c r="QG234" s="1864"/>
      <c r="QH234" s="1864"/>
      <c r="QI234" s="1864"/>
      <c r="QJ234" s="1864"/>
      <c r="QK234" s="1864"/>
      <c r="QL234" s="1864"/>
      <c r="QM234" s="1864"/>
      <c r="QN234" s="1864"/>
      <c r="QO234" s="1864"/>
      <c r="QP234" s="1864"/>
      <c r="QQ234" s="1864"/>
      <c r="QR234" s="1864"/>
      <c r="QS234" s="1864"/>
      <c r="QT234" s="1864"/>
      <c r="QU234" s="1864"/>
      <c r="QV234" s="1864"/>
      <c r="QW234" s="1864"/>
      <c r="QX234" s="1864"/>
      <c r="QY234" s="1864"/>
      <c r="QZ234" s="1864"/>
      <c r="RA234" s="1864"/>
      <c r="RB234" s="1864"/>
      <c r="RC234" s="1864"/>
      <c r="RD234" s="1864"/>
      <c r="RE234" s="1864"/>
      <c r="RF234" s="1864"/>
      <c r="RG234" s="1864"/>
      <c r="RH234" s="1864"/>
      <c r="RI234" s="1864"/>
      <c r="RJ234" s="1864"/>
      <c r="RK234" s="1864"/>
      <c r="RL234" s="1864"/>
      <c r="RM234" s="1864"/>
      <c r="RN234" s="1864"/>
      <c r="RO234" s="1864"/>
      <c r="RP234" s="1864"/>
      <c r="RQ234" s="1864"/>
      <c r="RR234" s="1864"/>
      <c r="RS234" s="1864"/>
      <c r="RT234" s="1864"/>
      <c r="RU234" s="1864"/>
      <c r="RV234" s="1864"/>
      <c r="RW234" s="1864"/>
      <c r="RX234" s="1864"/>
      <c r="RY234" s="1864"/>
      <c r="RZ234" s="1864"/>
      <c r="SA234" s="1864"/>
      <c r="SB234" s="1864"/>
      <c r="SC234" s="1864"/>
      <c r="SD234" s="1864"/>
      <c r="SE234" s="1864"/>
      <c r="SF234" s="1864"/>
      <c r="SG234" s="1864"/>
      <c r="SH234" s="1864"/>
      <c r="SI234" s="1864"/>
      <c r="SJ234" s="1864"/>
      <c r="SK234" s="1864"/>
      <c r="SL234" s="1864"/>
      <c r="SM234" s="1864"/>
      <c r="SN234" s="1864"/>
      <c r="SO234" s="1864"/>
      <c r="SP234" s="1864"/>
      <c r="SQ234" s="1864"/>
      <c r="SR234" s="1864"/>
      <c r="SS234" s="1864"/>
      <c r="ST234" s="1864"/>
      <c r="SU234" s="1864"/>
      <c r="SV234" s="1864"/>
      <c r="SW234" s="1864"/>
      <c r="SX234" s="1864"/>
      <c r="SY234" s="1864"/>
      <c r="SZ234" s="1864"/>
      <c r="TA234" s="1864"/>
      <c r="TB234" s="1864"/>
      <c r="TC234" s="1864"/>
      <c r="TD234" s="1864"/>
      <c r="TE234" s="1864"/>
      <c r="TF234" s="1864"/>
      <c r="TG234" s="1864"/>
      <c r="TH234" s="1864"/>
      <c r="TI234" s="1864"/>
      <c r="TJ234" s="1864"/>
      <c r="TK234" s="1864"/>
      <c r="TL234" s="1864"/>
      <c r="TM234" s="1864"/>
      <c r="TN234" s="1864"/>
      <c r="TO234" s="1864"/>
      <c r="TP234" s="1864"/>
      <c r="TQ234" s="1864"/>
      <c r="TR234" s="1864"/>
      <c r="TS234" s="1864"/>
      <c r="TT234" s="1864"/>
      <c r="TU234" s="1864"/>
      <c r="TV234" s="1864"/>
      <c r="TW234" s="1864"/>
      <c r="TX234" s="1864"/>
      <c r="TY234" s="1864"/>
      <c r="TZ234" s="1864"/>
      <c r="UA234" s="1864"/>
      <c r="UB234" s="1864"/>
      <c r="UC234" s="1864"/>
      <c r="UD234" s="1864"/>
      <c r="UE234" s="1864"/>
      <c r="UF234" s="1864"/>
      <c r="UG234" s="1864"/>
      <c r="UH234" s="1864"/>
      <c r="UI234" s="1864"/>
      <c r="UJ234" s="1864"/>
      <c r="UK234" s="1864"/>
      <c r="UL234" s="1864"/>
      <c r="UM234" s="1864"/>
      <c r="UN234" s="1864"/>
      <c r="UO234" s="1864"/>
      <c r="UP234" s="1864"/>
      <c r="UQ234" s="1864"/>
      <c r="UR234" s="1864"/>
      <c r="US234" s="1864"/>
      <c r="UT234" s="1864"/>
      <c r="UU234" s="1864"/>
      <c r="UV234" s="1864"/>
      <c r="UW234" s="1864"/>
      <c r="UX234" s="1864"/>
      <c r="UY234" s="1864"/>
      <c r="UZ234" s="1864"/>
      <c r="VA234" s="1864"/>
      <c r="VB234" s="1864"/>
      <c r="VC234" s="1864"/>
      <c r="VD234" s="1864"/>
      <c r="VE234" s="1864"/>
      <c r="VF234" s="1864"/>
      <c r="VG234" s="1864"/>
      <c r="VH234" s="1864"/>
      <c r="VI234" s="1864"/>
      <c r="VJ234" s="1864"/>
      <c r="VK234" s="1864"/>
      <c r="VL234" s="1864"/>
      <c r="VM234" s="1864"/>
      <c r="VN234" s="1864"/>
      <c r="VO234" s="1864"/>
      <c r="VP234" s="1864"/>
      <c r="VQ234" s="1864"/>
      <c r="VR234" s="1864"/>
      <c r="VS234" s="1864"/>
      <c r="VT234" s="1864"/>
      <c r="VU234" s="1864"/>
      <c r="VV234" s="1864"/>
      <c r="VW234" s="1864"/>
      <c r="VX234" s="1864"/>
      <c r="VY234" s="1864"/>
      <c r="VZ234" s="1864"/>
      <c r="WA234" s="1864"/>
      <c r="WB234" s="1864"/>
      <c r="WC234" s="1864"/>
      <c r="WD234" s="1864"/>
      <c r="WE234" s="1864"/>
      <c r="WF234" s="1864"/>
      <c r="WG234" s="1864"/>
      <c r="WH234" s="1864"/>
      <c r="WI234" s="1864"/>
      <c r="WJ234" s="1864"/>
      <c r="WK234" s="1864"/>
      <c r="WL234" s="1864"/>
      <c r="WM234" s="1864"/>
      <c r="WN234" s="1864"/>
      <c r="WO234" s="1864"/>
      <c r="WP234" s="1864"/>
      <c r="WQ234" s="1864"/>
      <c r="WR234" s="1864"/>
      <c r="WS234" s="1864"/>
      <c r="WT234" s="1864"/>
      <c r="WU234" s="1864"/>
      <c r="WV234" s="1864"/>
      <c r="WW234" s="1864"/>
      <c r="WX234" s="1864"/>
      <c r="WY234" s="1864"/>
      <c r="WZ234" s="1864"/>
      <c r="XA234" s="1864"/>
      <c r="XB234" s="1864"/>
      <c r="XC234" s="1864"/>
      <c r="XD234" s="1864"/>
      <c r="XE234" s="1864"/>
      <c r="XF234" s="1864"/>
      <c r="XG234" s="1864"/>
      <c r="XH234" s="1864"/>
      <c r="XI234" s="1864"/>
      <c r="XJ234" s="1864"/>
      <c r="XK234" s="1864"/>
      <c r="XL234" s="1864"/>
      <c r="XM234" s="1864"/>
      <c r="XN234" s="1864"/>
      <c r="XO234" s="1864"/>
      <c r="XP234" s="1864"/>
      <c r="XQ234" s="1864"/>
      <c r="XR234" s="1864"/>
      <c r="XS234" s="1864"/>
      <c r="XT234" s="1864"/>
      <c r="XU234" s="1864"/>
      <c r="XV234" s="1864"/>
      <c r="XW234" s="1864"/>
      <c r="XX234" s="1864"/>
      <c r="XY234" s="1864"/>
      <c r="XZ234" s="1864"/>
      <c r="YA234" s="1864"/>
      <c r="YB234" s="1864"/>
      <c r="YC234" s="1864"/>
      <c r="YD234" s="1864"/>
      <c r="YE234" s="1864"/>
      <c r="YF234" s="1864"/>
      <c r="YG234" s="1864"/>
      <c r="YH234" s="1864"/>
      <c r="YI234" s="1864"/>
      <c r="YJ234" s="1864"/>
      <c r="YK234" s="1864"/>
      <c r="YL234" s="1864"/>
      <c r="YM234" s="1864"/>
      <c r="YN234" s="1864"/>
      <c r="YO234" s="1864"/>
      <c r="YP234" s="1864"/>
      <c r="YQ234" s="1864"/>
      <c r="YR234" s="1864"/>
      <c r="YS234" s="1864"/>
      <c r="YT234" s="1864"/>
      <c r="YU234" s="1864"/>
      <c r="YV234" s="1864"/>
      <c r="YW234" s="1864"/>
      <c r="YX234" s="1864"/>
      <c r="YY234" s="1864"/>
      <c r="YZ234" s="1864"/>
      <c r="ZA234" s="1864"/>
      <c r="ZB234" s="1864"/>
      <c r="ZC234" s="1864"/>
      <c r="ZD234" s="1864"/>
      <c r="ZE234" s="1864"/>
      <c r="ZF234" s="1864"/>
      <c r="ZG234" s="1864"/>
      <c r="ZH234" s="1864"/>
      <c r="ZI234" s="1864"/>
      <c r="ZJ234" s="1864"/>
      <c r="ZK234" s="1864"/>
      <c r="ZL234" s="1864"/>
      <c r="ZM234" s="1864"/>
      <c r="ZN234" s="1864"/>
      <c r="ZO234" s="1864"/>
      <c r="ZP234" s="1864"/>
      <c r="ZQ234" s="1864"/>
      <c r="ZR234" s="1864"/>
      <c r="ZS234" s="1864"/>
      <c r="ZT234" s="1864"/>
      <c r="ZU234" s="1864"/>
      <c r="ZV234" s="1864"/>
      <c r="ZW234" s="1864"/>
      <c r="ZX234" s="1864"/>
      <c r="ZY234" s="1864"/>
      <c r="ZZ234" s="1864"/>
      <c r="AAA234" s="1864"/>
      <c r="AAB234" s="1864"/>
      <c r="AAC234" s="1864"/>
      <c r="AAD234" s="1864"/>
      <c r="AAE234" s="1864"/>
      <c r="AAF234" s="1864"/>
      <c r="AAG234" s="1864"/>
      <c r="AAH234" s="1864"/>
      <c r="AAI234" s="1864"/>
      <c r="AAJ234" s="1864"/>
      <c r="AAK234" s="1864"/>
      <c r="AAL234" s="1864"/>
      <c r="AAM234" s="1864"/>
      <c r="AAN234" s="1864"/>
      <c r="AAO234" s="1864"/>
      <c r="AAP234" s="1864"/>
      <c r="AAQ234" s="1864"/>
      <c r="AAR234" s="1864"/>
      <c r="AAS234" s="1864"/>
      <c r="AAT234" s="1864"/>
      <c r="AAU234" s="1864"/>
      <c r="AAV234" s="1864"/>
      <c r="AAW234" s="1864"/>
      <c r="AAX234" s="1864"/>
      <c r="AAY234" s="1864"/>
      <c r="AAZ234" s="1864"/>
      <c r="ABA234" s="1864"/>
      <c r="ABB234" s="1864"/>
      <c r="ABC234" s="1864"/>
      <c r="ABD234" s="1864"/>
      <c r="ABE234" s="1864"/>
      <c r="ABF234" s="1864"/>
      <c r="ABG234" s="1864"/>
      <c r="ABH234" s="1864"/>
      <c r="ABI234" s="1864"/>
      <c r="ABJ234" s="1864"/>
      <c r="ABK234" s="1864"/>
      <c r="ABL234" s="1864"/>
      <c r="ABM234" s="1864"/>
      <c r="ABN234" s="1864"/>
      <c r="ABO234" s="1864"/>
      <c r="ABP234" s="1864"/>
      <c r="ABQ234" s="1864"/>
      <c r="ABR234" s="1864"/>
      <c r="ABS234" s="1864"/>
      <c r="ABT234" s="1864"/>
      <c r="ABU234" s="1864"/>
      <c r="ABV234" s="1864"/>
      <c r="ABW234" s="1864"/>
      <c r="ABX234" s="1864"/>
      <c r="ABY234" s="1864"/>
      <c r="ABZ234" s="1864"/>
      <c r="ACA234" s="1864"/>
      <c r="ACB234" s="1864"/>
      <c r="ACC234" s="1864"/>
      <c r="ACD234" s="1864"/>
      <c r="ACE234" s="1864"/>
      <c r="ACF234" s="1864"/>
      <c r="ACG234" s="1864"/>
      <c r="ACH234" s="1864"/>
      <c r="ACI234" s="1864"/>
      <c r="ACJ234" s="1864"/>
      <c r="ACK234" s="1864"/>
      <c r="ACL234" s="1864"/>
      <c r="ACM234" s="1864"/>
      <c r="ACN234" s="1864"/>
      <c r="ACO234" s="1864"/>
      <c r="ACP234" s="1864"/>
      <c r="ACQ234" s="1864"/>
      <c r="ACR234" s="1864"/>
      <c r="ACS234" s="1864"/>
      <c r="ACT234" s="1864"/>
      <c r="ACU234" s="1864"/>
      <c r="ACV234" s="1864"/>
      <c r="ACW234" s="1864"/>
      <c r="ACX234" s="1864"/>
      <c r="ACY234" s="1864"/>
      <c r="ACZ234" s="1864"/>
      <c r="ADA234" s="1864"/>
      <c r="ADB234" s="1864"/>
      <c r="ADC234" s="1864"/>
      <c r="ADD234" s="1864"/>
      <c r="ADE234" s="1864"/>
      <c r="ADF234" s="1864"/>
      <c r="ADG234" s="1864"/>
      <c r="ADH234" s="1864"/>
      <c r="ADI234" s="1864"/>
      <c r="ADJ234" s="1864"/>
      <c r="ADK234" s="1864"/>
      <c r="ADL234" s="1864"/>
      <c r="ADM234" s="1864"/>
      <c r="ADN234" s="1864"/>
      <c r="ADO234" s="1864"/>
      <c r="ADP234" s="1864"/>
      <c r="ADQ234" s="1864"/>
      <c r="ADR234" s="1864"/>
      <c r="ADS234" s="1864"/>
      <c r="ADT234" s="1864"/>
      <c r="ADU234" s="1864"/>
      <c r="ADV234" s="1864"/>
      <c r="ADW234" s="1864"/>
      <c r="ADX234" s="1864"/>
      <c r="ADY234" s="1864"/>
      <c r="ADZ234" s="1864"/>
      <c r="AEA234" s="1864"/>
      <c r="AEB234" s="1864"/>
      <c r="AEC234" s="1864"/>
      <c r="AED234" s="1864"/>
      <c r="AEE234" s="1864"/>
      <c r="AEF234" s="1864"/>
      <c r="AEG234" s="1864"/>
      <c r="AEH234" s="1864"/>
      <c r="AEI234" s="1864"/>
      <c r="AEJ234" s="1864"/>
      <c r="AEK234" s="1864"/>
      <c r="AEL234" s="1864"/>
      <c r="AEM234" s="1864"/>
      <c r="AEN234" s="1864"/>
      <c r="AEO234" s="1864"/>
      <c r="AEP234" s="1864"/>
      <c r="AEQ234" s="1864"/>
      <c r="AER234" s="1864"/>
      <c r="AES234" s="1864"/>
      <c r="AET234" s="1864"/>
      <c r="AEU234" s="1864"/>
      <c r="AEV234" s="1864"/>
      <c r="AEW234" s="1864"/>
      <c r="AEX234" s="1864"/>
      <c r="AEY234" s="1864"/>
      <c r="AEZ234" s="1864"/>
      <c r="AFA234" s="1864"/>
      <c r="AFB234" s="1864"/>
      <c r="AFC234" s="1864"/>
      <c r="AFD234" s="1864"/>
      <c r="AFE234" s="1864"/>
      <c r="AFF234" s="1864"/>
      <c r="AFG234" s="1864"/>
      <c r="AFH234" s="1864"/>
      <c r="AFI234" s="1864"/>
      <c r="AFJ234" s="1864"/>
      <c r="AFK234" s="1864"/>
      <c r="AFL234" s="1864"/>
      <c r="AFM234" s="1864"/>
      <c r="AFN234" s="1864"/>
      <c r="AFO234" s="1864"/>
      <c r="AFP234" s="1864"/>
      <c r="AFQ234" s="1864"/>
      <c r="AFR234" s="1864"/>
      <c r="AFS234" s="1864"/>
      <c r="AFT234" s="1864"/>
      <c r="AFU234" s="1864"/>
      <c r="AFV234" s="1864"/>
      <c r="AFW234" s="1864"/>
      <c r="AFX234" s="1864"/>
      <c r="AFY234" s="1864"/>
      <c r="AFZ234" s="1864"/>
      <c r="AGA234" s="1864"/>
      <c r="AGB234" s="1864"/>
      <c r="AGC234" s="1864"/>
      <c r="AGD234" s="1864"/>
      <c r="AGE234" s="1864"/>
      <c r="AGF234" s="1864"/>
      <c r="AGG234" s="1864"/>
      <c r="AGH234" s="1864"/>
      <c r="AGI234" s="1864"/>
      <c r="AGJ234" s="1864"/>
      <c r="AGK234" s="1864"/>
      <c r="AGL234" s="1864"/>
      <c r="AGM234" s="1864"/>
      <c r="AGN234" s="1864"/>
      <c r="AGO234" s="1864"/>
      <c r="AGP234" s="1864"/>
      <c r="AGQ234" s="1864"/>
      <c r="AGR234" s="1864"/>
      <c r="AGS234" s="1864"/>
      <c r="AGT234" s="1864"/>
      <c r="AGU234" s="1864"/>
      <c r="AGV234" s="1864"/>
      <c r="AGW234" s="1864"/>
      <c r="AGX234" s="1864"/>
      <c r="AGY234" s="1864"/>
      <c r="AGZ234" s="1864"/>
      <c r="AHA234" s="1864"/>
      <c r="AHB234" s="1864"/>
      <c r="AHC234" s="1864"/>
      <c r="AHD234" s="1864"/>
      <c r="AHE234" s="1864"/>
      <c r="AHF234" s="1864"/>
      <c r="AHG234" s="1864"/>
      <c r="AHH234" s="1864"/>
      <c r="AHI234" s="1864"/>
      <c r="AHJ234" s="1864"/>
      <c r="AHK234" s="1864"/>
      <c r="AHL234" s="1864"/>
      <c r="AHM234" s="1864"/>
      <c r="AHN234" s="1864"/>
      <c r="AHO234" s="1864"/>
      <c r="AHP234" s="1864"/>
      <c r="AHQ234" s="1864"/>
      <c r="AHR234" s="1864"/>
      <c r="AHS234" s="1864"/>
      <c r="AHT234" s="1864"/>
      <c r="AHU234" s="1864"/>
      <c r="AHV234" s="1864"/>
      <c r="AHW234" s="1864"/>
      <c r="AHX234" s="1864"/>
      <c r="AHY234" s="1864"/>
      <c r="AHZ234" s="1864"/>
      <c r="AIA234" s="1864"/>
      <c r="AIB234" s="1864"/>
      <c r="AIC234" s="1864"/>
      <c r="AID234" s="1864"/>
      <c r="AIE234" s="1864"/>
      <c r="AIF234" s="1864"/>
      <c r="AIG234" s="1864"/>
      <c r="AIH234" s="1864"/>
      <c r="AII234" s="1864"/>
      <c r="AIJ234" s="1864"/>
      <c r="AIK234" s="1864"/>
      <c r="AIL234" s="1864"/>
      <c r="AIM234" s="1864"/>
      <c r="AIN234" s="1864"/>
      <c r="AIO234" s="1864"/>
      <c r="AIP234" s="1864"/>
      <c r="AIQ234" s="1864"/>
      <c r="AIR234" s="1864"/>
      <c r="AIS234" s="1864"/>
      <c r="AIT234" s="1864"/>
      <c r="AIU234" s="1864"/>
      <c r="AIV234" s="1864"/>
      <c r="AIW234" s="1864"/>
      <c r="AIX234" s="1864"/>
      <c r="AIY234" s="1864"/>
      <c r="AIZ234" s="1864"/>
      <c r="AJA234" s="1864"/>
      <c r="AJB234" s="1864"/>
      <c r="AJC234" s="1864"/>
      <c r="AJD234" s="1864"/>
      <c r="AJE234" s="1864"/>
      <c r="AJF234" s="1864"/>
      <c r="AJG234" s="1864"/>
      <c r="AJH234" s="1864"/>
      <c r="AJI234" s="1864"/>
      <c r="AJJ234" s="1864"/>
      <c r="AJK234" s="1864"/>
      <c r="AJL234" s="1864"/>
      <c r="AJM234" s="1864"/>
      <c r="AJN234" s="1864"/>
      <c r="AJO234" s="1864"/>
      <c r="AJP234" s="1864"/>
      <c r="AJQ234" s="1864"/>
      <c r="AJR234" s="1864"/>
      <c r="AJS234" s="1864"/>
      <c r="AJT234" s="1864"/>
      <c r="AJU234" s="1864"/>
      <c r="AJV234" s="1864"/>
      <c r="AJW234" s="1864"/>
      <c r="AJX234" s="1864"/>
      <c r="AJY234" s="1864"/>
      <c r="AJZ234" s="1864"/>
      <c r="AKA234" s="1864"/>
      <c r="AKB234" s="1864"/>
      <c r="AKC234" s="1864"/>
      <c r="AKD234" s="1864"/>
      <c r="AKE234" s="1864"/>
      <c r="AKF234" s="1864"/>
      <c r="AKG234" s="1864"/>
      <c r="AKH234" s="1864"/>
      <c r="AKI234" s="1864"/>
      <c r="AKJ234" s="1864"/>
      <c r="AKK234" s="1864"/>
      <c r="AKL234" s="1864"/>
      <c r="AKM234" s="1864"/>
      <c r="AKN234" s="1864"/>
      <c r="AKO234" s="1864"/>
      <c r="AKP234" s="1864"/>
      <c r="AKQ234" s="1864"/>
      <c r="AKR234" s="1864"/>
      <c r="AKS234" s="1864"/>
      <c r="AKT234" s="1864"/>
      <c r="AKU234" s="1864"/>
      <c r="AKV234" s="1864"/>
      <c r="AKW234" s="1864"/>
      <c r="AKX234" s="1864"/>
      <c r="AKY234" s="1864"/>
      <c r="AKZ234" s="1864"/>
      <c r="ALA234" s="1864"/>
      <c r="ALB234" s="1864"/>
      <c r="ALC234" s="1864"/>
      <c r="ALD234" s="1864"/>
      <c r="ALE234" s="1864"/>
      <c r="ALF234" s="1864"/>
      <c r="ALG234" s="1864"/>
      <c r="ALH234" s="1864"/>
      <c r="ALI234" s="1864"/>
      <c r="ALJ234" s="1864"/>
      <c r="ALK234" s="1864"/>
      <c r="ALL234" s="1864"/>
      <c r="ALM234" s="1864"/>
      <c r="ALN234" s="1864"/>
      <c r="ALO234" s="1864"/>
      <c r="ALP234" s="1864"/>
      <c r="ALQ234" s="1864"/>
      <c r="ALR234" s="1864"/>
      <c r="ALS234" s="1864"/>
      <c r="ALT234" s="1864"/>
      <c r="ALU234" s="1864"/>
      <c r="ALV234" s="1864"/>
      <c r="ALW234" s="1864"/>
      <c r="ALX234" s="1864"/>
      <c r="ALY234" s="1864"/>
      <c r="ALZ234" s="1864"/>
      <c r="AMA234" s="1864"/>
      <c r="AMB234" s="1864"/>
      <c r="AMC234" s="1864"/>
      <c r="AMD234" s="1864"/>
      <c r="AME234" s="1864"/>
      <c r="AMF234" s="1864"/>
      <c r="AMG234" s="1864"/>
      <c r="AMH234" s="1864"/>
      <c r="AMI234" s="1864"/>
      <c r="AMJ234" s="1864"/>
      <c r="AMK234" s="1864"/>
      <c r="AML234" s="1864"/>
      <c r="AMM234" s="1864"/>
      <c r="AMN234" s="1864"/>
      <c r="AMO234" s="1864"/>
      <c r="AMP234" s="1864"/>
      <c r="AMQ234" s="1864"/>
      <c r="AMR234" s="1864"/>
      <c r="AMS234" s="1864"/>
      <c r="AMT234" s="1864"/>
      <c r="AMU234" s="1864"/>
      <c r="AMV234" s="1864"/>
      <c r="AMW234" s="1864"/>
      <c r="AMX234" s="1864"/>
      <c r="AMY234" s="1864"/>
      <c r="AMZ234" s="1864"/>
      <c r="ANA234" s="1864"/>
      <c r="ANB234" s="1864"/>
      <c r="ANC234" s="1864"/>
      <c r="AND234" s="1864"/>
      <c r="ANE234" s="1864"/>
      <c r="ANF234" s="1864"/>
      <c r="ANG234" s="1864"/>
      <c r="ANH234" s="1864"/>
      <c r="ANI234" s="1864"/>
      <c r="ANJ234" s="1864"/>
      <c r="ANK234" s="1864"/>
      <c r="ANL234" s="1864"/>
      <c r="ANM234" s="1864"/>
      <c r="ANN234" s="1864"/>
      <c r="ANO234" s="1864"/>
      <c r="ANP234" s="1864"/>
      <c r="ANQ234" s="1864"/>
      <c r="ANR234" s="1864"/>
      <c r="ANS234" s="1864"/>
      <c r="ANT234" s="1864"/>
      <c r="ANU234" s="1864"/>
      <c r="ANV234" s="1864"/>
      <c r="ANW234" s="1864"/>
      <c r="ANX234" s="1864"/>
      <c r="ANY234" s="1864"/>
      <c r="ANZ234" s="1864"/>
      <c r="AOA234" s="1864"/>
      <c r="AOB234" s="1864"/>
      <c r="AOC234" s="1864"/>
      <c r="AOD234" s="1864"/>
      <c r="AOE234" s="1864"/>
      <c r="AOF234" s="1864"/>
      <c r="AOG234" s="1864"/>
      <c r="AOH234" s="1864"/>
      <c r="AOI234" s="1864"/>
      <c r="AOJ234" s="1864"/>
      <c r="AOK234" s="1864"/>
      <c r="AOL234" s="1864"/>
      <c r="AOM234" s="1864"/>
      <c r="AON234" s="1864"/>
      <c r="AOO234" s="1864"/>
      <c r="AOP234" s="1864"/>
      <c r="AOQ234" s="1864"/>
      <c r="AOR234" s="1864"/>
      <c r="AOS234" s="1864"/>
      <c r="AOT234" s="1864"/>
      <c r="AOU234" s="1864"/>
      <c r="AOV234" s="1864"/>
      <c r="AOW234" s="1864"/>
      <c r="AOX234" s="1864"/>
      <c r="AOY234" s="1864"/>
      <c r="AOZ234" s="1864"/>
      <c r="APA234" s="1864"/>
      <c r="APB234" s="1864"/>
      <c r="APC234" s="1864"/>
      <c r="APD234" s="1864"/>
      <c r="APE234" s="1864"/>
      <c r="APF234" s="1864"/>
      <c r="APG234" s="1864"/>
      <c r="APH234" s="1864"/>
      <c r="API234" s="1864"/>
      <c r="APJ234" s="1864"/>
      <c r="APK234" s="1864"/>
      <c r="APL234" s="1864"/>
      <c r="APM234" s="1864"/>
      <c r="APN234" s="1864"/>
      <c r="APO234" s="1864"/>
      <c r="APP234" s="1864"/>
      <c r="APQ234" s="1864"/>
      <c r="APR234" s="1864"/>
      <c r="APS234" s="1864"/>
      <c r="APT234" s="1864"/>
      <c r="APU234" s="1864"/>
      <c r="APV234" s="1864"/>
      <c r="APW234" s="1864"/>
      <c r="APX234" s="1864"/>
      <c r="APY234" s="1864"/>
      <c r="APZ234" s="1864"/>
      <c r="AQA234" s="1864"/>
      <c r="AQB234" s="1864"/>
      <c r="AQC234" s="1864"/>
      <c r="AQD234" s="1864"/>
      <c r="AQE234" s="1864"/>
      <c r="AQF234" s="1864"/>
      <c r="AQG234" s="1864"/>
      <c r="AQH234" s="1864"/>
      <c r="AQI234" s="1864"/>
      <c r="AQJ234" s="1864"/>
      <c r="AQK234" s="1864"/>
      <c r="AQL234" s="1864"/>
      <c r="AQM234" s="1864"/>
      <c r="AQN234" s="1864"/>
      <c r="AQO234" s="1864"/>
      <c r="AQP234" s="1864"/>
      <c r="AQQ234" s="1864"/>
      <c r="AQR234" s="1864"/>
      <c r="AQS234" s="1864"/>
      <c r="AQT234" s="1864"/>
      <c r="AQU234" s="1864"/>
      <c r="AQV234" s="1864"/>
      <c r="AQW234" s="1864"/>
      <c r="AQX234" s="1864"/>
      <c r="AQY234" s="1864"/>
      <c r="AQZ234" s="1864"/>
      <c r="ARA234" s="1864"/>
      <c r="ARB234" s="1864"/>
      <c r="ARC234" s="1864"/>
      <c r="ARD234" s="1864"/>
      <c r="ARE234" s="1864"/>
      <c r="ARF234" s="1864"/>
      <c r="ARG234" s="1864"/>
      <c r="ARH234" s="1864"/>
      <c r="ARI234" s="1864"/>
      <c r="ARJ234" s="1864"/>
      <c r="ARK234" s="1864"/>
      <c r="ARL234" s="1864"/>
      <c r="ARM234" s="1864"/>
      <c r="ARN234" s="1864"/>
      <c r="ARO234" s="1864"/>
      <c r="ARP234" s="1864"/>
      <c r="ARQ234" s="1864"/>
      <c r="ARR234" s="1864"/>
      <c r="ARS234" s="1864"/>
      <c r="ART234" s="1864"/>
      <c r="ARU234" s="1864"/>
      <c r="ARV234" s="1864"/>
      <c r="ARW234" s="1864"/>
      <c r="ARX234" s="1864"/>
      <c r="ARY234" s="1864"/>
      <c r="ARZ234" s="1864"/>
      <c r="ASA234" s="1864"/>
      <c r="ASB234" s="1864"/>
      <c r="ASC234" s="1864"/>
      <c r="ASD234" s="1864"/>
      <c r="ASE234" s="1864"/>
      <c r="ASF234" s="1864"/>
      <c r="ASG234" s="1864"/>
      <c r="ASH234" s="1864"/>
      <c r="ASI234" s="1864"/>
      <c r="ASJ234" s="1864"/>
      <c r="ASK234" s="1864"/>
      <c r="ASL234" s="1864"/>
      <c r="ASM234" s="1864"/>
      <c r="ASN234" s="1864"/>
      <c r="ASO234" s="1864"/>
      <c r="ASP234" s="1864"/>
      <c r="ASQ234" s="1864"/>
      <c r="ASR234" s="1864"/>
      <c r="ASS234" s="1864"/>
      <c r="AST234" s="1864"/>
      <c r="ASU234" s="1864"/>
      <c r="ASV234" s="1864"/>
      <c r="ASW234" s="1864"/>
      <c r="ASX234" s="1864"/>
      <c r="ASY234" s="1864"/>
      <c r="ASZ234" s="1864"/>
      <c r="ATA234" s="1864"/>
      <c r="ATB234" s="1864"/>
      <c r="ATC234" s="1864"/>
      <c r="ATD234" s="1864"/>
      <c r="ATE234" s="1864"/>
      <c r="ATF234" s="1864"/>
      <c r="ATG234" s="1864"/>
      <c r="ATH234" s="1864"/>
      <c r="ATI234" s="1864"/>
      <c r="ATJ234" s="1864"/>
      <c r="ATK234" s="1864"/>
      <c r="ATL234" s="1864"/>
      <c r="ATM234" s="1864"/>
      <c r="ATN234" s="1864"/>
      <c r="ATO234" s="1864"/>
      <c r="ATP234" s="1864"/>
      <c r="ATQ234" s="1864"/>
      <c r="ATR234" s="1864"/>
      <c r="ATS234" s="1864"/>
      <c r="ATT234" s="1864"/>
      <c r="ATU234" s="1864"/>
      <c r="ATV234" s="1864"/>
      <c r="ATW234" s="1864"/>
      <c r="ATX234" s="1864"/>
      <c r="ATY234" s="1864"/>
      <c r="ATZ234" s="1864"/>
      <c r="AUA234" s="1864"/>
      <c r="AUB234" s="1864"/>
      <c r="AUC234" s="1864"/>
      <c r="AUD234" s="1864"/>
      <c r="AUE234" s="1864"/>
      <c r="AUF234" s="1864"/>
      <c r="AUG234" s="1864"/>
      <c r="AUH234" s="1864"/>
      <c r="AUI234" s="1864"/>
      <c r="AUJ234" s="1864"/>
      <c r="AUK234" s="1864"/>
      <c r="AUL234" s="1864"/>
      <c r="AUM234" s="1864"/>
      <c r="AUN234" s="1864"/>
      <c r="AUO234" s="1864"/>
      <c r="AUP234" s="1864"/>
      <c r="AUQ234" s="1864"/>
      <c r="AUR234" s="1864"/>
      <c r="AUS234" s="1864"/>
      <c r="AUT234" s="1864"/>
      <c r="AUU234" s="1864"/>
      <c r="AUV234" s="1864"/>
      <c r="AUW234" s="1864"/>
      <c r="AUX234" s="1864"/>
      <c r="AUY234" s="1864"/>
      <c r="AUZ234" s="1864"/>
      <c r="AVA234" s="1864"/>
      <c r="AVB234" s="1864"/>
      <c r="AVC234" s="1864"/>
      <c r="AVD234" s="1864"/>
      <c r="AVE234" s="1864"/>
      <c r="AVF234" s="1864"/>
      <c r="AVG234" s="1864"/>
      <c r="AVH234" s="1864"/>
      <c r="AVI234" s="1864"/>
      <c r="AVJ234" s="1864"/>
      <c r="AVK234" s="1864"/>
      <c r="AVL234" s="1864"/>
      <c r="AVM234" s="1864"/>
      <c r="AVN234" s="1864"/>
      <c r="AVO234" s="1864"/>
      <c r="AVP234" s="1864"/>
      <c r="AVQ234" s="1864"/>
      <c r="AVR234" s="1864"/>
      <c r="AVS234" s="1864"/>
      <c r="AVT234" s="1864"/>
      <c r="AVU234" s="1864"/>
      <c r="AVV234" s="1864"/>
      <c r="AVW234" s="1864"/>
      <c r="AVX234" s="1864"/>
      <c r="AVY234" s="1864"/>
      <c r="AVZ234" s="1864"/>
      <c r="AWA234" s="1864"/>
      <c r="AWB234" s="1864"/>
      <c r="AWC234" s="1864"/>
      <c r="AWD234" s="1864"/>
      <c r="AWE234" s="1864"/>
      <c r="AWF234" s="1864"/>
      <c r="AWG234" s="1864"/>
      <c r="AWH234" s="1864"/>
      <c r="AWI234" s="1864"/>
      <c r="AWJ234" s="1864"/>
      <c r="AWK234" s="1864"/>
      <c r="AWL234" s="1864"/>
      <c r="AWM234" s="1864"/>
      <c r="AWN234" s="1864"/>
      <c r="AWO234" s="1864"/>
      <c r="AWP234" s="1864"/>
      <c r="AWQ234" s="1864"/>
    </row>
    <row r="235" spans="1:1291" ht="21" customHeight="1" thickBot="1" x14ac:dyDescent="0.25">
      <c r="A235" s="1966" t="s">
        <v>36</v>
      </c>
      <c r="B235" s="1989" t="s">
        <v>1004</v>
      </c>
      <c r="C235" s="1699" t="s">
        <v>866</v>
      </c>
      <c r="D235" s="1880"/>
      <c r="E235" s="1984"/>
      <c r="F235" s="1865"/>
      <c r="G235" s="1866"/>
      <c r="H235" s="1866"/>
      <c r="I235" s="1866"/>
      <c r="J235" s="1866"/>
      <c r="K235" s="1866"/>
      <c r="L235" s="1866"/>
      <c r="M235" s="1866"/>
      <c r="N235" s="1866"/>
      <c r="O235" s="1866"/>
      <c r="P235" s="1866"/>
      <c r="Q235" s="1866"/>
      <c r="R235" s="1866"/>
      <c r="S235" s="1866"/>
      <c r="T235" s="1866"/>
      <c r="U235" s="1866"/>
      <c r="V235" s="1866"/>
      <c r="W235" s="1866"/>
      <c r="X235" s="1866"/>
      <c r="Y235" s="1866"/>
      <c r="Z235" s="1866"/>
      <c r="AA235" s="1866"/>
      <c r="AB235" s="1866"/>
      <c r="AC235" s="1866"/>
      <c r="AD235" s="1866"/>
      <c r="AE235" s="1866"/>
      <c r="AF235" s="1866"/>
      <c r="AG235" s="1866"/>
      <c r="AH235" s="1866"/>
      <c r="AI235" s="1866"/>
      <c r="AJ235" s="1866"/>
      <c r="AK235" s="1866"/>
      <c r="AL235" s="1866"/>
      <c r="AM235" s="1866"/>
      <c r="AN235" s="1866"/>
      <c r="AO235" s="1866"/>
      <c r="AP235" s="1866"/>
      <c r="AQ235" s="1866"/>
      <c r="AR235" s="1866"/>
      <c r="AS235" s="1866"/>
      <c r="AT235" s="1866"/>
      <c r="AU235" s="1866"/>
      <c r="AV235" s="1866"/>
      <c r="AW235" s="1866"/>
      <c r="AX235" s="1866"/>
      <c r="AY235" s="1866"/>
      <c r="AZ235" s="1866"/>
      <c r="BA235" s="1866"/>
      <c r="BB235" s="1866"/>
      <c r="BC235" s="1866"/>
      <c r="BD235" s="1866"/>
      <c r="BE235" s="1866"/>
      <c r="BF235" s="1866"/>
      <c r="BG235" s="1866"/>
      <c r="BH235" s="1866"/>
      <c r="BI235" s="1866"/>
      <c r="BJ235" s="1866"/>
      <c r="BK235" s="1866"/>
      <c r="BL235" s="1866"/>
      <c r="BM235" s="1866"/>
      <c r="BN235" s="1866"/>
      <c r="BO235" s="1866"/>
      <c r="BP235" s="1866"/>
      <c r="BQ235" s="1866"/>
      <c r="BR235" s="1866"/>
      <c r="BS235" s="1866"/>
      <c r="BT235" s="1866"/>
      <c r="BU235" s="1866"/>
      <c r="BV235" s="1866"/>
      <c r="BW235" s="1866"/>
      <c r="BX235" s="1866"/>
      <c r="BY235" s="1866"/>
      <c r="BZ235" s="1866"/>
      <c r="CA235" s="1866"/>
      <c r="CB235" s="1866"/>
      <c r="CC235" s="1866"/>
      <c r="CD235" s="1866"/>
      <c r="CE235" s="1866"/>
      <c r="CF235" s="1866"/>
      <c r="CG235" s="1866"/>
      <c r="CH235" s="1866"/>
      <c r="CI235" s="1866"/>
      <c r="CJ235" s="1866"/>
      <c r="CK235" s="1866"/>
      <c r="CL235" s="1866"/>
      <c r="CM235" s="1866"/>
      <c r="CN235" s="1866"/>
      <c r="CO235" s="1866"/>
      <c r="CP235" s="1866"/>
      <c r="CQ235" s="1866"/>
      <c r="CR235" s="1866"/>
      <c r="CS235" s="1866"/>
      <c r="CT235" s="1866"/>
      <c r="CU235" s="1866"/>
      <c r="CV235" s="1866"/>
      <c r="CW235" s="1866"/>
      <c r="CX235" s="1866"/>
      <c r="CY235" s="1866"/>
      <c r="CZ235" s="1866"/>
      <c r="DA235" s="1866"/>
      <c r="DB235" s="1866"/>
      <c r="DC235" s="1866"/>
      <c r="DD235" s="1866"/>
      <c r="DE235" s="1866"/>
      <c r="DF235" s="1866"/>
      <c r="DG235" s="1866"/>
      <c r="DH235" s="1866"/>
      <c r="DI235" s="1866"/>
      <c r="DJ235" s="1866"/>
      <c r="DK235" s="1866"/>
      <c r="DL235" s="1866"/>
      <c r="DM235" s="1866"/>
      <c r="DN235" s="1866"/>
      <c r="DO235" s="1866"/>
      <c r="DP235" s="1866"/>
      <c r="DQ235" s="1866"/>
      <c r="DR235" s="1866"/>
      <c r="DS235" s="1866"/>
      <c r="DT235" s="1866"/>
      <c r="DU235" s="1866"/>
      <c r="DV235" s="1866"/>
      <c r="DW235" s="1866"/>
      <c r="DX235" s="1866"/>
      <c r="DY235" s="1866"/>
      <c r="DZ235" s="1866"/>
      <c r="EA235" s="1866"/>
      <c r="EB235" s="1866"/>
      <c r="EC235" s="1866"/>
      <c r="ED235" s="1866"/>
      <c r="EE235" s="1866"/>
      <c r="EF235" s="1866"/>
      <c r="EG235" s="1866"/>
      <c r="EH235" s="1866"/>
      <c r="EI235" s="1866"/>
      <c r="EJ235" s="1866"/>
      <c r="EK235" s="1866"/>
      <c r="EL235" s="1866"/>
      <c r="EM235" s="1866"/>
      <c r="EN235" s="1866"/>
      <c r="EO235" s="1866"/>
      <c r="EP235" s="1866"/>
      <c r="EQ235" s="1866"/>
      <c r="ER235" s="1866"/>
      <c r="ES235" s="1866"/>
      <c r="ET235" s="1866"/>
      <c r="EU235" s="1866"/>
      <c r="EV235" s="1866"/>
      <c r="EW235" s="1866"/>
      <c r="EX235" s="1866"/>
      <c r="EY235" s="1866"/>
      <c r="EZ235" s="1866"/>
      <c r="FA235" s="1866"/>
      <c r="FB235" s="1866"/>
      <c r="FC235" s="1866"/>
      <c r="FD235" s="1866"/>
      <c r="FE235" s="1866"/>
      <c r="FF235" s="1866"/>
      <c r="FG235" s="1866"/>
      <c r="FH235" s="1866"/>
      <c r="FI235" s="1866"/>
      <c r="FJ235" s="1866"/>
      <c r="FK235" s="1866"/>
      <c r="FL235" s="1866"/>
      <c r="FM235" s="1866"/>
      <c r="FN235" s="1866"/>
      <c r="FO235" s="1866"/>
      <c r="FP235" s="1866"/>
      <c r="FQ235" s="1866"/>
      <c r="FR235" s="1866"/>
      <c r="FS235" s="1866"/>
      <c r="FT235" s="1866"/>
      <c r="FU235" s="1866"/>
      <c r="FV235" s="1866"/>
      <c r="FW235" s="1866"/>
      <c r="FX235" s="1866"/>
      <c r="FY235" s="1866"/>
      <c r="FZ235" s="1866"/>
      <c r="GA235" s="1866"/>
      <c r="GB235" s="1866"/>
      <c r="GC235" s="1866"/>
      <c r="GD235" s="1866"/>
      <c r="GE235" s="1866"/>
      <c r="GF235" s="1866"/>
      <c r="GG235" s="1866"/>
      <c r="GH235" s="1866"/>
      <c r="GI235" s="1866"/>
      <c r="GJ235" s="1866"/>
      <c r="GK235" s="1866"/>
      <c r="GL235" s="1866"/>
      <c r="GM235" s="1866"/>
      <c r="GN235" s="1866"/>
      <c r="GO235" s="1866"/>
      <c r="GP235" s="1866"/>
      <c r="GQ235" s="1866"/>
      <c r="GR235" s="1866"/>
      <c r="GS235" s="1866"/>
      <c r="GT235" s="1866"/>
      <c r="GU235" s="1866"/>
      <c r="GV235" s="1866"/>
      <c r="GW235" s="1866"/>
      <c r="GX235" s="1866"/>
      <c r="GY235" s="1866"/>
      <c r="GZ235" s="1866"/>
      <c r="HA235" s="1866"/>
      <c r="HB235" s="1866"/>
      <c r="HC235" s="1866"/>
      <c r="HD235" s="1866"/>
      <c r="HE235" s="1866"/>
    </row>
    <row r="236" spans="1:1291" ht="15" customHeight="1" x14ac:dyDescent="0.2">
      <c r="A236" s="1966"/>
      <c r="B236" s="1989"/>
      <c r="C236" s="1705" t="s">
        <v>72</v>
      </c>
      <c r="D236" s="1885"/>
      <c r="E236" s="1984"/>
      <c r="F236" s="1836">
        <v>0</v>
      </c>
      <c r="G236" s="1802">
        <v>0</v>
      </c>
      <c r="H236" s="1802">
        <v>0</v>
      </c>
      <c r="I236" s="1802">
        <v>0</v>
      </c>
      <c r="J236" s="1802">
        <v>0</v>
      </c>
      <c r="K236" s="1802">
        <v>0</v>
      </c>
      <c r="L236" s="1802">
        <v>0</v>
      </c>
      <c r="M236" s="1802">
        <v>0</v>
      </c>
      <c r="N236" s="1802">
        <v>0</v>
      </c>
      <c r="O236" s="1802">
        <v>0</v>
      </c>
      <c r="P236" s="1802">
        <v>0</v>
      </c>
      <c r="Q236" s="1802">
        <v>0</v>
      </c>
      <c r="R236" s="1802">
        <v>0</v>
      </c>
      <c r="S236" s="1802">
        <v>0</v>
      </c>
      <c r="T236" s="1802">
        <v>0</v>
      </c>
      <c r="U236" s="1802">
        <v>0</v>
      </c>
      <c r="V236" s="1802">
        <v>0</v>
      </c>
      <c r="W236" s="1802">
        <v>0</v>
      </c>
      <c r="X236" s="1802">
        <v>0</v>
      </c>
      <c r="Y236" s="1802">
        <v>0</v>
      </c>
      <c r="Z236" s="1802">
        <v>0</v>
      </c>
      <c r="AA236" s="1802">
        <v>0</v>
      </c>
      <c r="AB236" s="1802">
        <v>0</v>
      </c>
      <c r="AC236" s="1802">
        <v>0</v>
      </c>
      <c r="AD236" s="1802">
        <v>0</v>
      </c>
      <c r="AE236" s="1802">
        <v>0</v>
      </c>
      <c r="AF236" s="1802">
        <v>0</v>
      </c>
      <c r="AG236" s="1802">
        <v>0</v>
      </c>
      <c r="AH236" s="1802">
        <v>0</v>
      </c>
      <c r="AI236" s="1802">
        <v>0</v>
      </c>
      <c r="AJ236" s="1802">
        <v>0</v>
      </c>
      <c r="AK236" s="1802">
        <v>0</v>
      </c>
      <c r="AL236" s="1802">
        <v>0</v>
      </c>
      <c r="AM236" s="1802">
        <v>0</v>
      </c>
      <c r="AN236" s="1802">
        <v>0</v>
      </c>
      <c r="AO236" s="1802">
        <v>0</v>
      </c>
      <c r="AP236" s="1802">
        <v>0</v>
      </c>
      <c r="AQ236" s="1802">
        <v>0</v>
      </c>
      <c r="AR236" s="1802">
        <v>0</v>
      </c>
      <c r="AS236" s="1802">
        <v>0</v>
      </c>
      <c r="AT236" s="1802">
        <v>0</v>
      </c>
      <c r="AU236" s="1802">
        <v>0</v>
      </c>
      <c r="AV236" s="1802">
        <v>0</v>
      </c>
      <c r="AW236" s="1802">
        <v>0</v>
      </c>
      <c r="AX236" s="1802">
        <v>0</v>
      </c>
      <c r="AY236" s="1802">
        <v>0</v>
      </c>
      <c r="AZ236" s="1802">
        <v>0</v>
      </c>
      <c r="BA236" s="1802">
        <v>0</v>
      </c>
      <c r="BB236" s="1802">
        <v>0</v>
      </c>
      <c r="BC236" s="1802">
        <v>0</v>
      </c>
      <c r="BD236" s="1802">
        <v>0</v>
      </c>
      <c r="BE236" s="1802">
        <v>0</v>
      </c>
      <c r="BF236" s="1802">
        <v>0</v>
      </c>
      <c r="BG236" s="1802">
        <v>0</v>
      </c>
      <c r="BH236" s="1802">
        <v>0</v>
      </c>
      <c r="BI236" s="1802">
        <v>0</v>
      </c>
      <c r="BJ236" s="1802">
        <v>0</v>
      </c>
      <c r="BK236" s="1802">
        <v>0</v>
      </c>
      <c r="BL236" s="1802">
        <v>0</v>
      </c>
      <c r="BM236" s="1802">
        <v>0</v>
      </c>
      <c r="BN236" s="1802">
        <v>0</v>
      </c>
      <c r="BO236" s="1802">
        <v>0</v>
      </c>
      <c r="BP236" s="1802">
        <v>0</v>
      </c>
      <c r="BQ236" s="1802">
        <v>0</v>
      </c>
      <c r="BR236" s="1802">
        <v>0</v>
      </c>
      <c r="BS236" s="1802">
        <v>0</v>
      </c>
      <c r="BT236" s="1802">
        <v>0</v>
      </c>
      <c r="BU236" s="1802">
        <v>0</v>
      </c>
      <c r="BV236" s="1802">
        <v>0</v>
      </c>
      <c r="BW236" s="1802">
        <v>0</v>
      </c>
      <c r="BX236" s="1802">
        <v>0</v>
      </c>
      <c r="BY236" s="1802">
        <v>0</v>
      </c>
      <c r="BZ236" s="1802">
        <v>0</v>
      </c>
      <c r="CA236" s="1802">
        <v>0</v>
      </c>
      <c r="CB236" s="1802">
        <v>0</v>
      </c>
      <c r="CC236" s="1802">
        <v>0</v>
      </c>
      <c r="CD236" s="1802">
        <v>0</v>
      </c>
      <c r="CE236" s="1802">
        <v>0</v>
      </c>
      <c r="CF236" s="1802">
        <v>0</v>
      </c>
      <c r="CG236" s="1802">
        <v>0</v>
      </c>
      <c r="CH236" s="1802">
        <v>0</v>
      </c>
      <c r="CI236" s="1802">
        <v>0</v>
      </c>
      <c r="CJ236" s="1802">
        <v>0</v>
      </c>
      <c r="CK236" s="1802">
        <v>0</v>
      </c>
      <c r="CL236" s="1802">
        <v>0</v>
      </c>
      <c r="CM236" s="1802">
        <v>0</v>
      </c>
      <c r="CN236" s="1802">
        <v>0</v>
      </c>
      <c r="CO236" s="1802">
        <v>0</v>
      </c>
      <c r="CP236" s="1802">
        <v>0</v>
      </c>
      <c r="CQ236" s="1802">
        <v>0</v>
      </c>
      <c r="CR236" s="1802">
        <v>0</v>
      </c>
      <c r="CS236" s="1802">
        <v>0</v>
      </c>
      <c r="CT236" s="1802">
        <v>0</v>
      </c>
      <c r="CU236" s="1802">
        <v>0</v>
      </c>
      <c r="CV236" s="1802">
        <v>0</v>
      </c>
      <c r="CW236" s="1802">
        <v>0</v>
      </c>
      <c r="CX236" s="1802">
        <v>0</v>
      </c>
      <c r="CY236" s="1802">
        <v>0</v>
      </c>
      <c r="CZ236" s="1802">
        <v>0</v>
      </c>
      <c r="DA236" s="1802">
        <v>0</v>
      </c>
      <c r="DB236" s="1802">
        <v>0</v>
      </c>
      <c r="DC236" s="1802">
        <v>0</v>
      </c>
      <c r="DD236" s="1802">
        <v>0</v>
      </c>
      <c r="DE236" s="1802">
        <v>0</v>
      </c>
      <c r="DF236" s="1802">
        <v>0</v>
      </c>
      <c r="DG236" s="1802">
        <v>0</v>
      </c>
      <c r="DH236" s="1802">
        <v>0</v>
      </c>
      <c r="DI236" s="1802">
        <v>0</v>
      </c>
      <c r="DJ236" s="1802">
        <v>0</v>
      </c>
      <c r="DK236" s="1802">
        <v>0</v>
      </c>
      <c r="DL236" s="1802">
        <v>0</v>
      </c>
      <c r="DM236" s="1802">
        <v>0</v>
      </c>
      <c r="DN236" s="1802">
        <v>0</v>
      </c>
      <c r="DO236" s="1802">
        <v>0</v>
      </c>
      <c r="DP236" s="1802">
        <v>0</v>
      </c>
      <c r="DQ236" s="1802">
        <v>0</v>
      </c>
      <c r="DR236" s="1802">
        <v>0</v>
      </c>
      <c r="DS236" s="1802">
        <v>0</v>
      </c>
      <c r="DT236" s="1802">
        <v>0</v>
      </c>
      <c r="DU236" s="1802">
        <v>0</v>
      </c>
      <c r="DV236" s="1802">
        <v>0</v>
      </c>
      <c r="DW236" s="1802">
        <v>0</v>
      </c>
      <c r="DX236" s="1802">
        <v>0</v>
      </c>
      <c r="DY236" s="1802">
        <v>0</v>
      </c>
      <c r="DZ236" s="1802">
        <v>0</v>
      </c>
      <c r="EA236" s="1802">
        <v>0</v>
      </c>
      <c r="EB236" s="1802">
        <v>0</v>
      </c>
      <c r="EC236" s="1802">
        <v>0</v>
      </c>
      <c r="ED236" s="1802">
        <v>0</v>
      </c>
      <c r="EE236" s="1802">
        <v>0</v>
      </c>
      <c r="EF236" s="1802">
        <v>0</v>
      </c>
      <c r="EG236" s="1802">
        <v>0</v>
      </c>
      <c r="EH236" s="1802">
        <v>0</v>
      </c>
      <c r="EI236" s="1802">
        <v>0</v>
      </c>
      <c r="EJ236" s="1802">
        <v>0</v>
      </c>
      <c r="EK236" s="1802">
        <v>0</v>
      </c>
      <c r="EL236" s="1802">
        <v>0</v>
      </c>
      <c r="EM236" s="1802">
        <v>0</v>
      </c>
      <c r="EN236" s="1802">
        <v>0</v>
      </c>
      <c r="EO236" s="1802">
        <v>0</v>
      </c>
      <c r="EP236" s="1802">
        <v>0</v>
      </c>
      <c r="EQ236" s="1802">
        <v>0</v>
      </c>
      <c r="ER236" s="1802">
        <v>0</v>
      </c>
      <c r="ES236" s="1802">
        <v>0</v>
      </c>
      <c r="ET236" s="1802">
        <v>0</v>
      </c>
      <c r="EU236" s="1802">
        <v>0</v>
      </c>
      <c r="EV236" s="1802">
        <v>0</v>
      </c>
      <c r="EW236" s="1802">
        <v>0</v>
      </c>
      <c r="EX236" s="1802">
        <v>0</v>
      </c>
      <c r="EY236" s="1802">
        <v>0</v>
      </c>
      <c r="EZ236" s="1802">
        <v>0</v>
      </c>
      <c r="FA236" s="1802">
        <v>0</v>
      </c>
      <c r="FB236" s="1802">
        <v>0</v>
      </c>
      <c r="FC236" s="1802">
        <v>0</v>
      </c>
      <c r="FD236" s="1802">
        <v>0</v>
      </c>
      <c r="FE236" s="1802">
        <v>0</v>
      </c>
      <c r="FF236" s="1802">
        <v>0</v>
      </c>
      <c r="FG236" s="1802">
        <v>0</v>
      </c>
      <c r="FH236" s="1802">
        <v>0</v>
      </c>
      <c r="FI236" s="1802">
        <v>0</v>
      </c>
      <c r="FJ236" s="1802">
        <v>0</v>
      </c>
      <c r="FK236" s="1802">
        <v>0</v>
      </c>
      <c r="FL236" s="1802">
        <v>0</v>
      </c>
      <c r="FM236" s="1802">
        <v>0</v>
      </c>
      <c r="FN236" s="1802">
        <v>0</v>
      </c>
      <c r="FO236" s="1802">
        <v>0</v>
      </c>
      <c r="FP236" s="1802">
        <v>0</v>
      </c>
      <c r="FQ236" s="1802">
        <v>0</v>
      </c>
      <c r="FR236" s="1802">
        <v>0</v>
      </c>
      <c r="FS236" s="1802">
        <v>0</v>
      </c>
      <c r="FT236" s="1802">
        <v>0</v>
      </c>
      <c r="FU236" s="1802">
        <v>0</v>
      </c>
      <c r="FV236" s="1802">
        <v>0</v>
      </c>
      <c r="FW236" s="1802">
        <v>0</v>
      </c>
      <c r="FX236" s="1802">
        <v>0</v>
      </c>
      <c r="FY236" s="1802">
        <v>0</v>
      </c>
      <c r="FZ236" s="1802">
        <v>0</v>
      </c>
      <c r="GA236" s="1802">
        <v>0</v>
      </c>
      <c r="GB236" s="1802">
        <v>0</v>
      </c>
      <c r="GC236" s="1802">
        <v>0</v>
      </c>
      <c r="GD236" s="1802">
        <v>0</v>
      </c>
      <c r="GE236" s="1802">
        <v>0</v>
      </c>
      <c r="GF236" s="1802">
        <v>0</v>
      </c>
      <c r="GG236" s="1802">
        <v>0</v>
      </c>
      <c r="GH236" s="1802">
        <v>0</v>
      </c>
      <c r="GI236" s="1802">
        <v>0</v>
      </c>
      <c r="GJ236" s="1802">
        <v>0</v>
      </c>
      <c r="GK236" s="1802">
        <v>0</v>
      </c>
      <c r="GL236" s="1802">
        <v>0</v>
      </c>
      <c r="GM236" s="1802">
        <v>0</v>
      </c>
      <c r="GN236" s="1802">
        <v>0</v>
      </c>
      <c r="GO236" s="1802">
        <v>0</v>
      </c>
      <c r="GP236" s="1802">
        <v>0</v>
      </c>
      <c r="GQ236" s="1802">
        <v>0</v>
      </c>
      <c r="GR236" s="1802">
        <v>0</v>
      </c>
      <c r="GS236" s="1802">
        <v>0</v>
      </c>
      <c r="GT236" s="1802">
        <v>0</v>
      </c>
      <c r="GU236" s="1802">
        <v>0</v>
      </c>
      <c r="GV236" s="1802">
        <v>0</v>
      </c>
      <c r="GW236" s="1802">
        <v>0</v>
      </c>
      <c r="GX236" s="1802">
        <v>0</v>
      </c>
      <c r="GY236" s="1802">
        <v>0</v>
      </c>
      <c r="GZ236" s="1802">
        <v>0</v>
      </c>
      <c r="HA236" s="1802">
        <v>0</v>
      </c>
      <c r="HB236" s="1802">
        <v>0</v>
      </c>
      <c r="HC236" s="1802">
        <v>0</v>
      </c>
      <c r="HD236" s="1802">
        <v>0</v>
      </c>
      <c r="HE236" s="1802">
        <v>0</v>
      </c>
    </row>
    <row r="237" spans="1:1291" ht="15" customHeight="1" thickBot="1" x14ac:dyDescent="0.25">
      <c r="A237" s="1966"/>
      <c r="B237" s="1989"/>
      <c r="C237" s="1822" t="s">
        <v>31</v>
      </c>
      <c r="D237" s="1885"/>
      <c r="E237" s="1984"/>
      <c r="F237" s="1836">
        <v>0</v>
      </c>
      <c r="G237" s="1802">
        <v>0</v>
      </c>
      <c r="H237" s="1802">
        <v>0</v>
      </c>
      <c r="I237" s="1802">
        <v>0</v>
      </c>
      <c r="J237" s="1802">
        <v>0</v>
      </c>
      <c r="K237" s="1802">
        <v>0</v>
      </c>
      <c r="L237" s="1802">
        <v>0</v>
      </c>
      <c r="M237" s="1802">
        <v>0</v>
      </c>
      <c r="N237" s="1802">
        <v>0</v>
      </c>
      <c r="O237" s="1802">
        <v>0</v>
      </c>
      <c r="P237" s="1802">
        <v>0</v>
      </c>
      <c r="Q237" s="1802">
        <v>0</v>
      </c>
      <c r="R237" s="1802">
        <v>0</v>
      </c>
      <c r="S237" s="1802">
        <v>0</v>
      </c>
      <c r="T237" s="1802">
        <v>0</v>
      </c>
      <c r="U237" s="1802">
        <v>0</v>
      </c>
      <c r="V237" s="1802">
        <v>0</v>
      </c>
      <c r="W237" s="1802">
        <v>0</v>
      </c>
      <c r="X237" s="1802">
        <v>0</v>
      </c>
      <c r="Y237" s="1802">
        <v>0</v>
      </c>
      <c r="Z237" s="1802">
        <v>0</v>
      </c>
      <c r="AA237" s="1802">
        <v>0</v>
      </c>
      <c r="AB237" s="1802">
        <v>0</v>
      </c>
      <c r="AC237" s="1802">
        <v>0</v>
      </c>
      <c r="AD237" s="1802">
        <v>0</v>
      </c>
      <c r="AE237" s="1802">
        <v>0</v>
      </c>
      <c r="AF237" s="1802">
        <v>0</v>
      </c>
      <c r="AG237" s="1802">
        <v>0</v>
      </c>
      <c r="AH237" s="1802">
        <v>0</v>
      </c>
      <c r="AI237" s="1802">
        <v>0</v>
      </c>
      <c r="AJ237" s="1802">
        <v>0</v>
      </c>
      <c r="AK237" s="1802">
        <v>0</v>
      </c>
      <c r="AL237" s="1802">
        <v>0</v>
      </c>
      <c r="AM237" s="1802">
        <v>0</v>
      </c>
      <c r="AN237" s="1802">
        <v>0</v>
      </c>
      <c r="AO237" s="1802">
        <v>0</v>
      </c>
      <c r="AP237" s="1802">
        <v>0</v>
      </c>
      <c r="AQ237" s="1802">
        <v>0</v>
      </c>
      <c r="AR237" s="1802">
        <v>0</v>
      </c>
      <c r="AS237" s="1802">
        <v>0</v>
      </c>
      <c r="AT237" s="1802">
        <v>0</v>
      </c>
      <c r="AU237" s="1802">
        <v>0</v>
      </c>
      <c r="AV237" s="1802">
        <v>0</v>
      </c>
      <c r="AW237" s="1802">
        <v>0</v>
      </c>
      <c r="AX237" s="1802">
        <v>0</v>
      </c>
      <c r="AY237" s="1802">
        <v>0</v>
      </c>
      <c r="AZ237" s="1802">
        <v>0</v>
      </c>
      <c r="BA237" s="1802">
        <v>0</v>
      </c>
      <c r="BB237" s="1802">
        <v>0</v>
      </c>
      <c r="BC237" s="1802">
        <v>0</v>
      </c>
      <c r="BD237" s="1802">
        <v>0</v>
      </c>
      <c r="BE237" s="1802">
        <v>0</v>
      </c>
      <c r="BF237" s="1802">
        <v>0</v>
      </c>
      <c r="BG237" s="1802">
        <v>0</v>
      </c>
      <c r="BH237" s="1802">
        <v>0</v>
      </c>
      <c r="BI237" s="1802">
        <v>0</v>
      </c>
      <c r="BJ237" s="1802">
        <v>0</v>
      </c>
      <c r="BK237" s="1802">
        <v>0</v>
      </c>
      <c r="BL237" s="1802">
        <v>0</v>
      </c>
      <c r="BM237" s="1802">
        <v>0</v>
      </c>
      <c r="BN237" s="1802">
        <v>0</v>
      </c>
      <c r="BO237" s="1802">
        <v>0</v>
      </c>
      <c r="BP237" s="1802">
        <v>0</v>
      </c>
      <c r="BQ237" s="1802">
        <v>0</v>
      </c>
      <c r="BR237" s="1802">
        <v>0</v>
      </c>
      <c r="BS237" s="1802">
        <v>0</v>
      </c>
      <c r="BT237" s="1802">
        <v>0</v>
      </c>
      <c r="BU237" s="1802">
        <v>0</v>
      </c>
      <c r="BV237" s="1802">
        <v>0</v>
      </c>
      <c r="BW237" s="1802">
        <v>0</v>
      </c>
      <c r="BX237" s="1802">
        <v>0</v>
      </c>
      <c r="BY237" s="1802">
        <v>0</v>
      </c>
      <c r="BZ237" s="1802">
        <v>0</v>
      </c>
      <c r="CA237" s="1802">
        <v>0</v>
      </c>
      <c r="CB237" s="1802">
        <v>0</v>
      </c>
      <c r="CC237" s="1802">
        <v>0</v>
      </c>
      <c r="CD237" s="1802">
        <v>0</v>
      </c>
      <c r="CE237" s="1802">
        <v>0</v>
      </c>
      <c r="CF237" s="1802">
        <v>0</v>
      </c>
      <c r="CG237" s="1802">
        <v>0</v>
      </c>
      <c r="CH237" s="1802">
        <v>0</v>
      </c>
      <c r="CI237" s="1802">
        <v>0</v>
      </c>
      <c r="CJ237" s="1802">
        <v>0</v>
      </c>
      <c r="CK237" s="1802">
        <v>0</v>
      </c>
      <c r="CL237" s="1802">
        <v>0</v>
      </c>
      <c r="CM237" s="1802">
        <v>0</v>
      </c>
      <c r="CN237" s="1802">
        <v>0</v>
      </c>
      <c r="CO237" s="1802">
        <v>0</v>
      </c>
      <c r="CP237" s="1802">
        <v>0</v>
      </c>
      <c r="CQ237" s="1802">
        <v>0</v>
      </c>
      <c r="CR237" s="1802">
        <v>0</v>
      </c>
      <c r="CS237" s="1802">
        <v>0</v>
      </c>
      <c r="CT237" s="1802">
        <v>0</v>
      </c>
      <c r="CU237" s="1802">
        <v>0</v>
      </c>
      <c r="CV237" s="1802">
        <v>0</v>
      </c>
      <c r="CW237" s="1802">
        <v>0</v>
      </c>
      <c r="CX237" s="1802">
        <v>0</v>
      </c>
      <c r="CY237" s="1802">
        <v>0</v>
      </c>
      <c r="CZ237" s="1802">
        <v>0</v>
      </c>
      <c r="DA237" s="1802">
        <v>0</v>
      </c>
      <c r="DB237" s="1802">
        <v>0</v>
      </c>
      <c r="DC237" s="1802">
        <v>0</v>
      </c>
      <c r="DD237" s="1802">
        <v>0</v>
      </c>
      <c r="DE237" s="1802">
        <v>0</v>
      </c>
      <c r="DF237" s="1802">
        <v>0</v>
      </c>
      <c r="DG237" s="1802">
        <v>0</v>
      </c>
      <c r="DH237" s="1802">
        <v>0</v>
      </c>
      <c r="DI237" s="1802">
        <v>0</v>
      </c>
      <c r="DJ237" s="1802">
        <v>0</v>
      </c>
      <c r="DK237" s="1802">
        <v>0</v>
      </c>
      <c r="DL237" s="1802">
        <v>0</v>
      </c>
      <c r="DM237" s="1802">
        <v>0</v>
      </c>
      <c r="DN237" s="1802">
        <v>0</v>
      </c>
      <c r="DO237" s="1802">
        <v>0</v>
      </c>
      <c r="DP237" s="1802">
        <v>0</v>
      </c>
      <c r="DQ237" s="1802">
        <v>0</v>
      </c>
      <c r="DR237" s="1802">
        <v>0</v>
      </c>
      <c r="DS237" s="1802">
        <v>0</v>
      </c>
      <c r="DT237" s="1802">
        <v>0</v>
      </c>
      <c r="DU237" s="1802">
        <v>0</v>
      </c>
      <c r="DV237" s="1802">
        <v>0</v>
      </c>
      <c r="DW237" s="1802">
        <v>0</v>
      </c>
      <c r="DX237" s="1802">
        <v>0</v>
      </c>
      <c r="DY237" s="1802">
        <v>0</v>
      </c>
      <c r="DZ237" s="1802">
        <v>0</v>
      </c>
      <c r="EA237" s="1802">
        <v>0</v>
      </c>
      <c r="EB237" s="1802">
        <v>0</v>
      </c>
      <c r="EC237" s="1802">
        <v>0</v>
      </c>
      <c r="ED237" s="1802">
        <v>0</v>
      </c>
      <c r="EE237" s="1802">
        <v>0</v>
      </c>
      <c r="EF237" s="1802">
        <v>0</v>
      </c>
      <c r="EG237" s="1802">
        <v>0</v>
      </c>
      <c r="EH237" s="1802">
        <v>0</v>
      </c>
      <c r="EI237" s="1802">
        <v>0</v>
      </c>
      <c r="EJ237" s="1802">
        <v>0</v>
      </c>
      <c r="EK237" s="1802">
        <v>0</v>
      </c>
      <c r="EL237" s="1802">
        <v>0</v>
      </c>
      <c r="EM237" s="1802">
        <v>0</v>
      </c>
      <c r="EN237" s="1802">
        <v>0</v>
      </c>
      <c r="EO237" s="1802">
        <v>0</v>
      </c>
      <c r="EP237" s="1802">
        <v>0</v>
      </c>
      <c r="EQ237" s="1802">
        <v>0</v>
      </c>
      <c r="ER237" s="1802">
        <v>0</v>
      </c>
      <c r="ES237" s="1802">
        <v>0</v>
      </c>
      <c r="ET237" s="1802">
        <v>0</v>
      </c>
      <c r="EU237" s="1802">
        <v>0</v>
      </c>
      <c r="EV237" s="1802">
        <v>0</v>
      </c>
      <c r="EW237" s="1802">
        <v>0</v>
      </c>
      <c r="EX237" s="1802">
        <v>0</v>
      </c>
      <c r="EY237" s="1802">
        <v>0</v>
      </c>
      <c r="EZ237" s="1802">
        <v>0</v>
      </c>
      <c r="FA237" s="1802">
        <v>0</v>
      </c>
      <c r="FB237" s="1802">
        <v>0</v>
      </c>
      <c r="FC237" s="1802">
        <v>0</v>
      </c>
      <c r="FD237" s="1802">
        <v>0</v>
      </c>
      <c r="FE237" s="1802">
        <v>0</v>
      </c>
      <c r="FF237" s="1802">
        <v>0</v>
      </c>
      <c r="FG237" s="1802">
        <v>0</v>
      </c>
      <c r="FH237" s="1802">
        <v>0</v>
      </c>
      <c r="FI237" s="1802">
        <v>0</v>
      </c>
      <c r="FJ237" s="1802">
        <v>0</v>
      </c>
      <c r="FK237" s="1802">
        <v>0</v>
      </c>
      <c r="FL237" s="1802">
        <v>0</v>
      </c>
      <c r="FM237" s="1802">
        <v>0</v>
      </c>
      <c r="FN237" s="1802">
        <v>0</v>
      </c>
      <c r="FO237" s="1802">
        <v>0</v>
      </c>
      <c r="FP237" s="1802">
        <v>0</v>
      </c>
      <c r="FQ237" s="1802">
        <v>0</v>
      </c>
      <c r="FR237" s="1802">
        <v>0</v>
      </c>
      <c r="FS237" s="1802">
        <v>0</v>
      </c>
      <c r="FT237" s="1802">
        <v>0</v>
      </c>
      <c r="FU237" s="1802">
        <v>0</v>
      </c>
      <c r="FV237" s="1802">
        <v>0</v>
      </c>
      <c r="FW237" s="1802">
        <v>0</v>
      </c>
      <c r="FX237" s="1802">
        <v>0</v>
      </c>
      <c r="FY237" s="1802">
        <v>0</v>
      </c>
      <c r="FZ237" s="1802">
        <v>0</v>
      </c>
      <c r="GA237" s="1802">
        <v>0</v>
      </c>
      <c r="GB237" s="1802">
        <v>0</v>
      </c>
      <c r="GC237" s="1802">
        <v>0</v>
      </c>
      <c r="GD237" s="1802">
        <v>0</v>
      </c>
      <c r="GE237" s="1802">
        <v>0</v>
      </c>
      <c r="GF237" s="1802">
        <v>0</v>
      </c>
      <c r="GG237" s="1802">
        <v>0</v>
      </c>
      <c r="GH237" s="1802">
        <v>0</v>
      </c>
      <c r="GI237" s="1802">
        <v>0</v>
      </c>
      <c r="GJ237" s="1802">
        <v>0</v>
      </c>
      <c r="GK237" s="1802">
        <v>0</v>
      </c>
      <c r="GL237" s="1802">
        <v>0</v>
      </c>
      <c r="GM237" s="1802">
        <v>0</v>
      </c>
      <c r="GN237" s="1802">
        <v>0</v>
      </c>
      <c r="GO237" s="1802">
        <v>0</v>
      </c>
      <c r="GP237" s="1802">
        <v>0</v>
      </c>
      <c r="GQ237" s="1802">
        <v>0</v>
      </c>
      <c r="GR237" s="1802">
        <v>0</v>
      </c>
      <c r="GS237" s="1802">
        <v>0</v>
      </c>
      <c r="GT237" s="1802">
        <v>0</v>
      </c>
      <c r="GU237" s="1802">
        <v>0</v>
      </c>
      <c r="GV237" s="1802">
        <v>0</v>
      </c>
      <c r="GW237" s="1802">
        <v>0</v>
      </c>
      <c r="GX237" s="1802">
        <v>0</v>
      </c>
      <c r="GY237" s="1802">
        <v>0</v>
      </c>
      <c r="GZ237" s="1802">
        <v>0</v>
      </c>
      <c r="HA237" s="1802">
        <v>0</v>
      </c>
      <c r="HB237" s="1802">
        <v>0</v>
      </c>
      <c r="HC237" s="1802">
        <v>0</v>
      </c>
      <c r="HD237" s="1802">
        <v>0</v>
      </c>
      <c r="HE237" s="1802">
        <v>0</v>
      </c>
    </row>
    <row r="238" spans="1:1291" ht="45" customHeight="1" thickBot="1" x14ac:dyDescent="0.25">
      <c r="A238" s="1949" t="s">
        <v>37</v>
      </c>
      <c r="B238" s="1988" t="s">
        <v>970</v>
      </c>
      <c r="C238" s="1699" t="s">
        <v>883</v>
      </c>
      <c r="D238" s="1880"/>
      <c r="E238" s="1984"/>
      <c r="F238" s="1865"/>
      <c r="G238" s="1866"/>
      <c r="H238" s="1866"/>
      <c r="I238" s="1866"/>
      <c r="J238" s="1866"/>
      <c r="K238" s="1866"/>
      <c r="L238" s="1866"/>
      <c r="M238" s="1866"/>
      <c r="N238" s="1866"/>
      <c r="O238" s="1866"/>
      <c r="P238" s="1866"/>
      <c r="Q238" s="1866"/>
      <c r="R238" s="1866"/>
      <c r="S238" s="1866"/>
      <c r="T238" s="1866"/>
      <c r="U238" s="1866"/>
      <c r="V238" s="1866"/>
      <c r="W238" s="1866"/>
      <c r="X238" s="1866"/>
      <c r="Y238" s="1866"/>
      <c r="Z238" s="1866"/>
      <c r="AA238" s="1866"/>
      <c r="AB238" s="1866"/>
      <c r="AC238" s="1866"/>
      <c r="AD238" s="1866"/>
      <c r="AE238" s="1866"/>
      <c r="AF238" s="1866"/>
      <c r="AG238" s="1866"/>
      <c r="AH238" s="1866"/>
      <c r="AI238" s="1866"/>
      <c r="AJ238" s="1866"/>
      <c r="AK238" s="1866"/>
      <c r="AL238" s="1866"/>
      <c r="AM238" s="1866"/>
      <c r="AN238" s="1866"/>
      <c r="AO238" s="1866"/>
      <c r="AP238" s="1866"/>
      <c r="AQ238" s="1866"/>
      <c r="AR238" s="1866"/>
      <c r="AS238" s="1866"/>
      <c r="AT238" s="1866"/>
      <c r="AU238" s="1866"/>
      <c r="AV238" s="1866"/>
      <c r="AW238" s="1866"/>
      <c r="AX238" s="1866"/>
      <c r="AY238" s="1866"/>
      <c r="AZ238" s="1866"/>
      <c r="BA238" s="1866"/>
      <c r="BB238" s="1866"/>
      <c r="BC238" s="1866"/>
      <c r="BD238" s="1866"/>
      <c r="BE238" s="1866"/>
      <c r="BF238" s="1866"/>
      <c r="BG238" s="1866"/>
      <c r="BH238" s="1866"/>
      <c r="BI238" s="1866"/>
      <c r="BJ238" s="1866"/>
      <c r="BK238" s="1866"/>
      <c r="BL238" s="1866"/>
      <c r="BM238" s="1866"/>
      <c r="BN238" s="1866"/>
      <c r="BO238" s="1866"/>
      <c r="BP238" s="1866"/>
      <c r="BQ238" s="1866"/>
      <c r="BR238" s="1866"/>
      <c r="BS238" s="1866"/>
      <c r="BT238" s="1866"/>
      <c r="BU238" s="1866"/>
      <c r="BV238" s="1866"/>
      <c r="BW238" s="1866"/>
      <c r="BX238" s="1866"/>
      <c r="BY238" s="1866"/>
      <c r="BZ238" s="1866"/>
      <c r="CA238" s="1866"/>
      <c r="CB238" s="1866"/>
      <c r="CC238" s="1866"/>
      <c r="CD238" s="1866"/>
      <c r="CE238" s="1866"/>
      <c r="CF238" s="1866"/>
      <c r="CG238" s="1866"/>
      <c r="CH238" s="1866"/>
      <c r="CI238" s="1866"/>
      <c r="CJ238" s="1866"/>
      <c r="CK238" s="1866"/>
      <c r="CL238" s="1866"/>
      <c r="CM238" s="1866"/>
      <c r="CN238" s="1866"/>
      <c r="CO238" s="1866"/>
      <c r="CP238" s="1866"/>
      <c r="CQ238" s="1866"/>
      <c r="CR238" s="1866"/>
      <c r="CS238" s="1866"/>
      <c r="CT238" s="1866"/>
      <c r="CU238" s="1866"/>
      <c r="CV238" s="1866"/>
      <c r="CW238" s="1866"/>
      <c r="CX238" s="1866"/>
      <c r="CY238" s="1866"/>
      <c r="CZ238" s="1866"/>
      <c r="DA238" s="1866"/>
      <c r="DB238" s="1866"/>
      <c r="DC238" s="1866"/>
      <c r="DD238" s="1866"/>
      <c r="DE238" s="1866"/>
      <c r="DF238" s="1866"/>
      <c r="DG238" s="1866"/>
      <c r="DH238" s="1866"/>
      <c r="DI238" s="1866"/>
      <c r="DJ238" s="1866"/>
      <c r="DK238" s="1866"/>
      <c r="DL238" s="1866"/>
      <c r="DM238" s="1866"/>
      <c r="DN238" s="1866"/>
      <c r="DO238" s="1866"/>
      <c r="DP238" s="1866"/>
      <c r="DQ238" s="1866"/>
      <c r="DR238" s="1866"/>
      <c r="DS238" s="1866"/>
      <c r="DT238" s="1866"/>
      <c r="DU238" s="1866"/>
      <c r="DV238" s="1866"/>
      <c r="DW238" s="1866"/>
      <c r="DX238" s="1866"/>
      <c r="DY238" s="1866"/>
      <c r="DZ238" s="1866"/>
      <c r="EA238" s="1866"/>
      <c r="EB238" s="1866"/>
      <c r="EC238" s="1866"/>
      <c r="ED238" s="1866"/>
      <c r="EE238" s="1866"/>
      <c r="EF238" s="1866"/>
      <c r="EG238" s="1866"/>
      <c r="EH238" s="1866"/>
      <c r="EI238" s="1866"/>
      <c r="EJ238" s="1866"/>
      <c r="EK238" s="1866"/>
      <c r="EL238" s="1866"/>
      <c r="EM238" s="1866"/>
      <c r="EN238" s="1866"/>
      <c r="EO238" s="1866"/>
      <c r="EP238" s="1866"/>
      <c r="EQ238" s="1866"/>
      <c r="ER238" s="1866"/>
      <c r="ES238" s="1866"/>
      <c r="ET238" s="1866"/>
      <c r="EU238" s="1866"/>
      <c r="EV238" s="1866"/>
      <c r="EW238" s="1866"/>
      <c r="EX238" s="1866"/>
      <c r="EY238" s="1866"/>
      <c r="EZ238" s="1866"/>
      <c r="FA238" s="1866"/>
      <c r="FB238" s="1866"/>
      <c r="FC238" s="1866"/>
      <c r="FD238" s="1866"/>
      <c r="FE238" s="1866"/>
      <c r="FF238" s="1866"/>
      <c r="FG238" s="1866"/>
      <c r="FH238" s="1866"/>
      <c r="FI238" s="1866"/>
      <c r="FJ238" s="1866"/>
      <c r="FK238" s="1866"/>
      <c r="FL238" s="1866"/>
      <c r="FM238" s="1866"/>
      <c r="FN238" s="1866"/>
      <c r="FO238" s="1866"/>
      <c r="FP238" s="1866"/>
      <c r="FQ238" s="1866"/>
      <c r="FR238" s="1866"/>
      <c r="FS238" s="1866"/>
      <c r="FT238" s="1866"/>
      <c r="FU238" s="1866"/>
      <c r="FV238" s="1866"/>
      <c r="FW238" s="1866"/>
      <c r="FX238" s="1866"/>
      <c r="FY238" s="1866"/>
      <c r="FZ238" s="1866"/>
      <c r="GA238" s="1866"/>
      <c r="GB238" s="1866"/>
      <c r="GC238" s="1866"/>
      <c r="GD238" s="1866"/>
      <c r="GE238" s="1866"/>
      <c r="GF238" s="1866"/>
      <c r="GG238" s="1866"/>
      <c r="GH238" s="1866"/>
      <c r="GI238" s="1866"/>
      <c r="GJ238" s="1866"/>
      <c r="GK238" s="1866"/>
      <c r="GL238" s="1866"/>
      <c r="GM238" s="1866"/>
      <c r="GN238" s="1866"/>
      <c r="GO238" s="1866"/>
      <c r="GP238" s="1866"/>
      <c r="GQ238" s="1866"/>
      <c r="GR238" s="1866"/>
      <c r="GS238" s="1866"/>
      <c r="GT238" s="1866"/>
      <c r="GU238" s="1866"/>
      <c r="GV238" s="1866"/>
      <c r="GW238" s="1866"/>
      <c r="GX238" s="1866"/>
      <c r="GY238" s="1866"/>
      <c r="GZ238" s="1866"/>
      <c r="HA238" s="1866"/>
      <c r="HB238" s="1866"/>
      <c r="HC238" s="1866"/>
      <c r="HD238" s="1866"/>
      <c r="HE238" s="1866"/>
    </row>
    <row r="239" spans="1:1291" ht="15" customHeight="1" x14ac:dyDescent="0.2">
      <c r="A239" s="1995"/>
      <c r="B239" s="1989"/>
      <c r="C239" s="1705" t="s">
        <v>867</v>
      </c>
      <c r="D239" s="1883"/>
      <c r="E239" s="1984"/>
      <c r="F239" s="1838">
        <v>0</v>
      </c>
      <c r="G239" s="1804">
        <v>0</v>
      </c>
      <c r="H239" s="1804">
        <v>0</v>
      </c>
      <c r="I239" s="1804">
        <v>0</v>
      </c>
      <c r="J239" s="1804">
        <v>0</v>
      </c>
      <c r="K239" s="1804">
        <v>0</v>
      </c>
      <c r="L239" s="1804">
        <v>0</v>
      </c>
      <c r="M239" s="1804">
        <v>0</v>
      </c>
      <c r="N239" s="1804">
        <v>0</v>
      </c>
      <c r="O239" s="1804">
        <v>0</v>
      </c>
      <c r="P239" s="1804">
        <v>0</v>
      </c>
      <c r="Q239" s="1804">
        <v>0</v>
      </c>
      <c r="R239" s="1804">
        <v>0</v>
      </c>
      <c r="S239" s="1804">
        <v>0</v>
      </c>
      <c r="T239" s="1804">
        <v>0</v>
      </c>
      <c r="U239" s="1804">
        <v>0</v>
      </c>
      <c r="V239" s="1804">
        <v>0</v>
      </c>
      <c r="W239" s="1804">
        <v>0</v>
      </c>
      <c r="X239" s="1804">
        <v>0</v>
      </c>
      <c r="Y239" s="1804">
        <v>0</v>
      </c>
      <c r="Z239" s="1804">
        <v>0</v>
      </c>
      <c r="AA239" s="1804">
        <v>0</v>
      </c>
      <c r="AB239" s="1804">
        <v>0</v>
      </c>
      <c r="AC239" s="1804">
        <v>0</v>
      </c>
      <c r="AD239" s="1804">
        <v>0</v>
      </c>
      <c r="AE239" s="1804">
        <v>0</v>
      </c>
      <c r="AF239" s="1804">
        <v>0</v>
      </c>
      <c r="AG239" s="1804">
        <v>0</v>
      </c>
      <c r="AH239" s="1804">
        <v>0</v>
      </c>
      <c r="AI239" s="1804">
        <v>0</v>
      </c>
      <c r="AJ239" s="1804">
        <v>0</v>
      </c>
      <c r="AK239" s="1804">
        <v>0</v>
      </c>
      <c r="AL239" s="1804">
        <v>0</v>
      </c>
      <c r="AM239" s="1804">
        <v>0</v>
      </c>
      <c r="AN239" s="1804">
        <v>0</v>
      </c>
      <c r="AO239" s="1804">
        <v>0</v>
      </c>
      <c r="AP239" s="1804">
        <v>0</v>
      </c>
      <c r="AQ239" s="1804">
        <v>0</v>
      </c>
      <c r="AR239" s="1804">
        <v>0</v>
      </c>
      <c r="AS239" s="1804">
        <v>0</v>
      </c>
      <c r="AT239" s="1804">
        <v>0</v>
      </c>
      <c r="AU239" s="1804">
        <v>0</v>
      </c>
      <c r="AV239" s="1804">
        <v>0</v>
      </c>
      <c r="AW239" s="1804">
        <v>0</v>
      </c>
      <c r="AX239" s="1804">
        <v>0</v>
      </c>
      <c r="AY239" s="1804">
        <v>0</v>
      </c>
      <c r="AZ239" s="1804">
        <v>0</v>
      </c>
      <c r="BA239" s="1804">
        <v>0</v>
      </c>
      <c r="BB239" s="1804">
        <v>0</v>
      </c>
      <c r="BC239" s="1804">
        <v>0</v>
      </c>
      <c r="BD239" s="1804">
        <v>0</v>
      </c>
      <c r="BE239" s="1804">
        <v>0</v>
      </c>
      <c r="BF239" s="1804">
        <v>0</v>
      </c>
      <c r="BG239" s="1804">
        <v>0</v>
      </c>
      <c r="BH239" s="1804">
        <v>0</v>
      </c>
      <c r="BI239" s="1804">
        <v>0</v>
      </c>
      <c r="BJ239" s="1804">
        <v>0</v>
      </c>
      <c r="BK239" s="1804">
        <v>0</v>
      </c>
      <c r="BL239" s="1804">
        <v>0</v>
      </c>
      <c r="BM239" s="1804">
        <v>0</v>
      </c>
      <c r="BN239" s="1804">
        <v>0</v>
      </c>
      <c r="BO239" s="1804">
        <v>0</v>
      </c>
      <c r="BP239" s="1804">
        <v>0</v>
      </c>
      <c r="BQ239" s="1804">
        <v>0</v>
      </c>
      <c r="BR239" s="1804">
        <v>0</v>
      </c>
      <c r="BS239" s="1804">
        <v>0</v>
      </c>
      <c r="BT239" s="1804">
        <v>0</v>
      </c>
      <c r="BU239" s="1804">
        <v>0</v>
      </c>
      <c r="BV239" s="1804">
        <v>0</v>
      </c>
      <c r="BW239" s="1804">
        <v>0</v>
      </c>
      <c r="BX239" s="1804">
        <v>0</v>
      </c>
      <c r="BY239" s="1804">
        <v>0</v>
      </c>
      <c r="BZ239" s="1804">
        <v>0</v>
      </c>
      <c r="CA239" s="1804">
        <v>0</v>
      </c>
      <c r="CB239" s="1804">
        <v>0</v>
      </c>
      <c r="CC239" s="1804">
        <v>0</v>
      </c>
      <c r="CD239" s="1804">
        <v>0</v>
      </c>
      <c r="CE239" s="1804">
        <v>0</v>
      </c>
      <c r="CF239" s="1804">
        <v>0</v>
      </c>
      <c r="CG239" s="1804">
        <v>0</v>
      </c>
      <c r="CH239" s="1804">
        <v>0</v>
      </c>
      <c r="CI239" s="1804">
        <v>0</v>
      </c>
      <c r="CJ239" s="1804">
        <v>0</v>
      </c>
      <c r="CK239" s="1804">
        <v>0</v>
      </c>
      <c r="CL239" s="1804">
        <v>0</v>
      </c>
      <c r="CM239" s="1804">
        <v>0</v>
      </c>
      <c r="CN239" s="1804">
        <v>0</v>
      </c>
      <c r="CO239" s="1804">
        <v>0</v>
      </c>
      <c r="CP239" s="1804">
        <v>0</v>
      </c>
      <c r="CQ239" s="1804">
        <v>0</v>
      </c>
      <c r="CR239" s="1804">
        <v>0</v>
      </c>
      <c r="CS239" s="1804">
        <v>0</v>
      </c>
      <c r="CT239" s="1804">
        <v>0</v>
      </c>
      <c r="CU239" s="1804">
        <v>0</v>
      </c>
      <c r="CV239" s="1804">
        <v>0</v>
      </c>
      <c r="CW239" s="1804">
        <v>0</v>
      </c>
      <c r="CX239" s="1804">
        <v>0</v>
      </c>
      <c r="CY239" s="1804">
        <v>0</v>
      </c>
      <c r="CZ239" s="1804">
        <v>0</v>
      </c>
      <c r="DA239" s="1804">
        <v>0</v>
      </c>
      <c r="DB239" s="1804">
        <v>0</v>
      </c>
      <c r="DC239" s="1804">
        <v>0</v>
      </c>
      <c r="DD239" s="1804">
        <v>0</v>
      </c>
      <c r="DE239" s="1804">
        <v>0</v>
      </c>
      <c r="DF239" s="1804">
        <v>0</v>
      </c>
      <c r="DG239" s="1804">
        <v>0</v>
      </c>
      <c r="DH239" s="1804">
        <v>0</v>
      </c>
      <c r="DI239" s="1804">
        <v>0</v>
      </c>
      <c r="DJ239" s="1804">
        <v>0</v>
      </c>
      <c r="DK239" s="1804">
        <v>0</v>
      </c>
      <c r="DL239" s="1804">
        <v>0</v>
      </c>
      <c r="DM239" s="1804">
        <v>0</v>
      </c>
      <c r="DN239" s="1804">
        <v>0</v>
      </c>
      <c r="DO239" s="1804">
        <v>0</v>
      </c>
      <c r="DP239" s="1804">
        <v>0</v>
      </c>
      <c r="DQ239" s="1804">
        <v>0</v>
      </c>
      <c r="DR239" s="1804">
        <v>0</v>
      </c>
      <c r="DS239" s="1804">
        <v>0</v>
      </c>
      <c r="DT239" s="1804">
        <v>0</v>
      </c>
      <c r="DU239" s="1804">
        <v>0</v>
      </c>
      <c r="DV239" s="1804">
        <v>0</v>
      </c>
      <c r="DW239" s="1804">
        <v>0</v>
      </c>
      <c r="DX239" s="1804">
        <v>0</v>
      </c>
      <c r="DY239" s="1804">
        <v>0</v>
      </c>
      <c r="DZ239" s="1804">
        <v>0</v>
      </c>
      <c r="EA239" s="1804">
        <v>0</v>
      </c>
      <c r="EB239" s="1804">
        <v>0</v>
      </c>
      <c r="EC239" s="1804">
        <v>0</v>
      </c>
      <c r="ED239" s="1804">
        <v>0</v>
      </c>
      <c r="EE239" s="1804">
        <v>0</v>
      </c>
      <c r="EF239" s="1804">
        <v>0</v>
      </c>
      <c r="EG239" s="1804">
        <v>0</v>
      </c>
      <c r="EH239" s="1804">
        <v>0</v>
      </c>
      <c r="EI239" s="1804">
        <v>0</v>
      </c>
      <c r="EJ239" s="1804">
        <v>0</v>
      </c>
      <c r="EK239" s="1804">
        <v>0</v>
      </c>
      <c r="EL239" s="1804">
        <v>0</v>
      </c>
      <c r="EM239" s="1804">
        <v>0</v>
      </c>
      <c r="EN239" s="1804">
        <v>0</v>
      </c>
      <c r="EO239" s="1804">
        <v>0</v>
      </c>
      <c r="EP239" s="1804">
        <v>0</v>
      </c>
      <c r="EQ239" s="1804">
        <v>0</v>
      </c>
      <c r="ER239" s="1804">
        <v>0</v>
      </c>
      <c r="ES239" s="1804">
        <v>0</v>
      </c>
      <c r="ET239" s="1804">
        <v>0</v>
      </c>
      <c r="EU239" s="1804">
        <v>0</v>
      </c>
      <c r="EV239" s="1804">
        <v>0</v>
      </c>
      <c r="EW239" s="1804">
        <v>0</v>
      </c>
      <c r="EX239" s="1804">
        <v>0</v>
      </c>
      <c r="EY239" s="1804">
        <v>0</v>
      </c>
      <c r="EZ239" s="1804">
        <v>0</v>
      </c>
      <c r="FA239" s="1804">
        <v>0</v>
      </c>
      <c r="FB239" s="1804">
        <v>0</v>
      </c>
      <c r="FC239" s="1804">
        <v>0</v>
      </c>
      <c r="FD239" s="1804">
        <v>0</v>
      </c>
      <c r="FE239" s="1804">
        <v>0</v>
      </c>
      <c r="FF239" s="1804">
        <v>0</v>
      </c>
      <c r="FG239" s="1804">
        <v>0</v>
      </c>
      <c r="FH239" s="1804">
        <v>0</v>
      </c>
      <c r="FI239" s="1804">
        <v>0</v>
      </c>
      <c r="FJ239" s="1804">
        <v>0</v>
      </c>
      <c r="FK239" s="1804">
        <v>0</v>
      </c>
      <c r="FL239" s="1804">
        <v>0</v>
      </c>
      <c r="FM239" s="1804">
        <v>0</v>
      </c>
      <c r="FN239" s="1804">
        <v>0</v>
      </c>
      <c r="FO239" s="1804">
        <v>0</v>
      </c>
      <c r="FP239" s="1804">
        <v>0</v>
      </c>
      <c r="FQ239" s="1804">
        <v>0</v>
      </c>
      <c r="FR239" s="1804">
        <v>0</v>
      </c>
      <c r="FS239" s="1804">
        <v>0</v>
      </c>
      <c r="FT239" s="1804">
        <v>0</v>
      </c>
      <c r="FU239" s="1804">
        <v>0</v>
      </c>
      <c r="FV239" s="1804">
        <v>0</v>
      </c>
      <c r="FW239" s="1804">
        <v>0</v>
      </c>
      <c r="FX239" s="1804">
        <v>0</v>
      </c>
      <c r="FY239" s="1804">
        <v>0</v>
      </c>
      <c r="FZ239" s="1804">
        <v>0</v>
      </c>
      <c r="GA239" s="1804">
        <v>0</v>
      </c>
      <c r="GB239" s="1804">
        <v>0</v>
      </c>
      <c r="GC239" s="1804">
        <v>0</v>
      </c>
      <c r="GD239" s="1804">
        <v>0</v>
      </c>
      <c r="GE239" s="1804">
        <v>0</v>
      </c>
      <c r="GF239" s="1804">
        <v>0</v>
      </c>
      <c r="GG239" s="1804">
        <v>0</v>
      </c>
      <c r="GH239" s="1804">
        <v>0</v>
      </c>
      <c r="GI239" s="1804">
        <v>0</v>
      </c>
      <c r="GJ239" s="1804">
        <v>0</v>
      </c>
      <c r="GK239" s="1804">
        <v>0</v>
      </c>
      <c r="GL239" s="1804">
        <v>0</v>
      </c>
      <c r="GM239" s="1804">
        <v>0</v>
      </c>
      <c r="GN239" s="1804">
        <v>0</v>
      </c>
      <c r="GO239" s="1804">
        <v>0</v>
      </c>
      <c r="GP239" s="1804">
        <v>0</v>
      </c>
      <c r="GQ239" s="1804">
        <v>0</v>
      </c>
      <c r="GR239" s="1804">
        <v>0</v>
      </c>
      <c r="GS239" s="1804">
        <v>0</v>
      </c>
      <c r="GT239" s="1804">
        <v>0</v>
      </c>
      <c r="GU239" s="1804">
        <v>0</v>
      </c>
      <c r="GV239" s="1804">
        <v>0</v>
      </c>
      <c r="GW239" s="1804">
        <v>0</v>
      </c>
      <c r="GX239" s="1804">
        <v>0</v>
      </c>
      <c r="GY239" s="1804">
        <v>0</v>
      </c>
      <c r="GZ239" s="1804">
        <v>0</v>
      </c>
      <c r="HA239" s="1804">
        <v>0</v>
      </c>
      <c r="HB239" s="1804">
        <v>0</v>
      </c>
      <c r="HC239" s="1804">
        <v>0</v>
      </c>
      <c r="HD239" s="1804">
        <v>0</v>
      </c>
      <c r="HE239" s="1804">
        <v>0</v>
      </c>
    </row>
    <row r="240" spans="1:1291" ht="15" customHeight="1" x14ac:dyDescent="0.2">
      <c r="A240" s="1995"/>
      <c r="B240" s="1989"/>
      <c r="C240" s="1696" t="s">
        <v>879</v>
      </c>
      <c r="D240" s="1883"/>
      <c r="E240" s="1984"/>
      <c r="F240" s="1838">
        <v>0</v>
      </c>
      <c r="G240" s="1804">
        <v>0</v>
      </c>
      <c r="H240" s="1804">
        <v>0</v>
      </c>
      <c r="I240" s="1804">
        <v>0</v>
      </c>
      <c r="J240" s="1804">
        <v>0</v>
      </c>
      <c r="K240" s="1804">
        <v>0</v>
      </c>
      <c r="L240" s="1804">
        <v>0</v>
      </c>
      <c r="M240" s="1804">
        <v>0</v>
      </c>
      <c r="N240" s="1804">
        <v>0</v>
      </c>
      <c r="O240" s="1804">
        <v>0</v>
      </c>
      <c r="P240" s="1804">
        <v>0</v>
      </c>
      <c r="Q240" s="1804">
        <v>0</v>
      </c>
      <c r="R240" s="1804">
        <v>0</v>
      </c>
      <c r="S240" s="1804">
        <v>0</v>
      </c>
      <c r="T240" s="1804">
        <v>0</v>
      </c>
      <c r="U240" s="1804">
        <v>0</v>
      </c>
      <c r="V240" s="1804">
        <v>0</v>
      </c>
      <c r="W240" s="1804">
        <v>0</v>
      </c>
      <c r="X240" s="1804">
        <v>0</v>
      </c>
      <c r="Y240" s="1804">
        <v>0</v>
      </c>
      <c r="Z240" s="1804">
        <v>0</v>
      </c>
      <c r="AA240" s="1804">
        <v>0</v>
      </c>
      <c r="AB240" s="1804">
        <v>0</v>
      </c>
      <c r="AC240" s="1804">
        <v>0</v>
      </c>
      <c r="AD240" s="1804">
        <v>0</v>
      </c>
      <c r="AE240" s="1804">
        <v>0</v>
      </c>
      <c r="AF240" s="1804">
        <v>0</v>
      </c>
      <c r="AG240" s="1804">
        <v>0</v>
      </c>
      <c r="AH240" s="1804">
        <v>0</v>
      </c>
      <c r="AI240" s="1804">
        <v>0</v>
      </c>
      <c r="AJ240" s="1804">
        <v>0</v>
      </c>
      <c r="AK240" s="1804">
        <v>0</v>
      </c>
      <c r="AL240" s="1804">
        <v>0</v>
      </c>
      <c r="AM240" s="1804">
        <v>0</v>
      </c>
      <c r="AN240" s="1804">
        <v>0</v>
      </c>
      <c r="AO240" s="1804">
        <v>0</v>
      </c>
      <c r="AP240" s="1804">
        <v>0</v>
      </c>
      <c r="AQ240" s="1804">
        <v>0</v>
      </c>
      <c r="AR240" s="1804">
        <v>0</v>
      </c>
      <c r="AS240" s="1804">
        <v>0</v>
      </c>
      <c r="AT240" s="1804">
        <v>0</v>
      </c>
      <c r="AU240" s="1804">
        <v>0</v>
      </c>
      <c r="AV240" s="1804">
        <v>0</v>
      </c>
      <c r="AW240" s="1804">
        <v>0</v>
      </c>
      <c r="AX240" s="1804">
        <v>0</v>
      </c>
      <c r="AY240" s="1804">
        <v>0</v>
      </c>
      <c r="AZ240" s="1804">
        <v>0</v>
      </c>
      <c r="BA240" s="1804">
        <v>0</v>
      </c>
      <c r="BB240" s="1804">
        <v>0</v>
      </c>
      <c r="BC240" s="1804">
        <v>0</v>
      </c>
      <c r="BD240" s="1804">
        <v>0</v>
      </c>
      <c r="BE240" s="1804">
        <v>0</v>
      </c>
      <c r="BF240" s="1804">
        <v>0</v>
      </c>
      <c r="BG240" s="1804">
        <v>0</v>
      </c>
      <c r="BH240" s="1804">
        <v>0</v>
      </c>
      <c r="BI240" s="1804">
        <v>0</v>
      </c>
      <c r="BJ240" s="1804">
        <v>0</v>
      </c>
      <c r="BK240" s="1804">
        <v>0</v>
      </c>
      <c r="BL240" s="1804">
        <v>0</v>
      </c>
      <c r="BM240" s="1804">
        <v>0</v>
      </c>
      <c r="BN240" s="1804">
        <v>0</v>
      </c>
      <c r="BO240" s="1804">
        <v>0</v>
      </c>
      <c r="BP240" s="1804">
        <v>0</v>
      </c>
      <c r="BQ240" s="1804">
        <v>0</v>
      </c>
      <c r="BR240" s="1804">
        <v>0</v>
      </c>
      <c r="BS240" s="1804">
        <v>0</v>
      </c>
      <c r="BT240" s="1804">
        <v>0</v>
      </c>
      <c r="BU240" s="1804">
        <v>0</v>
      </c>
      <c r="BV240" s="1804">
        <v>0</v>
      </c>
      <c r="BW240" s="1804">
        <v>0</v>
      </c>
      <c r="BX240" s="1804">
        <v>0</v>
      </c>
      <c r="BY240" s="1804">
        <v>0</v>
      </c>
      <c r="BZ240" s="1804">
        <v>0</v>
      </c>
      <c r="CA240" s="1804">
        <v>0</v>
      </c>
      <c r="CB240" s="1804">
        <v>0</v>
      </c>
      <c r="CC240" s="1804">
        <v>0</v>
      </c>
      <c r="CD240" s="1804">
        <v>0</v>
      </c>
      <c r="CE240" s="1804">
        <v>0</v>
      </c>
      <c r="CF240" s="1804">
        <v>0</v>
      </c>
      <c r="CG240" s="1804">
        <v>0</v>
      </c>
      <c r="CH240" s="1804">
        <v>0</v>
      </c>
      <c r="CI240" s="1804">
        <v>0</v>
      </c>
      <c r="CJ240" s="1804">
        <v>0</v>
      </c>
      <c r="CK240" s="1804">
        <v>0</v>
      </c>
      <c r="CL240" s="1804">
        <v>0</v>
      </c>
      <c r="CM240" s="1804">
        <v>0</v>
      </c>
      <c r="CN240" s="1804">
        <v>0</v>
      </c>
      <c r="CO240" s="1804">
        <v>0</v>
      </c>
      <c r="CP240" s="1804">
        <v>0</v>
      </c>
      <c r="CQ240" s="1804">
        <v>0</v>
      </c>
      <c r="CR240" s="1804">
        <v>0</v>
      </c>
      <c r="CS240" s="1804">
        <v>0</v>
      </c>
      <c r="CT240" s="1804">
        <v>0</v>
      </c>
      <c r="CU240" s="1804">
        <v>0</v>
      </c>
      <c r="CV240" s="1804">
        <v>0</v>
      </c>
      <c r="CW240" s="1804">
        <v>0</v>
      </c>
      <c r="CX240" s="1804">
        <v>0</v>
      </c>
      <c r="CY240" s="1804">
        <v>0</v>
      </c>
      <c r="CZ240" s="1804">
        <v>0</v>
      </c>
      <c r="DA240" s="1804">
        <v>0</v>
      </c>
      <c r="DB240" s="1804">
        <v>0</v>
      </c>
      <c r="DC240" s="1804">
        <v>0</v>
      </c>
      <c r="DD240" s="1804">
        <v>0</v>
      </c>
      <c r="DE240" s="1804">
        <v>0</v>
      </c>
      <c r="DF240" s="1804">
        <v>0</v>
      </c>
      <c r="DG240" s="1804">
        <v>0</v>
      </c>
      <c r="DH240" s="1804">
        <v>0</v>
      </c>
      <c r="DI240" s="1804">
        <v>0</v>
      </c>
      <c r="DJ240" s="1804">
        <v>0</v>
      </c>
      <c r="DK240" s="1804">
        <v>0</v>
      </c>
      <c r="DL240" s="1804">
        <v>0</v>
      </c>
      <c r="DM240" s="1804">
        <v>0</v>
      </c>
      <c r="DN240" s="1804">
        <v>0</v>
      </c>
      <c r="DO240" s="1804">
        <v>0</v>
      </c>
      <c r="DP240" s="1804">
        <v>0</v>
      </c>
      <c r="DQ240" s="1804">
        <v>0</v>
      </c>
      <c r="DR240" s="1804">
        <v>0</v>
      </c>
      <c r="DS240" s="1804">
        <v>0</v>
      </c>
      <c r="DT240" s="1804">
        <v>0</v>
      </c>
      <c r="DU240" s="1804">
        <v>0</v>
      </c>
      <c r="DV240" s="1804">
        <v>0</v>
      </c>
      <c r="DW240" s="1804">
        <v>0</v>
      </c>
      <c r="DX240" s="1804">
        <v>0</v>
      </c>
      <c r="DY240" s="1804">
        <v>0</v>
      </c>
      <c r="DZ240" s="1804">
        <v>0</v>
      </c>
      <c r="EA240" s="1804">
        <v>0</v>
      </c>
      <c r="EB240" s="1804">
        <v>0</v>
      </c>
      <c r="EC240" s="1804">
        <v>0</v>
      </c>
      <c r="ED240" s="1804">
        <v>0</v>
      </c>
      <c r="EE240" s="1804">
        <v>0</v>
      </c>
      <c r="EF240" s="1804">
        <v>0</v>
      </c>
      <c r="EG240" s="1804">
        <v>0</v>
      </c>
      <c r="EH240" s="1804">
        <v>0</v>
      </c>
      <c r="EI240" s="1804">
        <v>0</v>
      </c>
      <c r="EJ240" s="1804">
        <v>0</v>
      </c>
      <c r="EK240" s="1804">
        <v>0</v>
      </c>
      <c r="EL240" s="1804">
        <v>0</v>
      </c>
      <c r="EM240" s="1804">
        <v>0</v>
      </c>
      <c r="EN240" s="1804">
        <v>0</v>
      </c>
      <c r="EO240" s="1804">
        <v>0</v>
      </c>
      <c r="EP240" s="1804">
        <v>0</v>
      </c>
      <c r="EQ240" s="1804">
        <v>0</v>
      </c>
      <c r="ER240" s="1804">
        <v>0</v>
      </c>
      <c r="ES240" s="1804">
        <v>0</v>
      </c>
      <c r="ET240" s="1804">
        <v>0</v>
      </c>
      <c r="EU240" s="1804">
        <v>0</v>
      </c>
      <c r="EV240" s="1804">
        <v>0</v>
      </c>
      <c r="EW240" s="1804">
        <v>0</v>
      </c>
      <c r="EX240" s="1804">
        <v>0</v>
      </c>
      <c r="EY240" s="1804">
        <v>0</v>
      </c>
      <c r="EZ240" s="1804">
        <v>0</v>
      </c>
      <c r="FA240" s="1804">
        <v>0</v>
      </c>
      <c r="FB240" s="1804">
        <v>0</v>
      </c>
      <c r="FC240" s="1804">
        <v>0</v>
      </c>
      <c r="FD240" s="1804">
        <v>0</v>
      </c>
      <c r="FE240" s="1804">
        <v>0</v>
      </c>
      <c r="FF240" s="1804">
        <v>0</v>
      </c>
      <c r="FG240" s="1804">
        <v>0</v>
      </c>
      <c r="FH240" s="1804">
        <v>0</v>
      </c>
      <c r="FI240" s="1804">
        <v>0</v>
      </c>
      <c r="FJ240" s="1804">
        <v>0</v>
      </c>
      <c r="FK240" s="1804">
        <v>0</v>
      </c>
      <c r="FL240" s="1804">
        <v>0</v>
      </c>
      <c r="FM240" s="1804">
        <v>0</v>
      </c>
      <c r="FN240" s="1804">
        <v>0</v>
      </c>
      <c r="FO240" s="1804">
        <v>0</v>
      </c>
      <c r="FP240" s="1804">
        <v>0</v>
      </c>
      <c r="FQ240" s="1804">
        <v>0</v>
      </c>
      <c r="FR240" s="1804">
        <v>0</v>
      </c>
      <c r="FS240" s="1804">
        <v>0</v>
      </c>
      <c r="FT240" s="1804">
        <v>0</v>
      </c>
      <c r="FU240" s="1804">
        <v>0</v>
      </c>
      <c r="FV240" s="1804">
        <v>0</v>
      </c>
      <c r="FW240" s="1804">
        <v>0</v>
      </c>
      <c r="FX240" s="1804">
        <v>0</v>
      </c>
      <c r="FY240" s="1804">
        <v>0</v>
      </c>
      <c r="FZ240" s="1804">
        <v>0</v>
      </c>
      <c r="GA240" s="1804">
        <v>0</v>
      </c>
      <c r="GB240" s="1804">
        <v>0</v>
      </c>
      <c r="GC240" s="1804">
        <v>0</v>
      </c>
      <c r="GD240" s="1804">
        <v>0</v>
      </c>
      <c r="GE240" s="1804">
        <v>0</v>
      </c>
      <c r="GF240" s="1804">
        <v>0</v>
      </c>
      <c r="GG240" s="1804">
        <v>0</v>
      </c>
      <c r="GH240" s="1804">
        <v>0</v>
      </c>
      <c r="GI240" s="1804">
        <v>0</v>
      </c>
      <c r="GJ240" s="1804">
        <v>0</v>
      </c>
      <c r="GK240" s="1804">
        <v>0</v>
      </c>
      <c r="GL240" s="1804">
        <v>0</v>
      </c>
      <c r="GM240" s="1804">
        <v>0</v>
      </c>
      <c r="GN240" s="1804">
        <v>0</v>
      </c>
      <c r="GO240" s="1804">
        <v>0</v>
      </c>
      <c r="GP240" s="1804">
        <v>0</v>
      </c>
      <c r="GQ240" s="1804">
        <v>0</v>
      </c>
      <c r="GR240" s="1804">
        <v>0</v>
      </c>
      <c r="GS240" s="1804">
        <v>0</v>
      </c>
      <c r="GT240" s="1804">
        <v>0</v>
      </c>
      <c r="GU240" s="1804">
        <v>0</v>
      </c>
      <c r="GV240" s="1804">
        <v>0</v>
      </c>
      <c r="GW240" s="1804">
        <v>0</v>
      </c>
      <c r="GX240" s="1804">
        <v>0</v>
      </c>
      <c r="GY240" s="1804">
        <v>0</v>
      </c>
      <c r="GZ240" s="1804">
        <v>0</v>
      </c>
      <c r="HA240" s="1804">
        <v>0</v>
      </c>
      <c r="HB240" s="1804">
        <v>0</v>
      </c>
      <c r="HC240" s="1804">
        <v>0</v>
      </c>
      <c r="HD240" s="1804">
        <v>0</v>
      </c>
      <c r="HE240" s="1804">
        <v>0</v>
      </c>
    </row>
    <row r="241" spans="1:1291" ht="15" customHeight="1" x14ac:dyDescent="0.2">
      <c r="A241" s="1995"/>
      <c r="B241" s="1989"/>
      <c r="C241" s="1818" t="s">
        <v>880</v>
      </c>
      <c r="D241" s="1883"/>
      <c r="E241" s="1984"/>
      <c r="F241" s="1838">
        <v>0</v>
      </c>
      <c r="G241" s="1804">
        <v>0</v>
      </c>
      <c r="H241" s="1804">
        <v>0</v>
      </c>
      <c r="I241" s="1804">
        <v>0</v>
      </c>
      <c r="J241" s="1804">
        <v>0</v>
      </c>
      <c r="K241" s="1804">
        <v>0</v>
      </c>
      <c r="L241" s="1804">
        <v>0</v>
      </c>
      <c r="M241" s="1804">
        <v>0</v>
      </c>
      <c r="N241" s="1804">
        <v>0</v>
      </c>
      <c r="O241" s="1804">
        <v>0</v>
      </c>
      <c r="P241" s="1804">
        <v>0</v>
      </c>
      <c r="Q241" s="1804">
        <v>0</v>
      </c>
      <c r="R241" s="1804">
        <v>0</v>
      </c>
      <c r="S241" s="1804">
        <v>0</v>
      </c>
      <c r="T241" s="1804">
        <v>0</v>
      </c>
      <c r="U241" s="1804">
        <v>0</v>
      </c>
      <c r="V241" s="1804">
        <v>0</v>
      </c>
      <c r="W241" s="1804">
        <v>0</v>
      </c>
      <c r="X241" s="1804">
        <v>0</v>
      </c>
      <c r="Y241" s="1804">
        <v>0</v>
      </c>
      <c r="Z241" s="1804">
        <v>0</v>
      </c>
      <c r="AA241" s="1804">
        <v>0</v>
      </c>
      <c r="AB241" s="1804">
        <v>0</v>
      </c>
      <c r="AC241" s="1804">
        <v>0</v>
      </c>
      <c r="AD241" s="1804">
        <v>0</v>
      </c>
      <c r="AE241" s="1804">
        <v>0</v>
      </c>
      <c r="AF241" s="1804">
        <v>0</v>
      </c>
      <c r="AG241" s="1804">
        <v>0</v>
      </c>
      <c r="AH241" s="1804">
        <v>0</v>
      </c>
      <c r="AI241" s="1804">
        <v>0</v>
      </c>
      <c r="AJ241" s="1804">
        <v>0</v>
      </c>
      <c r="AK241" s="1804">
        <v>0</v>
      </c>
      <c r="AL241" s="1804">
        <v>0</v>
      </c>
      <c r="AM241" s="1804">
        <v>0</v>
      </c>
      <c r="AN241" s="1804">
        <v>0</v>
      </c>
      <c r="AO241" s="1804">
        <v>0</v>
      </c>
      <c r="AP241" s="1804">
        <v>0</v>
      </c>
      <c r="AQ241" s="1804">
        <v>0</v>
      </c>
      <c r="AR241" s="1804">
        <v>0</v>
      </c>
      <c r="AS241" s="1804">
        <v>0</v>
      </c>
      <c r="AT241" s="1804">
        <v>0</v>
      </c>
      <c r="AU241" s="1804">
        <v>0</v>
      </c>
      <c r="AV241" s="1804">
        <v>0</v>
      </c>
      <c r="AW241" s="1804">
        <v>0</v>
      </c>
      <c r="AX241" s="1804">
        <v>0</v>
      </c>
      <c r="AY241" s="1804">
        <v>0</v>
      </c>
      <c r="AZ241" s="1804">
        <v>0</v>
      </c>
      <c r="BA241" s="1804">
        <v>0</v>
      </c>
      <c r="BB241" s="1804">
        <v>0</v>
      </c>
      <c r="BC241" s="1804">
        <v>0</v>
      </c>
      <c r="BD241" s="1804">
        <v>0</v>
      </c>
      <c r="BE241" s="1804">
        <v>0</v>
      </c>
      <c r="BF241" s="1804">
        <v>0</v>
      </c>
      <c r="BG241" s="1804">
        <v>0</v>
      </c>
      <c r="BH241" s="1804">
        <v>0</v>
      </c>
      <c r="BI241" s="1804">
        <v>0</v>
      </c>
      <c r="BJ241" s="1804">
        <v>0</v>
      </c>
      <c r="BK241" s="1804">
        <v>0</v>
      </c>
      <c r="BL241" s="1804">
        <v>0</v>
      </c>
      <c r="BM241" s="1804">
        <v>0</v>
      </c>
      <c r="BN241" s="1804">
        <v>0</v>
      </c>
      <c r="BO241" s="1804">
        <v>0</v>
      </c>
      <c r="BP241" s="1804">
        <v>0</v>
      </c>
      <c r="BQ241" s="1804">
        <v>0</v>
      </c>
      <c r="BR241" s="1804">
        <v>0</v>
      </c>
      <c r="BS241" s="1804">
        <v>0</v>
      </c>
      <c r="BT241" s="1804">
        <v>0</v>
      </c>
      <c r="BU241" s="1804">
        <v>0</v>
      </c>
      <c r="BV241" s="1804">
        <v>0</v>
      </c>
      <c r="BW241" s="1804">
        <v>0</v>
      </c>
      <c r="BX241" s="1804">
        <v>0</v>
      </c>
      <c r="BY241" s="1804">
        <v>0</v>
      </c>
      <c r="BZ241" s="1804">
        <v>0</v>
      </c>
      <c r="CA241" s="1804">
        <v>0</v>
      </c>
      <c r="CB241" s="1804">
        <v>0</v>
      </c>
      <c r="CC241" s="1804">
        <v>0</v>
      </c>
      <c r="CD241" s="1804">
        <v>0</v>
      </c>
      <c r="CE241" s="1804">
        <v>0</v>
      </c>
      <c r="CF241" s="1804">
        <v>0</v>
      </c>
      <c r="CG241" s="1804">
        <v>0</v>
      </c>
      <c r="CH241" s="1804">
        <v>0</v>
      </c>
      <c r="CI241" s="1804">
        <v>0</v>
      </c>
      <c r="CJ241" s="1804">
        <v>0</v>
      </c>
      <c r="CK241" s="1804">
        <v>0</v>
      </c>
      <c r="CL241" s="1804">
        <v>0</v>
      </c>
      <c r="CM241" s="1804">
        <v>0</v>
      </c>
      <c r="CN241" s="1804">
        <v>0</v>
      </c>
      <c r="CO241" s="1804">
        <v>0</v>
      </c>
      <c r="CP241" s="1804">
        <v>0</v>
      </c>
      <c r="CQ241" s="1804">
        <v>0</v>
      </c>
      <c r="CR241" s="1804">
        <v>0</v>
      </c>
      <c r="CS241" s="1804">
        <v>0</v>
      </c>
      <c r="CT241" s="1804">
        <v>0</v>
      </c>
      <c r="CU241" s="1804">
        <v>0</v>
      </c>
      <c r="CV241" s="1804">
        <v>0</v>
      </c>
      <c r="CW241" s="1804">
        <v>0</v>
      </c>
      <c r="CX241" s="1804">
        <v>0</v>
      </c>
      <c r="CY241" s="1804">
        <v>0</v>
      </c>
      <c r="CZ241" s="1804">
        <v>0</v>
      </c>
      <c r="DA241" s="1804">
        <v>0</v>
      </c>
      <c r="DB241" s="1804">
        <v>0</v>
      </c>
      <c r="DC241" s="1804">
        <v>0</v>
      </c>
      <c r="DD241" s="1804">
        <v>0</v>
      </c>
      <c r="DE241" s="1804">
        <v>0</v>
      </c>
      <c r="DF241" s="1804">
        <v>0</v>
      </c>
      <c r="DG241" s="1804">
        <v>0</v>
      </c>
      <c r="DH241" s="1804">
        <v>0</v>
      </c>
      <c r="DI241" s="1804">
        <v>0</v>
      </c>
      <c r="DJ241" s="1804">
        <v>0</v>
      </c>
      <c r="DK241" s="1804">
        <v>0</v>
      </c>
      <c r="DL241" s="1804">
        <v>0</v>
      </c>
      <c r="DM241" s="1804">
        <v>0</v>
      </c>
      <c r="DN241" s="1804">
        <v>0</v>
      </c>
      <c r="DO241" s="1804">
        <v>0</v>
      </c>
      <c r="DP241" s="1804">
        <v>0</v>
      </c>
      <c r="DQ241" s="1804">
        <v>0</v>
      </c>
      <c r="DR241" s="1804">
        <v>0</v>
      </c>
      <c r="DS241" s="1804">
        <v>0</v>
      </c>
      <c r="DT241" s="1804">
        <v>0</v>
      </c>
      <c r="DU241" s="1804">
        <v>0</v>
      </c>
      <c r="DV241" s="1804">
        <v>0</v>
      </c>
      <c r="DW241" s="1804">
        <v>0</v>
      </c>
      <c r="DX241" s="1804">
        <v>0</v>
      </c>
      <c r="DY241" s="1804">
        <v>0</v>
      </c>
      <c r="DZ241" s="1804">
        <v>0</v>
      </c>
      <c r="EA241" s="1804">
        <v>0</v>
      </c>
      <c r="EB241" s="1804">
        <v>0</v>
      </c>
      <c r="EC241" s="1804">
        <v>0</v>
      </c>
      <c r="ED241" s="1804">
        <v>0</v>
      </c>
      <c r="EE241" s="1804">
        <v>0</v>
      </c>
      <c r="EF241" s="1804">
        <v>0</v>
      </c>
      <c r="EG241" s="1804">
        <v>0</v>
      </c>
      <c r="EH241" s="1804">
        <v>0</v>
      </c>
      <c r="EI241" s="1804">
        <v>0</v>
      </c>
      <c r="EJ241" s="1804">
        <v>0</v>
      </c>
      <c r="EK241" s="1804">
        <v>0</v>
      </c>
      <c r="EL241" s="1804">
        <v>0</v>
      </c>
      <c r="EM241" s="1804">
        <v>0</v>
      </c>
      <c r="EN241" s="1804">
        <v>0</v>
      </c>
      <c r="EO241" s="1804">
        <v>0</v>
      </c>
      <c r="EP241" s="1804">
        <v>0</v>
      </c>
      <c r="EQ241" s="1804">
        <v>0</v>
      </c>
      <c r="ER241" s="1804">
        <v>0</v>
      </c>
      <c r="ES241" s="1804">
        <v>0</v>
      </c>
      <c r="ET241" s="1804">
        <v>0</v>
      </c>
      <c r="EU241" s="1804">
        <v>0</v>
      </c>
      <c r="EV241" s="1804">
        <v>0</v>
      </c>
      <c r="EW241" s="1804">
        <v>0</v>
      </c>
      <c r="EX241" s="1804">
        <v>0</v>
      </c>
      <c r="EY241" s="1804">
        <v>0</v>
      </c>
      <c r="EZ241" s="1804">
        <v>0</v>
      </c>
      <c r="FA241" s="1804">
        <v>0</v>
      </c>
      <c r="FB241" s="1804">
        <v>0</v>
      </c>
      <c r="FC241" s="1804">
        <v>0</v>
      </c>
      <c r="FD241" s="1804">
        <v>0</v>
      </c>
      <c r="FE241" s="1804">
        <v>0</v>
      </c>
      <c r="FF241" s="1804">
        <v>0</v>
      </c>
      <c r="FG241" s="1804">
        <v>0</v>
      </c>
      <c r="FH241" s="1804">
        <v>0</v>
      </c>
      <c r="FI241" s="1804">
        <v>0</v>
      </c>
      <c r="FJ241" s="1804">
        <v>0</v>
      </c>
      <c r="FK241" s="1804">
        <v>0</v>
      </c>
      <c r="FL241" s="1804">
        <v>0</v>
      </c>
      <c r="FM241" s="1804">
        <v>0</v>
      </c>
      <c r="FN241" s="1804">
        <v>0</v>
      </c>
      <c r="FO241" s="1804">
        <v>0</v>
      </c>
      <c r="FP241" s="1804">
        <v>0</v>
      </c>
      <c r="FQ241" s="1804">
        <v>0</v>
      </c>
      <c r="FR241" s="1804">
        <v>0</v>
      </c>
      <c r="FS241" s="1804">
        <v>0</v>
      </c>
      <c r="FT241" s="1804">
        <v>0</v>
      </c>
      <c r="FU241" s="1804">
        <v>0</v>
      </c>
      <c r="FV241" s="1804">
        <v>0</v>
      </c>
      <c r="FW241" s="1804">
        <v>0</v>
      </c>
      <c r="FX241" s="1804">
        <v>0</v>
      </c>
      <c r="FY241" s="1804">
        <v>0</v>
      </c>
      <c r="FZ241" s="1804">
        <v>0</v>
      </c>
      <c r="GA241" s="1804">
        <v>0</v>
      </c>
      <c r="GB241" s="1804">
        <v>0</v>
      </c>
      <c r="GC241" s="1804">
        <v>0</v>
      </c>
      <c r="GD241" s="1804">
        <v>0</v>
      </c>
      <c r="GE241" s="1804">
        <v>0</v>
      </c>
      <c r="GF241" s="1804">
        <v>0</v>
      </c>
      <c r="GG241" s="1804">
        <v>0</v>
      </c>
      <c r="GH241" s="1804">
        <v>0</v>
      </c>
      <c r="GI241" s="1804">
        <v>0</v>
      </c>
      <c r="GJ241" s="1804">
        <v>0</v>
      </c>
      <c r="GK241" s="1804">
        <v>0</v>
      </c>
      <c r="GL241" s="1804">
        <v>0</v>
      </c>
      <c r="GM241" s="1804">
        <v>0</v>
      </c>
      <c r="GN241" s="1804">
        <v>0</v>
      </c>
      <c r="GO241" s="1804">
        <v>0</v>
      </c>
      <c r="GP241" s="1804">
        <v>0</v>
      </c>
      <c r="GQ241" s="1804">
        <v>0</v>
      </c>
      <c r="GR241" s="1804">
        <v>0</v>
      </c>
      <c r="GS241" s="1804">
        <v>0</v>
      </c>
      <c r="GT241" s="1804">
        <v>0</v>
      </c>
      <c r="GU241" s="1804">
        <v>0</v>
      </c>
      <c r="GV241" s="1804">
        <v>0</v>
      </c>
      <c r="GW241" s="1804">
        <v>0</v>
      </c>
      <c r="GX241" s="1804">
        <v>0</v>
      </c>
      <c r="GY241" s="1804">
        <v>0</v>
      </c>
      <c r="GZ241" s="1804">
        <v>0</v>
      </c>
      <c r="HA241" s="1804">
        <v>0</v>
      </c>
      <c r="HB241" s="1804">
        <v>0</v>
      </c>
      <c r="HC241" s="1804">
        <v>0</v>
      </c>
      <c r="HD241" s="1804">
        <v>0</v>
      </c>
      <c r="HE241" s="1804">
        <v>0</v>
      </c>
    </row>
    <row r="242" spans="1:1291" ht="15" customHeight="1" x14ac:dyDescent="0.2">
      <c r="A242" s="1995"/>
      <c r="B242" s="1989"/>
      <c r="C242" s="1818" t="s">
        <v>881</v>
      </c>
      <c r="D242" s="1883"/>
      <c r="E242" s="1984"/>
      <c r="F242" s="1838">
        <v>0</v>
      </c>
      <c r="G242" s="1804">
        <v>0</v>
      </c>
      <c r="H242" s="1804">
        <v>0</v>
      </c>
      <c r="I242" s="1804">
        <v>0</v>
      </c>
      <c r="J242" s="1804">
        <v>0</v>
      </c>
      <c r="K242" s="1804">
        <v>0</v>
      </c>
      <c r="L242" s="1804">
        <v>0</v>
      </c>
      <c r="M242" s="1804">
        <v>0</v>
      </c>
      <c r="N242" s="1804">
        <v>0</v>
      </c>
      <c r="O242" s="1804">
        <v>0</v>
      </c>
      <c r="P242" s="1804">
        <v>0</v>
      </c>
      <c r="Q242" s="1804">
        <v>0</v>
      </c>
      <c r="R242" s="1804">
        <v>0</v>
      </c>
      <c r="S242" s="1804">
        <v>0</v>
      </c>
      <c r="T242" s="1804">
        <v>0</v>
      </c>
      <c r="U242" s="1804">
        <v>0</v>
      </c>
      <c r="V242" s="1804">
        <v>0</v>
      </c>
      <c r="W242" s="1804">
        <v>0</v>
      </c>
      <c r="X242" s="1804">
        <v>0</v>
      </c>
      <c r="Y242" s="1804">
        <v>0</v>
      </c>
      <c r="Z242" s="1804">
        <v>0</v>
      </c>
      <c r="AA242" s="1804">
        <v>0</v>
      </c>
      <c r="AB242" s="1804">
        <v>0</v>
      </c>
      <c r="AC242" s="1804">
        <v>0</v>
      </c>
      <c r="AD242" s="1804">
        <v>0</v>
      </c>
      <c r="AE242" s="1804">
        <v>0</v>
      </c>
      <c r="AF242" s="1804">
        <v>0</v>
      </c>
      <c r="AG242" s="1804">
        <v>0</v>
      </c>
      <c r="AH242" s="1804">
        <v>0</v>
      </c>
      <c r="AI242" s="1804">
        <v>0</v>
      </c>
      <c r="AJ242" s="1804">
        <v>0</v>
      </c>
      <c r="AK242" s="1804">
        <v>0</v>
      </c>
      <c r="AL242" s="1804">
        <v>0</v>
      </c>
      <c r="AM242" s="1804">
        <v>0</v>
      </c>
      <c r="AN242" s="1804">
        <v>0</v>
      </c>
      <c r="AO242" s="1804">
        <v>0</v>
      </c>
      <c r="AP242" s="1804">
        <v>0</v>
      </c>
      <c r="AQ242" s="1804">
        <v>0</v>
      </c>
      <c r="AR242" s="1804">
        <v>0</v>
      </c>
      <c r="AS242" s="1804">
        <v>0</v>
      </c>
      <c r="AT242" s="1804">
        <v>0</v>
      </c>
      <c r="AU242" s="1804">
        <v>0</v>
      </c>
      <c r="AV242" s="1804">
        <v>0</v>
      </c>
      <c r="AW242" s="1804">
        <v>0</v>
      </c>
      <c r="AX242" s="1804">
        <v>0</v>
      </c>
      <c r="AY242" s="1804">
        <v>0</v>
      </c>
      <c r="AZ242" s="1804">
        <v>0</v>
      </c>
      <c r="BA242" s="1804">
        <v>0</v>
      </c>
      <c r="BB242" s="1804">
        <v>0</v>
      </c>
      <c r="BC242" s="1804">
        <v>0</v>
      </c>
      <c r="BD242" s="1804">
        <v>0</v>
      </c>
      <c r="BE242" s="1804">
        <v>0</v>
      </c>
      <c r="BF242" s="1804">
        <v>0</v>
      </c>
      <c r="BG242" s="1804">
        <v>0</v>
      </c>
      <c r="BH242" s="1804">
        <v>0</v>
      </c>
      <c r="BI242" s="1804">
        <v>0</v>
      </c>
      <c r="BJ242" s="1804">
        <v>0</v>
      </c>
      <c r="BK242" s="1804">
        <v>0</v>
      </c>
      <c r="BL242" s="1804">
        <v>0</v>
      </c>
      <c r="BM242" s="1804">
        <v>0</v>
      </c>
      <c r="BN242" s="1804">
        <v>0</v>
      </c>
      <c r="BO242" s="1804">
        <v>0</v>
      </c>
      <c r="BP242" s="1804">
        <v>0</v>
      </c>
      <c r="BQ242" s="1804">
        <v>0</v>
      </c>
      <c r="BR242" s="1804">
        <v>0</v>
      </c>
      <c r="BS242" s="1804">
        <v>0</v>
      </c>
      <c r="BT242" s="1804">
        <v>0</v>
      </c>
      <c r="BU242" s="1804">
        <v>0</v>
      </c>
      <c r="BV242" s="1804">
        <v>0</v>
      </c>
      <c r="BW242" s="1804">
        <v>0</v>
      </c>
      <c r="BX242" s="1804">
        <v>0</v>
      </c>
      <c r="BY242" s="1804">
        <v>0</v>
      </c>
      <c r="BZ242" s="1804">
        <v>0</v>
      </c>
      <c r="CA242" s="1804">
        <v>0</v>
      </c>
      <c r="CB242" s="1804">
        <v>0</v>
      </c>
      <c r="CC242" s="1804">
        <v>0</v>
      </c>
      <c r="CD242" s="1804">
        <v>0</v>
      </c>
      <c r="CE242" s="1804">
        <v>0</v>
      </c>
      <c r="CF242" s="1804">
        <v>0</v>
      </c>
      <c r="CG242" s="1804">
        <v>0</v>
      </c>
      <c r="CH242" s="1804">
        <v>0</v>
      </c>
      <c r="CI242" s="1804">
        <v>0</v>
      </c>
      <c r="CJ242" s="1804">
        <v>0</v>
      </c>
      <c r="CK242" s="1804">
        <v>0</v>
      </c>
      <c r="CL242" s="1804">
        <v>0</v>
      </c>
      <c r="CM242" s="1804">
        <v>0</v>
      </c>
      <c r="CN242" s="1804">
        <v>0</v>
      </c>
      <c r="CO242" s="1804">
        <v>0</v>
      </c>
      <c r="CP242" s="1804">
        <v>0</v>
      </c>
      <c r="CQ242" s="1804">
        <v>0</v>
      </c>
      <c r="CR242" s="1804">
        <v>0</v>
      </c>
      <c r="CS242" s="1804">
        <v>0</v>
      </c>
      <c r="CT242" s="1804">
        <v>0</v>
      </c>
      <c r="CU242" s="1804">
        <v>0</v>
      </c>
      <c r="CV242" s="1804">
        <v>0</v>
      </c>
      <c r="CW242" s="1804">
        <v>0</v>
      </c>
      <c r="CX242" s="1804">
        <v>0</v>
      </c>
      <c r="CY242" s="1804">
        <v>0</v>
      </c>
      <c r="CZ242" s="1804">
        <v>0</v>
      </c>
      <c r="DA242" s="1804">
        <v>0</v>
      </c>
      <c r="DB242" s="1804">
        <v>0</v>
      </c>
      <c r="DC242" s="1804">
        <v>0</v>
      </c>
      <c r="DD242" s="1804">
        <v>0</v>
      </c>
      <c r="DE242" s="1804">
        <v>0</v>
      </c>
      <c r="DF242" s="1804">
        <v>0</v>
      </c>
      <c r="DG242" s="1804">
        <v>0</v>
      </c>
      <c r="DH242" s="1804">
        <v>0</v>
      </c>
      <c r="DI242" s="1804">
        <v>0</v>
      </c>
      <c r="DJ242" s="1804">
        <v>0</v>
      </c>
      <c r="DK242" s="1804">
        <v>0</v>
      </c>
      <c r="DL242" s="1804">
        <v>0</v>
      </c>
      <c r="DM242" s="1804">
        <v>0</v>
      </c>
      <c r="DN242" s="1804">
        <v>0</v>
      </c>
      <c r="DO242" s="1804">
        <v>0</v>
      </c>
      <c r="DP242" s="1804">
        <v>0</v>
      </c>
      <c r="DQ242" s="1804">
        <v>0</v>
      </c>
      <c r="DR242" s="1804">
        <v>0</v>
      </c>
      <c r="DS242" s="1804">
        <v>0</v>
      </c>
      <c r="DT242" s="1804">
        <v>0</v>
      </c>
      <c r="DU242" s="1804">
        <v>0</v>
      </c>
      <c r="DV242" s="1804">
        <v>0</v>
      </c>
      <c r="DW242" s="1804">
        <v>0</v>
      </c>
      <c r="DX242" s="1804">
        <v>0</v>
      </c>
      <c r="DY242" s="1804">
        <v>0</v>
      </c>
      <c r="DZ242" s="1804">
        <v>0</v>
      </c>
      <c r="EA242" s="1804">
        <v>0</v>
      </c>
      <c r="EB242" s="1804">
        <v>0</v>
      </c>
      <c r="EC242" s="1804">
        <v>0</v>
      </c>
      <c r="ED242" s="1804">
        <v>0</v>
      </c>
      <c r="EE242" s="1804">
        <v>0</v>
      </c>
      <c r="EF242" s="1804">
        <v>0</v>
      </c>
      <c r="EG242" s="1804">
        <v>0</v>
      </c>
      <c r="EH242" s="1804">
        <v>0</v>
      </c>
      <c r="EI242" s="1804">
        <v>0</v>
      </c>
      <c r="EJ242" s="1804">
        <v>0</v>
      </c>
      <c r="EK242" s="1804">
        <v>0</v>
      </c>
      <c r="EL242" s="1804">
        <v>0</v>
      </c>
      <c r="EM242" s="1804">
        <v>0</v>
      </c>
      <c r="EN242" s="1804">
        <v>0</v>
      </c>
      <c r="EO242" s="1804">
        <v>0</v>
      </c>
      <c r="EP242" s="1804">
        <v>0</v>
      </c>
      <c r="EQ242" s="1804">
        <v>0</v>
      </c>
      <c r="ER242" s="1804">
        <v>0</v>
      </c>
      <c r="ES242" s="1804">
        <v>0</v>
      </c>
      <c r="ET242" s="1804">
        <v>0</v>
      </c>
      <c r="EU242" s="1804">
        <v>0</v>
      </c>
      <c r="EV242" s="1804">
        <v>0</v>
      </c>
      <c r="EW242" s="1804">
        <v>0</v>
      </c>
      <c r="EX242" s="1804">
        <v>0</v>
      </c>
      <c r="EY242" s="1804">
        <v>0</v>
      </c>
      <c r="EZ242" s="1804">
        <v>0</v>
      </c>
      <c r="FA242" s="1804">
        <v>0</v>
      </c>
      <c r="FB242" s="1804">
        <v>0</v>
      </c>
      <c r="FC242" s="1804">
        <v>0</v>
      </c>
      <c r="FD242" s="1804">
        <v>0</v>
      </c>
      <c r="FE242" s="1804">
        <v>0</v>
      </c>
      <c r="FF242" s="1804">
        <v>0</v>
      </c>
      <c r="FG242" s="1804">
        <v>0</v>
      </c>
      <c r="FH242" s="1804">
        <v>0</v>
      </c>
      <c r="FI242" s="1804">
        <v>0</v>
      </c>
      <c r="FJ242" s="1804">
        <v>0</v>
      </c>
      <c r="FK242" s="1804">
        <v>0</v>
      </c>
      <c r="FL242" s="1804">
        <v>0</v>
      </c>
      <c r="FM242" s="1804">
        <v>0</v>
      </c>
      <c r="FN242" s="1804">
        <v>0</v>
      </c>
      <c r="FO242" s="1804">
        <v>0</v>
      </c>
      <c r="FP242" s="1804">
        <v>0</v>
      </c>
      <c r="FQ242" s="1804">
        <v>0</v>
      </c>
      <c r="FR242" s="1804">
        <v>0</v>
      </c>
      <c r="FS242" s="1804">
        <v>0</v>
      </c>
      <c r="FT242" s="1804">
        <v>0</v>
      </c>
      <c r="FU242" s="1804">
        <v>0</v>
      </c>
      <c r="FV242" s="1804">
        <v>0</v>
      </c>
      <c r="FW242" s="1804">
        <v>0</v>
      </c>
      <c r="FX242" s="1804">
        <v>0</v>
      </c>
      <c r="FY242" s="1804">
        <v>0</v>
      </c>
      <c r="FZ242" s="1804">
        <v>0</v>
      </c>
      <c r="GA242" s="1804">
        <v>0</v>
      </c>
      <c r="GB242" s="1804">
        <v>0</v>
      </c>
      <c r="GC242" s="1804">
        <v>0</v>
      </c>
      <c r="GD242" s="1804">
        <v>0</v>
      </c>
      <c r="GE242" s="1804">
        <v>0</v>
      </c>
      <c r="GF242" s="1804">
        <v>0</v>
      </c>
      <c r="GG242" s="1804">
        <v>0</v>
      </c>
      <c r="GH242" s="1804">
        <v>0</v>
      </c>
      <c r="GI242" s="1804">
        <v>0</v>
      </c>
      <c r="GJ242" s="1804">
        <v>0</v>
      </c>
      <c r="GK242" s="1804">
        <v>0</v>
      </c>
      <c r="GL242" s="1804">
        <v>0</v>
      </c>
      <c r="GM242" s="1804">
        <v>0</v>
      </c>
      <c r="GN242" s="1804">
        <v>0</v>
      </c>
      <c r="GO242" s="1804">
        <v>0</v>
      </c>
      <c r="GP242" s="1804">
        <v>0</v>
      </c>
      <c r="GQ242" s="1804">
        <v>0</v>
      </c>
      <c r="GR242" s="1804">
        <v>0</v>
      </c>
      <c r="GS242" s="1804">
        <v>0</v>
      </c>
      <c r="GT242" s="1804">
        <v>0</v>
      </c>
      <c r="GU242" s="1804">
        <v>0</v>
      </c>
      <c r="GV242" s="1804">
        <v>0</v>
      </c>
      <c r="GW242" s="1804">
        <v>0</v>
      </c>
      <c r="GX242" s="1804">
        <v>0</v>
      </c>
      <c r="GY242" s="1804">
        <v>0</v>
      </c>
      <c r="GZ242" s="1804">
        <v>0</v>
      </c>
      <c r="HA242" s="1804">
        <v>0</v>
      </c>
      <c r="HB242" s="1804">
        <v>0</v>
      </c>
      <c r="HC242" s="1804">
        <v>0</v>
      </c>
      <c r="HD242" s="1804">
        <v>0</v>
      </c>
      <c r="HE242" s="1804">
        <v>0</v>
      </c>
    </row>
    <row r="243" spans="1:1291" ht="15" customHeight="1" thickBot="1" x14ac:dyDescent="0.25">
      <c r="A243" s="1950"/>
      <c r="B243" s="1991"/>
      <c r="C243" s="1697" t="s">
        <v>882</v>
      </c>
      <c r="D243" s="1883"/>
      <c r="E243" s="1984"/>
      <c r="F243" s="1838">
        <v>0</v>
      </c>
      <c r="G243" s="1804">
        <v>0</v>
      </c>
      <c r="H243" s="1804">
        <v>0</v>
      </c>
      <c r="I243" s="1804">
        <v>0</v>
      </c>
      <c r="J243" s="1804">
        <v>0</v>
      </c>
      <c r="K243" s="1804">
        <v>0</v>
      </c>
      <c r="L243" s="1804">
        <v>0</v>
      </c>
      <c r="M243" s="1804">
        <v>0</v>
      </c>
      <c r="N243" s="1804">
        <v>0</v>
      </c>
      <c r="O243" s="1804">
        <v>0</v>
      </c>
      <c r="P243" s="1804">
        <v>0</v>
      </c>
      <c r="Q243" s="1804">
        <v>0</v>
      </c>
      <c r="R243" s="1804">
        <v>0</v>
      </c>
      <c r="S243" s="1804">
        <v>0</v>
      </c>
      <c r="T243" s="1804">
        <v>0</v>
      </c>
      <c r="U243" s="1804">
        <v>0</v>
      </c>
      <c r="V243" s="1804">
        <v>0</v>
      </c>
      <c r="W243" s="1804">
        <v>0</v>
      </c>
      <c r="X243" s="1804">
        <v>0</v>
      </c>
      <c r="Y243" s="1804">
        <v>0</v>
      </c>
      <c r="Z243" s="1804">
        <v>0</v>
      </c>
      <c r="AA243" s="1804">
        <v>0</v>
      </c>
      <c r="AB243" s="1804">
        <v>0</v>
      </c>
      <c r="AC243" s="1804">
        <v>0</v>
      </c>
      <c r="AD243" s="1804">
        <v>0</v>
      </c>
      <c r="AE243" s="1804">
        <v>0</v>
      </c>
      <c r="AF243" s="1804">
        <v>0</v>
      </c>
      <c r="AG243" s="1804">
        <v>0</v>
      </c>
      <c r="AH243" s="1804">
        <v>0</v>
      </c>
      <c r="AI243" s="1804">
        <v>0</v>
      </c>
      <c r="AJ243" s="1804">
        <v>0</v>
      </c>
      <c r="AK243" s="1804">
        <v>0</v>
      </c>
      <c r="AL243" s="1804">
        <v>0</v>
      </c>
      <c r="AM243" s="1804">
        <v>0</v>
      </c>
      <c r="AN243" s="1804">
        <v>0</v>
      </c>
      <c r="AO243" s="1804">
        <v>0</v>
      </c>
      <c r="AP243" s="1804">
        <v>0</v>
      </c>
      <c r="AQ243" s="1804">
        <v>0</v>
      </c>
      <c r="AR243" s="1804">
        <v>0</v>
      </c>
      <c r="AS243" s="1804">
        <v>0</v>
      </c>
      <c r="AT243" s="1804">
        <v>0</v>
      </c>
      <c r="AU243" s="1804">
        <v>0</v>
      </c>
      <c r="AV243" s="1804">
        <v>0</v>
      </c>
      <c r="AW243" s="1804">
        <v>0</v>
      </c>
      <c r="AX243" s="1804">
        <v>0</v>
      </c>
      <c r="AY243" s="1804">
        <v>0</v>
      </c>
      <c r="AZ243" s="1804">
        <v>0</v>
      </c>
      <c r="BA243" s="1804">
        <v>0</v>
      </c>
      <c r="BB243" s="1804">
        <v>0</v>
      </c>
      <c r="BC243" s="1804">
        <v>0</v>
      </c>
      <c r="BD243" s="1804">
        <v>0</v>
      </c>
      <c r="BE243" s="1804">
        <v>0</v>
      </c>
      <c r="BF243" s="1804">
        <v>0</v>
      </c>
      <c r="BG243" s="1804">
        <v>0</v>
      </c>
      <c r="BH243" s="1804">
        <v>0</v>
      </c>
      <c r="BI243" s="1804">
        <v>0</v>
      </c>
      <c r="BJ243" s="1804">
        <v>0</v>
      </c>
      <c r="BK243" s="1804">
        <v>0</v>
      </c>
      <c r="BL243" s="1804">
        <v>0</v>
      </c>
      <c r="BM243" s="1804">
        <v>0</v>
      </c>
      <c r="BN243" s="1804">
        <v>0</v>
      </c>
      <c r="BO243" s="1804">
        <v>0</v>
      </c>
      <c r="BP243" s="1804">
        <v>0</v>
      </c>
      <c r="BQ243" s="1804">
        <v>0</v>
      </c>
      <c r="BR243" s="1804">
        <v>0</v>
      </c>
      <c r="BS243" s="1804">
        <v>0</v>
      </c>
      <c r="BT243" s="1804">
        <v>0</v>
      </c>
      <c r="BU243" s="1804">
        <v>0</v>
      </c>
      <c r="BV243" s="1804">
        <v>0</v>
      </c>
      <c r="BW243" s="1804">
        <v>0</v>
      </c>
      <c r="BX243" s="1804">
        <v>0</v>
      </c>
      <c r="BY243" s="1804">
        <v>0</v>
      </c>
      <c r="BZ243" s="1804">
        <v>0</v>
      </c>
      <c r="CA243" s="1804">
        <v>0</v>
      </c>
      <c r="CB243" s="1804">
        <v>0</v>
      </c>
      <c r="CC243" s="1804">
        <v>0</v>
      </c>
      <c r="CD243" s="1804">
        <v>0</v>
      </c>
      <c r="CE243" s="1804">
        <v>0</v>
      </c>
      <c r="CF243" s="1804">
        <v>0</v>
      </c>
      <c r="CG243" s="1804">
        <v>0</v>
      </c>
      <c r="CH243" s="1804">
        <v>0</v>
      </c>
      <c r="CI243" s="1804">
        <v>0</v>
      </c>
      <c r="CJ243" s="1804">
        <v>0</v>
      </c>
      <c r="CK243" s="1804">
        <v>0</v>
      </c>
      <c r="CL243" s="1804">
        <v>0</v>
      </c>
      <c r="CM243" s="1804">
        <v>0</v>
      </c>
      <c r="CN243" s="1804">
        <v>0</v>
      </c>
      <c r="CO243" s="1804">
        <v>0</v>
      </c>
      <c r="CP243" s="1804">
        <v>0</v>
      </c>
      <c r="CQ243" s="1804">
        <v>0</v>
      </c>
      <c r="CR243" s="1804">
        <v>0</v>
      </c>
      <c r="CS243" s="1804">
        <v>0</v>
      </c>
      <c r="CT243" s="1804">
        <v>0</v>
      </c>
      <c r="CU243" s="1804">
        <v>0</v>
      </c>
      <c r="CV243" s="1804">
        <v>0</v>
      </c>
      <c r="CW243" s="1804">
        <v>0</v>
      </c>
      <c r="CX243" s="1804">
        <v>0</v>
      </c>
      <c r="CY243" s="1804">
        <v>0</v>
      </c>
      <c r="CZ243" s="1804">
        <v>0</v>
      </c>
      <c r="DA243" s="1804">
        <v>0</v>
      </c>
      <c r="DB243" s="1804">
        <v>0</v>
      </c>
      <c r="DC243" s="1804">
        <v>0</v>
      </c>
      <c r="DD243" s="1804">
        <v>0</v>
      </c>
      <c r="DE243" s="1804">
        <v>0</v>
      </c>
      <c r="DF243" s="1804">
        <v>0</v>
      </c>
      <c r="DG243" s="1804">
        <v>0</v>
      </c>
      <c r="DH243" s="1804">
        <v>0</v>
      </c>
      <c r="DI243" s="1804">
        <v>0</v>
      </c>
      <c r="DJ243" s="1804">
        <v>0</v>
      </c>
      <c r="DK243" s="1804">
        <v>0</v>
      </c>
      <c r="DL243" s="1804">
        <v>0</v>
      </c>
      <c r="DM243" s="1804">
        <v>0</v>
      </c>
      <c r="DN243" s="1804">
        <v>0</v>
      </c>
      <c r="DO243" s="1804">
        <v>0</v>
      </c>
      <c r="DP243" s="1804">
        <v>0</v>
      </c>
      <c r="DQ243" s="1804">
        <v>0</v>
      </c>
      <c r="DR243" s="1804">
        <v>0</v>
      </c>
      <c r="DS243" s="1804">
        <v>0</v>
      </c>
      <c r="DT243" s="1804">
        <v>0</v>
      </c>
      <c r="DU243" s="1804">
        <v>0</v>
      </c>
      <c r="DV243" s="1804">
        <v>0</v>
      </c>
      <c r="DW243" s="1804">
        <v>0</v>
      </c>
      <c r="DX243" s="1804">
        <v>0</v>
      </c>
      <c r="DY243" s="1804">
        <v>0</v>
      </c>
      <c r="DZ243" s="1804">
        <v>0</v>
      </c>
      <c r="EA243" s="1804">
        <v>0</v>
      </c>
      <c r="EB243" s="1804">
        <v>0</v>
      </c>
      <c r="EC243" s="1804">
        <v>0</v>
      </c>
      <c r="ED243" s="1804">
        <v>0</v>
      </c>
      <c r="EE243" s="1804">
        <v>0</v>
      </c>
      <c r="EF243" s="1804">
        <v>0</v>
      </c>
      <c r="EG243" s="1804">
        <v>0</v>
      </c>
      <c r="EH243" s="1804">
        <v>0</v>
      </c>
      <c r="EI243" s="1804">
        <v>0</v>
      </c>
      <c r="EJ243" s="1804">
        <v>0</v>
      </c>
      <c r="EK243" s="1804">
        <v>0</v>
      </c>
      <c r="EL243" s="1804">
        <v>0</v>
      </c>
      <c r="EM243" s="1804">
        <v>0</v>
      </c>
      <c r="EN243" s="1804">
        <v>0</v>
      </c>
      <c r="EO243" s="1804">
        <v>0</v>
      </c>
      <c r="EP243" s="1804">
        <v>0</v>
      </c>
      <c r="EQ243" s="1804">
        <v>0</v>
      </c>
      <c r="ER243" s="1804">
        <v>0</v>
      </c>
      <c r="ES243" s="1804">
        <v>0</v>
      </c>
      <c r="ET243" s="1804">
        <v>0</v>
      </c>
      <c r="EU243" s="1804">
        <v>0</v>
      </c>
      <c r="EV243" s="1804">
        <v>0</v>
      </c>
      <c r="EW243" s="1804">
        <v>0</v>
      </c>
      <c r="EX243" s="1804">
        <v>0</v>
      </c>
      <c r="EY243" s="1804">
        <v>0</v>
      </c>
      <c r="EZ243" s="1804">
        <v>0</v>
      </c>
      <c r="FA243" s="1804">
        <v>0</v>
      </c>
      <c r="FB243" s="1804">
        <v>0</v>
      </c>
      <c r="FC243" s="1804">
        <v>0</v>
      </c>
      <c r="FD243" s="1804">
        <v>0</v>
      </c>
      <c r="FE243" s="1804">
        <v>0</v>
      </c>
      <c r="FF243" s="1804">
        <v>0</v>
      </c>
      <c r="FG243" s="1804">
        <v>0</v>
      </c>
      <c r="FH243" s="1804">
        <v>0</v>
      </c>
      <c r="FI243" s="1804">
        <v>0</v>
      </c>
      <c r="FJ243" s="1804">
        <v>0</v>
      </c>
      <c r="FK243" s="1804">
        <v>0</v>
      </c>
      <c r="FL243" s="1804">
        <v>0</v>
      </c>
      <c r="FM243" s="1804">
        <v>0</v>
      </c>
      <c r="FN243" s="1804">
        <v>0</v>
      </c>
      <c r="FO243" s="1804">
        <v>0</v>
      </c>
      <c r="FP243" s="1804">
        <v>0</v>
      </c>
      <c r="FQ243" s="1804">
        <v>0</v>
      </c>
      <c r="FR243" s="1804">
        <v>0</v>
      </c>
      <c r="FS243" s="1804">
        <v>0</v>
      </c>
      <c r="FT243" s="1804">
        <v>0</v>
      </c>
      <c r="FU243" s="1804">
        <v>0</v>
      </c>
      <c r="FV243" s="1804">
        <v>0</v>
      </c>
      <c r="FW243" s="1804">
        <v>0</v>
      </c>
      <c r="FX243" s="1804">
        <v>0</v>
      </c>
      <c r="FY243" s="1804">
        <v>0</v>
      </c>
      <c r="FZ243" s="1804">
        <v>0</v>
      </c>
      <c r="GA243" s="1804">
        <v>0</v>
      </c>
      <c r="GB243" s="1804">
        <v>0</v>
      </c>
      <c r="GC243" s="1804">
        <v>0</v>
      </c>
      <c r="GD243" s="1804">
        <v>0</v>
      </c>
      <c r="GE243" s="1804">
        <v>0</v>
      </c>
      <c r="GF243" s="1804">
        <v>0</v>
      </c>
      <c r="GG243" s="1804">
        <v>0</v>
      </c>
      <c r="GH243" s="1804">
        <v>0</v>
      </c>
      <c r="GI243" s="1804">
        <v>0</v>
      </c>
      <c r="GJ243" s="1804">
        <v>0</v>
      </c>
      <c r="GK243" s="1804">
        <v>0</v>
      </c>
      <c r="GL243" s="1804">
        <v>0</v>
      </c>
      <c r="GM243" s="1804">
        <v>0</v>
      </c>
      <c r="GN243" s="1804">
        <v>0</v>
      </c>
      <c r="GO243" s="1804">
        <v>0</v>
      </c>
      <c r="GP243" s="1804">
        <v>0</v>
      </c>
      <c r="GQ243" s="1804">
        <v>0</v>
      </c>
      <c r="GR243" s="1804">
        <v>0</v>
      </c>
      <c r="GS243" s="1804">
        <v>0</v>
      </c>
      <c r="GT243" s="1804">
        <v>0</v>
      </c>
      <c r="GU243" s="1804">
        <v>0</v>
      </c>
      <c r="GV243" s="1804">
        <v>0</v>
      </c>
      <c r="GW243" s="1804">
        <v>0</v>
      </c>
      <c r="GX243" s="1804">
        <v>0</v>
      </c>
      <c r="GY243" s="1804">
        <v>0</v>
      </c>
      <c r="GZ243" s="1804">
        <v>0</v>
      </c>
      <c r="HA243" s="1804">
        <v>0</v>
      </c>
      <c r="HB243" s="1804">
        <v>0</v>
      </c>
      <c r="HC243" s="1804">
        <v>0</v>
      </c>
      <c r="HD243" s="1804">
        <v>0</v>
      </c>
      <c r="HE243" s="1804">
        <v>0</v>
      </c>
    </row>
    <row r="244" spans="1:1291" ht="21" customHeight="1" thickBot="1" x14ac:dyDescent="0.25">
      <c r="A244" s="1966" t="s">
        <v>38</v>
      </c>
      <c r="B244" s="1989" t="s">
        <v>875</v>
      </c>
      <c r="C244" s="1699" t="s">
        <v>884</v>
      </c>
      <c r="D244" s="1880"/>
      <c r="E244" s="1984"/>
      <c r="F244" s="1865"/>
      <c r="G244" s="1866"/>
      <c r="H244" s="1866"/>
      <c r="I244" s="1866"/>
      <c r="J244" s="1866"/>
      <c r="K244" s="1866"/>
      <c r="L244" s="1866"/>
      <c r="M244" s="1866"/>
      <c r="N244" s="1866"/>
      <c r="O244" s="1866"/>
      <c r="P244" s="1866"/>
      <c r="Q244" s="1866"/>
      <c r="R244" s="1866"/>
      <c r="S244" s="1866"/>
      <c r="T244" s="1866"/>
      <c r="U244" s="1866"/>
      <c r="V244" s="1866"/>
      <c r="W244" s="1866"/>
      <c r="X244" s="1866"/>
      <c r="Y244" s="1866"/>
      <c r="Z244" s="1866"/>
      <c r="AA244" s="1866"/>
      <c r="AB244" s="1866"/>
      <c r="AC244" s="1866"/>
      <c r="AD244" s="1866"/>
      <c r="AE244" s="1866"/>
      <c r="AF244" s="1866"/>
      <c r="AG244" s="1866"/>
      <c r="AH244" s="1866"/>
      <c r="AI244" s="1866"/>
      <c r="AJ244" s="1866"/>
      <c r="AK244" s="1866"/>
      <c r="AL244" s="1866"/>
      <c r="AM244" s="1866"/>
      <c r="AN244" s="1866"/>
      <c r="AO244" s="1866"/>
      <c r="AP244" s="1866"/>
      <c r="AQ244" s="1866"/>
      <c r="AR244" s="1866"/>
      <c r="AS244" s="1866"/>
      <c r="AT244" s="1866"/>
      <c r="AU244" s="1866"/>
      <c r="AV244" s="1866"/>
      <c r="AW244" s="1866"/>
      <c r="AX244" s="1866"/>
      <c r="AY244" s="1866"/>
      <c r="AZ244" s="1866"/>
      <c r="BA244" s="1866"/>
      <c r="BB244" s="1866"/>
      <c r="BC244" s="1866"/>
      <c r="BD244" s="1866"/>
      <c r="BE244" s="1866"/>
      <c r="BF244" s="1866"/>
      <c r="BG244" s="1866"/>
      <c r="BH244" s="1866"/>
      <c r="BI244" s="1866"/>
      <c r="BJ244" s="1866"/>
      <c r="BK244" s="1866"/>
      <c r="BL244" s="1866"/>
      <c r="BM244" s="1866"/>
      <c r="BN244" s="1866"/>
      <c r="BO244" s="1866"/>
      <c r="BP244" s="1866"/>
      <c r="BQ244" s="1866"/>
      <c r="BR244" s="1866"/>
      <c r="BS244" s="1866"/>
      <c r="BT244" s="1866"/>
      <c r="BU244" s="1866"/>
      <c r="BV244" s="1866"/>
      <c r="BW244" s="1866"/>
      <c r="BX244" s="1866"/>
      <c r="BY244" s="1866"/>
      <c r="BZ244" s="1866"/>
      <c r="CA244" s="1866"/>
      <c r="CB244" s="1866"/>
      <c r="CC244" s="1866"/>
      <c r="CD244" s="1866"/>
      <c r="CE244" s="1866"/>
      <c r="CF244" s="1866"/>
      <c r="CG244" s="1866"/>
      <c r="CH244" s="1866"/>
      <c r="CI244" s="1866"/>
      <c r="CJ244" s="1866"/>
      <c r="CK244" s="1866"/>
      <c r="CL244" s="1866"/>
      <c r="CM244" s="1866"/>
      <c r="CN244" s="1866"/>
      <c r="CO244" s="1866"/>
      <c r="CP244" s="1866"/>
      <c r="CQ244" s="1866"/>
      <c r="CR244" s="1866"/>
      <c r="CS244" s="1866"/>
      <c r="CT244" s="1866"/>
      <c r="CU244" s="1866"/>
      <c r="CV244" s="1866"/>
      <c r="CW244" s="1866"/>
      <c r="CX244" s="1866"/>
      <c r="CY244" s="1866"/>
      <c r="CZ244" s="1866"/>
      <c r="DA244" s="1866"/>
      <c r="DB244" s="1866"/>
      <c r="DC244" s="1866"/>
      <c r="DD244" s="1866"/>
      <c r="DE244" s="1866"/>
      <c r="DF244" s="1866"/>
      <c r="DG244" s="1866"/>
      <c r="DH244" s="1866"/>
      <c r="DI244" s="1866"/>
      <c r="DJ244" s="1866"/>
      <c r="DK244" s="1866"/>
      <c r="DL244" s="1866"/>
      <c r="DM244" s="1866"/>
      <c r="DN244" s="1866"/>
      <c r="DO244" s="1866"/>
      <c r="DP244" s="1866"/>
      <c r="DQ244" s="1866"/>
      <c r="DR244" s="1866"/>
      <c r="DS244" s="1866"/>
      <c r="DT244" s="1866"/>
      <c r="DU244" s="1866"/>
      <c r="DV244" s="1866"/>
      <c r="DW244" s="1866"/>
      <c r="DX244" s="1866"/>
      <c r="DY244" s="1866"/>
      <c r="DZ244" s="1866"/>
      <c r="EA244" s="1866"/>
      <c r="EB244" s="1866"/>
      <c r="EC244" s="1866"/>
      <c r="ED244" s="1866"/>
      <c r="EE244" s="1866"/>
      <c r="EF244" s="1866"/>
      <c r="EG244" s="1866"/>
      <c r="EH244" s="1866"/>
      <c r="EI244" s="1866"/>
      <c r="EJ244" s="1866"/>
      <c r="EK244" s="1866"/>
      <c r="EL244" s="1866"/>
      <c r="EM244" s="1866"/>
      <c r="EN244" s="1866"/>
      <c r="EO244" s="1866"/>
      <c r="EP244" s="1866"/>
      <c r="EQ244" s="1866"/>
      <c r="ER244" s="1866"/>
      <c r="ES244" s="1866"/>
      <c r="ET244" s="1866"/>
      <c r="EU244" s="1866"/>
      <c r="EV244" s="1866"/>
      <c r="EW244" s="1866"/>
      <c r="EX244" s="1866"/>
      <c r="EY244" s="1866"/>
      <c r="EZ244" s="1866"/>
      <c r="FA244" s="1866"/>
      <c r="FB244" s="1866"/>
      <c r="FC244" s="1866"/>
      <c r="FD244" s="1866"/>
      <c r="FE244" s="1866"/>
      <c r="FF244" s="1866"/>
      <c r="FG244" s="1866"/>
      <c r="FH244" s="1866"/>
      <c r="FI244" s="1866"/>
      <c r="FJ244" s="1866"/>
      <c r="FK244" s="1866"/>
      <c r="FL244" s="1866"/>
      <c r="FM244" s="1866"/>
      <c r="FN244" s="1866"/>
      <c r="FO244" s="1866"/>
      <c r="FP244" s="1866"/>
      <c r="FQ244" s="1866"/>
      <c r="FR244" s="1866"/>
      <c r="FS244" s="1866"/>
      <c r="FT244" s="1866"/>
      <c r="FU244" s="1866"/>
      <c r="FV244" s="1866"/>
      <c r="FW244" s="1866"/>
      <c r="FX244" s="1866"/>
      <c r="FY244" s="1866"/>
      <c r="FZ244" s="1866"/>
      <c r="GA244" s="1866"/>
      <c r="GB244" s="1866"/>
      <c r="GC244" s="1866"/>
      <c r="GD244" s="1866"/>
      <c r="GE244" s="1866"/>
      <c r="GF244" s="1866"/>
      <c r="GG244" s="1866"/>
      <c r="GH244" s="1866"/>
      <c r="GI244" s="1866"/>
      <c r="GJ244" s="1866"/>
      <c r="GK244" s="1866"/>
      <c r="GL244" s="1866"/>
      <c r="GM244" s="1866"/>
      <c r="GN244" s="1866"/>
      <c r="GO244" s="1866"/>
      <c r="GP244" s="1866"/>
      <c r="GQ244" s="1866"/>
      <c r="GR244" s="1866"/>
      <c r="GS244" s="1866"/>
      <c r="GT244" s="1866"/>
      <c r="GU244" s="1866"/>
      <c r="GV244" s="1866"/>
      <c r="GW244" s="1866"/>
      <c r="GX244" s="1866"/>
      <c r="GY244" s="1866"/>
      <c r="GZ244" s="1866"/>
      <c r="HA244" s="1866"/>
      <c r="HB244" s="1866"/>
      <c r="HC244" s="1866"/>
      <c r="HD244" s="1866"/>
      <c r="HE244" s="1866"/>
    </row>
    <row r="245" spans="1:1291" ht="15" customHeight="1" x14ac:dyDescent="0.2">
      <c r="A245" s="1966"/>
      <c r="B245" s="1989"/>
      <c r="C245" s="1708" t="s">
        <v>41</v>
      </c>
      <c r="D245" s="1883"/>
      <c r="E245" s="1984"/>
      <c r="F245" s="1838">
        <v>0</v>
      </c>
      <c r="G245" s="1804">
        <v>0</v>
      </c>
      <c r="H245" s="1804">
        <v>0</v>
      </c>
      <c r="I245" s="1804">
        <v>0</v>
      </c>
      <c r="J245" s="1804">
        <v>0</v>
      </c>
      <c r="K245" s="1804">
        <v>0</v>
      </c>
      <c r="L245" s="1804">
        <v>0</v>
      </c>
      <c r="M245" s="1804">
        <v>0</v>
      </c>
      <c r="N245" s="1804">
        <v>0</v>
      </c>
      <c r="O245" s="1804">
        <v>0</v>
      </c>
      <c r="P245" s="1804">
        <v>0</v>
      </c>
      <c r="Q245" s="1804">
        <v>0</v>
      </c>
      <c r="R245" s="1804">
        <v>0</v>
      </c>
      <c r="S245" s="1804">
        <v>0</v>
      </c>
      <c r="T245" s="1804">
        <v>0</v>
      </c>
      <c r="U245" s="1804">
        <v>0</v>
      </c>
      <c r="V245" s="1804">
        <v>0</v>
      </c>
      <c r="W245" s="1804">
        <v>0</v>
      </c>
      <c r="X245" s="1804">
        <v>0</v>
      </c>
      <c r="Y245" s="1804">
        <v>0</v>
      </c>
      <c r="Z245" s="1804">
        <v>0</v>
      </c>
      <c r="AA245" s="1804">
        <v>0</v>
      </c>
      <c r="AB245" s="1804">
        <v>0</v>
      </c>
      <c r="AC245" s="1804">
        <v>0</v>
      </c>
      <c r="AD245" s="1804">
        <v>0</v>
      </c>
      <c r="AE245" s="1804">
        <v>0</v>
      </c>
      <c r="AF245" s="1804">
        <v>0</v>
      </c>
      <c r="AG245" s="1804">
        <v>0</v>
      </c>
      <c r="AH245" s="1804">
        <v>0</v>
      </c>
      <c r="AI245" s="1804">
        <v>0</v>
      </c>
      <c r="AJ245" s="1804">
        <v>0</v>
      </c>
      <c r="AK245" s="1804">
        <v>0</v>
      </c>
      <c r="AL245" s="1804">
        <v>0</v>
      </c>
      <c r="AM245" s="1804">
        <v>0</v>
      </c>
      <c r="AN245" s="1804">
        <v>0</v>
      </c>
      <c r="AO245" s="1804">
        <v>0</v>
      </c>
      <c r="AP245" s="1804">
        <v>0</v>
      </c>
      <c r="AQ245" s="1804">
        <v>0</v>
      </c>
      <c r="AR245" s="1804">
        <v>0</v>
      </c>
      <c r="AS245" s="1804">
        <v>0</v>
      </c>
      <c r="AT245" s="1804">
        <v>0</v>
      </c>
      <c r="AU245" s="1804">
        <v>0</v>
      </c>
      <c r="AV245" s="1804">
        <v>0</v>
      </c>
      <c r="AW245" s="1804">
        <v>0</v>
      </c>
      <c r="AX245" s="1804">
        <v>0</v>
      </c>
      <c r="AY245" s="1804">
        <v>0</v>
      </c>
      <c r="AZ245" s="1804">
        <v>0</v>
      </c>
      <c r="BA245" s="1804">
        <v>0</v>
      </c>
      <c r="BB245" s="1804">
        <v>0</v>
      </c>
      <c r="BC245" s="1804">
        <v>0</v>
      </c>
      <c r="BD245" s="1804">
        <v>0</v>
      </c>
      <c r="BE245" s="1804">
        <v>0</v>
      </c>
      <c r="BF245" s="1804">
        <v>0</v>
      </c>
      <c r="BG245" s="1804">
        <v>0</v>
      </c>
      <c r="BH245" s="1804">
        <v>0</v>
      </c>
      <c r="BI245" s="1804">
        <v>0</v>
      </c>
      <c r="BJ245" s="1804">
        <v>0</v>
      </c>
      <c r="BK245" s="1804">
        <v>0</v>
      </c>
      <c r="BL245" s="1804">
        <v>0</v>
      </c>
      <c r="BM245" s="1804">
        <v>0</v>
      </c>
      <c r="BN245" s="1804">
        <v>0</v>
      </c>
      <c r="BO245" s="1804">
        <v>0</v>
      </c>
      <c r="BP245" s="1804">
        <v>0</v>
      </c>
      <c r="BQ245" s="1804">
        <v>0</v>
      </c>
      <c r="BR245" s="1804">
        <v>0</v>
      </c>
      <c r="BS245" s="1804">
        <v>0</v>
      </c>
      <c r="BT245" s="1804">
        <v>0</v>
      </c>
      <c r="BU245" s="1804">
        <v>0</v>
      </c>
      <c r="BV245" s="1804">
        <v>0</v>
      </c>
      <c r="BW245" s="1804">
        <v>0</v>
      </c>
      <c r="BX245" s="1804">
        <v>0</v>
      </c>
      <c r="BY245" s="1804">
        <v>0</v>
      </c>
      <c r="BZ245" s="1804">
        <v>0</v>
      </c>
      <c r="CA245" s="1804">
        <v>0</v>
      </c>
      <c r="CB245" s="1804">
        <v>0</v>
      </c>
      <c r="CC245" s="1804">
        <v>0</v>
      </c>
      <c r="CD245" s="1804">
        <v>0</v>
      </c>
      <c r="CE245" s="1804">
        <v>0</v>
      </c>
      <c r="CF245" s="1804">
        <v>0</v>
      </c>
      <c r="CG245" s="1804">
        <v>0</v>
      </c>
      <c r="CH245" s="1804">
        <v>0</v>
      </c>
      <c r="CI245" s="1804">
        <v>0</v>
      </c>
      <c r="CJ245" s="1804">
        <v>0</v>
      </c>
      <c r="CK245" s="1804">
        <v>0</v>
      </c>
      <c r="CL245" s="1804">
        <v>0</v>
      </c>
      <c r="CM245" s="1804">
        <v>0</v>
      </c>
      <c r="CN245" s="1804">
        <v>0</v>
      </c>
      <c r="CO245" s="1804">
        <v>0</v>
      </c>
      <c r="CP245" s="1804">
        <v>0</v>
      </c>
      <c r="CQ245" s="1804">
        <v>0</v>
      </c>
      <c r="CR245" s="1804">
        <v>0</v>
      </c>
      <c r="CS245" s="1804">
        <v>0</v>
      </c>
      <c r="CT245" s="1804">
        <v>0</v>
      </c>
      <c r="CU245" s="1804">
        <v>0</v>
      </c>
      <c r="CV245" s="1804">
        <v>0</v>
      </c>
      <c r="CW245" s="1804">
        <v>0</v>
      </c>
      <c r="CX245" s="1804">
        <v>0</v>
      </c>
      <c r="CY245" s="1804">
        <v>0</v>
      </c>
      <c r="CZ245" s="1804">
        <v>0</v>
      </c>
      <c r="DA245" s="1804">
        <v>0</v>
      </c>
      <c r="DB245" s="1804">
        <v>0</v>
      </c>
      <c r="DC245" s="1804">
        <v>0</v>
      </c>
      <c r="DD245" s="1804">
        <v>0</v>
      </c>
      <c r="DE245" s="1804">
        <v>0</v>
      </c>
      <c r="DF245" s="1804">
        <v>0</v>
      </c>
      <c r="DG245" s="1804">
        <v>0</v>
      </c>
      <c r="DH245" s="1804">
        <v>0</v>
      </c>
      <c r="DI245" s="1804">
        <v>0</v>
      </c>
      <c r="DJ245" s="1804">
        <v>0</v>
      </c>
      <c r="DK245" s="1804">
        <v>0</v>
      </c>
      <c r="DL245" s="1804">
        <v>0</v>
      </c>
      <c r="DM245" s="1804">
        <v>0</v>
      </c>
      <c r="DN245" s="1804">
        <v>0</v>
      </c>
      <c r="DO245" s="1804">
        <v>0</v>
      </c>
      <c r="DP245" s="1804">
        <v>0</v>
      </c>
      <c r="DQ245" s="1804">
        <v>0</v>
      </c>
      <c r="DR245" s="1804">
        <v>0</v>
      </c>
      <c r="DS245" s="1804">
        <v>0</v>
      </c>
      <c r="DT245" s="1804">
        <v>0</v>
      </c>
      <c r="DU245" s="1804">
        <v>0</v>
      </c>
      <c r="DV245" s="1804">
        <v>0</v>
      </c>
      <c r="DW245" s="1804">
        <v>0</v>
      </c>
      <c r="DX245" s="1804">
        <v>0</v>
      </c>
      <c r="DY245" s="1804">
        <v>0</v>
      </c>
      <c r="DZ245" s="1804">
        <v>0</v>
      </c>
      <c r="EA245" s="1804">
        <v>0</v>
      </c>
      <c r="EB245" s="1804">
        <v>0</v>
      </c>
      <c r="EC245" s="1804">
        <v>0</v>
      </c>
      <c r="ED245" s="1804">
        <v>0</v>
      </c>
      <c r="EE245" s="1804">
        <v>0</v>
      </c>
      <c r="EF245" s="1804">
        <v>0</v>
      </c>
      <c r="EG245" s="1804">
        <v>0</v>
      </c>
      <c r="EH245" s="1804">
        <v>0</v>
      </c>
      <c r="EI245" s="1804">
        <v>0</v>
      </c>
      <c r="EJ245" s="1804">
        <v>0</v>
      </c>
      <c r="EK245" s="1804">
        <v>0</v>
      </c>
      <c r="EL245" s="1804">
        <v>0</v>
      </c>
      <c r="EM245" s="1804">
        <v>0</v>
      </c>
      <c r="EN245" s="1804">
        <v>0</v>
      </c>
      <c r="EO245" s="1804">
        <v>0</v>
      </c>
      <c r="EP245" s="1804">
        <v>0</v>
      </c>
      <c r="EQ245" s="1804">
        <v>0</v>
      </c>
      <c r="ER245" s="1804">
        <v>0</v>
      </c>
      <c r="ES245" s="1804">
        <v>0</v>
      </c>
      <c r="ET245" s="1804">
        <v>0</v>
      </c>
      <c r="EU245" s="1804">
        <v>0</v>
      </c>
      <c r="EV245" s="1804">
        <v>0</v>
      </c>
      <c r="EW245" s="1804">
        <v>0</v>
      </c>
      <c r="EX245" s="1804">
        <v>0</v>
      </c>
      <c r="EY245" s="1804">
        <v>0</v>
      </c>
      <c r="EZ245" s="1804">
        <v>0</v>
      </c>
      <c r="FA245" s="1804">
        <v>0</v>
      </c>
      <c r="FB245" s="1804">
        <v>0</v>
      </c>
      <c r="FC245" s="1804">
        <v>0</v>
      </c>
      <c r="FD245" s="1804">
        <v>0</v>
      </c>
      <c r="FE245" s="1804">
        <v>0</v>
      </c>
      <c r="FF245" s="1804">
        <v>0</v>
      </c>
      <c r="FG245" s="1804">
        <v>0</v>
      </c>
      <c r="FH245" s="1804">
        <v>0</v>
      </c>
      <c r="FI245" s="1804">
        <v>0</v>
      </c>
      <c r="FJ245" s="1804">
        <v>0</v>
      </c>
      <c r="FK245" s="1804">
        <v>0</v>
      </c>
      <c r="FL245" s="1804">
        <v>0</v>
      </c>
      <c r="FM245" s="1804">
        <v>0</v>
      </c>
      <c r="FN245" s="1804">
        <v>0</v>
      </c>
      <c r="FO245" s="1804">
        <v>0</v>
      </c>
      <c r="FP245" s="1804">
        <v>0</v>
      </c>
      <c r="FQ245" s="1804">
        <v>0</v>
      </c>
      <c r="FR245" s="1804">
        <v>0</v>
      </c>
      <c r="FS245" s="1804">
        <v>0</v>
      </c>
      <c r="FT245" s="1804">
        <v>0</v>
      </c>
      <c r="FU245" s="1804">
        <v>0</v>
      </c>
      <c r="FV245" s="1804">
        <v>0</v>
      </c>
      <c r="FW245" s="1804">
        <v>0</v>
      </c>
      <c r="FX245" s="1804">
        <v>0</v>
      </c>
      <c r="FY245" s="1804">
        <v>0</v>
      </c>
      <c r="FZ245" s="1804">
        <v>0</v>
      </c>
      <c r="GA245" s="1804">
        <v>0</v>
      </c>
      <c r="GB245" s="1804">
        <v>0</v>
      </c>
      <c r="GC245" s="1804">
        <v>0</v>
      </c>
      <c r="GD245" s="1804">
        <v>0</v>
      </c>
      <c r="GE245" s="1804">
        <v>0</v>
      </c>
      <c r="GF245" s="1804">
        <v>0</v>
      </c>
      <c r="GG245" s="1804">
        <v>0</v>
      </c>
      <c r="GH245" s="1804">
        <v>0</v>
      </c>
      <c r="GI245" s="1804">
        <v>0</v>
      </c>
      <c r="GJ245" s="1804">
        <v>0</v>
      </c>
      <c r="GK245" s="1804">
        <v>0</v>
      </c>
      <c r="GL245" s="1804">
        <v>0</v>
      </c>
      <c r="GM245" s="1804">
        <v>0</v>
      </c>
      <c r="GN245" s="1804">
        <v>0</v>
      </c>
      <c r="GO245" s="1804">
        <v>0</v>
      </c>
      <c r="GP245" s="1804">
        <v>0</v>
      </c>
      <c r="GQ245" s="1804">
        <v>0</v>
      </c>
      <c r="GR245" s="1804">
        <v>0</v>
      </c>
      <c r="GS245" s="1804">
        <v>0</v>
      </c>
      <c r="GT245" s="1804">
        <v>0</v>
      </c>
      <c r="GU245" s="1804">
        <v>0</v>
      </c>
      <c r="GV245" s="1804">
        <v>0</v>
      </c>
      <c r="GW245" s="1804">
        <v>0</v>
      </c>
      <c r="GX245" s="1804">
        <v>0</v>
      </c>
      <c r="GY245" s="1804">
        <v>0</v>
      </c>
      <c r="GZ245" s="1804">
        <v>0</v>
      </c>
      <c r="HA245" s="1804">
        <v>0</v>
      </c>
      <c r="HB245" s="1804">
        <v>0</v>
      </c>
      <c r="HC245" s="1804">
        <v>0</v>
      </c>
      <c r="HD245" s="1804">
        <v>0</v>
      </c>
      <c r="HE245" s="1804">
        <v>0</v>
      </c>
    </row>
    <row r="246" spans="1:1291" ht="15" customHeight="1" x14ac:dyDescent="0.2">
      <c r="A246" s="1966"/>
      <c r="B246" s="1989"/>
      <c r="C246" s="1826" t="s">
        <v>506</v>
      </c>
      <c r="D246" s="1883"/>
      <c r="E246" s="1984"/>
      <c r="F246" s="1838">
        <v>0</v>
      </c>
      <c r="G246" s="1804">
        <v>0</v>
      </c>
      <c r="H246" s="1804">
        <v>0</v>
      </c>
      <c r="I246" s="1804">
        <v>0</v>
      </c>
      <c r="J246" s="1804">
        <v>0</v>
      </c>
      <c r="K246" s="1804">
        <v>0</v>
      </c>
      <c r="L246" s="1804">
        <v>0</v>
      </c>
      <c r="M246" s="1804">
        <v>0</v>
      </c>
      <c r="N246" s="1804">
        <v>0</v>
      </c>
      <c r="O246" s="1804">
        <v>0</v>
      </c>
      <c r="P246" s="1804">
        <v>0</v>
      </c>
      <c r="Q246" s="1804">
        <v>0</v>
      </c>
      <c r="R246" s="1804">
        <v>0</v>
      </c>
      <c r="S246" s="1804">
        <v>0</v>
      </c>
      <c r="T246" s="1804">
        <v>0</v>
      </c>
      <c r="U246" s="1804">
        <v>0</v>
      </c>
      <c r="V246" s="1804">
        <v>0</v>
      </c>
      <c r="W246" s="1804">
        <v>0</v>
      </c>
      <c r="X246" s="1804">
        <v>0</v>
      </c>
      <c r="Y246" s="1804">
        <v>0</v>
      </c>
      <c r="Z246" s="1804">
        <v>0</v>
      </c>
      <c r="AA246" s="1804">
        <v>0</v>
      </c>
      <c r="AB246" s="1804">
        <v>0</v>
      </c>
      <c r="AC246" s="1804">
        <v>0</v>
      </c>
      <c r="AD246" s="1804">
        <v>0</v>
      </c>
      <c r="AE246" s="1804">
        <v>0</v>
      </c>
      <c r="AF246" s="1804">
        <v>0</v>
      </c>
      <c r="AG246" s="1804">
        <v>0</v>
      </c>
      <c r="AH246" s="1804">
        <v>0</v>
      </c>
      <c r="AI246" s="1804">
        <v>0</v>
      </c>
      <c r="AJ246" s="1804">
        <v>0</v>
      </c>
      <c r="AK246" s="1804">
        <v>0</v>
      </c>
      <c r="AL246" s="1804">
        <v>0</v>
      </c>
      <c r="AM246" s="1804">
        <v>0</v>
      </c>
      <c r="AN246" s="1804">
        <v>0</v>
      </c>
      <c r="AO246" s="1804">
        <v>0</v>
      </c>
      <c r="AP246" s="1804">
        <v>0</v>
      </c>
      <c r="AQ246" s="1804">
        <v>0</v>
      </c>
      <c r="AR246" s="1804">
        <v>0</v>
      </c>
      <c r="AS246" s="1804">
        <v>0</v>
      </c>
      <c r="AT246" s="1804">
        <v>0</v>
      </c>
      <c r="AU246" s="1804">
        <v>0</v>
      </c>
      <c r="AV246" s="1804">
        <v>0</v>
      </c>
      <c r="AW246" s="1804">
        <v>0</v>
      </c>
      <c r="AX246" s="1804">
        <v>0</v>
      </c>
      <c r="AY246" s="1804">
        <v>0</v>
      </c>
      <c r="AZ246" s="1804">
        <v>0</v>
      </c>
      <c r="BA246" s="1804">
        <v>0</v>
      </c>
      <c r="BB246" s="1804">
        <v>0</v>
      </c>
      <c r="BC246" s="1804">
        <v>0</v>
      </c>
      <c r="BD246" s="1804">
        <v>0</v>
      </c>
      <c r="BE246" s="1804">
        <v>0</v>
      </c>
      <c r="BF246" s="1804">
        <v>0</v>
      </c>
      <c r="BG246" s="1804">
        <v>0</v>
      </c>
      <c r="BH246" s="1804">
        <v>0</v>
      </c>
      <c r="BI246" s="1804">
        <v>0</v>
      </c>
      <c r="BJ246" s="1804">
        <v>0</v>
      </c>
      <c r="BK246" s="1804">
        <v>0</v>
      </c>
      <c r="BL246" s="1804">
        <v>0</v>
      </c>
      <c r="BM246" s="1804">
        <v>0</v>
      </c>
      <c r="BN246" s="1804">
        <v>0</v>
      </c>
      <c r="BO246" s="1804">
        <v>0</v>
      </c>
      <c r="BP246" s="1804">
        <v>0</v>
      </c>
      <c r="BQ246" s="1804">
        <v>0</v>
      </c>
      <c r="BR246" s="1804">
        <v>0</v>
      </c>
      <c r="BS246" s="1804">
        <v>0</v>
      </c>
      <c r="BT246" s="1804">
        <v>0</v>
      </c>
      <c r="BU246" s="1804">
        <v>0</v>
      </c>
      <c r="BV246" s="1804">
        <v>0</v>
      </c>
      <c r="BW246" s="1804">
        <v>0</v>
      </c>
      <c r="BX246" s="1804">
        <v>0</v>
      </c>
      <c r="BY246" s="1804">
        <v>0</v>
      </c>
      <c r="BZ246" s="1804">
        <v>0</v>
      </c>
      <c r="CA246" s="1804">
        <v>0</v>
      </c>
      <c r="CB246" s="1804">
        <v>0</v>
      </c>
      <c r="CC246" s="1804">
        <v>0</v>
      </c>
      <c r="CD246" s="1804">
        <v>0</v>
      </c>
      <c r="CE246" s="1804">
        <v>0</v>
      </c>
      <c r="CF246" s="1804">
        <v>0</v>
      </c>
      <c r="CG246" s="1804">
        <v>0</v>
      </c>
      <c r="CH246" s="1804">
        <v>0</v>
      </c>
      <c r="CI246" s="1804">
        <v>0</v>
      </c>
      <c r="CJ246" s="1804">
        <v>0</v>
      </c>
      <c r="CK246" s="1804">
        <v>0</v>
      </c>
      <c r="CL246" s="1804">
        <v>0</v>
      </c>
      <c r="CM246" s="1804">
        <v>0</v>
      </c>
      <c r="CN246" s="1804">
        <v>0</v>
      </c>
      <c r="CO246" s="1804">
        <v>0</v>
      </c>
      <c r="CP246" s="1804">
        <v>0</v>
      </c>
      <c r="CQ246" s="1804">
        <v>0</v>
      </c>
      <c r="CR246" s="1804">
        <v>0</v>
      </c>
      <c r="CS246" s="1804">
        <v>0</v>
      </c>
      <c r="CT246" s="1804">
        <v>0</v>
      </c>
      <c r="CU246" s="1804">
        <v>0</v>
      </c>
      <c r="CV246" s="1804">
        <v>0</v>
      </c>
      <c r="CW246" s="1804">
        <v>0</v>
      </c>
      <c r="CX246" s="1804">
        <v>0</v>
      </c>
      <c r="CY246" s="1804">
        <v>0</v>
      </c>
      <c r="CZ246" s="1804">
        <v>0</v>
      </c>
      <c r="DA246" s="1804">
        <v>0</v>
      </c>
      <c r="DB246" s="1804">
        <v>0</v>
      </c>
      <c r="DC246" s="1804">
        <v>0</v>
      </c>
      <c r="DD246" s="1804">
        <v>0</v>
      </c>
      <c r="DE246" s="1804">
        <v>0</v>
      </c>
      <c r="DF246" s="1804">
        <v>0</v>
      </c>
      <c r="DG246" s="1804">
        <v>0</v>
      </c>
      <c r="DH246" s="1804">
        <v>0</v>
      </c>
      <c r="DI246" s="1804">
        <v>0</v>
      </c>
      <c r="DJ246" s="1804">
        <v>0</v>
      </c>
      <c r="DK246" s="1804">
        <v>0</v>
      </c>
      <c r="DL246" s="1804">
        <v>0</v>
      </c>
      <c r="DM246" s="1804">
        <v>0</v>
      </c>
      <c r="DN246" s="1804">
        <v>0</v>
      </c>
      <c r="DO246" s="1804">
        <v>0</v>
      </c>
      <c r="DP246" s="1804">
        <v>0</v>
      </c>
      <c r="DQ246" s="1804">
        <v>0</v>
      </c>
      <c r="DR246" s="1804">
        <v>0</v>
      </c>
      <c r="DS246" s="1804">
        <v>0</v>
      </c>
      <c r="DT246" s="1804">
        <v>0</v>
      </c>
      <c r="DU246" s="1804">
        <v>0</v>
      </c>
      <c r="DV246" s="1804">
        <v>0</v>
      </c>
      <c r="DW246" s="1804">
        <v>0</v>
      </c>
      <c r="DX246" s="1804">
        <v>0</v>
      </c>
      <c r="DY246" s="1804">
        <v>0</v>
      </c>
      <c r="DZ246" s="1804">
        <v>0</v>
      </c>
      <c r="EA246" s="1804">
        <v>0</v>
      </c>
      <c r="EB246" s="1804">
        <v>0</v>
      </c>
      <c r="EC246" s="1804">
        <v>0</v>
      </c>
      <c r="ED246" s="1804">
        <v>0</v>
      </c>
      <c r="EE246" s="1804">
        <v>0</v>
      </c>
      <c r="EF246" s="1804">
        <v>0</v>
      </c>
      <c r="EG246" s="1804">
        <v>0</v>
      </c>
      <c r="EH246" s="1804">
        <v>0</v>
      </c>
      <c r="EI246" s="1804">
        <v>0</v>
      </c>
      <c r="EJ246" s="1804">
        <v>0</v>
      </c>
      <c r="EK246" s="1804">
        <v>0</v>
      </c>
      <c r="EL246" s="1804">
        <v>0</v>
      </c>
      <c r="EM246" s="1804">
        <v>0</v>
      </c>
      <c r="EN246" s="1804">
        <v>0</v>
      </c>
      <c r="EO246" s="1804">
        <v>0</v>
      </c>
      <c r="EP246" s="1804">
        <v>0</v>
      </c>
      <c r="EQ246" s="1804">
        <v>0</v>
      </c>
      <c r="ER246" s="1804">
        <v>0</v>
      </c>
      <c r="ES246" s="1804">
        <v>0</v>
      </c>
      <c r="ET246" s="1804">
        <v>0</v>
      </c>
      <c r="EU246" s="1804">
        <v>0</v>
      </c>
      <c r="EV246" s="1804">
        <v>0</v>
      </c>
      <c r="EW246" s="1804">
        <v>0</v>
      </c>
      <c r="EX246" s="1804">
        <v>0</v>
      </c>
      <c r="EY246" s="1804">
        <v>0</v>
      </c>
      <c r="EZ246" s="1804">
        <v>0</v>
      </c>
      <c r="FA246" s="1804">
        <v>0</v>
      </c>
      <c r="FB246" s="1804">
        <v>0</v>
      </c>
      <c r="FC246" s="1804">
        <v>0</v>
      </c>
      <c r="FD246" s="1804">
        <v>0</v>
      </c>
      <c r="FE246" s="1804">
        <v>0</v>
      </c>
      <c r="FF246" s="1804">
        <v>0</v>
      </c>
      <c r="FG246" s="1804">
        <v>0</v>
      </c>
      <c r="FH246" s="1804">
        <v>0</v>
      </c>
      <c r="FI246" s="1804">
        <v>0</v>
      </c>
      <c r="FJ246" s="1804">
        <v>0</v>
      </c>
      <c r="FK246" s="1804">
        <v>0</v>
      </c>
      <c r="FL246" s="1804">
        <v>0</v>
      </c>
      <c r="FM246" s="1804">
        <v>0</v>
      </c>
      <c r="FN246" s="1804">
        <v>0</v>
      </c>
      <c r="FO246" s="1804">
        <v>0</v>
      </c>
      <c r="FP246" s="1804">
        <v>0</v>
      </c>
      <c r="FQ246" s="1804">
        <v>0</v>
      </c>
      <c r="FR246" s="1804">
        <v>0</v>
      </c>
      <c r="FS246" s="1804">
        <v>0</v>
      </c>
      <c r="FT246" s="1804">
        <v>0</v>
      </c>
      <c r="FU246" s="1804">
        <v>0</v>
      </c>
      <c r="FV246" s="1804">
        <v>0</v>
      </c>
      <c r="FW246" s="1804">
        <v>0</v>
      </c>
      <c r="FX246" s="1804">
        <v>0</v>
      </c>
      <c r="FY246" s="1804">
        <v>0</v>
      </c>
      <c r="FZ246" s="1804">
        <v>0</v>
      </c>
      <c r="GA246" s="1804">
        <v>0</v>
      </c>
      <c r="GB246" s="1804">
        <v>0</v>
      </c>
      <c r="GC246" s="1804">
        <v>0</v>
      </c>
      <c r="GD246" s="1804">
        <v>0</v>
      </c>
      <c r="GE246" s="1804">
        <v>0</v>
      </c>
      <c r="GF246" s="1804">
        <v>0</v>
      </c>
      <c r="GG246" s="1804">
        <v>0</v>
      </c>
      <c r="GH246" s="1804">
        <v>0</v>
      </c>
      <c r="GI246" s="1804">
        <v>0</v>
      </c>
      <c r="GJ246" s="1804">
        <v>0</v>
      </c>
      <c r="GK246" s="1804">
        <v>0</v>
      </c>
      <c r="GL246" s="1804">
        <v>0</v>
      </c>
      <c r="GM246" s="1804">
        <v>0</v>
      </c>
      <c r="GN246" s="1804">
        <v>0</v>
      </c>
      <c r="GO246" s="1804">
        <v>0</v>
      </c>
      <c r="GP246" s="1804">
        <v>0</v>
      </c>
      <c r="GQ246" s="1804">
        <v>0</v>
      </c>
      <c r="GR246" s="1804">
        <v>0</v>
      </c>
      <c r="GS246" s="1804">
        <v>0</v>
      </c>
      <c r="GT246" s="1804">
        <v>0</v>
      </c>
      <c r="GU246" s="1804">
        <v>0</v>
      </c>
      <c r="GV246" s="1804">
        <v>0</v>
      </c>
      <c r="GW246" s="1804">
        <v>0</v>
      </c>
      <c r="GX246" s="1804">
        <v>0</v>
      </c>
      <c r="GY246" s="1804">
        <v>0</v>
      </c>
      <c r="GZ246" s="1804">
        <v>0</v>
      </c>
      <c r="HA246" s="1804">
        <v>0</v>
      </c>
      <c r="HB246" s="1804">
        <v>0</v>
      </c>
      <c r="HC246" s="1804">
        <v>0</v>
      </c>
      <c r="HD246" s="1804">
        <v>0</v>
      </c>
      <c r="HE246" s="1804">
        <v>0</v>
      </c>
    </row>
    <row r="247" spans="1:1291" ht="15" customHeight="1" x14ac:dyDescent="0.2">
      <c r="A247" s="1966"/>
      <c r="B247" s="1989"/>
      <c r="C247" s="1826" t="s">
        <v>343</v>
      </c>
      <c r="D247" s="1883"/>
      <c r="E247" s="1984"/>
      <c r="F247" s="1838">
        <v>0</v>
      </c>
      <c r="G247" s="1804">
        <v>0</v>
      </c>
      <c r="H247" s="1804">
        <v>0</v>
      </c>
      <c r="I247" s="1804">
        <v>0</v>
      </c>
      <c r="J247" s="1804">
        <v>0</v>
      </c>
      <c r="K247" s="1804">
        <v>0</v>
      </c>
      <c r="L247" s="1804">
        <v>0</v>
      </c>
      <c r="M247" s="1804">
        <v>0</v>
      </c>
      <c r="N247" s="1804">
        <v>0</v>
      </c>
      <c r="O247" s="1804">
        <v>0</v>
      </c>
      <c r="P247" s="1804">
        <v>0</v>
      </c>
      <c r="Q247" s="1804">
        <v>0</v>
      </c>
      <c r="R247" s="1804">
        <v>0</v>
      </c>
      <c r="S247" s="1804">
        <v>0</v>
      </c>
      <c r="T247" s="1804">
        <v>0</v>
      </c>
      <c r="U247" s="1804">
        <v>0</v>
      </c>
      <c r="V247" s="1804">
        <v>0</v>
      </c>
      <c r="W247" s="1804">
        <v>0</v>
      </c>
      <c r="X247" s="1804">
        <v>0</v>
      </c>
      <c r="Y247" s="1804">
        <v>0</v>
      </c>
      <c r="Z247" s="1804">
        <v>0</v>
      </c>
      <c r="AA247" s="1804">
        <v>0</v>
      </c>
      <c r="AB247" s="1804">
        <v>0</v>
      </c>
      <c r="AC247" s="1804">
        <v>0</v>
      </c>
      <c r="AD247" s="1804">
        <v>0</v>
      </c>
      <c r="AE247" s="1804">
        <v>0</v>
      </c>
      <c r="AF247" s="1804">
        <v>0</v>
      </c>
      <c r="AG247" s="1804">
        <v>0</v>
      </c>
      <c r="AH247" s="1804">
        <v>0</v>
      </c>
      <c r="AI247" s="1804">
        <v>0</v>
      </c>
      <c r="AJ247" s="1804">
        <v>0</v>
      </c>
      <c r="AK247" s="1804">
        <v>0</v>
      </c>
      <c r="AL247" s="1804">
        <v>0</v>
      </c>
      <c r="AM247" s="1804">
        <v>0</v>
      </c>
      <c r="AN247" s="1804">
        <v>0</v>
      </c>
      <c r="AO247" s="1804">
        <v>0</v>
      </c>
      <c r="AP247" s="1804">
        <v>0</v>
      </c>
      <c r="AQ247" s="1804">
        <v>0</v>
      </c>
      <c r="AR247" s="1804">
        <v>0</v>
      </c>
      <c r="AS247" s="1804">
        <v>0</v>
      </c>
      <c r="AT247" s="1804">
        <v>0</v>
      </c>
      <c r="AU247" s="1804">
        <v>0</v>
      </c>
      <c r="AV247" s="1804">
        <v>0</v>
      </c>
      <c r="AW247" s="1804">
        <v>0</v>
      </c>
      <c r="AX247" s="1804">
        <v>0</v>
      </c>
      <c r="AY247" s="1804">
        <v>0</v>
      </c>
      <c r="AZ247" s="1804">
        <v>0</v>
      </c>
      <c r="BA247" s="1804">
        <v>0</v>
      </c>
      <c r="BB247" s="1804">
        <v>0</v>
      </c>
      <c r="BC247" s="1804">
        <v>0</v>
      </c>
      <c r="BD247" s="1804">
        <v>0</v>
      </c>
      <c r="BE247" s="1804">
        <v>0</v>
      </c>
      <c r="BF247" s="1804">
        <v>0</v>
      </c>
      <c r="BG247" s="1804">
        <v>0</v>
      </c>
      <c r="BH247" s="1804">
        <v>0</v>
      </c>
      <c r="BI247" s="1804">
        <v>0</v>
      </c>
      <c r="BJ247" s="1804">
        <v>0</v>
      </c>
      <c r="BK247" s="1804">
        <v>0</v>
      </c>
      <c r="BL247" s="1804">
        <v>0</v>
      </c>
      <c r="BM247" s="1804">
        <v>0</v>
      </c>
      <c r="BN247" s="1804">
        <v>0</v>
      </c>
      <c r="BO247" s="1804">
        <v>0</v>
      </c>
      <c r="BP247" s="1804">
        <v>0</v>
      </c>
      <c r="BQ247" s="1804">
        <v>0</v>
      </c>
      <c r="BR247" s="1804">
        <v>0</v>
      </c>
      <c r="BS247" s="1804">
        <v>0</v>
      </c>
      <c r="BT247" s="1804">
        <v>0</v>
      </c>
      <c r="BU247" s="1804">
        <v>0</v>
      </c>
      <c r="BV247" s="1804">
        <v>0</v>
      </c>
      <c r="BW247" s="1804">
        <v>0</v>
      </c>
      <c r="BX247" s="1804">
        <v>0</v>
      </c>
      <c r="BY247" s="1804">
        <v>0</v>
      </c>
      <c r="BZ247" s="1804">
        <v>0</v>
      </c>
      <c r="CA247" s="1804">
        <v>0</v>
      </c>
      <c r="CB247" s="1804">
        <v>0</v>
      </c>
      <c r="CC247" s="1804">
        <v>0</v>
      </c>
      <c r="CD247" s="1804">
        <v>0</v>
      </c>
      <c r="CE247" s="1804">
        <v>0</v>
      </c>
      <c r="CF247" s="1804">
        <v>0</v>
      </c>
      <c r="CG247" s="1804">
        <v>0</v>
      </c>
      <c r="CH247" s="1804">
        <v>0</v>
      </c>
      <c r="CI247" s="1804">
        <v>0</v>
      </c>
      <c r="CJ247" s="1804">
        <v>0</v>
      </c>
      <c r="CK247" s="1804">
        <v>0</v>
      </c>
      <c r="CL247" s="1804">
        <v>0</v>
      </c>
      <c r="CM247" s="1804">
        <v>0</v>
      </c>
      <c r="CN247" s="1804">
        <v>0</v>
      </c>
      <c r="CO247" s="1804">
        <v>0</v>
      </c>
      <c r="CP247" s="1804">
        <v>0</v>
      </c>
      <c r="CQ247" s="1804">
        <v>0</v>
      </c>
      <c r="CR247" s="1804">
        <v>0</v>
      </c>
      <c r="CS247" s="1804">
        <v>0</v>
      </c>
      <c r="CT247" s="1804">
        <v>0</v>
      </c>
      <c r="CU247" s="1804">
        <v>0</v>
      </c>
      <c r="CV247" s="1804">
        <v>0</v>
      </c>
      <c r="CW247" s="1804">
        <v>0</v>
      </c>
      <c r="CX247" s="1804">
        <v>0</v>
      </c>
      <c r="CY247" s="1804">
        <v>0</v>
      </c>
      <c r="CZ247" s="1804">
        <v>0</v>
      </c>
      <c r="DA247" s="1804">
        <v>0</v>
      </c>
      <c r="DB247" s="1804">
        <v>0</v>
      </c>
      <c r="DC247" s="1804">
        <v>0</v>
      </c>
      <c r="DD247" s="1804">
        <v>0</v>
      </c>
      <c r="DE247" s="1804">
        <v>0</v>
      </c>
      <c r="DF247" s="1804">
        <v>0</v>
      </c>
      <c r="DG247" s="1804">
        <v>0</v>
      </c>
      <c r="DH247" s="1804">
        <v>0</v>
      </c>
      <c r="DI247" s="1804">
        <v>0</v>
      </c>
      <c r="DJ247" s="1804">
        <v>0</v>
      </c>
      <c r="DK247" s="1804">
        <v>0</v>
      </c>
      <c r="DL247" s="1804">
        <v>0</v>
      </c>
      <c r="DM247" s="1804">
        <v>0</v>
      </c>
      <c r="DN247" s="1804">
        <v>0</v>
      </c>
      <c r="DO247" s="1804">
        <v>0</v>
      </c>
      <c r="DP247" s="1804">
        <v>0</v>
      </c>
      <c r="DQ247" s="1804">
        <v>0</v>
      </c>
      <c r="DR247" s="1804">
        <v>0</v>
      </c>
      <c r="DS247" s="1804">
        <v>0</v>
      </c>
      <c r="DT247" s="1804">
        <v>0</v>
      </c>
      <c r="DU247" s="1804">
        <v>0</v>
      </c>
      <c r="DV247" s="1804">
        <v>0</v>
      </c>
      <c r="DW247" s="1804">
        <v>0</v>
      </c>
      <c r="DX247" s="1804">
        <v>0</v>
      </c>
      <c r="DY247" s="1804">
        <v>0</v>
      </c>
      <c r="DZ247" s="1804">
        <v>0</v>
      </c>
      <c r="EA247" s="1804">
        <v>0</v>
      </c>
      <c r="EB247" s="1804">
        <v>0</v>
      </c>
      <c r="EC247" s="1804">
        <v>0</v>
      </c>
      <c r="ED247" s="1804">
        <v>0</v>
      </c>
      <c r="EE247" s="1804">
        <v>0</v>
      </c>
      <c r="EF247" s="1804">
        <v>0</v>
      </c>
      <c r="EG247" s="1804">
        <v>0</v>
      </c>
      <c r="EH247" s="1804">
        <v>0</v>
      </c>
      <c r="EI247" s="1804">
        <v>0</v>
      </c>
      <c r="EJ247" s="1804">
        <v>0</v>
      </c>
      <c r="EK247" s="1804">
        <v>0</v>
      </c>
      <c r="EL247" s="1804">
        <v>0</v>
      </c>
      <c r="EM247" s="1804">
        <v>0</v>
      </c>
      <c r="EN247" s="1804">
        <v>0</v>
      </c>
      <c r="EO247" s="1804">
        <v>0</v>
      </c>
      <c r="EP247" s="1804">
        <v>0</v>
      </c>
      <c r="EQ247" s="1804">
        <v>0</v>
      </c>
      <c r="ER247" s="1804">
        <v>0</v>
      </c>
      <c r="ES247" s="1804">
        <v>0</v>
      </c>
      <c r="ET247" s="1804">
        <v>0</v>
      </c>
      <c r="EU247" s="1804">
        <v>0</v>
      </c>
      <c r="EV247" s="1804">
        <v>0</v>
      </c>
      <c r="EW247" s="1804">
        <v>0</v>
      </c>
      <c r="EX247" s="1804">
        <v>0</v>
      </c>
      <c r="EY247" s="1804">
        <v>0</v>
      </c>
      <c r="EZ247" s="1804">
        <v>0</v>
      </c>
      <c r="FA247" s="1804">
        <v>0</v>
      </c>
      <c r="FB247" s="1804">
        <v>0</v>
      </c>
      <c r="FC247" s="1804">
        <v>0</v>
      </c>
      <c r="FD247" s="1804">
        <v>0</v>
      </c>
      <c r="FE247" s="1804">
        <v>0</v>
      </c>
      <c r="FF247" s="1804">
        <v>0</v>
      </c>
      <c r="FG247" s="1804">
        <v>0</v>
      </c>
      <c r="FH247" s="1804">
        <v>0</v>
      </c>
      <c r="FI247" s="1804">
        <v>0</v>
      </c>
      <c r="FJ247" s="1804">
        <v>0</v>
      </c>
      <c r="FK247" s="1804">
        <v>0</v>
      </c>
      <c r="FL247" s="1804">
        <v>0</v>
      </c>
      <c r="FM247" s="1804">
        <v>0</v>
      </c>
      <c r="FN247" s="1804">
        <v>0</v>
      </c>
      <c r="FO247" s="1804">
        <v>0</v>
      </c>
      <c r="FP247" s="1804">
        <v>0</v>
      </c>
      <c r="FQ247" s="1804">
        <v>0</v>
      </c>
      <c r="FR247" s="1804">
        <v>0</v>
      </c>
      <c r="FS247" s="1804">
        <v>0</v>
      </c>
      <c r="FT247" s="1804">
        <v>0</v>
      </c>
      <c r="FU247" s="1804">
        <v>0</v>
      </c>
      <c r="FV247" s="1804">
        <v>0</v>
      </c>
      <c r="FW247" s="1804">
        <v>0</v>
      </c>
      <c r="FX247" s="1804">
        <v>0</v>
      </c>
      <c r="FY247" s="1804">
        <v>0</v>
      </c>
      <c r="FZ247" s="1804">
        <v>0</v>
      </c>
      <c r="GA247" s="1804">
        <v>0</v>
      </c>
      <c r="GB247" s="1804">
        <v>0</v>
      </c>
      <c r="GC247" s="1804">
        <v>0</v>
      </c>
      <c r="GD247" s="1804">
        <v>0</v>
      </c>
      <c r="GE247" s="1804">
        <v>0</v>
      </c>
      <c r="GF247" s="1804">
        <v>0</v>
      </c>
      <c r="GG247" s="1804">
        <v>0</v>
      </c>
      <c r="GH247" s="1804">
        <v>0</v>
      </c>
      <c r="GI247" s="1804">
        <v>0</v>
      </c>
      <c r="GJ247" s="1804">
        <v>0</v>
      </c>
      <c r="GK247" s="1804">
        <v>0</v>
      </c>
      <c r="GL247" s="1804">
        <v>0</v>
      </c>
      <c r="GM247" s="1804">
        <v>0</v>
      </c>
      <c r="GN247" s="1804">
        <v>0</v>
      </c>
      <c r="GO247" s="1804">
        <v>0</v>
      </c>
      <c r="GP247" s="1804">
        <v>0</v>
      </c>
      <c r="GQ247" s="1804">
        <v>0</v>
      </c>
      <c r="GR247" s="1804">
        <v>0</v>
      </c>
      <c r="GS247" s="1804">
        <v>0</v>
      </c>
      <c r="GT247" s="1804">
        <v>0</v>
      </c>
      <c r="GU247" s="1804">
        <v>0</v>
      </c>
      <c r="GV247" s="1804">
        <v>0</v>
      </c>
      <c r="GW247" s="1804">
        <v>0</v>
      </c>
      <c r="GX247" s="1804">
        <v>0</v>
      </c>
      <c r="GY247" s="1804">
        <v>0</v>
      </c>
      <c r="GZ247" s="1804">
        <v>0</v>
      </c>
      <c r="HA247" s="1804">
        <v>0</v>
      </c>
      <c r="HB247" s="1804">
        <v>0</v>
      </c>
      <c r="HC247" s="1804">
        <v>0</v>
      </c>
      <c r="HD247" s="1804">
        <v>0</v>
      </c>
      <c r="HE247" s="1804">
        <v>0</v>
      </c>
    </row>
    <row r="248" spans="1:1291" ht="15" customHeight="1" thickBot="1" x14ac:dyDescent="0.25">
      <c r="A248" s="1966"/>
      <c r="B248" s="1989"/>
      <c r="C248" s="1822" t="s">
        <v>79</v>
      </c>
      <c r="D248" s="1883"/>
      <c r="E248" s="1984"/>
      <c r="F248" s="1838">
        <v>0</v>
      </c>
      <c r="G248" s="1804">
        <v>0</v>
      </c>
      <c r="H248" s="1804">
        <v>0</v>
      </c>
      <c r="I248" s="1804">
        <v>0</v>
      </c>
      <c r="J248" s="1804">
        <v>0</v>
      </c>
      <c r="K248" s="1804">
        <v>0</v>
      </c>
      <c r="L248" s="1804">
        <v>0</v>
      </c>
      <c r="M248" s="1804">
        <v>0</v>
      </c>
      <c r="N248" s="1804">
        <v>0</v>
      </c>
      <c r="O248" s="1804">
        <v>0</v>
      </c>
      <c r="P248" s="1804">
        <v>0</v>
      </c>
      <c r="Q248" s="1804">
        <v>0</v>
      </c>
      <c r="R248" s="1804">
        <v>0</v>
      </c>
      <c r="S248" s="1804">
        <v>0</v>
      </c>
      <c r="T248" s="1804">
        <v>0</v>
      </c>
      <c r="U248" s="1804">
        <v>0</v>
      </c>
      <c r="V248" s="1804">
        <v>0</v>
      </c>
      <c r="W248" s="1804">
        <v>0</v>
      </c>
      <c r="X248" s="1804">
        <v>0</v>
      </c>
      <c r="Y248" s="1804">
        <v>0</v>
      </c>
      <c r="Z248" s="1804">
        <v>0</v>
      </c>
      <c r="AA248" s="1804">
        <v>0</v>
      </c>
      <c r="AB248" s="1804">
        <v>0</v>
      </c>
      <c r="AC248" s="1804">
        <v>0</v>
      </c>
      <c r="AD248" s="1804">
        <v>0</v>
      </c>
      <c r="AE248" s="1804">
        <v>0</v>
      </c>
      <c r="AF248" s="1804">
        <v>0</v>
      </c>
      <c r="AG248" s="1804">
        <v>0</v>
      </c>
      <c r="AH248" s="1804">
        <v>0</v>
      </c>
      <c r="AI248" s="1804">
        <v>0</v>
      </c>
      <c r="AJ248" s="1804">
        <v>0</v>
      </c>
      <c r="AK248" s="1804">
        <v>0</v>
      </c>
      <c r="AL248" s="1804">
        <v>0</v>
      </c>
      <c r="AM248" s="1804">
        <v>0</v>
      </c>
      <c r="AN248" s="1804">
        <v>0</v>
      </c>
      <c r="AO248" s="1804">
        <v>0</v>
      </c>
      <c r="AP248" s="1804">
        <v>0</v>
      </c>
      <c r="AQ248" s="1804">
        <v>0</v>
      </c>
      <c r="AR248" s="1804">
        <v>0</v>
      </c>
      <c r="AS248" s="1804">
        <v>0</v>
      </c>
      <c r="AT248" s="1804">
        <v>0</v>
      </c>
      <c r="AU248" s="1804">
        <v>0</v>
      </c>
      <c r="AV248" s="1804">
        <v>0</v>
      </c>
      <c r="AW248" s="1804">
        <v>0</v>
      </c>
      <c r="AX248" s="1804">
        <v>0</v>
      </c>
      <c r="AY248" s="1804">
        <v>0</v>
      </c>
      <c r="AZ248" s="1804">
        <v>0</v>
      </c>
      <c r="BA248" s="1804">
        <v>0</v>
      </c>
      <c r="BB248" s="1804">
        <v>0</v>
      </c>
      <c r="BC248" s="1804">
        <v>0</v>
      </c>
      <c r="BD248" s="1804">
        <v>0</v>
      </c>
      <c r="BE248" s="1804">
        <v>0</v>
      </c>
      <c r="BF248" s="1804">
        <v>0</v>
      </c>
      <c r="BG248" s="1804">
        <v>0</v>
      </c>
      <c r="BH248" s="1804">
        <v>0</v>
      </c>
      <c r="BI248" s="1804">
        <v>0</v>
      </c>
      <c r="BJ248" s="1804">
        <v>0</v>
      </c>
      <c r="BK248" s="1804">
        <v>0</v>
      </c>
      <c r="BL248" s="1804">
        <v>0</v>
      </c>
      <c r="BM248" s="1804">
        <v>0</v>
      </c>
      <c r="BN248" s="1804">
        <v>0</v>
      </c>
      <c r="BO248" s="1804">
        <v>0</v>
      </c>
      <c r="BP248" s="1804">
        <v>0</v>
      </c>
      <c r="BQ248" s="1804">
        <v>0</v>
      </c>
      <c r="BR248" s="1804">
        <v>0</v>
      </c>
      <c r="BS248" s="1804">
        <v>0</v>
      </c>
      <c r="BT248" s="1804">
        <v>0</v>
      </c>
      <c r="BU248" s="1804">
        <v>0</v>
      </c>
      <c r="BV248" s="1804">
        <v>0</v>
      </c>
      <c r="BW248" s="1804">
        <v>0</v>
      </c>
      <c r="BX248" s="1804">
        <v>0</v>
      </c>
      <c r="BY248" s="1804">
        <v>0</v>
      </c>
      <c r="BZ248" s="1804">
        <v>0</v>
      </c>
      <c r="CA248" s="1804">
        <v>0</v>
      </c>
      <c r="CB248" s="1804">
        <v>0</v>
      </c>
      <c r="CC248" s="1804">
        <v>0</v>
      </c>
      <c r="CD248" s="1804">
        <v>0</v>
      </c>
      <c r="CE248" s="1804">
        <v>0</v>
      </c>
      <c r="CF248" s="1804">
        <v>0</v>
      </c>
      <c r="CG248" s="1804">
        <v>0</v>
      </c>
      <c r="CH248" s="1804">
        <v>0</v>
      </c>
      <c r="CI248" s="1804">
        <v>0</v>
      </c>
      <c r="CJ248" s="1804">
        <v>0</v>
      </c>
      <c r="CK248" s="1804">
        <v>0</v>
      </c>
      <c r="CL248" s="1804">
        <v>0</v>
      </c>
      <c r="CM248" s="1804">
        <v>0</v>
      </c>
      <c r="CN248" s="1804">
        <v>0</v>
      </c>
      <c r="CO248" s="1804">
        <v>0</v>
      </c>
      <c r="CP248" s="1804">
        <v>0</v>
      </c>
      <c r="CQ248" s="1804">
        <v>0</v>
      </c>
      <c r="CR248" s="1804">
        <v>0</v>
      </c>
      <c r="CS248" s="1804">
        <v>0</v>
      </c>
      <c r="CT248" s="1804">
        <v>0</v>
      </c>
      <c r="CU248" s="1804">
        <v>0</v>
      </c>
      <c r="CV248" s="1804">
        <v>0</v>
      </c>
      <c r="CW248" s="1804">
        <v>0</v>
      </c>
      <c r="CX248" s="1804">
        <v>0</v>
      </c>
      <c r="CY248" s="1804">
        <v>0</v>
      </c>
      <c r="CZ248" s="1804">
        <v>0</v>
      </c>
      <c r="DA248" s="1804">
        <v>0</v>
      </c>
      <c r="DB248" s="1804">
        <v>0</v>
      </c>
      <c r="DC248" s="1804">
        <v>0</v>
      </c>
      <c r="DD248" s="1804">
        <v>0</v>
      </c>
      <c r="DE248" s="1804">
        <v>0</v>
      </c>
      <c r="DF248" s="1804">
        <v>0</v>
      </c>
      <c r="DG248" s="1804">
        <v>0</v>
      </c>
      <c r="DH248" s="1804">
        <v>0</v>
      </c>
      <c r="DI248" s="1804">
        <v>0</v>
      </c>
      <c r="DJ248" s="1804">
        <v>0</v>
      </c>
      <c r="DK248" s="1804">
        <v>0</v>
      </c>
      <c r="DL248" s="1804">
        <v>0</v>
      </c>
      <c r="DM248" s="1804">
        <v>0</v>
      </c>
      <c r="DN248" s="1804">
        <v>0</v>
      </c>
      <c r="DO248" s="1804">
        <v>0</v>
      </c>
      <c r="DP248" s="1804">
        <v>0</v>
      </c>
      <c r="DQ248" s="1804">
        <v>0</v>
      </c>
      <c r="DR248" s="1804">
        <v>0</v>
      </c>
      <c r="DS248" s="1804">
        <v>0</v>
      </c>
      <c r="DT248" s="1804">
        <v>0</v>
      </c>
      <c r="DU248" s="1804">
        <v>0</v>
      </c>
      <c r="DV248" s="1804">
        <v>0</v>
      </c>
      <c r="DW248" s="1804">
        <v>0</v>
      </c>
      <c r="DX248" s="1804">
        <v>0</v>
      </c>
      <c r="DY248" s="1804">
        <v>0</v>
      </c>
      <c r="DZ248" s="1804">
        <v>0</v>
      </c>
      <c r="EA248" s="1804">
        <v>0</v>
      </c>
      <c r="EB248" s="1804">
        <v>0</v>
      </c>
      <c r="EC248" s="1804">
        <v>0</v>
      </c>
      <c r="ED248" s="1804">
        <v>0</v>
      </c>
      <c r="EE248" s="1804">
        <v>0</v>
      </c>
      <c r="EF248" s="1804">
        <v>0</v>
      </c>
      <c r="EG248" s="1804">
        <v>0</v>
      </c>
      <c r="EH248" s="1804">
        <v>0</v>
      </c>
      <c r="EI248" s="1804">
        <v>0</v>
      </c>
      <c r="EJ248" s="1804">
        <v>0</v>
      </c>
      <c r="EK248" s="1804">
        <v>0</v>
      </c>
      <c r="EL248" s="1804">
        <v>0</v>
      </c>
      <c r="EM248" s="1804">
        <v>0</v>
      </c>
      <c r="EN248" s="1804">
        <v>0</v>
      </c>
      <c r="EO248" s="1804">
        <v>0</v>
      </c>
      <c r="EP248" s="1804">
        <v>0</v>
      </c>
      <c r="EQ248" s="1804">
        <v>0</v>
      </c>
      <c r="ER248" s="1804">
        <v>0</v>
      </c>
      <c r="ES248" s="1804">
        <v>0</v>
      </c>
      <c r="ET248" s="1804">
        <v>0</v>
      </c>
      <c r="EU248" s="1804">
        <v>0</v>
      </c>
      <c r="EV248" s="1804">
        <v>0</v>
      </c>
      <c r="EW248" s="1804">
        <v>0</v>
      </c>
      <c r="EX248" s="1804">
        <v>0</v>
      </c>
      <c r="EY248" s="1804">
        <v>0</v>
      </c>
      <c r="EZ248" s="1804">
        <v>0</v>
      </c>
      <c r="FA248" s="1804">
        <v>0</v>
      </c>
      <c r="FB248" s="1804">
        <v>0</v>
      </c>
      <c r="FC248" s="1804">
        <v>0</v>
      </c>
      <c r="FD248" s="1804">
        <v>0</v>
      </c>
      <c r="FE248" s="1804">
        <v>0</v>
      </c>
      <c r="FF248" s="1804">
        <v>0</v>
      </c>
      <c r="FG248" s="1804">
        <v>0</v>
      </c>
      <c r="FH248" s="1804">
        <v>0</v>
      </c>
      <c r="FI248" s="1804">
        <v>0</v>
      </c>
      <c r="FJ248" s="1804">
        <v>0</v>
      </c>
      <c r="FK248" s="1804">
        <v>0</v>
      </c>
      <c r="FL248" s="1804">
        <v>0</v>
      </c>
      <c r="FM248" s="1804">
        <v>0</v>
      </c>
      <c r="FN248" s="1804">
        <v>0</v>
      </c>
      <c r="FO248" s="1804">
        <v>0</v>
      </c>
      <c r="FP248" s="1804">
        <v>0</v>
      </c>
      <c r="FQ248" s="1804">
        <v>0</v>
      </c>
      <c r="FR248" s="1804">
        <v>0</v>
      </c>
      <c r="FS248" s="1804">
        <v>0</v>
      </c>
      <c r="FT248" s="1804">
        <v>0</v>
      </c>
      <c r="FU248" s="1804">
        <v>0</v>
      </c>
      <c r="FV248" s="1804">
        <v>0</v>
      </c>
      <c r="FW248" s="1804">
        <v>0</v>
      </c>
      <c r="FX248" s="1804">
        <v>0</v>
      </c>
      <c r="FY248" s="1804">
        <v>0</v>
      </c>
      <c r="FZ248" s="1804">
        <v>0</v>
      </c>
      <c r="GA248" s="1804">
        <v>0</v>
      </c>
      <c r="GB248" s="1804">
        <v>0</v>
      </c>
      <c r="GC248" s="1804">
        <v>0</v>
      </c>
      <c r="GD248" s="1804">
        <v>0</v>
      </c>
      <c r="GE248" s="1804">
        <v>0</v>
      </c>
      <c r="GF248" s="1804">
        <v>0</v>
      </c>
      <c r="GG248" s="1804">
        <v>0</v>
      </c>
      <c r="GH248" s="1804">
        <v>0</v>
      </c>
      <c r="GI248" s="1804">
        <v>0</v>
      </c>
      <c r="GJ248" s="1804">
        <v>0</v>
      </c>
      <c r="GK248" s="1804">
        <v>0</v>
      </c>
      <c r="GL248" s="1804">
        <v>0</v>
      </c>
      <c r="GM248" s="1804">
        <v>0</v>
      </c>
      <c r="GN248" s="1804">
        <v>0</v>
      </c>
      <c r="GO248" s="1804">
        <v>0</v>
      </c>
      <c r="GP248" s="1804">
        <v>0</v>
      </c>
      <c r="GQ248" s="1804">
        <v>0</v>
      </c>
      <c r="GR248" s="1804">
        <v>0</v>
      </c>
      <c r="GS248" s="1804">
        <v>0</v>
      </c>
      <c r="GT248" s="1804">
        <v>0</v>
      </c>
      <c r="GU248" s="1804">
        <v>0</v>
      </c>
      <c r="GV248" s="1804">
        <v>0</v>
      </c>
      <c r="GW248" s="1804">
        <v>0</v>
      </c>
      <c r="GX248" s="1804">
        <v>0</v>
      </c>
      <c r="GY248" s="1804">
        <v>0</v>
      </c>
      <c r="GZ248" s="1804">
        <v>0</v>
      </c>
      <c r="HA248" s="1804">
        <v>0</v>
      </c>
      <c r="HB248" s="1804">
        <v>0</v>
      </c>
      <c r="HC248" s="1804">
        <v>0</v>
      </c>
      <c r="HD248" s="1804">
        <v>0</v>
      </c>
      <c r="HE248" s="1804">
        <v>0</v>
      </c>
    </row>
    <row r="249" spans="1:1291" ht="21" customHeight="1" thickBot="1" x14ac:dyDescent="0.25">
      <c r="A249" s="1963" t="s">
        <v>283</v>
      </c>
      <c r="B249" s="1998" t="s">
        <v>599</v>
      </c>
      <c r="C249" s="1699" t="s">
        <v>824</v>
      </c>
      <c r="D249" s="1880"/>
      <c r="E249" s="1984"/>
      <c r="F249" s="1865"/>
      <c r="G249" s="1866"/>
      <c r="H249" s="1866"/>
      <c r="I249" s="1866"/>
      <c r="J249" s="1866"/>
      <c r="K249" s="1866"/>
      <c r="L249" s="1866"/>
      <c r="M249" s="1866"/>
      <c r="N249" s="1866"/>
      <c r="O249" s="1866"/>
      <c r="P249" s="1866"/>
      <c r="Q249" s="1866"/>
      <c r="R249" s="1866"/>
      <c r="S249" s="1866"/>
      <c r="T249" s="1866"/>
      <c r="U249" s="1866"/>
      <c r="V249" s="1866"/>
      <c r="W249" s="1866"/>
      <c r="X249" s="1866"/>
      <c r="Y249" s="1866"/>
      <c r="Z249" s="1866"/>
      <c r="AA249" s="1866"/>
      <c r="AB249" s="1866"/>
      <c r="AC249" s="1866"/>
      <c r="AD249" s="1866"/>
      <c r="AE249" s="1866"/>
      <c r="AF249" s="1866"/>
      <c r="AG249" s="1866"/>
      <c r="AH249" s="1866"/>
      <c r="AI249" s="1866"/>
      <c r="AJ249" s="1866"/>
      <c r="AK249" s="1866"/>
      <c r="AL249" s="1866"/>
      <c r="AM249" s="1866"/>
      <c r="AN249" s="1866"/>
      <c r="AO249" s="1866"/>
      <c r="AP249" s="1866"/>
      <c r="AQ249" s="1866"/>
      <c r="AR249" s="1866"/>
      <c r="AS249" s="1866"/>
      <c r="AT249" s="1866"/>
      <c r="AU249" s="1866"/>
      <c r="AV249" s="1866"/>
      <c r="AW249" s="1866"/>
      <c r="AX249" s="1866"/>
      <c r="AY249" s="1866"/>
      <c r="AZ249" s="1866"/>
      <c r="BA249" s="1866"/>
      <c r="BB249" s="1866"/>
      <c r="BC249" s="1866"/>
      <c r="BD249" s="1866"/>
      <c r="BE249" s="1866"/>
      <c r="BF249" s="1866"/>
      <c r="BG249" s="1866"/>
      <c r="BH249" s="1866"/>
      <c r="BI249" s="1866"/>
      <c r="BJ249" s="1866"/>
      <c r="BK249" s="1866"/>
      <c r="BL249" s="1866"/>
      <c r="BM249" s="1866"/>
      <c r="BN249" s="1866"/>
      <c r="BO249" s="1866"/>
      <c r="BP249" s="1866"/>
      <c r="BQ249" s="1866"/>
      <c r="BR249" s="1866"/>
      <c r="BS249" s="1866"/>
      <c r="BT249" s="1866"/>
      <c r="BU249" s="1866"/>
      <c r="BV249" s="1866"/>
      <c r="BW249" s="1866"/>
      <c r="BX249" s="1866"/>
      <c r="BY249" s="1866"/>
      <c r="BZ249" s="1866"/>
      <c r="CA249" s="1866"/>
      <c r="CB249" s="1866"/>
      <c r="CC249" s="1866"/>
      <c r="CD249" s="1866"/>
      <c r="CE249" s="1866"/>
      <c r="CF249" s="1866"/>
      <c r="CG249" s="1866"/>
      <c r="CH249" s="1866"/>
      <c r="CI249" s="1866"/>
      <c r="CJ249" s="1866"/>
      <c r="CK249" s="1866"/>
      <c r="CL249" s="1866"/>
      <c r="CM249" s="1866"/>
      <c r="CN249" s="1866"/>
      <c r="CO249" s="1866"/>
      <c r="CP249" s="1866"/>
      <c r="CQ249" s="1866"/>
      <c r="CR249" s="1866"/>
      <c r="CS249" s="1866"/>
      <c r="CT249" s="1866"/>
      <c r="CU249" s="1866"/>
      <c r="CV249" s="1866"/>
      <c r="CW249" s="1866"/>
      <c r="CX249" s="1866"/>
      <c r="CY249" s="1866"/>
      <c r="CZ249" s="1866"/>
      <c r="DA249" s="1866"/>
      <c r="DB249" s="1866"/>
      <c r="DC249" s="1866"/>
      <c r="DD249" s="1866"/>
      <c r="DE249" s="1866"/>
      <c r="DF249" s="1866"/>
      <c r="DG249" s="1866"/>
      <c r="DH249" s="1866"/>
      <c r="DI249" s="1866"/>
      <c r="DJ249" s="1866"/>
      <c r="DK249" s="1866"/>
      <c r="DL249" s="1866"/>
      <c r="DM249" s="1866"/>
      <c r="DN249" s="1866"/>
      <c r="DO249" s="1866"/>
      <c r="DP249" s="1866"/>
      <c r="DQ249" s="1866"/>
      <c r="DR249" s="1866"/>
      <c r="DS249" s="1866"/>
      <c r="DT249" s="1866"/>
      <c r="DU249" s="1866"/>
      <c r="DV249" s="1866"/>
      <c r="DW249" s="1866"/>
      <c r="DX249" s="1866"/>
      <c r="DY249" s="1866"/>
      <c r="DZ249" s="1866"/>
      <c r="EA249" s="1866"/>
      <c r="EB249" s="1866"/>
      <c r="EC249" s="1866"/>
      <c r="ED249" s="1866"/>
      <c r="EE249" s="1866"/>
      <c r="EF249" s="1866"/>
      <c r="EG249" s="1866"/>
      <c r="EH249" s="1866"/>
      <c r="EI249" s="1866"/>
      <c r="EJ249" s="1866"/>
      <c r="EK249" s="1866"/>
      <c r="EL249" s="1866"/>
      <c r="EM249" s="1866"/>
      <c r="EN249" s="1866"/>
      <c r="EO249" s="1866"/>
      <c r="EP249" s="1866"/>
      <c r="EQ249" s="1866"/>
      <c r="ER249" s="1866"/>
      <c r="ES249" s="1866"/>
      <c r="ET249" s="1866"/>
      <c r="EU249" s="1866"/>
      <c r="EV249" s="1866"/>
      <c r="EW249" s="1866"/>
      <c r="EX249" s="1866"/>
      <c r="EY249" s="1866"/>
      <c r="EZ249" s="1866"/>
      <c r="FA249" s="1866"/>
      <c r="FB249" s="1866"/>
      <c r="FC249" s="1866"/>
      <c r="FD249" s="1866"/>
      <c r="FE249" s="1866"/>
      <c r="FF249" s="1866"/>
      <c r="FG249" s="1866"/>
      <c r="FH249" s="1866"/>
      <c r="FI249" s="1866"/>
      <c r="FJ249" s="1866"/>
      <c r="FK249" s="1866"/>
      <c r="FL249" s="1866"/>
      <c r="FM249" s="1866"/>
      <c r="FN249" s="1866"/>
      <c r="FO249" s="1866"/>
      <c r="FP249" s="1866"/>
      <c r="FQ249" s="1866"/>
      <c r="FR249" s="1866"/>
      <c r="FS249" s="1866"/>
      <c r="FT249" s="1866"/>
      <c r="FU249" s="1866"/>
      <c r="FV249" s="1866"/>
      <c r="FW249" s="1866"/>
      <c r="FX249" s="1866"/>
      <c r="FY249" s="1866"/>
      <c r="FZ249" s="1866"/>
      <c r="GA249" s="1866"/>
      <c r="GB249" s="1866"/>
      <c r="GC249" s="1866"/>
      <c r="GD249" s="1866"/>
      <c r="GE249" s="1866"/>
      <c r="GF249" s="1866"/>
      <c r="GG249" s="1866"/>
      <c r="GH249" s="1866"/>
      <c r="GI249" s="1866"/>
      <c r="GJ249" s="1866"/>
      <c r="GK249" s="1866"/>
      <c r="GL249" s="1866"/>
      <c r="GM249" s="1866"/>
      <c r="GN249" s="1866"/>
      <c r="GO249" s="1866"/>
      <c r="GP249" s="1866"/>
      <c r="GQ249" s="1866"/>
      <c r="GR249" s="1866"/>
      <c r="GS249" s="1866"/>
      <c r="GT249" s="1866"/>
      <c r="GU249" s="1866"/>
      <c r="GV249" s="1866"/>
      <c r="GW249" s="1866"/>
      <c r="GX249" s="1866"/>
      <c r="GY249" s="1866"/>
      <c r="GZ249" s="1866"/>
      <c r="HA249" s="1866"/>
      <c r="HB249" s="1866"/>
      <c r="HC249" s="1866"/>
      <c r="HD249" s="1866"/>
      <c r="HE249" s="1866"/>
    </row>
    <row r="250" spans="1:1291" ht="15" customHeight="1" x14ac:dyDescent="0.2">
      <c r="A250" s="1964"/>
      <c r="B250" s="1999"/>
      <c r="C250" s="1706" t="s">
        <v>78</v>
      </c>
      <c r="D250" s="1883"/>
      <c r="E250" s="1984"/>
      <c r="F250" s="1838">
        <v>0</v>
      </c>
      <c r="G250" s="1804">
        <v>0</v>
      </c>
      <c r="H250" s="1804">
        <v>0</v>
      </c>
      <c r="I250" s="1804">
        <v>0</v>
      </c>
      <c r="J250" s="1804">
        <v>0</v>
      </c>
      <c r="K250" s="1804">
        <v>0</v>
      </c>
      <c r="L250" s="1804">
        <v>0</v>
      </c>
      <c r="M250" s="1804">
        <v>0</v>
      </c>
      <c r="N250" s="1804">
        <v>0</v>
      </c>
      <c r="O250" s="1804">
        <v>0</v>
      </c>
      <c r="P250" s="1804">
        <v>0</v>
      </c>
      <c r="Q250" s="1804">
        <v>0</v>
      </c>
      <c r="R250" s="1804">
        <v>0</v>
      </c>
      <c r="S250" s="1804">
        <v>0</v>
      </c>
      <c r="T250" s="1804">
        <v>0</v>
      </c>
      <c r="U250" s="1804">
        <v>0</v>
      </c>
      <c r="V250" s="1804">
        <v>0</v>
      </c>
      <c r="W250" s="1804">
        <v>0</v>
      </c>
      <c r="X250" s="1804">
        <v>0</v>
      </c>
      <c r="Y250" s="1804">
        <v>0</v>
      </c>
      <c r="Z250" s="1804">
        <v>0</v>
      </c>
      <c r="AA250" s="1804">
        <v>0</v>
      </c>
      <c r="AB250" s="1804">
        <v>0</v>
      </c>
      <c r="AC250" s="1804">
        <v>0</v>
      </c>
      <c r="AD250" s="1804">
        <v>0</v>
      </c>
      <c r="AE250" s="1804">
        <v>0</v>
      </c>
      <c r="AF250" s="1804">
        <v>0</v>
      </c>
      <c r="AG250" s="1804">
        <v>0</v>
      </c>
      <c r="AH250" s="1804">
        <v>0</v>
      </c>
      <c r="AI250" s="1804">
        <v>0</v>
      </c>
      <c r="AJ250" s="1804">
        <v>0</v>
      </c>
      <c r="AK250" s="1804">
        <v>0</v>
      </c>
      <c r="AL250" s="1804">
        <v>0</v>
      </c>
      <c r="AM250" s="1804">
        <v>0</v>
      </c>
      <c r="AN250" s="1804">
        <v>0</v>
      </c>
      <c r="AO250" s="1804">
        <v>0</v>
      </c>
      <c r="AP250" s="1804">
        <v>0</v>
      </c>
      <c r="AQ250" s="1804">
        <v>0</v>
      </c>
      <c r="AR250" s="1804">
        <v>0</v>
      </c>
      <c r="AS250" s="1804">
        <v>0</v>
      </c>
      <c r="AT250" s="1804">
        <v>0</v>
      </c>
      <c r="AU250" s="1804">
        <v>0</v>
      </c>
      <c r="AV250" s="1804">
        <v>0</v>
      </c>
      <c r="AW250" s="1804">
        <v>0</v>
      </c>
      <c r="AX250" s="1804">
        <v>0</v>
      </c>
      <c r="AY250" s="1804">
        <v>0</v>
      </c>
      <c r="AZ250" s="1804">
        <v>0</v>
      </c>
      <c r="BA250" s="1804">
        <v>0</v>
      </c>
      <c r="BB250" s="1804">
        <v>0</v>
      </c>
      <c r="BC250" s="1804">
        <v>0</v>
      </c>
      <c r="BD250" s="1804">
        <v>0</v>
      </c>
      <c r="BE250" s="1804">
        <v>0</v>
      </c>
      <c r="BF250" s="1804">
        <v>0</v>
      </c>
      <c r="BG250" s="1804">
        <v>0</v>
      </c>
      <c r="BH250" s="1804">
        <v>0</v>
      </c>
      <c r="BI250" s="1804">
        <v>0</v>
      </c>
      <c r="BJ250" s="1804">
        <v>0</v>
      </c>
      <c r="BK250" s="1804">
        <v>0</v>
      </c>
      <c r="BL250" s="1804">
        <v>0</v>
      </c>
      <c r="BM250" s="1804">
        <v>0</v>
      </c>
      <c r="BN250" s="1804">
        <v>0</v>
      </c>
      <c r="BO250" s="1804">
        <v>0</v>
      </c>
      <c r="BP250" s="1804">
        <v>0</v>
      </c>
      <c r="BQ250" s="1804">
        <v>0</v>
      </c>
      <c r="BR250" s="1804">
        <v>0</v>
      </c>
      <c r="BS250" s="1804">
        <v>0</v>
      </c>
      <c r="BT250" s="1804">
        <v>0</v>
      </c>
      <c r="BU250" s="1804">
        <v>0</v>
      </c>
      <c r="BV250" s="1804">
        <v>0</v>
      </c>
      <c r="BW250" s="1804">
        <v>0</v>
      </c>
      <c r="BX250" s="1804">
        <v>0</v>
      </c>
      <c r="BY250" s="1804">
        <v>0</v>
      </c>
      <c r="BZ250" s="1804">
        <v>0</v>
      </c>
      <c r="CA250" s="1804">
        <v>0</v>
      </c>
      <c r="CB250" s="1804">
        <v>0</v>
      </c>
      <c r="CC250" s="1804">
        <v>0</v>
      </c>
      <c r="CD250" s="1804">
        <v>0</v>
      </c>
      <c r="CE250" s="1804">
        <v>0</v>
      </c>
      <c r="CF250" s="1804">
        <v>0</v>
      </c>
      <c r="CG250" s="1804">
        <v>0</v>
      </c>
      <c r="CH250" s="1804">
        <v>0</v>
      </c>
      <c r="CI250" s="1804">
        <v>0</v>
      </c>
      <c r="CJ250" s="1804">
        <v>0</v>
      </c>
      <c r="CK250" s="1804">
        <v>0</v>
      </c>
      <c r="CL250" s="1804">
        <v>0</v>
      </c>
      <c r="CM250" s="1804">
        <v>0</v>
      </c>
      <c r="CN250" s="1804">
        <v>0</v>
      </c>
      <c r="CO250" s="1804">
        <v>0</v>
      </c>
      <c r="CP250" s="1804">
        <v>0</v>
      </c>
      <c r="CQ250" s="1804">
        <v>0</v>
      </c>
      <c r="CR250" s="1804">
        <v>0</v>
      </c>
      <c r="CS250" s="1804">
        <v>0</v>
      </c>
      <c r="CT250" s="1804">
        <v>0</v>
      </c>
      <c r="CU250" s="1804">
        <v>0</v>
      </c>
      <c r="CV250" s="1804">
        <v>0</v>
      </c>
      <c r="CW250" s="1804">
        <v>0</v>
      </c>
      <c r="CX250" s="1804">
        <v>0</v>
      </c>
      <c r="CY250" s="1804">
        <v>0</v>
      </c>
      <c r="CZ250" s="1804">
        <v>0</v>
      </c>
      <c r="DA250" s="1804">
        <v>0</v>
      </c>
      <c r="DB250" s="1804">
        <v>0</v>
      </c>
      <c r="DC250" s="1804">
        <v>0</v>
      </c>
      <c r="DD250" s="1804">
        <v>0</v>
      </c>
      <c r="DE250" s="1804">
        <v>0</v>
      </c>
      <c r="DF250" s="1804">
        <v>0</v>
      </c>
      <c r="DG250" s="1804">
        <v>0</v>
      </c>
      <c r="DH250" s="1804">
        <v>0</v>
      </c>
      <c r="DI250" s="1804">
        <v>0</v>
      </c>
      <c r="DJ250" s="1804">
        <v>0</v>
      </c>
      <c r="DK250" s="1804">
        <v>0</v>
      </c>
      <c r="DL250" s="1804">
        <v>0</v>
      </c>
      <c r="DM250" s="1804">
        <v>0</v>
      </c>
      <c r="DN250" s="1804">
        <v>0</v>
      </c>
      <c r="DO250" s="1804">
        <v>0</v>
      </c>
      <c r="DP250" s="1804">
        <v>0</v>
      </c>
      <c r="DQ250" s="1804">
        <v>0</v>
      </c>
      <c r="DR250" s="1804">
        <v>0</v>
      </c>
      <c r="DS250" s="1804">
        <v>0</v>
      </c>
      <c r="DT250" s="1804">
        <v>0</v>
      </c>
      <c r="DU250" s="1804">
        <v>0</v>
      </c>
      <c r="DV250" s="1804">
        <v>0</v>
      </c>
      <c r="DW250" s="1804">
        <v>0</v>
      </c>
      <c r="DX250" s="1804">
        <v>0</v>
      </c>
      <c r="DY250" s="1804">
        <v>0</v>
      </c>
      <c r="DZ250" s="1804">
        <v>0</v>
      </c>
      <c r="EA250" s="1804">
        <v>0</v>
      </c>
      <c r="EB250" s="1804">
        <v>0</v>
      </c>
      <c r="EC250" s="1804">
        <v>0</v>
      </c>
      <c r="ED250" s="1804">
        <v>0</v>
      </c>
      <c r="EE250" s="1804">
        <v>0</v>
      </c>
      <c r="EF250" s="1804">
        <v>0</v>
      </c>
      <c r="EG250" s="1804">
        <v>0</v>
      </c>
      <c r="EH250" s="1804">
        <v>0</v>
      </c>
      <c r="EI250" s="1804">
        <v>0</v>
      </c>
      <c r="EJ250" s="1804">
        <v>0</v>
      </c>
      <c r="EK250" s="1804">
        <v>0</v>
      </c>
      <c r="EL250" s="1804">
        <v>0</v>
      </c>
      <c r="EM250" s="1804">
        <v>0</v>
      </c>
      <c r="EN250" s="1804">
        <v>0</v>
      </c>
      <c r="EO250" s="1804">
        <v>0</v>
      </c>
      <c r="EP250" s="1804">
        <v>0</v>
      </c>
      <c r="EQ250" s="1804">
        <v>0</v>
      </c>
      <c r="ER250" s="1804">
        <v>0</v>
      </c>
      <c r="ES250" s="1804">
        <v>0</v>
      </c>
      <c r="ET250" s="1804">
        <v>0</v>
      </c>
      <c r="EU250" s="1804">
        <v>0</v>
      </c>
      <c r="EV250" s="1804">
        <v>0</v>
      </c>
      <c r="EW250" s="1804">
        <v>0</v>
      </c>
      <c r="EX250" s="1804">
        <v>0</v>
      </c>
      <c r="EY250" s="1804">
        <v>0</v>
      </c>
      <c r="EZ250" s="1804">
        <v>0</v>
      </c>
      <c r="FA250" s="1804">
        <v>0</v>
      </c>
      <c r="FB250" s="1804">
        <v>0</v>
      </c>
      <c r="FC250" s="1804">
        <v>0</v>
      </c>
      <c r="FD250" s="1804">
        <v>0</v>
      </c>
      <c r="FE250" s="1804">
        <v>0</v>
      </c>
      <c r="FF250" s="1804">
        <v>0</v>
      </c>
      <c r="FG250" s="1804">
        <v>0</v>
      </c>
      <c r="FH250" s="1804">
        <v>0</v>
      </c>
      <c r="FI250" s="1804">
        <v>0</v>
      </c>
      <c r="FJ250" s="1804">
        <v>0</v>
      </c>
      <c r="FK250" s="1804">
        <v>0</v>
      </c>
      <c r="FL250" s="1804">
        <v>0</v>
      </c>
      <c r="FM250" s="1804">
        <v>0</v>
      </c>
      <c r="FN250" s="1804">
        <v>0</v>
      </c>
      <c r="FO250" s="1804">
        <v>0</v>
      </c>
      <c r="FP250" s="1804">
        <v>0</v>
      </c>
      <c r="FQ250" s="1804">
        <v>0</v>
      </c>
      <c r="FR250" s="1804">
        <v>0</v>
      </c>
      <c r="FS250" s="1804">
        <v>0</v>
      </c>
      <c r="FT250" s="1804">
        <v>0</v>
      </c>
      <c r="FU250" s="1804">
        <v>0</v>
      </c>
      <c r="FV250" s="1804">
        <v>0</v>
      </c>
      <c r="FW250" s="1804">
        <v>0</v>
      </c>
      <c r="FX250" s="1804">
        <v>0</v>
      </c>
      <c r="FY250" s="1804">
        <v>0</v>
      </c>
      <c r="FZ250" s="1804">
        <v>0</v>
      </c>
      <c r="GA250" s="1804">
        <v>0</v>
      </c>
      <c r="GB250" s="1804">
        <v>0</v>
      </c>
      <c r="GC250" s="1804">
        <v>0</v>
      </c>
      <c r="GD250" s="1804">
        <v>0</v>
      </c>
      <c r="GE250" s="1804">
        <v>0</v>
      </c>
      <c r="GF250" s="1804">
        <v>0</v>
      </c>
      <c r="GG250" s="1804">
        <v>0</v>
      </c>
      <c r="GH250" s="1804">
        <v>0</v>
      </c>
      <c r="GI250" s="1804">
        <v>0</v>
      </c>
      <c r="GJ250" s="1804">
        <v>0</v>
      </c>
      <c r="GK250" s="1804">
        <v>0</v>
      </c>
      <c r="GL250" s="1804">
        <v>0</v>
      </c>
      <c r="GM250" s="1804">
        <v>0</v>
      </c>
      <c r="GN250" s="1804">
        <v>0</v>
      </c>
      <c r="GO250" s="1804">
        <v>0</v>
      </c>
      <c r="GP250" s="1804">
        <v>0</v>
      </c>
      <c r="GQ250" s="1804">
        <v>0</v>
      </c>
      <c r="GR250" s="1804">
        <v>0</v>
      </c>
      <c r="GS250" s="1804">
        <v>0</v>
      </c>
      <c r="GT250" s="1804">
        <v>0</v>
      </c>
      <c r="GU250" s="1804">
        <v>0</v>
      </c>
      <c r="GV250" s="1804">
        <v>0</v>
      </c>
      <c r="GW250" s="1804">
        <v>0</v>
      </c>
      <c r="GX250" s="1804">
        <v>0</v>
      </c>
      <c r="GY250" s="1804">
        <v>0</v>
      </c>
      <c r="GZ250" s="1804">
        <v>0</v>
      </c>
      <c r="HA250" s="1804">
        <v>0</v>
      </c>
      <c r="HB250" s="1804">
        <v>0</v>
      </c>
      <c r="HC250" s="1804">
        <v>0</v>
      </c>
      <c r="HD250" s="1804">
        <v>0</v>
      </c>
      <c r="HE250" s="1804">
        <v>0</v>
      </c>
      <c r="HF250" s="1872"/>
      <c r="HG250" s="1872"/>
      <c r="HH250" s="1872"/>
      <c r="HI250" s="1872"/>
      <c r="HJ250" s="1872"/>
      <c r="HK250" s="1872"/>
      <c r="HL250" s="1872"/>
      <c r="HM250" s="1872"/>
      <c r="HN250" s="1872"/>
      <c r="HO250" s="1872"/>
      <c r="HP250" s="1872"/>
      <c r="HQ250" s="1872"/>
      <c r="HR250" s="1872"/>
      <c r="HS250" s="1872"/>
      <c r="HT250" s="1872"/>
      <c r="HU250" s="1872"/>
      <c r="HV250" s="1872"/>
      <c r="HW250" s="1872"/>
      <c r="HX250" s="1872"/>
      <c r="HY250" s="1872"/>
      <c r="HZ250" s="1872"/>
      <c r="IA250" s="1872"/>
      <c r="IB250" s="1872"/>
      <c r="IC250" s="1872"/>
      <c r="ID250" s="1872"/>
      <c r="IE250" s="1872"/>
      <c r="IF250" s="1872"/>
    </row>
    <row r="251" spans="1:1291" ht="15" customHeight="1" x14ac:dyDescent="0.2">
      <c r="A251" s="1964"/>
      <c r="B251" s="1999"/>
      <c r="C251" s="1818" t="s">
        <v>195</v>
      </c>
      <c r="D251" s="1883"/>
      <c r="E251" s="1984"/>
      <c r="F251" s="1838">
        <v>0</v>
      </c>
      <c r="G251" s="1804">
        <v>0</v>
      </c>
      <c r="H251" s="1804">
        <v>0</v>
      </c>
      <c r="I251" s="1804">
        <v>0</v>
      </c>
      <c r="J251" s="1804">
        <v>0</v>
      </c>
      <c r="K251" s="1804">
        <v>0</v>
      </c>
      <c r="L251" s="1804">
        <v>0</v>
      </c>
      <c r="M251" s="1804">
        <v>0</v>
      </c>
      <c r="N251" s="1804">
        <v>0</v>
      </c>
      <c r="O251" s="1804">
        <v>0</v>
      </c>
      <c r="P251" s="1804">
        <v>0</v>
      </c>
      <c r="Q251" s="1804">
        <v>0</v>
      </c>
      <c r="R251" s="1804">
        <v>0</v>
      </c>
      <c r="S251" s="1804">
        <v>0</v>
      </c>
      <c r="T251" s="1804">
        <v>0</v>
      </c>
      <c r="U251" s="1804">
        <v>0</v>
      </c>
      <c r="V251" s="1804">
        <v>0</v>
      </c>
      <c r="W251" s="1804">
        <v>0</v>
      </c>
      <c r="X251" s="1804">
        <v>0</v>
      </c>
      <c r="Y251" s="1804">
        <v>0</v>
      </c>
      <c r="Z251" s="1804">
        <v>0</v>
      </c>
      <c r="AA251" s="1804">
        <v>0</v>
      </c>
      <c r="AB251" s="1804">
        <v>0</v>
      </c>
      <c r="AC251" s="1804">
        <v>0</v>
      </c>
      <c r="AD251" s="1804">
        <v>0</v>
      </c>
      <c r="AE251" s="1804">
        <v>0</v>
      </c>
      <c r="AF251" s="1804">
        <v>0</v>
      </c>
      <c r="AG251" s="1804">
        <v>0</v>
      </c>
      <c r="AH251" s="1804">
        <v>0</v>
      </c>
      <c r="AI251" s="1804">
        <v>0</v>
      </c>
      <c r="AJ251" s="1804">
        <v>0</v>
      </c>
      <c r="AK251" s="1804">
        <v>0</v>
      </c>
      <c r="AL251" s="1804">
        <v>0</v>
      </c>
      <c r="AM251" s="1804">
        <v>0</v>
      </c>
      <c r="AN251" s="1804">
        <v>0</v>
      </c>
      <c r="AO251" s="1804">
        <v>0</v>
      </c>
      <c r="AP251" s="1804">
        <v>0</v>
      </c>
      <c r="AQ251" s="1804">
        <v>0</v>
      </c>
      <c r="AR251" s="1804">
        <v>0</v>
      </c>
      <c r="AS251" s="1804">
        <v>0</v>
      </c>
      <c r="AT251" s="1804">
        <v>0</v>
      </c>
      <c r="AU251" s="1804">
        <v>0</v>
      </c>
      <c r="AV251" s="1804">
        <v>0</v>
      </c>
      <c r="AW251" s="1804">
        <v>0</v>
      </c>
      <c r="AX251" s="1804">
        <v>0</v>
      </c>
      <c r="AY251" s="1804">
        <v>0</v>
      </c>
      <c r="AZ251" s="1804">
        <v>0</v>
      </c>
      <c r="BA251" s="1804">
        <v>0</v>
      </c>
      <c r="BB251" s="1804">
        <v>0</v>
      </c>
      <c r="BC251" s="1804">
        <v>0</v>
      </c>
      <c r="BD251" s="1804">
        <v>0</v>
      </c>
      <c r="BE251" s="1804">
        <v>0</v>
      </c>
      <c r="BF251" s="1804">
        <v>0</v>
      </c>
      <c r="BG251" s="1804">
        <v>0</v>
      </c>
      <c r="BH251" s="1804">
        <v>0</v>
      </c>
      <c r="BI251" s="1804">
        <v>0</v>
      </c>
      <c r="BJ251" s="1804">
        <v>0</v>
      </c>
      <c r="BK251" s="1804">
        <v>0</v>
      </c>
      <c r="BL251" s="1804">
        <v>0</v>
      </c>
      <c r="BM251" s="1804">
        <v>0</v>
      </c>
      <c r="BN251" s="1804">
        <v>0</v>
      </c>
      <c r="BO251" s="1804">
        <v>0</v>
      </c>
      <c r="BP251" s="1804">
        <v>0</v>
      </c>
      <c r="BQ251" s="1804">
        <v>0</v>
      </c>
      <c r="BR251" s="1804">
        <v>0</v>
      </c>
      <c r="BS251" s="1804">
        <v>0</v>
      </c>
      <c r="BT251" s="1804">
        <v>0</v>
      </c>
      <c r="BU251" s="1804">
        <v>0</v>
      </c>
      <c r="BV251" s="1804">
        <v>0</v>
      </c>
      <c r="BW251" s="1804">
        <v>0</v>
      </c>
      <c r="BX251" s="1804">
        <v>0</v>
      </c>
      <c r="BY251" s="1804">
        <v>0</v>
      </c>
      <c r="BZ251" s="1804">
        <v>0</v>
      </c>
      <c r="CA251" s="1804">
        <v>0</v>
      </c>
      <c r="CB251" s="1804">
        <v>0</v>
      </c>
      <c r="CC251" s="1804">
        <v>0</v>
      </c>
      <c r="CD251" s="1804">
        <v>0</v>
      </c>
      <c r="CE251" s="1804">
        <v>0</v>
      </c>
      <c r="CF251" s="1804">
        <v>0</v>
      </c>
      <c r="CG251" s="1804">
        <v>0</v>
      </c>
      <c r="CH251" s="1804">
        <v>0</v>
      </c>
      <c r="CI251" s="1804">
        <v>0</v>
      </c>
      <c r="CJ251" s="1804">
        <v>0</v>
      </c>
      <c r="CK251" s="1804">
        <v>0</v>
      </c>
      <c r="CL251" s="1804">
        <v>0</v>
      </c>
      <c r="CM251" s="1804">
        <v>0</v>
      </c>
      <c r="CN251" s="1804">
        <v>0</v>
      </c>
      <c r="CO251" s="1804">
        <v>0</v>
      </c>
      <c r="CP251" s="1804">
        <v>0</v>
      </c>
      <c r="CQ251" s="1804">
        <v>0</v>
      </c>
      <c r="CR251" s="1804">
        <v>0</v>
      </c>
      <c r="CS251" s="1804">
        <v>0</v>
      </c>
      <c r="CT251" s="1804">
        <v>0</v>
      </c>
      <c r="CU251" s="1804">
        <v>0</v>
      </c>
      <c r="CV251" s="1804">
        <v>0</v>
      </c>
      <c r="CW251" s="1804">
        <v>0</v>
      </c>
      <c r="CX251" s="1804">
        <v>0</v>
      </c>
      <c r="CY251" s="1804">
        <v>0</v>
      </c>
      <c r="CZ251" s="1804">
        <v>0</v>
      </c>
      <c r="DA251" s="1804">
        <v>0</v>
      </c>
      <c r="DB251" s="1804">
        <v>0</v>
      </c>
      <c r="DC251" s="1804">
        <v>0</v>
      </c>
      <c r="DD251" s="1804">
        <v>0</v>
      </c>
      <c r="DE251" s="1804">
        <v>0</v>
      </c>
      <c r="DF251" s="1804">
        <v>0</v>
      </c>
      <c r="DG251" s="1804">
        <v>0</v>
      </c>
      <c r="DH251" s="1804">
        <v>0</v>
      </c>
      <c r="DI251" s="1804">
        <v>0</v>
      </c>
      <c r="DJ251" s="1804">
        <v>0</v>
      </c>
      <c r="DK251" s="1804">
        <v>0</v>
      </c>
      <c r="DL251" s="1804">
        <v>0</v>
      </c>
      <c r="DM251" s="1804">
        <v>0</v>
      </c>
      <c r="DN251" s="1804">
        <v>0</v>
      </c>
      <c r="DO251" s="1804">
        <v>0</v>
      </c>
      <c r="DP251" s="1804">
        <v>0</v>
      </c>
      <c r="DQ251" s="1804">
        <v>0</v>
      </c>
      <c r="DR251" s="1804">
        <v>0</v>
      </c>
      <c r="DS251" s="1804">
        <v>0</v>
      </c>
      <c r="DT251" s="1804">
        <v>0</v>
      </c>
      <c r="DU251" s="1804">
        <v>0</v>
      </c>
      <c r="DV251" s="1804">
        <v>0</v>
      </c>
      <c r="DW251" s="1804">
        <v>0</v>
      </c>
      <c r="DX251" s="1804">
        <v>0</v>
      </c>
      <c r="DY251" s="1804">
        <v>0</v>
      </c>
      <c r="DZ251" s="1804">
        <v>0</v>
      </c>
      <c r="EA251" s="1804">
        <v>0</v>
      </c>
      <c r="EB251" s="1804">
        <v>0</v>
      </c>
      <c r="EC251" s="1804">
        <v>0</v>
      </c>
      <c r="ED251" s="1804">
        <v>0</v>
      </c>
      <c r="EE251" s="1804">
        <v>0</v>
      </c>
      <c r="EF251" s="1804">
        <v>0</v>
      </c>
      <c r="EG251" s="1804">
        <v>0</v>
      </c>
      <c r="EH251" s="1804">
        <v>0</v>
      </c>
      <c r="EI251" s="1804">
        <v>0</v>
      </c>
      <c r="EJ251" s="1804">
        <v>0</v>
      </c>
      <c r="EK251" s="1804">
        <v>0</v>
      </c>
      <c r="EL251" s="1804">
        <v>0</v>
      </c>
      <c r="EM251" s="1804">
        <v>0</v>
      </c>
      <c r="EN251" s="1804">
        <v>0</v>
      </c>
      <c r="EO251" s="1804">
        <v>0</v>
      </c>
      <c r="EP251" s="1804">
        <v>0</v>
      </c>
      <c r="EQ251" s="1804">
        <v>0</v>
      </c>
      <c r="ER251" s="1804">
        <v>0</v>
      </c>
      <c r="ES251" s="1804">
        <v>0</v>
      </c>
      <c r="ET251" s="1804">
        <v>0</v>
      </c>
      <c r="EU251" s="1804">
        <v>0</v>
      </c>
      <c r="EV251" s="1804">
        <v>0</v>
      </c>
      <c r="EW251" s="1804">
        <v>0</v>
      </c>
      <c r="EX251" s="1804">
        <v>0</v>
      </c>
      <c r="EY251" s="1804">
        <v>0</v>
      </c>
      <c r="EZ251" s="1804">
        <v>0</v>
      </c>
      <c r="FA251" s="1804">
        <v>0</v>
      </c>
      <c r="FB251" s="1804">
        <v>0</v>
      </c>
      <c r="FC251" s="1804">
        <v>0</v>
      </c>
      <c r="FD251" s="1804">
        <v>0</v>
      </c>
      <c r="FE251" s="1804">
        <v>0</v>
      </c>
      <c r="FF251" s="1804">
        <v>0</v>
      </c>
      <c r="FG251" s="1804">
        <v>0</v>
      </c>
      <c r="FH251" s="1804">
        <v>0</v>
      </c>
      <c r="FI251" s="1804">
        <v>0</v>
      </c>
      <c r="FJ251" s="1804">
        <v>0</v>
      </c>
      <c r="FK251" s="1804">
        <v>0</v>
      </c>
      <c r="FL251" s="1804">
        <v>0</v>
      </c>
      <c r="FM251" s="1804">
        <v>0</v>
      </c>
      <c r="FN251" s="1804">
        <v>0</v>
      </c>
      <c r="FO251" s="1804">
        <v>0</v>
      </c>
      <c r="FP251" s="1804">
        <v>0</v>
      </c>
      <c r="FQ251" s="1804">
        <v>0</v>
      </c>
      <c r="FR251" s="1804">
        <v>0</v>
      </c>
      <c r="FS251" s="1804">
        <v>0</v>
      </c>
      <c r="FT251" s="1804">
        <v>0</v>
      </c>
      <c r="FU251" s="1804">
        <v>0</v>
      </c>
      <c r="FV251" s="1804">
        <v>0</v>
      </c>
      <c r="FW251" s="1804">
        <v>0</v>
      </c>
      <c r="FX251" s="1804">
        <v>0</v>
      </c>
      <c r="FY251" s="1804">
        <v>0</v>
      </c>
      <c r="FZ251" s="1804">
        <v>0</v>
      </c>
      <c r="GA251" s="1804">
        <v>0</v>
      </c>
      <c r="GB251" s="1804">
        <v>0</v>
      </c>
      <c r="GC251" s="1804">
        <v>0</v>
      </c>
      <c r="GD251" s="1804">
        <v>0</v>
      </c>
      <c r="GE251" s="1804">
        <v>0</v>
      </c>
      <c r="GF251" s="1804">
        <v>0</v>
      </c>
      <c r="GG251" s="1804">
        <v>0</v>
      </c>
      <c r="GH251" s="1804">
        <v>0</v>
      </c>
      <c r="GI251" s="1804">
        <v>0</v>
      </c>
      <c r="GJ251" s="1804">
        <v>0</v>
      </c>
      <c r="GK251" s="1804">
        <v>0</v>
      </c>
      <c r="GL251" s="1804">
        <v>0</v>
      </c>
      <c r="GM251" s="1804">
        <v>0</v>
      </c>
      <c r="GN251" s="1804">
        <v>0</v>
      </c>
      <c r="GO251" s="1804">
        <v>0</v>
      </c>
      <c r="GP251" s="1804">
        <v>0</v>
      </c>
      <c r="GQ251" s="1804">
        <v>0</v>
      </c>
      <c r="GR251" s="1804">
        <v>0</v>
      </c>
      <c r="GS251" s="1804">
        <v>0</v>
      </c>
      <c r="GT251" s="1804">
        <v>0</v>
      </c>
      <c r="GU251" s="1804">
        <v>0</v>
      </c>
      <c r="GV251" s="1804">
        <v>0</v>
      </c>
      <c r="GW251" s="1804">
        <v>0</v>
      </c>
      <c r="GX251" s="1804">
        <v>0</v>
      </c>
      <c r="GY251" s="1804">
        <v>0</v>
      </c>
      <c r="GZ251" s="1804">
        <v>0</v>
      </c>
      <c r="HA251" s="1804">
        <v>0</v>
      </c>
      <c r="HB251" s="1804">
        <v>0</v>
      </c>
      <c r="HC251" s="1804">
        <v>0</v>
      </c>
      <c r="HD251" s="1804">
        <v>0</v>
      </c>
      <c r="HE251" s="1804">
        <v>0</v>
      </c>
      <c r="HF251" s="1872"/>
      <c r="HG251" s="1872"/>
      <c r="HH251" s="1872"/>
      <c r="HI251" s="1872"/>
      <c r="HJ251" s="1872"/>
      <c r="HK251" s="1872"/>
      <c r="HL251" s="1872"/>
      <c r="HM251" s="1872"/>
      <c r="HN251" s="1872"/>
      <c r="HO251" s="1872"/>
      <c r="HP251" s="1872"/>
      <c r="HQ251" s="1872"/>
      <c r="HR251" s="1872"/>
      <c r="HS251" s="1872"/>
      <c r="HT251" s="1872"/>
      <c r="HU251" s="1872"/>
      <c r="HV251" s="1872"/>
      <c r="HW251" s="1872"/>
      <c r="HX251" s="1872"/>
      <c r="HY251" s="1872"/>
      <c r="HZ251" s="1872"/>
      <c r="IA251" s="1872"/>
      <c r="IB251" s="1872"/>
      <c r="IC251" s="1872"/>
      <c r="ID251" s="1872"/>
      <c r="IE251" s="1872"/>
      <c r="IF251" s="1872"/>
    </row>
    <row r="252" spans="1:1291" ht="15" customHeight="1" x14ac:dyDescent="0.2">
      <c r="A252" s="1964"/>
      <c r="B252" s="1999"/>
      <c r="C252" s="1818" t="s">
        <v>196</v>
      </c>
      <c r="D252" s="1883"/>
      <c r="E252" s="1984"/>
      <c r="F252" s="1838">
        <v>0</v>
      </c>
      <c r="G252" s="1804">
        <v>0</v>
      </c>
      <c r="H252" s="1804">
        <v>0</v>
      </c>
      <c r="I252" s="1804">
        <v>0</v>
      </c>
      <c r="J252" s="1804">
        <v>0</v>
      </c>
      <c r="K252" s="1804">
        <v>0</v>
      </c>
      <c r="L252" s="1804">
        <v>0</v>
      </c>
      <c r="M252" s="1804">
        <v>0</v>
      </c>
      <c r="N252" s="1804">
        <v>0</v>
      </c>
      <c r="O252" s="1804">
        <v>0</v>
      </c>
      <c r="P252" s="1804">
        <v>0</v>
      </c>
      <c r="Q252" s="1804">
        <v>0</v>
      </c>
      <c r="R252" s="1804">
        <v>0</v>
      </c>
      <c r="S252" s="1804">
        <v>0</v>
      </c>
      <c r="T252" s="1804">
        <v>0</v>
      </c>
      <c r="U252" s="1804">
        <v>0</v>
      </c>
      <c r="V252" s="1804">
        <v>0</v>
      </c>
      <c r="W252" s="1804">
        <v>0</v>
      </c>
      <c r="X252" s="1804">
        <v>0</v>
      </c>
      <c r="Y252" s="1804">
        <v>0</v>
      </c>
      <c r="Z252" s="1804">
        <v>0</v>
      </c>
      <c r="AA252" s="1804">
        <v>0</v>
      </c>
      <c r="AB252" s="1804">
        <v>0</v>
      </c>
      <c r="AC252" s="1804">
        <v>0</v>
      </c>
      <c r="AD252" s="1804">
        <v>0</v>
      </c>
      <c r="AE252" s="1804">
        <v>0</v>
      </c>
      <c r="AF252" s="1804">
        <v>0</v>
      </c>
      <c r="AG252" s="1804">
        <v>0</v>
      </c>
      <c r="AH252" s="1804">
        <v>0</v>
      </c>
      <c r="AI252" s="1804">
        <v>0</v>
      </c>
      <c r="AJ252" s="1804">
        <v>0</v>
      </c>
      <c r="AK252" s="1804">
        <v>0</v>
      </c>
      <c r="AL252" s="1804">
        <v>0</v>
      </c>
      <c r="AM252" s="1804">
        <v>0</v>
      </c>
      <c r="AN252" s="1804">
        <v>0</v>
      </c>
      <c r="AO252" s="1804">
        <v>0</v>
      </c>
      <c r="AP252" s="1804">
        <v>0</v>
      </c>
      <c r="AQ252" s="1804">
        <v>0</v>
      </c>
      <c r="AR252" s="1804">
        <v>0</v>
      </c>
      <c r="AS252" s="1804">
        <v>0</v>
      </c>
      <c r="AT252" s="1804">
        <v>0</v>
      </c>
      <c r="AU252" s="1804">
        <v>0</v>
      </c>
      <c r="AV252" s="1804">
        <v>0</v>
      </c>
      <c r="AW252" s="1804">
        <v>0</v>
      </c>
      <c r="AX252" s="1804">
        <v>0</v>
      </c>
      <c r="AY252" s="1804">
        <v>0</v>
      </c>
      <c r="AZ252" s="1804">
        <v>0</v>
      </c>
      <c r="BA252" s="1804">
        <v>0</v>
      </c>
      <c r="BB252" s="1804">
        <v>0</v>
      </c>
      <c r="BC252" s="1804">
        <v>0</v>
      </c>
      <c r="BD252" s="1804">
        <v>0</v>
      </c>
      <c r="BE252" s="1804">
        <v>0</v>
      </c>
      <c r="BF252" s="1804">
        <v>0</v>
      </c>
      <c r="BG252" s="1804">
        <v>0</v>
      </c>
      <c r="BH252" s="1804">
        <v>0</v>
      </c>
      <c r="BI252" s="1804">
        <v>0</v>
      </c>
      <c r="BJ252" s="1804">
        <v>0</v>
      </c>
      <c r="BK252" s="1804">
        <v>0</v>
      </c>
      <c r="BL252" s="1804">
        <v>0</v>
      </c>
      <c r="BM252" s="1804">
        <v>0</v>
      </c>
      <c r="BN252" s="1804">
        <v>0</v>
      </c>
      <c r="BO252" s="1804">
        <v>0</v>
      </c>
      <c r="BP252" s="1804">
        <v>0</v>
      </c>
      <c r="BQ252" s="1804">
        <v>0</v>
      </c>
      <c r="BR252" s="1804">
        <v>0</v>
      </c>
      <c r="BS252" s="1804">
        <v>0</v>
      </c>
      <c r="BT252" s="1804">
        <v>0</v>
      </c>
      <c r="BU252" s="1804">
        <v>0</v>
      </c>
      <c r="BV252" s="1804">
        <v>0</v>
      </c>
      <c r="BW252" s="1804">
        <v>0</v>
      </c>
      <c r="BX252" s="1804">
        <v>0</v>
      </c>
      <c r="BY252" s="1804">
        <v>0</v>
      </c>
      <c r="BZ252" s="1804">
        <v>0</v>
      </c>
      <c r="CA252" s="1804">
        <v>0</v>
      </c>
      <c r="CB252" s="1804">
        <v>0</v>
      </c>
      <c r="CC252" s="1804">
        <v>0</v>
      </c>
      <c r="CD252" s="1804">
        <v>0</v>
      </c>
      <c r="CE252" s="1804">
        <v>0</v>
      </c>
      <c r="CF252" s="1804">
        <v>0</v>
      </c>
      <c r="CG252" s="1804">
        <v>0</v>
      </c>
      <c r="CH252" s="1804">
        <v>0</v>
      </c>
      <c r="CI252" s="1804">
        <v>0</v>
      </c>
      <c r="CJ252" s="1804">
        <v>0</v>
      </c>
      <c r="CK252" s="1804">
        <v>0</v>
      </c>
      <c r="CL252" s="1804">
        <v>0</v>
      </c>
      <c r="CM252" s="1804">
        <v>0</v>
      </c>
      <c r="CN252" s="1804">
        <v>0</v>
      </c>
      <c r="CO252" s="1804">
        <v>0</v>
      </c>
      <c r="CP252" s="1804">
        <v>0</v>
      </c>
      <c r="CQ252" s="1804">
        <v>0</v>
      </c>
      <c r="CR252" s="1804">
        <v>0</v>
      </c>
      <c r="CS252" s="1804">
        <v>0</v>
      </c>
      <c r="CT252" s="1804">
        <v>0</v>
      </c>
      <c r="CU252" s="1804">
        <v>0</v>
      </c>
      <c r="CV252" s="1804">
        <v>0</v>
      </c>
      <c r="CW252" s="1804">
        <v>0</v>
      </c>
      <c r="CX252" s="1804">
        <v>0</v>
      </c>
      <c r="CY252" s="1804">
        <v>0</v>
      </c>
      <c r="CZ252" s="1804">
        <v>0</v>
      </c>
      <c r="DA252" s="1804">
        <v>0</v>
      </c>
      <c r="DB252" s="1804">
        <v>0</v>
      </c>
      <c r="DC252" s="1804">
        <v>0</v>
      </c>
      <c r="DD252" s="1804">
        <v>0</v>
      </c>
      <c r="DE252" s="1804">
        <v>0</v>
      </c>
      <c r="DF252" s="1804">
        <v>0</v>
      </c>
      <c r="DG252" s="1804">
        <v>0</v>
      </c>
      <c r="DH252" s="1804">
        <v>0</v>
      </c>
      <c r="DI252" s="1804">
        <v>0</v>
      </c>
      <c r="DJ252" s="1804">
        <v>0</v>
      </c>
      <c r="DK252" s="1804">
        <v>0</v>
      </c>
      <c r="DL252" s="1804">
        <v>0</v>
      </c>
      <c r="DM252" s="1804">
        <v>0</v>
      </c>
      <c r="DN252" s="1804">
        <v>0</v>
      </c>
      <c r="DO252" s="1804">
        <v>0</v>
      </c>
      <c r="DP252" s="1804">
        <v>0</v>
      </c>
      <c r="DQ252" s="1804">
        <v>0</v>
      </c>
      <c r="DR252" s="1804">
        <v>0</v>
      </c>
      <c r="DS252" s="1804">
        <v>0</v>
      </c>
      <c r="DT252" s="1804">
        <v>0</v>
      </c>
      <c r="DU252" s="1804">
        <v>0</v>
      </c>
      <c r="DV252" s="1804">
        <v>0</v>
      </c>
      <c r="DW252" s="1804">
        <v>0</v>
      </c>
      <c r="DX252" s="1804">
        <v>0</v>
      </c>
      <c r="DY252" s="1804">
        <v>0</v>
      </c>
      <c r="DZ252" s="1804">
        <v>0</v>
      </c>
      <c r="EA252" s="1804">
        <v>0</v>
      </c>
      <c r="EB252" s="1804">
        <v>0</v>
      </c>
      <c r="EC252" s="1804">
        <v>0</v>
      </c>
      <c r="ED252" s="1804">
        <v>0</v>
      </c>
      <c r="EE252" s="1804">
        <v>0</v>
      </c>
      <c r="EF252" s="1804">
        <v>0</v>
      </c>
      <c r="EG252" s="1804">
        <v>0</v>
      </c>
      <c r="EH252" s="1804">
        <v>0</v>
      </c>
      <c r="EI252" s="1804">
        <v>0</v>
      </c>
      <c r="EJ252" s="1804">
        <v>0</v>
      </c>
      <c r="EK252" s="1804">
        <v>0</v>
      </c>
      <c r="EL252" s="1804">
        <v>0</v>
      </c>
      <c r="EM252" s="1804">
        <v>0</v>
      </c>
      <c r="EN252" s="1804">
        <v>0</v>
      </c>
      <c r="EO252" s="1804">
        <v>0</v>
      </c>
      <c r="EP252" s="1804">
        <v>0</v>
      </c>
      <c r="EQ252" s="1804">
        <v>0</v>
      </c>
      <c r="ER252" s="1804">
        <v>0</v>
      </c>
      <c r="ES252" s="1804">
        <v>0</v>
      </c>
      <c r="ET252" s="1804">
        <v>0</v>
      </c>
      <c r="EU252" s="1804">
        <v>0</v>
      </c>
      <c r="EV252" s="1804">
        <v>0</v>
      </c>
      <c r="EW252" s="1804">
        <v>0</v>
      </c>
      <c r="EX252" s="1804">
        <v>0</v>
      </c>
      <c r="EY252" s="1804">
        <v>0</v>
      </c>
      <c r="EZ252" s="1804">
        <v>0</v>
      </c>
      <c r="FA252" s="1804">
        <v>0</v>
      </c>
      <c r="FB252" s="1804">
        <v>0</v>
      </c>
      <c r="FC252" s="1804">
        <v>0</v>
      </c>
      <c r="FD252" s="1804">
        <v>0</v>
      </c>
      <c r="FE252" s="1804">
        <v>0</v>
      </c>
      <c r="FF252" s="1804">
        <v>0</v>
      </c>
      <c r="FG252" s="1804">
        <v>0</v>
      </c>
      <c r="FH252" s="1804">
        <v>0</v>
      </c>
      <c r="FI252" s="1804">
        <v>0</v>
      </c>
      <c r="FJ252" s="1804">
        <v>0</v>
      </c>
      <c r="FK252" s="1804">
        <v>0</v>
      </c>
      <c r="FL252" s="1804">
        <v>0</v>
      </c>
      <c r="FM252" s="1804">
        <v>0</v>
      </c>
      <c r="FN252" s="1804">
        <v>0</v>
      </c>
      <c r="FO252" s="1804">
        <v>0</v>
      </c>
      <c r="FP252" s="1804">
        <v>0</v>
      </c>
      <c r="FQ252" s="1804">
        <v>0</v>
      </c>
      <c r="FR252" s="1804">
        <v>0</v>
      </c>
      <c r="FS252" s="1804">
        <v>0</v>
      </c>
      <c r="FT252" s="1804">
        <v>0</v>
      </c>
      <c r="FU252" s="1804">
        <v>0</v>
      </c>
      <c r="FV252" s="1804">
        <v>0</v>
      </c>
      <c r="FW252" s="1804">
        <v>0</v>
      </c>
      <c r="FX252" s="1804">
        <v>0</v>
      </c>
      <c r="FY252" s="1804">
        <v>0</v>
      </c>
      <c r="FZ252" s="1804">
        <v>0</v>
      </c>
      <c r="GA252" s="1804">
        <v>0</v>
      </c>
      <c r="GB252" s="1804">
        <v>0</v>
      </c>
      <c r="GC252" s="1804">
        <v>0</v>
      </c>
      <c r="GD252" s="1804">
        <v>0</v>
      </c>
      <c r="GE252" s="1804">
        <v>0</v>
      </c>
      <c r="GF252" s="1804">
        <v>0</v>
      </c>
      <c r="GG252" s="1804">
        <v>0</v>
      </c>
      <c r="GH252" s="1804">
        <v>0</v>
      </c>
      <c r="GI252" s="1804">
        <v>0</v>
      </c>
      <c r="GJ252" s="1804">
        <v>0</v>
      </c>
      <c r="GK252" s="1804">
        <v>0</v>
      </c>
      <c r="GL252" s="1804">
        <v>0</v>
      </c>
      <c r="GM252" s="1804">
        <v>0</v>
      </c>
      <c r="GN252" s="1804">
        <v>0</v>
      </c>
      <c r="GO252" s="1804">
        <v>0</v>
      </c>
      <c r="GP252" s="1804">
        <v>0</v>
      </c>
      <c r="GQ252" s="1804">
        <v>0</v>
      </c>
      <c r="GR252" s="1804">
        <v>0</v>
      </c>
      <c r="GS252" s="1804">
        <v>0</v>
      </c>
      <c r="GT252" s="1804">
        <v>0</v>
      </c>
      <c r="GU252" s="1804">
        <v>0</v>
      </c>
      <c r="GV252" s="1804">
        <v>0</v>
      </c>
      <c r="GW252" s="1804">
        <v>0</v>
      </c>
      <c r="GX252" s="1804">
        <v>0</v>
      </c>
      <c r="GY252" s="1804">
        <v>0</v>
      </c>
      <c r="GZ252" s="1804">
        <v>0</v>
      </c>
      <c r="HA252" s="1804">
        <v>0</v>
      </c>
      <c r="HB252" s="1804">
        <v>0</v>
      </c>
      <c r="HC252" s="1804">
        <v>0</v>
      </c>
      <c r="HD252" s="1804">
        <v>0</v>
      </c>
      <c r="HE252" s="1804">
        <v>0</v>
      </c>
      <c r="HF252" s="1872"/>
      <c r="HG252" s="1872"/>
      <c r="HH252" s="1872"/>
      <c r="HI252" s="1872"/>
      <c r="HJ252" s="1872"/>
      <c r="HK252" s="1872"/>
      <c r="HL252" s="1872"/>
      <c r="HM252" s="1872"/>
      <c r="HN252" s="1872"/>
      <c r="HO252" s="1872"/>
      <c r="HP252" s="1872"/>
      <c r="HQ252" s="1872"/>
      <c r="HR252" s="1872"/>
      <c r="HS252" s="1872"/>
      <c r="HT252" s="1872"/>
      <c r="HU252" s="1872"/>
      <c r="HV252" s="1872"/>
      <c r="HW252" s="1872"/>
      <c r="HX252" s="1872"/>
      <c r="HY252" s="1872"/>
      <c r="HZ252" s="1872"/>
      <c r="IA252" s="1872"/>
      <c r="IB252" s="1872"/>
      <c r="IC252" s="1872"/>
      <c r="ID252" s="1872"/>
      <c r="IE252" s="1872"/>
      <c r="IF252" s="1872"/>
    </row>
    <row r="253" spans="1:1291" ht="15" customHeight="1" x14ac:dyDescent="0.2">
      <c r="A253" s="1964"/>
      <c r="B253" s="1999"/>
      <c r="C253" s="1818" t="s">
        <v>197</v>
      </c>
      <c r="D253" s="1883"/>
      <c r="E253" s="1984"/>
      <c r="F253" s="1838">
        <v>0</v>
      </c>
      <c r="G253" s="1804">
        <v>0</v>
      </c>
      <c r="H253" s="1804">
        <v>0</v>
      </c>
      <c r="I253" s="1804">
        <v>0</v>
      </c>
      <c r="J253" s="1804">
        <v>0</v>
      </c>
      <c r="K253" s="1804">
        <v>0</v>
      </c>
      <c r="L253" s="1804">
        <v>0</v>
      </c>
      <c r="M253" s="1804">
        <v>0</v>
      </c>
      <c r="N253" s="1804">
        <v>0</v>
      </c>
      <c r="O253" s="1804">
        <v>0</v>
      </c>
      <c r="P253" s="1804">
        <v>0</v>
      </c>
      <c r="Q253" s="1804">
        <v>0</v>
      </c>
      <c r="R253" s="1804">
        <v>0</v>
      </c>
      <c r="S253" s="1804">
        <v>0</v>
      </c>
      <c r="T253" s="1804">
        <v>0</v>
      </c>
      <c r="U253" s="1804">
        <v>0</v>
      </c>
      <c r="V253" s="1804">
        <v>0</v>
      </c>
      <c r="W253" s="1804">
        <v>0</v>
      </c>
      <c r="X253" s="1804">
        <v>0</v>
      </c>
      <c r="Y253" s="1804">
        <v>0</v>
      </c>
      <c r="Z253" s="1804">
        <v>0</v>
      </c>
      <c r="AA253" s="1804">
        <v>0</v>
      </c>
      <c r="AB253" s="1804">
        <v>0</v>
      </c>
      <c r="AC253" s="1804">
        <v>0</v>
      </c>
      <c r="AD253" s="1804">
        <v>0</v>
      </c>
      <c r="AE253" s="1804">
        <v>0</v>
      </c>
      <c r="AF253" s="1804">
        <v>0</v>
      </c>
      <c r="AG253" s="1804">
        <v>0</v>
      </c>
      <c r="AH253" s="1804">
        <v>0</v>
      </c>
      <c r="AI253" s="1804">
        <v>0</v>
      </c>
      <c r="AJ253" s="1804">
        <v>0</v>
      </c>
      <c r="AK253" s="1804">
        <v>0</v>
      </c>
      <c r="AL253" s="1804">
        <v>0</v>
      </c>
      <c r="AM253" s="1804">
        <v>0</v>
      </c>
      <c r="AN253" s="1804">
        <v>0</v>
      </c>
      <c r="AO253" s="1804">
        <v>0</v>
      </c>
      <c r="AP253" s="1804">
        <v>0</v>
      </c>
      <c r="AQ253" s="1804">
        <v>0</v>
      </c>
      <c r="AR253" s="1804">
        <v>0</v>
      </c>
      <c r="AS253" s="1804">
        <v>0</v>
      </c>
      <c r="AT253" s="1804">
        <v>0</v>
      </c>
      <c r="AU253" s="1804">
        <v>0</v>
      </c>
      <c r="AV253" s="1804">
        <v>0</v>
      </c>
      <c r="AW253" s="1804">
        <v>0</v>
      </c>
      <c r="AX253" s="1804">
        <v>0</v>
      </c>
      <c r="AY253" s="1804">
        <v>0</v>
      </c>
      <c r="AZ253" s="1804">
        <v>0</v>
      </c>
      <c r="BA253" s="1804">
        <v>0</v>
      </c>
      <c r="BB253" s="1804">
        <v>0</v>
      </c>
      <c r="BC253" s="1804">
        <v>0</v>
      </c>
      <c r="BD253" s="1804">
        <v>0</v>
      </c>
      <c r="BE253" s="1804">
        <v>0</v>
      </c>
      <c r="BF253" s="1804">
        <v>0</v>
      </c>
      <c r="BG253" s="1804">
        <v>0</v>
      </c>
      <c r="BH253" s="1804">
        <v>0</v>
      </c>
      <c r="BI253" s="1804">
        <v>0</v>
      </c>
      <c r="BJ253" s="1804">
        <v>0</v>
      </c>
      <c r="BK253" s="1804">
        <v>0</v>
      </c>
      <c r="BL253" s="1804">
        <v>0</v>
      </c>
      <c r="BM253" s="1804">
        <v>0</v>
      </c>
      <c r="BN253" s="1804">
        <v>0</v>
      </c>
      <c r="BO253" s="1804">
        <v>0</v>
      </c>
      <c r="BP253" s="1804">
        <v>0</v>
      </c>
      <c r="BQ253" s="1804">
        <v>0</v>
      </c>
      <c r="BR253" s="1804">
        <v>0</v>
      </c>
      <c r="BS253" s="1804">
        <v>0</v>
      </c>
      <c r="BT253" s="1804">
        <v>0</v>
      </c>
      <c r="BU253" s="1804">
        <v>0</v>
      </c>
      <c r="BV253" s="1804">
        <v>0</v>
      </c>
      <c r="BW253" s="1804">
        <v>0</v>
      </c>
      <c r="BX253" s="1804">
        <v>0</v>
      </c>
      <c r="BY253" s="1804">
        <v>0</v>
      </c>
      <c r="BZ253" s="1804">
        <v>0</v>
      </c>
      <c r="CA253" s="1804">
        <v>0</v>
      </c>
      <c r="CB253" s="1804">
        <v>0</v>
      </c>
      <c r="CC253" s="1804">
        <v>0</v>
      </c>
      <c r="CD253" s="1804">
        <v>0</v>
      </c>
      <c r="CE253" s="1804">
        <v>0</v>
      </c>
      <c r="CF253" s="1804">
        <v>0</v>
      </c>
      <c r="CG253" s="1804">
        <v>0</v>
      </c>
      <c r="CH253" s="1804">
        <v>0</v>
      </c>
      <c r="CI253" s="1804">
        <v>0</v>
      </c>
      <c r="CJ253" s="1804">
        <v>0</v>
      </c>
      <c r="CK253" s="1804">
        <v>0</v>
      </c>
      <c r="CL253" s="1804">
        <v>0</v>
      </c>
      <c r="CM253" s="1804">
        <v>0</v>
      </c>
      <c r="CN253" s="1804">
        <v>0</v>
      </c>
      <c r="CO253" s="1804">
        <v>0</v>
      </c>
      <c r="CP253" s="1804">
        <v>0</v>
      </c>
      <c r="CQ253" s="1804">
        <v>0</v>
      </c>
      <c r="CR253" s="1804">
        <v>0</v>
      </c>
      <c r="CS253" s="1804">
        <v>0</v>
      </c>
      <c r="CT253" s="1804">
        <v>0</v>
      </c>
      <c r="CU253" s="1804">
        <v>0</v>
      </c>
      <c r="CV253" s="1804">
        <v>0</v>
      </c>
      <c r="CW253" s="1804">
        <v>0</v>
      </c>
      <c r="CX253" s="1804">
        <v>0</v>
      </c>
      <c r="CY253" s="1804">
        <v>0</v>
      </c>
      <c r="CZ253" s="1804">
        <v>0</v>
      </c>
      <c r="DA253" s="1804">
        <v>0</v>
      </c>
      <c r="DB253" s="1804">
        <v>0</v>
      </c>
      <c r="DC253" s="1804">
        <v>0</v>
      </c>
      <c r="DD253" s="1804">
        <v>0</v>
      </c>
      <c r="DE253" s="1804">
        <v>0</v>
      </c>
      <c r="DF253" s="1804">
        <v>0</v>
      </c>
      <c r="DG253" s="1804">
        <v>0</v>
      </c>
      <c r="DH253" s="1804">
        <v>0</v>
      </c>
      <c r="DI253" s="1804">
        <v>0</v>
      </c>
      <c r="DJ253" s="1804">
        <v>0</v>
      </c>
      <c r="DK253" s="1804">
        <v>0</v>
      </c>
      <c r="DL253" s="1804">
        <v>0</v>
      </c>
      <c r="DM253" s="1804">
        <v>0</v>
      </c>
      <c r="DN253" s="1804">
        <v>0</v>
      </c>
      <c r="DO253" s="1804">
        <v>0</v>
      </c>
      <c r="DP253" s="1804">
        <v>0</v>
      </c>
      <c r="DQ253" s="1804">
        <v>0</v>
      </c>
      <c r="DR253" s="1804">
        <v>0</v>
      </c>
      <c r="DS253" s="1804">
        <v>0</v>
      </c>
      <c r="DT253" s="1804">
        <v>0</v>
      </c>
      <c r="DU253" s="1804">
        <v>0</v>
      </c>
      <c r="DV253" s="1804">
        <v>0</v>
      </c>
      <c r="DW253" s="1804">
        <v>0</v>
      </c>
      <c r="DX253" s="1804">
        <v>0</v>
      </c>
      <c r="DY253" s="1804">
        <v>0</v>
      </c>
      <c r="DZ253" s="1804">
        <v>0</v>
      </c>
      <c r="EA253" s="1804">
        <v>0</v>
      </c>
      <c r="EB253" s="1804">
        <v>0</v>
      </c>
      <c r="EC253" s="1804">
        <v>0</v>
      </c>
      <c r="ED253" s="1804">
        <v>0</v>
      </c>
      <c r="EE253" s="1804">
        <v>0</v>
      </c>
      <c r="EF253" s="1804">
        <v>0</v>
      </c>
      <c r="EG253" s="1804">
        <v>0</v>
      </c>
      <c r="EH253" s="1804">
        <v>0</v>
      </c>
      <c r="EI253" s="1804">
        <v>0</v>
      </c>
      <c r="EJ253" s="1804">
        <v>0</v>
      </c>
      <c r="EK253" s="1804">
        <v>0</v>
      </c>
      <c r="EL253" s="1804">
        <v>0</v>
      </c>
      <c r="EM253" s="1804">
        <v>0</v>
      </c>
      <c r="EN253" s="1804">
        <v>0</v>
      </c>
      <c r="EO253" s="1804">
        <v>0</v>
      </c>
      <c r="EP253" s="1804">
        <v>0</v>
      </c>
      <c r="EQ253" s="1804">
        <v>0</v>
      </c>
      <c r="ER253" s="1804">
        <v>0</v>
      </c>
      <c r="ES253" s="1804">
        <v>0</v>
      </c>
      <c r="ET253" s="1804">
        <v>0</v>
      </c>
      <c r="EU253" s="1804">
        <v>0</v>
      </c>
      <c r="EV253" s="1804">
        <v>0</v>
      </c>
      <c r="EW253" s="1804">
        <v>0</v>
      </c>
      <c r="EX253" s="1804">
        <v>0</v>
      </c>
      <c r="EY253" s="1804">
        <v>0</v>
      </c>
      <c r="EZ253" s="1804">
        <v>0</v>
      </c>
      <c r="FA253" s="1804">
        <v>0</v>
      </c>
      <c r="FB253" s="1804">
        <v>0</v>
      </c>
      <c r="FC253" s="1804">
        <v>0</v>
      </c>
      <c r="FD253" s="1804">
        <v>0</v>
      </c>
      <c r="FE253" s="1804">
        <v>0</v>
      </c>
      <c r="FF253" s="1804">
        <v>0</v>
      </c>
      <c r="FG253" s="1804">
        <v>0</v>
      </c>
      <c r="FH253" s="1804">
        <v>0</v>
      </c>
      <c r="FI253" s="1804">
        <v>0</v>
      </c>
      <c r="FJ253" s="1804">
        <v>0</v>
      </c>
      <c r="FK253" s="1804">
        <v>0</v>
      </c>
      <c r="FL253" s="1804">
        <v>0</v>
      </c>
      <c r="FM253" s="1804">
        <v>0</v>
      </c>
      <c r="FN253" s="1804">
        <v>0</v>
      </c>
      <c r="FO253" s="1804">
        <v>0</v>
      </c>
      <c r="FP253" s="1804">
        <v>0</v>
      </c>
      <c r="FQ253" s="1804">
        <v>0</v>
      </c>
      <c r="FR253" s="1804">
        <v>0</v>
      </c>
      <c r="FS253" s="1804">
        <v>0</v>
      </c>
      <c r="FT253" s="1804">
        <v>0</v>
      </c>
      <c r="FU253" s="1804">
        <v>0</v>
      </c>
      <c r="FV253" s="1804">
        <v>0</v>
      </c>
      <c r="FW253" s="1804">
        <v>0</v>
      </c>
      <c r="FX253" s="1804">
        <v>0</v>
      </c>
      <c r="FY253" s="1804">
        <v>0</v>
      </c>
      <c r="FZ253" s="1804">
        <v>0</v>
      </c>
      <c r="GA253" s="1804">
        <v>0</v>
      </c>
      <c r="GB253" s="1804">
        <v>0</v>
      </c>
      <c r="GC253" s="1804">
        <v>0</v>
      </c>
      <c r="GD253" s="1804">
        <v>0</v>
      </c>
      <c r="GE253" s="1804">
        <v>0</v>
      </c>
      <c r="GF253" s="1804">
        <v>0</v>
      </c>
      <c r="GG253" s="1804">
        <v>0</v>
      </c>
      <c r="GH253" s="1804">
        <v>0</v>
      </c>
      <c r="GI253" s="1804">
        <v>0</v>
      </c>
      <c r="GJ253" s="1804">
        <v>0</v>
      </c>
      <c r="GK253" s="1804">
        <v>0</v>
      </c>
      <c r="GL253" s="1804">
        <v>0</v>
      </c>
      <c r="GM253" s="1804">
        <v>0</v>
      </c>
      <c r="GN253" s="1804">
        <v>0</v>
      </c>
      <c r="GO253" s="1804">
        <v>0</v>
      </c>
      <c r="GP253" s="1804">
        <v>0</v>
      </c>
      <c r="GQ253" s="1804">
        <v>0</v>
      </c>
      <c r="GR253" s="1804">
        <v>0</v>
      </c>
      <c r="GS253" s="1804">
        <v>0</v>
      </c>
      <c r="GT253" s="1804">
        <v>0</v>
      </c>
      <c r="GU253" s="1804">
        <v>0</v>
      </c>
      <c r="GV253" s="1804">
        <v>0</v>
      </c>
      <c r="GW253" s="1804">
        <v>0</v>
      </c>
      <c r="GX253" s="1804">
        <v>0</v>
      </c>
      <c r="GY253" s="1804">
        <v>0</v>
      </c>
      <c r="GZ253" s="1804">
        <v>0</v>
      </c>
      <c r="HA253" s="1804">
        <v>0</v>
      </c>
      <c r="HB253" s="1804">
        <v>0</v>
      </c>
      <c r="HC253" s="1804">
        <v>0</v>
      </c>
      <c r="HD253" s="1804">
        <v>0</v>
      </c>
      <c r="HE253" s="1804">
        <v>0</v>
      </c>
      <c r="HF253" s="1872"/>
      <c r="HG253" s="1872"/>
      <c r="HH253" s="1872"/>
      <c r="HI253" s="1872"/>
      <c r="HJ253" s="1872"/>
      <c r="HK253" s="1872"/>
      <c r="HL253" s="1872"/>
      <c r="HM253" s="1872"/>
      <c r="HN253" s="1872"/>
      <c r="HO253" s="1872"/>
      <c r="HP253" s="1872"/>
      <c r="HQ253" s="1872"/>
      <c r="HR253" s="1872"/>
      <c r="HS253" s="1872"/>
      <c r="HT253" s="1872"/>
      <c r="HU253" s="1872"/>
      <c r="HV253" s="1872"/>
      <c r="HW253" s="1872"/>
      <c r="HX253" s="1872"/>
      <c r="HY253" s="1872"/>
      <c r="HZ253" s="1872"/>
      <c r="IA253" s="1872"/>
      <c r="IB253" s="1872"/>
      <c r="IC253" s="1872"/>
      <c r="ID253" s="1872"/>
      <c r="IE253" s="1872"/>
      <c r="IF253" s="1872"/>
      <c r="IG253" s="1872"/>
      <c r="IH253" s="1872"/>
      <c r="II253" s="1872"/>
      <c r="IJ253" s="1872"/>
      <c r="IK253" s="1872"/>
      <c r="IL253" s="1872"/>
      <c r="IM253" s="1872"/>
      <c r="IN253" s="1872"/>
      <c r="IO253" s="1872"/>
      <c r="IP253" s="1872"/>
      <c r="IQ253" s="1872"/>
      <c r="IR253" s="1872"/>
      <c r="IS253" s="1872"/>
      <c r="IT253" s="1872"/>
      <c r="IU253" s="1872"/>
      <c r="IV253" s="1872"/>
      <c r="IW253" s="1872"/>
      <c r="IX253" s="1872"/>
      <c r="IY253" s="1872"/>
      <c r="IZ253" s="1872"/>
      <c r="JA253" s="1872"/>
      <c r="JB253" s="1872"/>
      <c r="JC253" s="1872"/>
      <c r="JD253" s="1872"/>
      <c r="JE253" s="1872"/>
      <c r="JF253" s="1872"/>
      <c r="JG253" s="1872"/>
      <c r="JH253" s="1872"/>
      <c r="JI253" s="1872"/>
      <c r="JJ253" s="1872"/>
      <c r="JK253" s="1872"/>
      <c r="JL253" s="1872"/>
      <c r="JM253" s="1872"/>
      <c r="JN253" s="1872"/>
      <c r="JO253" s="1872"/>
      <c r="JP253" s="1872"/>
      <c r="JQ253" s="1872"/>
      <c r="JR253" s="1872"/>
      <c r="JS253" s="1872"/>
      <c r="JT253" s="1872"/>
      <c r="JU253" s="1872"/>
      <c r="JV253" s="1872"/>
      <c r="JW253" s="1872"/>
      <c r="JX253" s="1872"/>
      <c r="JY253" s="1872"/>
      <c r="JZ253" s="1872"/>
      <c r="KA253" s="1872"/>
      <c r="KB253" s="1872"/>
      <c r="KC253" s="1872"/>
      <c r="KD253" s="1872"/>
      <c r="KE253" s="1872"/>
      <c r="KF253" s="1872"/>
      <c r="KG253" s="1872"/>
      <c r="KH253" s="1872"/>
      <c r="KI253" s="1872"/>
      <c r="KJ253" s="1872"/>
      <c r="KK253" s="1872"/>
      <c r="KL253" s="1872"/>
      <c r="KM253" s="1872"/>
      <c r="KN253" s="1872"/>
      <c r="KO253" s="1872"/>
      <c r="KP253" s="1872"/>
      <c r="KQ253" s="1872"/>
      <c r="KR253" s="1872"/>
      <c r="KS253" s="1872"/>
      <c r="KT253" s="1872"/>
      <c r="KU253" s="1872"/>
      <c r="KV253" s="1872"/>
      <c r="KW253" s="1872"/>
      <c r="KX253" s="1872"/>
      <c r="KY253" s="1872"/>
      <c r="KZ253" s="1872"/>
      <c r="LA253" s="1872"/>
      <c r="LB253" s="1872"/>
      <c r="LC253" s="1872"/>
      <c r="LD253" s="1872"/>
      <c r="LE253" s="1872"/>
      <c r="LF253" s="1872"/>
      <c r="LG253" s="1872"/>
      <c r="LH253" s="1872"/>
      <c r="LI253" s="1872"/>
      <c r="LJ253" s="1872"/>
      <c r="LK253" s="1872"/>
      <c r="LL253" s="1872"/>
      <c r="LM253" s="1872"/>
      <c r="LN253" s="1872"/>
      <c r="LO253" s="1872"/>
      <c r="LP253" s="1872"/>
      <c r="LQ253" s="1872"/>
      <c r="LR253" s="1872"/>
      <c r="LS253" s="1872"/>
      <c r="LT253" s="1872"/>
      <c r="LU253" s="1872"/>
      <c r="LV253" s="1872"/>
      <c r="LW253" s="1872"/>
      <c r="LX253" s="1872"/>
      <c r="LY253" s="1872"/>
      <c r="LZ253" s="1872"/>
      <c r="MA253" s="1872"/>
      <c r="MB253" s="1872"/>
      <c r="MC253" s="1872"/>
      <c r="MD253" s="1872"/>
      <c r="ME253" s="1872"/>
      <c r="MF253" s="1872"/>
      <c r="MG253" s="1872"/>
      <c r="MH253" s="1872"/>
      <c r="MI253" s="1872"/>
      <c r="MJ253" s="1872"/>
      <c r="MK253" s="1872"/>
      <c r="ML253" s="1872"/>
      <c r="MM253" s="1872"/>
      <c r="MN253" s="1872"/>
      <c r="MO253" s="1872"/>
      <c r="MP253" s="1872"/>
      <c r="MQ253" s="1872"/>
      <c r="MR253" s="1872"/>
    </row>
    <row r="254" spans="1:1291" ht="15" customHeight="1" thickBot="1" x14ac:dyDescent="0.25">
      <c r="A254" s="1965"/>
      <c r="B254" s="2000"/>
      <c r="C254" s="1704" t="s">
        <v>1377</v>
      </c>
      <c r="D254" s="1883"/>
      <c r="E254" s="1984"/>
      <c r="F254" s="1838">
        <v>0</v>
      </c>
      <c r="G254" s="1804">
        <v>0</v>
      </c>
      <c r="H254" s="1804">
        <v>0</v>
      </c>
      <c r="I254" s="1804">
        <v>0</v>
      </c>
      <c r="J254" s="1804">
        <v>0</v>
      </c>
      <c r="K254" s="1804">
        <v>0</v>
      </c>
      <c r="L254" s="1804">
        <v>0</v>
      </c>
      <c r="M254" s="1804">
        <v>0</v>
      </c>
      <c r="N254" s="1804">
        <v>0</v>
      </c>
      <c r="O254" s="1804">
        <v>0</v>
      </c>
      <c r="P254" s="1804">
        <v>0</v>
      </c>
      <c r="Q254" s="1804">
        <v>0</v>
      </c>
      <c r="R254" s="1804">
        <v>0</v>
      </c>
      <c r="S254" s="1804">
        <v>0</v>
      </c>
      <c r="T254" s="1804">
        <v>0</v>
      </c>
      <c r="U254" s="1804">
        <v>0</v>
      </c>
      <c r="V254" s="1804">
        <v>0</v>
      </c>
      <c r="W254" s="1804">
        <v>0</v>
      </c>
      <c r="X254" s="1804">
        <v>0</v>
      </c>
      <c r="Y254" s="1804">
        <v>0</v>
      </c>
      <c r="Z254" s="1804">
        <v>0</v>
      </c>
      <c r="AA254" s="1804">
        <v>0</v>
      </c>
      <c r="AB254" s="1804">
        <v>0</v>
      </c>
      <c r="AC254" s="1804">
        <v>0</v>
      </c>
      <c r="AD254" s="1804">
        <v>0</v>
      </c>
      <c r="AE254" s="1804">
        <v>0</v>
      </c>
      <c r="AF254" s="1804">
        <v>0</v>
      </c>
      <c r="AG254" s="1804">
        <v>0</v>
      </c>
      <c r="AH254" s="1804">
        <v>0</v>
      </c>
      <c r="AI254" s="1804">
        <v>0</v>
      </c>
      <c r="AJ254" s="1804">
        <v>0</v>
      </c>
      <c r="AK254" s="1804">
        <v>0</v>
      </c>
      <c r="AL254" s="1804">
        <v>0</v>
      </c>
      <c r="AM254" s="1804">
        <v>0</v>
      </c>
      <c r="AN254" s="1804">
        <v>0</v>
      </c>
      <c r="AO254" s="1804">
        <v>0</v>
      </c>
      <c r="AP254" s="1804">
        <v>0</v>
      </c>
      <c r="AQ254" s="1804">
        <v>0</v>
      </c>
      <c r="AR254" s="1804">
        <v>0</v>
      </c>
      <c r="AS254" s="1804">
        <v>0</v>
      </c>
      <c r="AT254" s="1804">
        <v>0</v>
      </c>
      <c r="AU254" s="1804">
        <v>0</v>
      </c>
      <c r="AV254" s="1804">
        <v>0</v>
      </c>
      <c r="AW254" s="1804">
        <v>0</v>
      </c>
      <c r="AX254" s="1804">
        <v>0</v>
      </c>
      <c r="AY254" s="1804">
        <v>0</v>
      </c>
      <c r="AZ254" s="1804">
        <v>0</v>
      </c>
      <c r="BA254" s="1804">
        <v>0</v>
      </c>
      <c r="BB254" s="1804">
        <v>0</v>
      </c>
      <c r="BC254" s="1804">
        <v>0</v>
      </c>
      <c r="BD254" s="1804">
        <v>0</v>
      </c>
      <c r="BE254" s="1804">
        <v>0</v>
      </c>
      <c r="BF254" s="1804">
        <v>0</v>
      </c>
      <c r="BG254" s="1804">
        <v>0</v>
      </c>
      <c r="BH254" s="1804">
        <v>0</v>
      </c>
      <c r="BI254" s="1804">
        <v>0</v>
      </c>
      <c r="BJ254" s="1804">
        <v>0</v>
      </c>
      <c r="BK254" s="1804">
        <v>0</v>
      </c>
      <c r="BL254" s="1804">
        <v>0</v>
      </c>
      <c r="BM254" s="1804">
        <v>0</v>
      </c>
      <c r="BN254" s="1804">
        <v>0</v>
      </c>
      <c r="BO254" s="1804">
        <v>0</v>
      </c>
      <c r="BP254" s="1804">
        <v>0</v>
      </c>
      <c r="BQ254" s="1804">
        <v>0</v>
      </c>
      <c r="BR254" s="1804">
        <v>0</v>
      </c>
      <c r="BS254" s="1804">
        <v>0</v>
      </c>
      <c r="BT254" s="1804">
        <v>0</v>
      </c>
      <c r="BU254" s="1804">
        <v>0</v>
      </c>
      <c r="BV254" s="1804">
        <v>0</v>
      </c>
      <c r="BW254" s="1804">
        <v>0</v>
      </c>
      <c r="BX254" s="1804">
        <v>0</v>
      </c>
      <c r="BY254" s="1804">
        <v>0</v>
      </c>
      <c r="BZ254" s="1804">
        <v>0</v>
      </c>
      <c r="CA254" s="1804">
        <v>0</v>
      </c>
      <c r="CB254" s="1804">
        <v>0</v>
      </c>
      <c r="CC254" s="1804">
        <v>0</v>
      </c>
      <c r="CD254" s="1804">
        <v>0</v>
      </c>
      <c r="CE254" s="1804">
        <v>0</v>
      </c>
      <c r="CF254" s="1804">
        <v>0</v>
      </c>
      <c r="CG254" s="1804">
        <v>0</v>
      </c>
      <c r="CH254" s="1804">
        <v>0</v>
      </c>
      <c r="CI254" s="1804">
        <v>0</v>
      </c>
      <c r="CJ254" s="1804">
        <v>0</v>
      </c>
      <c r="CK254" s="1804">
        <v>0</v>
      </c>
      <c r="CL254" s="1804">
        <v>0</v>
      </c>
      <c r="CM254" s="1804">
        <v>0</v>
      </c>
      <c r="CN254" s="1804">
        <v>0</v>
      </c>
      <c r="CO254" s="1804">
        <v>0</v>
      </c>
      <c r="CP254" s="1804">
        <v>0</v>
      </c>
      <c r="CQ254" s="1804">
        <v>0</v>
      </c>
      <c r="CR254" s="1804">
        <v>0</v>
      </c>
      <c r="CS254" s="1804">
        <v>0</v>
      </c>
      <c r="CT254" s="1804">
        <v>0</v>
      </c>
      <c r="CU254" s="1804">
        <v>0</v>
      </c>
      <c r="CV254" s="1804">
        <v>0</v>
      </c>
      <c r="CW254" s="1804">
        <v>0</v>
      </c>
      <c r="CX254" s="1804">
        <v>0</v>
      </c>
      <c r="CY254" s="1804">
        <v>0</v>
      </c>
      <c r="CZ254" s="1804">
        <v>0</v>
      </c>
      <c r="DA254" s="1804">
        <v>0</v>
      </c>
      <c r="DB254" s="1804">
        <v>0</v>
      </c>
      <c r="DC254" s="1804">
        <v>0</v>
      </c>
      <c r="DD254" s="1804">
        <v>0</v>
      </c>
      <c r="DE254" s="1804">
        <v>0</v>
      </c>
      <c r="DF254" s="1804">
        <v>0</v>
      </c>
      <c r="DG254" s="1804">
        <v>0</v>
      </c>
      <c r="DH254" s="1804">
        <v>0</v>
      </c>
      <c r="DI254" s="1804">
        <v>0</v>
      </c>
      <c r="DJ254" s="1804">
        <v>0</v>
      </c>
      <c r="DK254" s="1804">
        <v>0</v>
      </c>
      <c r="DL254" s="1804">
        <v>0</v>
      </c>
      <c r="DM254" s="1804">
        <v>0</v>
      </c>
      <c r="DN254" s="1804">
        <v>0</v>
      </c>
      <c r="DO254" s="1804">
        <v>0</v>
      </c>
      <c r="DP254" s="1804">
        <v>0</v>
      </c>
      <c r="DQ254" s="1804">
        <v>0</v>
      </c>
      <c r="DR254" s="1804">
        <v>0</v>
      </c>
      <c r="DS254" s="1804">
        <v>0</v>
      </c>
      <c r="DT254" s="1804">
        <v>0</v>
      </c>
      <c r="DU254" s="1804">
        <v>0</v>
      </c>
      <c r="DV254" s="1804">
        <v>0</v>
      </c>
      <c r="DW254" s="1804">
        <v>0</v>
      </c>
      <c r="DX254" s="1804">
        <v>0</v>
      </c>
      <c r="DY254" s="1804">
        <v>0</v>
      </c>
      <c r="DZ254" s="1804">
        <v>0</v>
      </c>
      <c r="EA254" s="1804">
        <v>0</v>
      </c>
      <c r="EB254" s="1804">
        <v>0</v>
      </c>
      <c r="EC254" s="1804">
        <v>0</v>
      </c>
      <c r="ED254" s="1804">
        <v>0</v>
      </c>
      <c r="EE254" s="1804">
        <v>0</v>
      </c>
      <c r="EF254" s="1804">
        <v>0</v>
      </c>
      <c r="EG254" s="1804">
        <v>0</v>
      </c>
      <c r="EH254" s="1804">
        <v>0</v>
      </c>
      <c r="EI254" s="1804">
        <v>0</v>
      </c>
      <c r="EJ254" s="1804">
        <v>0</v>
      </c>
      <c r="EK254" s="1804">
        <v>0</v>
      </c>
      <c r="EL254" s="1804">
        <v>0</v>
      </c>
      <c r="EM254" s="1804">
        <v>0</v>
      </c>
      <c r="EN254" s="1804">
        <v>0</v>
      </c>
      <c r="EO254" s="1804">
        <v>0</v>
      </c>
      <c r="EP254" s="1804">
        <v>0</v>
      </c>
      <c r="EQ254" s="1804">
        <v>0</v>
      </c>
      <c r="ER254" s="1804">
        <v>0</v>
      </c>
      <c r="ES254" s="1804">
        <v>0</v>
      </c>
      <c r="ET254" s="1804">
        <v>0</v>
      </c>
      <c r="EU254" s="1804">
        <v>0</v>
      </c>
      <c r="EV254" s="1804">
        <v>0</v>
      </c>
      <c r="EW254" s="1804">
        <v>0</v>
      </c>
      <c r="EX254" s="1804">
        <v>0</v>
      </c>
      <c r="EY254" s="1804">
        <v>0</v>
      </c>
      <c r="EZ254" s="1804">
        <v>0</v>
      </c>
      <c r="FA254" s="1804">
        <v>0</v>
      </c>
      <c r="FB254" s="1804">
        <v>0</v>
      </c>
      <c r="FC254" s="1804">
        <v>0</v>
      </c>
      <c r="FD254" s="1804">
        <v>0</v>
      </c>
      <c r="FE254" s="1804">
        <v>0</v>
      </c>
      <c r="FF254" s="1804">
        <v>0</v>
      </c>
      <c r="FG254" s="1804">
        <v>0</v>
      </c>
      <c r="FH254" s="1804">
        <v>0</v>
      </c>
      <c r="FI254" s="1804">
        <v>0</v>
      </c>
      <c r="FJ254" s="1804">
        <v>0</v>
      </c>
      <c r="FK254" s="1804">
        <v>0</v>
      </c>
      <c r="FL254" s="1804">
        <v>0</v>
      </c>
      <c r="FM254" s="1804">
        <v>0</v>
      </c>
      <c r="FN254" s="1804">
        <v>0</v>
      </c>
      <c r="FO254" s="1804">
        <v>0</v>
      </c>
      <c r="FP254" s="1804">
        <v>0</v>
      </c>
      <c r="FQ254" s="1804">
        <v>0</v>
      </c>
      <c r="FR254" s="1804">
        <v>0</v>
      </c>
      <c r="FS254" s="1804">
        <v>0</v>
      </c>
      <c r="FT254" s="1804">
        <v>0</v>
      </c>
      <c r="FU254" s="1804">
        <v>0</v>
      </c>
      <c r="FV254" s="1804">
        <v>0</v>
      </c>
      <c r="FW254" s="1804">
        <v>0</v>
      </c>
      <c r="FX254" s="1804">
        <v>0</v>
      </c>
      <c r="FY254" s="1804">
        <v>0</v>
      </c>
      <c r="FZ254" s="1804">
        <v>0</v>
      </c>
      <c r="GA254" s="1804">
        <v>0</v>
      </c>
      <c r="GB254" s="1804">
        <v>0</v>
      </c>
      <c r="GC254" s="1804">
        <v>0</v>
      </c>
      <c r="GD254" s="1804">
        <v>0</v>
      </c>
      <c r="GE254" s="1804">
        <v>0</v>
      </c>
      <c r="GF254" s="1804">
        <v>0</v>
      </c>
      <c r="GG254" s="1804">
        <v>0</v>
      </c>
      <c r="GH254" s="1804">
        <v>0</v>
      </c>
      <c r="GI254" s="1804">
        <v>0</v>
      </c>
      <c r="GJ254" s="1804">
        <v>0</v>
      </c>
      <c r="GK254" s="1804">
        <v>0</v>
      </c>
      <c r="GL254" s="1804">
        <v>0</v>
      </c>
      <c r="GM254" s="1804">
        <v>0</v>
      </c>
      <c r="GN254" s="1804">
        <v>0</v>
      </c>
      <c r="GO254" s="1804">
        <v>0</v>
      </c>
      <c r="GP254" s="1804">
        <v>0</v>
      </c>
      <c r="GQ254" s="1804">
        <v>0</v>
      </c>
      <c r="GR254" s="1804">
        <v>0</v>
      </c>
      <c r="GS254" s="1804">
        <v>0</v>
      </c>
      <c r="GT254" s="1804">
        <v>0</v>
      </c>
      <c r="GU254" s="1804">
        <v>0</v>
      </c>
      <c r="GV254" s="1804">
        <v>0</v>
      </c>
      <c r="GW254" s="1804">
        <v>0</v>
      </c>
      <c r="GX254" s="1804">
        <v>0</v>
      </c>
      <c r="GY254" s="1804">
        <v>0</v>
      </c>
      <c r="GZ254" s="1804">
        <v>0</v>
      </c>
      <c r="HA254" s="1804">
        <v>0</v>
      </c>
      <c r="HB254" s="1804">
        <v>0</v>
      </c>
      <c r="HC254" s="1804">
        <v>0</v>
      </c>
      <c r="HD254" s="1804">
        <v>0</v>
      </c>
      <c r="HE254" s="1804">
        <v>0</v>
      </c>
      <c r="HF254" s="1872"/>
      <c r="HG254" s="1872"/>
      <c r="HH254" s="1872"/>
      <c r="HI254" s="1872"/>
      <c r="HJ254" s="1872"/>
      <c r="HK254" s="1872"/>
      <c r="HL254" s="1872"/>
      <c r="HM254" s="1872"/>
      <c r="HN254" s="1872"/>
      <c r="HO254" s="1872"/>
      <c r="HP254" s="1872"/>
      <c r="HQ254" s="1872"/>
      <c r="HR254" s="1872"/>
      <c r="HS254" s="1872"/>
      <c r="HT254" s="1872"/>
      <c r="HU254" s="1872"/>
      <c r="HV254" s="1872"/>
      <c r="HW254" s="1872"/>
      <c r="HX254" s="1872"/>
      <c r="HY254" s="1872"/>
      <c r="HZ254" s="1872"/>
      <c r="IA254" s="1872"/>
      <c r="IB254" s="1872"/>
      <c r="IC254" s="1872"/>
      <c r="ID254" s="1872"/>
      <c r="IE254" s="1872"/>
      <c r="IF254" s="1872"/>
      <c r="IG254" s="1872"/>
      <c r="IH254" s="1872"/>
      <c r="II254" s="1872"/>
      <c r="IJ254" s="1872"/>
      <c r="IK254" s="1872"/>
      <c r="IL254" s="1872"/>
      <c r="IM254" s="1872"/>
      <c r="IN254" s="1872"/>
      <c r="IO254" s="1872"/>
      <c r="IP254" s="1872"/>
      <c r="IQ254" s="1872"/>
      <c r="IR254" s="1872"/>
      <c r="IS254" s="1872"/>
      <c r="IT254" s="1872"/>
      <c r="IU254" s="1872"/>
      <c r="IV254" s="1872"/>
      <c r="IW254" s="1872"/>
      <c r="IX254" s="1872"/>
      <c r="IY254" s="1872"/>
      <c r="IZ254" s="1872"/>
      <c r="JA254" s="1872"/>
      <c r="JB254" s="1872"/>
      <c r="JC254" s="1872"/>
      <c r="JD254" s="1872"/>
      <c r="JE254" s="1872"/>
      <c r="JF254" s="1872"/>
      <c r="JG254" s="1872"/>
      <c r="JH254" s="1872"/>
      <c r="JI254" s="1872"/>
      <c r="JJ254" s="1872"/>
      <c r="JK254" s="1872"/>
      <c r="JL254" s="1872"/>
      <c r="JM254" s="1872"/>
      <c r="JN254" s="1872"/>
      <c r="JO254" s="1872"/>
      <c r="JP254" s="1872"/>
      <c r="JQ254" s="1872"/>
      <c r="JR254" s="1872"/>
      <c r="JS254" s="1872"/>
      <c r="JT254" s="1872"/>
      <c r="JU254" s="1872"/>
      <c r="JV254" s="1872"/>
      <c r="JW254" s="1872"/>
      <c r="JX254" s="1872"/>
      <c r="JY254" s="1872"/>
      <c r="JZ254" s="1872"/>
      <c r="KA254" s="1872"/>
      <c r="KB254" s="1872"/>
      <c r="KC254" s="1872"/>
      <c r="KD254" s="1872"/>
      <c r="KE254" s="1872"/>
      <c r="KF254" s="1872"/>
      <c r="KG254" s="1872"/>
      <c r="KH254" s="1872"/>
      <c r="KI254" s="1872"/>
      <c r="KJ254" s="1872"/>
      <c r="KK254" s="1872"/>
      <c r="KL254" s="1872"/>
      <c r="KM254" s="1872"/>
      <c r="KN254" s="1872"/>
      <c r="KO254" s="1872"/>
      <c r="KP254" s="1872"/>
      <c r="KQ254" s="1872"/>
      <c r="KR254" s="1872"/>
      <c r="KS254" s="1872"/>
      <c r="KT254" s="1872"/>
      <c r="KU254" s="1872"/>
      <c r="KV254" s="1872"/>
      <c r="KW254" s="1872"/>
      <c r="KX254" s="1872"/>
      <c r="KY254" s="1872"/>
      <c r="KZ254" s="1872"/>
      <c r="LA254" s="1872"/>
      <c r="LB254" s="1872"/>
      <c r="LC254" s="1872"/>
      <c r="LD254" s="1872"/>
      <c r="LE254" s="1872"/>
      <c r="LF254" s="1872"/>
      <c r="LG254" s="1872"/>
      <c r="LH254" s="1872"/>
      <c r="LI254" s="1872"/>
      <c r="LJ254" s="1872"/>
      <c r="LK254" s="1872"/>
      <c r="LL254" s="1872"/>
      <c r="LM254" s="1872"/>
      <c r="LN254" s="1872"/>
      <c r="LO254" s="1872"/>
      <c r="LP254" s="1872"/>
      <c r="LQ254" s="1872"/>
      <c r="LR254" s="1872"/>
      <c r="LS254" s="1872"/>
      <c r="LT254" s="1872"/>
      <c r="LU254" s="1872"/>
      <c r="LV254" s="1872"/>
      <c r="LW254" s="1872"/>
      <c r="LX254" s="1872"/>
      <c r="LY254" s="1872"/>
      <c r="LZ254" s="1872"/>
      <c r="MA254" s="1872"/>
      <c r="MB254" s="1872"/>
      <c r="MC254" s="1872"/>
      <c r="MD254" s="1872"/>
      <c r="ME254" s="1872"/>
      <c r="MF254" s="1872"/>
      <c r="MG254" s="1872"/>
      <c r="MH254" s="1872"/>
      <c r="MI254" s="1872"/>
      <c r="MJ254" s="1872"/>
      <c r="MK254" s="1872"/>
      <c r="ML254" s="1872"/>
      <c r="MM254" s="1872"/>
      <c r="MN254" s="1872"/>
      <c r="MO254" s="1872"/>
      <c r="MP254" s="1872"/>
      <c r="MQ254" s="1872"/>
      <c r="MR254" s="1872"/>
      <c r="MS254" s="1872"/>
      <c r="MT254" s="1872"/>
      <c r="MU254" s="1872"/>
      <c r="MV254" s="1872"/>
      <c r="MW254" s="1872"/>
      <c r="MX254" s="1872"/>
      <c r="MY254" s="1872"/>
      <c r="MZ254" s="1872"/>
      <c r="NA254" s="1872"/>
      <c r="NB254" s="1872"/>
      <c r="NC254" s="1872"/>
      <c r="ND254" s="1872"/>
      <c r="NE254" s="1872"/>
      <c r="NF254" s="1872"/>
      <c r="NG254" s="1872"/>
      <c r="NH254" s="1872"/>
      <c r="NI254" s="1872"/>
      <c r="NJ254" s="1872"/>
      <c r="NK254" s="1872"/>
      <c r="NL254" s="1872"/>
      <c r="NM254" s="1872"/>
      <c r="NN254" s="1872"/>
      <c r="NO254" s="1872"/>
      <c r="NP254" s="1872"/>
      <c r="NQ254" s="1872"/>
      <c r="NR254" s="1872"/>
      <c r="NS254" s="1872"/>
      <c r="NT254" s="1872"/>
      <c r="NU254" s="1872"/>
      <c r="NV254" s="1872"/>
      <c r="NW254" s="1872"/>
      <c r="NX254" s="1872"/>
      <c r="NY254" s="1872"/>
      <c r="NZ254" s="1872"/>
      <c r="OA254" s="1872"/>
      <c r="OB254" s="1872"/>
      <c r="OC254" s="1872"/>
      <c r="OD254" s="1872"/>
      <c r="OE254" s="1872"/>
      <c r="OF254" s="1872"/>
      <c r="OG254" s="1872"/>
      <c r="OH254" s="1872"/>
      <c r="OI254" s="1872"/>
      <c r="OJ254" s="1872"/>
      <c r="OK254" s="1872"/>
      <c r="OL254" s="1872"/>
      <c r="OM254" s="1872"/>
      <c r="ON254" s="1872"/>
      <c r="OO254" s="1872"/>
      <c r="OP254" s="1872"/>
      <c r="OQ254" s="1872"/>
      <c r="OR254" s="1872"/>
      <c r="OS254" s="1872"/>
      <c r="OT254" s="1872"/>
      <c r="OU254" s="1872"/>
      <c r="OV254" s="1872"/>
      <c r="OW254" s="1872"/>
      <c r="OX254" s="1872"/>
      <c r="OY254" s="1872"/>
      <c r="OZ254" s="1872"/>
      <c r="PA254" s="1872"/>
      <c r="PB254" s="1872"/>
      <c r="PC254" s="1872"/>
      <c r="PD254" s="1872"/>
      <c r="PE254" s="1872"/>
      <c r="PF254" s="1872"/>
      <c r="PG254" s="1872"/>
      <c r="PH254" s="1872"/>
      <c r="PI254" s="1872"/>
      <c r="PJ254" s="1872"/>
      <c r="PK254" s="1872"/>
      <c r="PL254" s="1872"/>
      <c r="PM254" s="1872"/>
      <c r="PN254" s="1872"/>
      <c r="PO254" s="1872"/>
      <c r="PP254" s="1872"/>
      <c r="PQ254" s="1872"/>
      <c r="PR254" s="1872"/>
      <c r="PS254" s="1872"/>
      <c r="PT254" s="1872"/>
      <c r="PU254" s="1872"/>
      <c r="PV254" s="1872"/>
      <c r="PW254" s="1872"/>
      <c r="PX254" s="1872"/>
      <c r="PY254" s="1872"/>
      <c r="PZ254" s="1872"/>
      <c r="QA254" s="1872"/>
      <c r="QB254" s="1872"/>
      <c r="QC254" s="1872"/>
      <c r="QD254" s="1872"/>
      <c r="QE254" s="1872"/>
      <c r="QF254" s="1872"/>
      <c r="QG254" s="1872"/>
      <c r="QH254" s="1872"/>
      <c r="QI254" s="1872"/>
      <c r="QJ254" s="1872"/>
      <c r="QK254" s="1872"/>
      <c r="QL254" s="1872"/>
      <c r="QM254" s="1872"/>
      <c r="QN254" s="1872"/>
      <c r="QO254" s="1872"/>
      <c r="QP254" s="1872"/>
      <c r="QQ254" s="1872"/>
      <c r="QR254" s="1872"/>
      <c r="QS254" s="1872"/>
      <c r="QT254" s="1872"/>
      <c r="QU254" s="1872"/>
      <c r="QV254" s="1872"/>
      <c r="QW254" s="1872"/>
      <c r="QX254" s="1872"/>
      <c r="QY254" s="1872"/>
      <c r="QZ254" s="1872"/>
      <c r="RA254" s="1872"/>
      <c r="RB254" s="1872"/>
      <c r="RC254" s="1872"/>
      <c r="RD254" s="1872"/>
      <c r="RE254" s="1872"/>
      <c r="RF254" s="1872"/>
      <c r="RG254" s="1872"/>
      <c r="RH254" s="1872"/>
      <c r="RI254" s="1872"/>
      <c r="RJ254" s="1872"/>
      <c r="RK254" s="1872"/>
      <c r="RL254" s="1872"/>
      <c r="RM254" s="1872"/>
      <c r="RN254" s="1872"/>
      <c r="RO254" s="1872"/>
      <c r="RP254" s="1872"/>
      <c r="RQ254" s="1872"/>
      <c r="RR254" s="1872"/>
      <c r="RS254" s="1872"/>
      <c r="RT254" s="1872"/>
      <c r="RU254" s="1872"/>
      <c r="RV254" s="1872"/>
      <c r="RW254" s="1872"/>
      <c r="RX254" s="1872"/>
      <c r="RY254" s="1872"/>
      <c r="RZ254" s="1872"/>
      <c r="SA254" s="1872"/>
      <c r="SB254" s="1872"/>
      <c r="SC254" s="1872"/>
      <c r="SD254" s="1872"/>
      <c r="SE254" s="1872"/>
      <c r="SF254" s="1872"/>
      <c r="SG254" s="1872"/>
      <c r="SH254" s="1872"/>
      <c r="SI254" s="1872"/>
      <c r="SJ254" s="1872"/>
      <c r="SK254" s="1872"/>
      <c r="SL254" s="1872"/>
      <c r="SM254" s="1872"/>
      <c r="SN254" s="1872"/>
      <c r="SO254" s="1872"/>
      <c r="SP254" s="1872"/>
      <c r="SQ254" s="1872"/>
      <c r="SR254" s="1872"/>
      <c r="SS254" s="1872"/>
      <c r="ST254" s="1872"/>
      <c r="SU254" s="1872"/>
      <c r="SV254" s="1872"/>
      <c r="SW254" s="1872"/>
      <c r="SX254" s="1872"/>
      <c r="SY254" s="1872"/>
      <c r="SZ254" s="1872"/>
      <c r="TA254" s="1872"/>
      <c r="TB254" s="1872"/>
      <c r="TC254" s="1872"/>
      <c r="TD254" s="1872"/>
      <c r="TE254" s="1872"/>
      <c r="TF254" s="1872"/>
      <c r="TG254" s="1872"/>
      <c r="TH254" s="1872"/>
      <c r="TI254" s="1872"/>
      <c r="TJ254" s="1872"/>
      <c r="TK254" s="1872"/>
      <c r="TL254" s="1872"/>
      <c r="TM254" s="1872"/>
      <c r="TN254" s="1872"/>
      <c r="TO254" s="1872"/>
      <c r="TP254" s="1872"/>
      <c r="TQ254" s="1872"/>
      <c r="TR254" s="1872"/>
      <c r="TS254" s="1872"/>
      <c r="TT254" s="1872"/>
      <c r="TU254" s="1872"/>
      <c r="TV254" s="1872"/>
      <c r="TW254" s="1872"/>
      <c r="TX254" s="1872"/>
      <c r="TY254" s="1872"/>
      <c r="TZ254" s="1872"/>
      <c r="UA254" s="1872"/>
      <c r="UB254" s="1872"/>
      <c r="UC254" s="1872"/>
      <c r="UD254" s="1872"/>
      <c r="UE254" s="1872"/>
      <c r="UF254" s="1872"/>
      <c r="UG254" s="1872"/>
      <c r="UH254" s="1872"/>
      <c r="UI254" s="1872"/>
      <c r="UJ254" s="1872"/>
      <c r="UK254" s="1872"/>
      <c r="UL254" s="1872"/>
      <c r="UM254" s="1872"/>
      <c r="UN254" s="1872"/>
      <c r="UO254" s="1872"/>
      <c r="UP254" s="1872"/>
      <c r="UQ254" s="1872"/>
      <c r="UR254" s="1872"/>
      <c r="US254" s="1872"/>
      <c r="UT254" s="1872"/>
      <c r="UU254" s="1872"/>
      <c r="UV254" s="1872"/>
      <c r="UW254" s="1872"/>
      <c r="UX254" s="1872"/>
      <c r="UY254" s="1872"/>
      <c r="UZ254" s="1872"/>
      <c r="VA254" s="1872"/>
      <c r="VB254" s="1872"/>
      <c r="VC254" s="1872"/>
      <c r="VD254" s="1872"/>
      <c r="VE254" s="1872"/>
      <c r="VF254" s="1872"/>
      <c r="VG254" s="1872"/>
      <c r="VH254" s="1872"/>
      <c r="VI254" s="1872"/>
      <c r="VJ254" s="1872"/>
      <c r="VK254" s="1872"/>
      <c r="VL254" s="1872"/>
      <c r="VM254" s="1872"/>
      <c r="VN254" s="1872"/>
      <c r="VO254" s="1872"/>
      <c r="VP254" s="1872"/>
      <c r="VQ254" s="1872"/>
      <c r="VR254" s="1872"/>
      <c r="VS254" s="1872"/>
      <c r="VT254" s="1872"/>
      <c r="VU254" s="1872"/>
      <c r="VV254" s="1872"/>
      <c r="VW254" s="1872"/>
      <c r="VX254" s="1872"/>
      <c r="VY254" s="1872"/>
      <c r="VZ254" s="1872"/>
      <c r="WA254" s="1872"/>
      <c r="WB254" s="1872"/>
      <c r="WC254" s="1872"/>
      <c r="WD254" s="1872"/>
      <c r="WE254" s="1872"/>
      <c r="WF254" s="1872"/>
      <c r="WG254" s="1872"/>
      <c r="WH254" s="1872"/>
      <c r="WI254" s="1872"/>
      <c r="WJ254" s="1872"/>
      <c r="WK254" s="1872"/>
      <c r="WL254" s="1872"/>
      <c r="WM254" s="1872"/>
      <c r="WN254" s="1872"/>
      <c r="WO254" s="1872"/>
      <c r="WP254" s="1872"/>
      <c r="WQ254" s="1872"/>
      <c r="WR254" s="1872"/>
      <c r="WS254" s="1872"/>
      <c r="WT254" s="1872"/>
      <c r="WU254" s="1872"/>
      <c r="WV254" s="1872"/>
      <c r="WW254" s="1872"/>
      <c r="WX254" s="1872"/>
      <c r="WY254" s="1872"/>
      <c r="WZ254" s="1872"/>
      <c r="XA254" s="1872"/>
      <c r="XB254" s="1872"/>
      <c r="XC254" s="1872"/>
      <c r="XD254" s="1872"/>
      <c r="XE254" s="1872"/>
      <c r="XF254" s="1872"/>
      <c r="XG254" s="1872"/>
      <c r="XH254" s="1872"/>
      <c r="XI254" s="1872"/>
      <c r="XJ254" s="1872"/>
      <c r="XK254" s="1872"/>
      <c r="XL254" s="1872"/>
      <c r="XM254" s="1872"/>
      <c r="XN254" s="1872"/>
      <c r="XO254" s="1872"/>
      <c r="XP254" s="1872"/>
      <c r="XQ254" s="1872"/>
      <c r="XR254" s="1872"/>
      <c r="XS254" s="1872"/>
      <c r="XT254" s="1872"/>
      <c r="XU254" s="1872"/>
      <c r="XV254" s="1872"/>
      <c r="XW254" s="1872"/>
      <c r="XX254" s="1872"/>
      <c r="XY254" s="1872"/>
      <c r="XZ254" s="1872"/>
      <c r="YA254" s="1872"/>
      <c r="YB254" s="1872"/>
      <c r="YC254" s="1872"/>
      <c r="YD254" s="1872"/>
      <c r="YE254" s="1872"/>
      <c r="YF254" s="1872"/>
      <c r="YG254" s="1872"/>
      <c r="YH254" s="1872"/>
      <c r="YI254" s="1872"/>
      <c r="YJ254" s="1872"/>
      <c r="YK254" s="1872"/>
      <c r="YL254" s="1872"/>
      <c r="YM254" s="1872"/>
      <c r="YN254" s="1872"/>
      <c r="YO254" s="1872"/>
      <c r="YP254" s="1872"/>
      <c r="YQ254" s="1872"/>
      <c r="YR254" s="1872"/>
      <c r="YS254" s="1872"/>
      <c r="YT254" s="1872"/>
      <c r="YU254" s="1872"/>
      <c r="YV254" s="1872"/>
      <c r="YW254" s="1872"/>
      <c r="YX254" s="1872"/>
      <c r="YY254" s="1872"/>
      <c r="YZ254" s="1872"/>
      <c r="ZA254" s="1872"/>
      <c r="ZB254" s="1872"/>
      <c r="ZC254" s="1872"/>
      <c r="ZD254" s="1872"/>
      <c r="ZE254" s="1872"/>
      <c r="ZF254" s="1872"/>
      <c r="ZG254" s="1872"/>
      <c r="ZH254" s="1872"/>
      <c r="ZI254" s="1872"/>
      <c r="ZJ254" s="1872"/>
      <c r="ZK254" s="1872"/>
      <c r="ZL254" s="1872"/>
      <c r="ZM254" s="1872"/>
      <c r="ZN254" s="1872"/>
      <c r="ZO254" s="1872"/>
      <c r="ZP254" s="1872"/>
      <c r="ZQ254" s="1872"/>
      <c r="ZR254" s="1872"/>
      <c r="ZS254" s="1872"/>
      <c r="ZT254" s="1872"/>
      <c r="ZU254" s="1872"/>
      <c r="ZV254" s="1872"/>
      <c r="ZW254" s="1872"/>
      <c r="ZX254" s="1872"/>
      <c r="ZY254" s="1872"/>
      <c r="ZZ254" s="1872"/>
      <c r="AAA254" s="1872"/>
      <c r="AAB254" s="1872"/>
      <c r="AAC254" s="1872"/>
      <c r="AAD254" s="1872"/>
      <c r="AAE254" s="1872"/>
      <c r="AAF254" s="1872"/>
      <c r="AAG254" s="1872"/>
      <c r="AAH254" s="1872"/>
      <c r="AAI254" s="1872"/>
      <c r="AAJ254" s="1872"/>
      <c r="AAK254" s="1872"/>
      <c r="AAL254" s="1872"/>
      <c r="AAM254" s="1872"/>
      <c r="AAN254" s="1872"/>
      <c r="AAO254" s="1872"/>
      <c r="AAP254" s="1872"/>
      <c r="AAQ254" s="1872"/>
      <c r="AAR254" s="1872"/>
      <c r="AAS254" s="1872"/>
      <c r="AAT254" s="1872"/>
      <c r="AAU254" s="1872"/>
      <c r="AAV254" s="1872"/>
      <c r="AAW254" s="1872"/>
      <c r="AAX254" s="1872"/>
      <c r="AAY254" s="1872"/>
      <c r="AAZ254" s="1872"/>
      <c r="ABA254" s="1872"/>
      <c r="ABB254" s="1872"/>
      <c r="ABC254" s="1872"/>
      <c r="ABD254" s="1872"/>
      <c r="ABE254" s="1872"/>
      <c r="ABF254" s="1872"/>
      <c r="ABG254" s="1872"/>
      <c r="ABH254" s="1872"/>
      <c r="ABI254" s="1872"/>
      <c r="ABJ254" s="1872"/>
      <c r="ABK254" s="1872"/>
      <c r="ABL254" s="1872"/>
      <c r="ABM254" s="1872"/>
      <c r="ABN254" s="1872"/>
      <c r="ABO254" s="1872"/>
      <c r="ABP254" s="1872"/>
      <c r="ABQ254" s="1872"/>
      <c r="ABR254" s="1872"/>
      <c r="ABS254" s="1872"/>
      <c r="ABT254" s="1872"/>
      <c r="ABU254" s="1872"/>
      <c r="ABV254" s="1872"/>
      <c r="ABW254" s="1872"/>
      <c r="ABX254" s="1872"/>
      <c r="ABY254" s="1872"/>
      <c r="ABZ254" s="1872"/>
      <c r="ACA254" s="1872"/>
      <c r="ACB254" s="1872"/>
      <c r="ACC254" s="1872"/>
      <c r="ACD254" s="1872"/>
      <c r="ACE254" s="1872"/>
      <c r="ACF254" s="1872"/>
      <c r="ACG254" s="1872"/>
      <c r="ACH254" s="1872"/>
      <c r="ACI254" s="1872"/>
      <c r="ACJ254" s="1872"/>
      <c r="ACK254" s="1872"/>
      <c r="ACL254" s="1872"/>
      <c r="ACM254" s="1872"/>
      <c r="ACN254" s="1872"/>
      <c r="ACO254" s="1872"/>
      <c r="ACP254" s="1872"/>
      <c r="ACQ254" s="1872"/>
      <c r="ACR254" s="1872"/>
      <c r="ACS254" s="1872"/>
      <c r="ACT254" s="1872"/>
      <c r="ACU254" s="1872"/>
      <c r="ACV254" s="1872"/>
      <c r="ACW254" s="1872"/>
      <c r="ACX254" s="1872"/>
      <c r="ACY254" s="1872"/>
      <c r="ACZ254" s="1872"/>
      <c r="ADA254" s="1872"/>
      <c r="ADB254" s="1872"/>
      <c r="ADC254" s="1872"/>
      <c r="ADD254" s="1872"/>
      <c r="ADE254" s="1872"/>
      <c r="ADF254" s="1872"/>
      <c r="ADG254" s="1872"/>
      <c r="ADH254" s="1872"/>
      <c r="ADI254" s="1872"/>
      <c r="ADJ254" s="1872"/>
      <c r="ADK254" s="1872"/>
      <c r="ADL254" s="1872"/>
      <c r="ADM254" s="1872"/>
      <c r="ADN254" s="1872"/>
      <c r="ADO254" s="1872"/>
      <c r="ADP254" s="1872"/>
      <c r="ADQ254" s="1872"/>
      <c r="ADR254" s="1872"/>
      <c r="ADS254" s="1872"/>
      <c r="ADT254" s="1872"/>
      <c r="ADU254" s="1872"/>
      <c r="ADV254" s="1872"/>
      <c r="ADW254" s="1872"/>
      <c r="ADX254" s="1872"/>
      <c r="ADY254" s="1872"/>
      <c r="ADZ254" s="1872"/>
      <c r="AEA254" s="1872"/>
      <c r="AEB254" s="1872"/>
      <c r="AEC254" s="1872"/>
      <c r="AED254" s="1872"/>
      <c r="AEE254" s="1872"/>
      <c r="AEF254" s="1872"/>
      <c r="AEG254" s="1872"/>
      <c r="AEH254" s="1872"/>
      <c r="AEI254" s="1872"/>
      <c r="AEJ254" s="1872"/>
      <c r="AEK254" s="1872"/>
      <c r="AEL254" s="1872"/>
      <c r="AEM254" s="1872"/>
      <c r="AEN254" s="1872"/>
      <c r="AEO254" s="1872"/>
      <c r="AEP254" s="1872"/>
      <c r="AEQ254" s="1872"/>
      <c r="AER254" s="1872"/>
      <c r="AES254" s="1872"/>
      <c r="AET254" s="1872"/>
      <c r="AEU254" s="1872"/>
      <c r="AEV254" s="1872"/>
      <c r="AEW254" s="1872"/>
      <c r="AEX254" s="1872"/>
      <c r="AEY254" s="1872"/>
      <c r="AEZ254" s="1872"/>
      <c r="AFA254" s="1872"/>
      <c r="AFB254" s="1872"/>
      <c r="AFC254" s="1872"/>
      <c r="AFD254" s="1872"/>
      <c r="AFE254" s="1872"/>
      <c r="AFF254" s="1872"/>
      <c r="AFG254" s="1872"/>
      <c r="AFH254" s="1872"/>
      <c r="AFI254" s="1872"/>
      <c r="AFJ254" s="1872"/>
      <c r="AFK254" s="1872"/>
      <c r="AFL254" s="1872"/>
      <c r="AFM254" s="1872"/>
      <c r="AFN254" s="1872"/>
      <c r="AFO254" s="1872"/>
      <c r="AFP254" s="1872"/>
      <c r="AFQ254" s="1872"/>
      <c r="AFR254" s="1872"/>
      <c r="AFS254" s="1872"/>
      <c r="AFT254" s="1872"/>
      <c r="AFU254" s="1872"/>
      <c r="AFV254" s="1872"/>
      <c r="AFW254" s="1872"/>
      <c r="AFX254" s="1872"/>
      <c r="AFY254" s="1872"/>
      <c r="AFZ254" s="1872"/>
      <c r="AGA254" s="1872"/>
      <c r="AGB254" s="1872"/>
      <c r="AGC254" s="1872"/>
      <c r="AGD254" s="1872"/>
      <c r="AGE254" s="1872"/>
      <c r="AGF254" s="1872"/>
      <c r="AGG254" s="1872"/>
      <c r="AGH254" s="1872"/>
      <c r="AGI254" s="1872"/>
      <c r="AGJ254" s="1872"/>
      <c r="AGK254" s="1872"/>
      <c r="AGL254" s="1872"/>
      <c r="AGM254" s="1872"/>
      <c r="AGN254" s="1872"/>
      <c r="AGO254" s="1872"/>
      <c r="AGP254" s="1872"/>
      <c r="AGQ254" s="1872"/>
      <c r="AGR254" s="1872"/>
      <c r="AGS254" s="1872"/>
      <c r="AGT254" s="1872"/>
      <c r="AGU254" s="1872"/>
      <c r="AGV254" s="1872"/>
      <c r="AGW254" s="1872"/>
      <c r="AGX254" s="1872"/>
      <c r="AGY254" s="1872"/>
      <c r="AGZ254" s="1872"/>
      <c r="AHA254" s="1872"/>
      <c r="AHB254" s="1872"/>
      <c r="AHC254" s="1872"/>
      <c r="AHD254" s="1872"/>
      <c r="AHE254" s="1872"/>
      <c r="AHF254" s="1872"/>
      <c r="AHG254" s="1872"/>
      <c r="AHH254" s="1872"/>
      <c r="AHI254" s="1872"/>
      <c r="AHJ254" s="1872"/>
      <c r="AHK254" s="1872"/>
      <c r="AHL254" s="1872"/>
      <c r="AHM254" s="1872"/>
      <c r="AHN254" s="1872"/>
      <c r="AHO254" s="1872"/>
      <c r="AHP254" s="1872"/>
      <c r="AHQ254" s="1872"/>
      <c r="AHR254" s="1872"/>
      <c r="AHS254" s="1872"/>
      <c r="AHT254" s="1872"/>
      <c r="AHU254" s="1872"/>
      <c r="AHV254" s="1872"/>
      <c r="AHW254" s="1872"/>
      <c r="AHX254" s="1872"/>
      <c r="AHY254" s="1872"/>
      <c r="AHZ254" s="1872"/>
      <c r="AIA254" s="1872"/>
      <c r="AIB254" s="1872"/>
      <c r="AIC254" s="1872"/>
      <c r="AID254" s="1872"/>
      <c r="AIE254" s="1872"/>
      <c r="AIF254" s="1872"/>
      <c r="AIG254" s="1872"/>
      <c r="AIH254" s="1872"/>
      <c r="AII254" s="1872"/>
      <c r="AIJ254" s="1872"/>
      <c r="AIK254" s="1872"/>
      <c r="AIL254" s="1872"/>
      <c r="AIM254" s="1872"/>
      <c r="AIN254" s="1872"/>
      <c r="AIO254" s="1872"/>
      <c r="AIP254" s="1872"/>
      <c r="AIQ254" s="1872"/>
      <c r="AIR254" s="1872"/>
      <c r="AIS254" s="1872"/>
      <c r="AIT254" s="1872"/>
      <c r="AIU254" s="1872"/>
      <c r="AIV254" s="1872"/>
      <c r="AIW254" s="1872"/>
      <c r="AIX254" s="1872"/>
      <c r="AIY254" s="1872"/>
      <c r="AIZ254" s="1872"/>
      <c r="AJA254" s="1872"/>
      <c r="AJB254" s="1872"/>
      <c r="AJC254" s="1872"/>
      <c r="AJD254" s="1872"/>
      <c r="AJE254" s="1872"/>
      <c r="AJF254" s="1872"/>
      <c r="AJG254" s="1872"/>
      <c r="AJH254" s="1872"/>
      <c r="AJI254" s="1872"/>
      <c r="AJJ254" s="1872"/>
      <c r="AJK254" s="1872"/>
      <c r="AJL254" s="1872"/>
      <c r="AJM254" s="1872"/>
      <c r="AJN254" s="1872"/>
      <c r="AJO254" s="1872"/>
      <c r="AJP254" s="1872"/>
      <c r="AJQ254" s="1872"/>
      <c r="AJR254" s="1872"/>
      <c r="AJS254" s="1872"/>
      <c r="AJT254" s="1872"/>
      <c r="AJU254" s="1872"/>
      <c r="AJV254" s="1872"/>
      <c r="AJW254" s="1872"/>
      <c r="AJX254" s="1872"/>
      <c r="AJY254" s="1872"/>
      <c r="AJZ254" s="1872"/>
      <c r="AKA254" s="1872"/>
      <c r="AKB254" s="1872"/>
      <c r="AKC254" s="1872"/>
      <c r="AKD254" s="1872"/>
      <c r="AKE254" s="1872"/>
      <c r="AKF254" s="1872"/>
      <c r="AKG254" s="1872"/>
      <c r="AKH254" s="1872"/>
      <c r="AKI254" s="1872"/>
      <c r="AKJ254" s="1872"/>
      <c r="AKK254" s="1872"/>
      <c r="AKL254" s="1872"/>
      <c r="AKM254" s="1872"/>
      <c r="AKN254" s="1872"/>
      <c r="AKO254" s="1872"/>
      <c r="AKP254" s="1872"/>
      <c r="AKQ254" s="1872"/>
      <c r="AKR254" s="1872"/>
      <c r="AKS254" s="1872"/>
      <c r="AKT254" s="1872"/>
      <c r="AKU254" s="1872"/>
      <c r="AKV254" s="1872"/>
      <c r="AKW254" s="1872"/>
      <c r="AKX254" s="1872"/>
      <c r="AKY254" s="1872"/>
      <c r="AKZ254" s="1872"/>
      <c r="ALA254" s="1872"/>
      <c r="ALB254" s="1872"/>
      <c r="ALC254" s="1872"/>
      <c r="ALD254" s="1872"/>
      <c r="ALE254" s="1872"/>
      <c r="ALF254" s="1872"/>
      <c r="ALG254" s="1872"/>
      <c r="ALH254" s="1872"/>
      <c r="ALI254" s="1872"/>
      <c r="ALJ254" s="1872"/>
      <c r="ALK254" s="1872"/>
      <c r="ALL254" s="1872"/>
      <c r="ALM254" s="1872"/>
      <c r="ALN254" s="1872"/>
      <c r="ALO254" s="1872"/>
      <c r="ALP254" s="1872"/>
      <c r="ALQ254" s="1872"/>
      <c r="ALR254" s="1872"/>
      <c r="ALS254" s="1872"/>
      <c r="ALT254" s="1872"/>
      <c r="ALU254" s="1872"/>
      <c r="ALV254" s="1872"/>
      <c r="ALW254" s="1872"/>
      <c r="ALX254" s="1872"/>
      <c r="ALY254" s="1872"/>
      <c r="ALZ254" s="1872"/>
      <c r="AMA254" s="1872"/>
      <c r="AMB254" s="1872"/>
      <c r="AMC254" s="1872"/>
      <c r="AMD254" s="1872"/>
      <c r="AME254" s="1872"/>
      <c r="AMF254" s="1872"/>
      <c r="AMG254" s="1872"/>
      <c r="AMH254" s="1872"/>
      <c r="AMI254" s="1872"/>
      <c r="AMJ254" s="1872"/>
      <c r="AMK254" s="1872"/>
      <c r="AML254" s="1872"/>
      <c r="AMM254" s="1872"/>
      <c r="AMN254" s="1872"/>
      <c r="AMO254" s="1872"/>
      <c r="AMP254" s="1872"/>
      <c r="AMQ254" s="1872"/>
      <c r="AMR254" s="1872"/>
      <c r="AMS254" s="1872"/>
      <c r="AMT254" s="1872"/>
      <c r="AMU254" s="1872"/>
      <c r="AMV254" s="1872"/>
      <c r="AMW254" s="1872"/>
      <c r="AMX254" s="1872"/>
      <c r="AMY254" s="1872"/>
      <c r="AMZ254" s="1872"/>
      <c r="ANA254" s="1872"/>
      <c r="ANB254" s="1872"/>
      <c r="ANC254" s="1872"/>
      <c r="AND254" s="1872"/>
      <c r="ANE254" s="1872"/>
      <c r="ANF254" s="1872"/>
      <c r="ANG254" s="1872"/>
      <c r="ANH254" s="1872"/>
      <c r="ANI254" s="1872"/>
      <c r="ANJ254" s="1872"/>
      <c r="ANK254" s="1872"/>
      <c r="ANL254" s="1872"/>
      <c r="ANM254" s="1872"/>
      <c r="ANN254" s="1872"/>
      <c r="ANO254" s="1872"/>
      <c r="ANP254" s="1872"/>
      <c r="ANQ254" s="1872"/>
      <c r="ANR254" s="1872"/>
      <c r="ANS254" s="1872"/>
      <c r="ANT254" s="1872"/>
      <c r="ANU254" s="1872"/>
      <c r="ANV254" s="1872"/>
      <c r="ANW254" s="1872"/>
      <c r="ANX254" s="1872"/>
      <c r="ANY254" s="1872"/>
      <c r="ANZ254" s="1872"/>
      <c r="AOA254" s="1872"/>
      <c r="AOB254" s="1872"/>
      <c r="AOC254" s="1872"/>
      <c r="AOD254" s="1872"/>
      <c r="AOE254" s="1872"/>
      <c r="AOF254" s="1872"/>
      <c r="AOG254" s="1872"/>
      <c r="AOH254" s="1872"/>
      <c r="AOI254" s="1872"/>
      <c r="AOJ254" s="1872"/>
      <c r="AOK254" s="1872"/>
      <c r="AOL254" s="1872"/>
      <c r="AOM254" s="1872"/>
      <c r="AON254" s="1872"/>
      <c r="AOO254" s="1872"/>
      <c r="AOP254" s="1872"/>
      <c r="AOQ254" s="1872"/>
      <c r="AOR254" s="1872"/>
      <c r="AOS254" s="1872"/>
      <c r="AOT254" s="1872"/>
      <c r="AOU254" s="1872"/>
      <c r="AOV254" s="1872"/>
      <c r="AOW254" s="1872"/>
      <c r="AOX254" s="1872"/>
      <c r="AOY254" s="1872"/>
      <c r="AOZ254" s="1872"/>
      <c r="APA254" s="1872"/>
      <c r="APB254" s="1872"/>
      <c r="APC254" s="1872"/>
      <c r="APD254" s="1872"/>
      <c r="APE254" s="1872"/>
      <c r="APF254" s="1872"/>
      <c r="APG254" s="1872"/>
      <c r="APH254" s="1872"/>
      <c r="API254" s="1872"/>
      <c r="APJ254" s="1872"/>
      <c r="APK254" s="1872"/>
      <c r="APL254" s="1872"/>
      <c r="APM254" s="1872"/>
      <c r="APN254" s="1872"/>
      <c r="APO254" s="1872"/>
      <c r="APP254" s="1872"/>
      <c r="APQ254" s="1872"/>
      <c r="APR254" s="1872"/>
      <c r="APS254" s="1872"/>
      <c r="APT254" s="1872"/>
      <c r="APU254" s="1872"/>
      <c r="APV254" s="1872"/>
      <c r="APW254" s="1872"/>
      <c r="APX254" s="1872"/>
      <c r="APY254" s="1872"/>
      <c r="APZ254" s="1872"/>
      <c r="AQA254" s="1872"/>
      <c r="AQB254" s="1872"/>
      <c r="AQC254" s="1872"/>
      <c r="AQD254" s="1872"/>
      <c r="AQE254" s="1872"/>
      <c r="AQF254" s="1872"/>
      <c r="AQG254" s="1872"/>
      <c r="AQH254" s="1872"/>
      <c r="AQI254" s="1872"/>
      <c r="AQJ254" s="1872"/>
      <c r="AQK254" s="1872"/>
      <c r="AQL254" s="1872"/>
      <c r="AQM254" s="1872"/>
      <c r="AQN254" s="1872"/>
      <c r="AQO254" s="1872"/>
      <c r="AQP254" s="1872"/>
      <c r="AQQ254" s="1872"/>
      <c r="AQR254" s="1872"/>
      <c r="AQS254" s="1872"/>
      <c r="AQT254" s="1872"/>
      <c r="AQU254" s="1872"/>
      <c r="AQV254" s="1872"/>
      <c r="AQW254" s="1872"/>
      <c r="AQX254" s="1872"/>
      <c r="AQY254" s="1872"/>
      <c r="AQZ254" s="1872"/>
      <c r="ARA254" s="1872"/>
      <c r="ARB254" s="1872"/>
      <c r="ARC254" s="1872"/>
      <c r="ARD254" s="1872"/>
      <c r="ARE254" s="1872"/>
      <c r="ARF254" s="1872"/>
      <c r="ARG254" s="1872"/>
      <c r="ARH254" s="1872"/>
      <c r="ARI254" s="1872"/>
      <c r="ARJ254" s="1872"/>
      <c r="ARK254" s="1872"/>
      <c r="ARL254" s="1872"/>
      <c r="ARM254" s="1872"/>
      <c r="ARN254" s="1872"/>
      <c r="ARO254" s="1872"/>
      <c r="ARP254" s="1872"/>
      <c r="ARQ254" s="1872"/>
      <c r="ARR254" s="1872"/>
      <c r="ARS254" s="1872"/>
      <c r="ART254" s="1872"/>
      <c r="ARU254" s="1872"/>
      <c r="ARV254" s="1872"/>
      <c r="ARW254" s="1872"/>
      <c r="ARX254" s="1872"/>
      <c r="ARY254" s="1872"/>
      <c r="ARZ254" s="1872"/>
      <c r="ASA254" s="1872"/>
      <c r="ASB254" s="1872"/>
      <c r="ASC254" s="1872"/>
      <c r="ASD254" s="1872"/>
      <c r="ASE254" s="1872"/>
      <c r="ASF254" s="1872"/>
      <c r="ASG254" s="1872"/>
      <c r="ASH254" s="1872"/>
      <c r="ASI254" s="1872"/>
      <c r="ASJ254" s="1872"/>
      <c r="ASK254" s="1872"/>
      <c r="ASL254" s="1872"/>
      <c r="ASM254" s="1872"/>
      <c r="ASN254" s="1872"/>
      <c r="ASO254" s="1872"/>
      <c r="ASP254" s="1872"/>
      <c r="ASQ254" s="1872"/>
      <c r="ASR254" s="1872"/>
      <c r="ASS254" s="1872"/>
      <c r="AST254" s="1872"/>
      <c r="ASU254" s="1872"/>
      <c r="ASV254" s="1872"/>
      <c r="ASW254" s="1872"/>
      <c r="ASX254" s="1872"/>
      <c r="ASY254" s="1872"/>
      <c r="ASZ254" s="1872"/>
      <c r="ATA254" s="1872"/>
      <c r="ATB254" s="1872"/>
      <c r="ATC254" s="1872"/>
      <c r="ATD254" s="1872"/>
      <c r="ATE254" s="1872"/>
      <c r="ATF254" s="1872"/>
      <c r="ATG254" s="1872"/>
      <c r="ATH254" s="1872"/>
      <c r="ATI254" s="1872"/>
      <c r="ATJ254" s="1872"/>
      <c r="ATK254" s="1872"/>
      <c r="ATL254" s="1872"/>
      <c r="ATM254" s="1872"/>
      <c r="ATN254" s="1872"/>
      <c r="ATO254" s="1872"/>
      <c r="ATP254" s="1872"/>
      <c r="ATQ254" s="1872"/>
      <c r="ATR254" s="1872"/>
      <c r="ATS254" s="1872"/>
      <c r="ATT254" s="1872"/>
      <c r="ATU254" s="1872"/>
      <c r="ATV254" s="1872"/>
      <c r="ATW254" s="1872"/>
      <c r="ATX254" s="1872"/>
      <c r="ATY254" s="1872"/>
      <c r="ATZ254" s="1872"/>
      <c r="AUA254" s="1872"/>
      <c r="AUB254" s="1872"/>
      <c r="AUC254" s="1872"/>
      <c r="AUD254" s="1872"/>
      <c r="AUE254" s="1872"/>
      <c r="AUF254" s="1872"/>
      <c r="AUG254" s="1872"/>
      <c r="AUH254" s="1872"/>
      <c r="AUI254" s="1872"/>
      <c r="AUJ254" s="1872"/>
      <c r="AUK254" s="1872"/>
      <c r="AUL254" s="1872"/>
      <c r="AUM254" s="1872"/>
      <c r="AUN254" s="1872"/>
      <c r="AUO254" s="1872"/>
      <c r="AUP254" s="1872"/>
      <c r="AUQ254" s="1872"/>
      <c r="AUR254" s="1872"/>
      <c r="AUS254" s="1872"/>
      <c r="AUT254" s="1872"/>
      <c r="AUU254" s="1872"/>
      <c r="AUV254" s="1872"/>
      <c r="AUW254" s="1872"/>
      <c r="AUX254" s="1872"/>
      <c r="AUY254" s="1872"/>
      <c r="AUZ254" s="1872"/>
      <c r="AVA254" s="1872"/>
      <c r="AVB254" s="1872"/>
      <c r="AVC254" s="1872"/>
      <c r="AVD254" s="1872"/>
      <c r="AVE254" s="1872"/>
      <c r="AVF254" s="1872"/>
      <c r="AVG254" s="1872"/>
      <c r="AVH254" s="1872"/>
      <c r="AVI254" s="1872"/>
      <c r="AVJ254" s="1872"/>
      <c r="AVK254" s="1872"/>
      <c r="AVL254" s="1872"/>
      <c r="AVM254" s="1872"/>
      <c r="AVN254" s="1872"/>
      <c r="AVO254" s="1872"/>
      <c r="AVP254" s="1872"/>
      <c r="AVQ254" s="1872"/>
      <c r="AVR254" s="1872"/>
      <c r="AVS254" s="1872"/>
      <c r="AVT254" s="1872"/>
      <c r="AVU254" s="1872"/>
      <c r="AVV254" s="1872"/>
      <c r="AVW254" s="1872"/>
      <c r="AVX254" s="1872"/>
      <c r="AVY254" s="1872"/>
      <c r="AVZ254" s="1872"/>
      <c r="AWA254" s="1872"/>
      <c r="AWB254" s="1872"/>
      <c r="AWC254" s="1872"/>
      <c r="AWD254" s="1872"/>
      <c r="AWE254" s="1872"/>
      <c r="AWF254" s="1872"/>
      <c r="AWG254" s="1872"/>
      <c r="AWH254" s="1872"/>
      <c r="AWI254" s="1872"/>
      <c r="AWJ254" s="1872"/>
      <c r="AWK254" s="1872"/>
      <c r="AWL254" s="1872"/>
      <c r="AWM254" s="1872"/>
      <c r="AWN254" s="1872"/>
      <c r="AWO254" s="1872"/>
      <c r="AWP254" s="1872"/>
      <c r="AWQ254" s="1872"/>
    </row>
    <row r="255" spans="1:1291" ht="21" customHeight="1" thickBot="1" x14ac:dyDescent="0.25">
      <c r="A255" s="1964" t="s">
        <v>284</v>
      </c>
      <c r="B255" s="1988" t="s">
        <v>327</v>
      </c>
      <c r="C255" s="1699" t="s">
        <v>825</v>
      </c>
      <c r="D255" s="1880"/>
      <c r="E255" s="1984"/>
      <c r="F255" s="1865"/>
      <c r="G255" s="1866"/>
      <c r="H255" s="1866"/>
      <c r="I255" s="1866"/>
      <c r="J255" s="1866"/>
      <c r="K255" s="1866"/>
      <c r="L255" s="1866"/>
      <c r="M255" s="1866"/>
      <c r="N255" s="1866"/>
      <c r="O255" s="1866"/>
      <c r="P255" s="1866"/>
      <c r="Q255" s="1866"/>
      <c r="R255" s="1866"/>
      <c r="S255" s="1866"/>
      <c r="T255" s="1866"/>
      <c r="U255" s="1866"/>
      <c r="V255" s="1866"/>
      <c r="W255" s="1866"/>
      <c r="X255" s="1866"/>
      <c r="Y255" s="1866"/>
      <c r="Z255" s="1866"/>
      <c r="AA255" s="1866"/>
      <c r="AB255" s="1866"/>
      <c r="AC255" s="1866"/>
      <c r="AD255" s="1866"/>
      <c r="AE255" s="1866"/>
      <c r="AF255" s="1866"/>
      <c r="AG255" s="1866"/>
      <c r="AH255" s="1866"/>
      <c r="AI255" s="1866"/>
      <c r="AJ255" s="1866"/>
      <c r="AK255" s="1866"/>
      <c r="AL255" s="1866"/>
      <c r="AM255" s="1866"/>
      <c r="AN255" s="1866"/>
      <c r="AO255" s="1866"/>
      <c r="AP255" s="1866"/>
      <c r="AQ255" s="1866"/>
      <c r="AR255" s="1866"/>
      <c r="AS255" s="1866"/>
      <c r="AT255" s="1866"/>
      <c r="AU255" s="1866"/>
      <c r="AV255" s="1866"/>
      <c r="AW255" s="1866"/>
      <c r="AX255" s="1866"/>
      <c r="AY255" s="1866"/>
      <c r="AZ255" s="1866"/>
      <c r="BA255" s="1866"/>
      <c r="BB255" s="1866"/>
      <c r="BC255" s="1866"/>
      <c r="BD255" s="1866"/>
      <c r="BE255" s="1866"/>
      <c r="BF255" s="1866"/>
      <c r="BG255" s="1866"/>
      <c r="BH255" s="1866"/>
      <c r="BI255" s="1866"/>
      <c r="BJ255" s="1866"/>
      <c r="BK255" s="1866"/>
      <c r="BL255" s="1866"/>
      <c r="BM255" s="1866"/>
      <c r="BN255" s="1866"/>
      <c r="BO255" s="1866"/>
      <c r="BP255" s="1866"/>
      <c r="BQ255" s="1866"/>
      <c r="BR255" s="1866"/>
      <c r="BS255" s="1866"/>
      <c r="BT255" s="1866"/>
      <c r="BU255" s="1866"/>
      <c r="BV255" s="1866"/>
      <c r="BW255" s="1866"/>
      <c r="BX255" s="1866"/>
      <c r="BY255" s="1866"/>
      <c r="BZ255" s="1866"/>
      <c r="CA255" s="1866"/>
      <c r="CB255" s="1866"/>
      <c r="CC255" s="1866"/>
      <c r="CD255" s="1866"/>
      <c r="CE255" s="1866"/>
      <c r="CF255" s="1866"/>
      <c r="CG255" s="1866"/>
      <c r="CH255" s="1866"/>
      <c r="CI255" s="1866"/>
      <c r="CJ255" s="1866"/>
      <c r="CK255" s="1866"/>
      <c r="CL255" s="1866"/>
      <c r="CM255" s="1866"/>
      <c r="CN255" s="1866"/>
      <c r="CO255" s="1866"/>
      <c r="CP255" s="1866"/>
      <c r="CQ255" s="1866"/>
      <c r="CR255" s="1866"/>
      <c r="CS255" s="1866"/>
      <c r="CT255" s="1866"/>
      <c r="CU255" s="1866"/>
      <c r="CV255" s="1866"/>
      <c r="CW255" s="1866"/>
      <c r="CX255" s="1866"/>
      <c r="CY255" s="1866"/>
      <c r="CZ255" s="1866"/>
      <c r="DA255" s="1866"/>
      <c r="DB255" s="1866"/>
      <c r="DC255" s="1866"/>
      <c r="DD255" s="1866"/>
      <c r="DE255" s="1866"/>
      <c r="DF255" s="1866"/>
      <c r="DG255" s="1866"/>
      <c r="DH255" s="1866"/>
      <c r="DI255" s="1866"/>
      <c r="DJ255" s="1866"/>
      <c r="DK255" s="1866"/>
      <c r="DL255" s="1866"/>
      <c r="DM255" s="1866"/>
      <c r="DN255" s="1866"/>
      <c r="DO255" s="1866"/>
      <c r="DP255" s="1866"/>
      <c r="DQ255" s="1866"/>
      <c r="DR255" s="1866"/>
      <c r="DS255" s="1866"/>
      <c r="DT255" s="1866"/>
      <c r="DU255" s="1866"/>
      <c r="DV255" s="1866"/>
      <c r="DW255" s="1866"/>
      <c r="DX255" s="1866"/>
      <c r="DY255" s="1866"/>
      <c r="DZ255" s="1866"/>
      <c r="EA255" s="1866"/>
      <c r="EB255" s="1866"/>
      <c r="EC255" s="1866"/>
      <c r="ED255" s="1866"/>
      <c r="EE255" s="1866"/>
      <c r="EF255" s="1866"/>
      <c r="EG255" s="1866"/>
      <c r="EH255" s="1866"/>
      <c r="EI255" s="1866"/>
      <c r="EJ255" s="1866"/>
      <c r="EK255" s="1866"/>
      <c r="EL255" s="1866"/>
      <c r="EM255" s="1866"/>
      <c r="EN255" s="1866"/>
      <c r="EO255" s="1866"/>
      <c r="EP255" s="1866"/>
      <c r="EQ255" s="1866"/>
      <c r="ER255" s="1866"/>
      <c r="ES255" s="1866"/>
      <c r="ET255" s="1866"/>
      <c r="EU255" s="1866"/>
      <c r="EV255" s="1866"/>
      <c r="EW255" s="1866"/>
      <c r="EX255" s="1866"/>
      <c r="EY255" s="1866"/>
      <c r="EZ255" s="1866"/>
      <c r="FA255" s="1866"/>
      <c r="FB255" s="1866"/>
      <c r="FC255" s="1866"/>
      <c r="FD255" s="1866"/>
      <c r="FE255" s="1866"/>
      <c r="FF255" s="1866"/>
      <c r="FG255" s="1866"/>
      <c r="FH255" s="1866"/>
      <c r="FI255" s="1866"/>
      <c r="FJ255" s="1866"/>
      <c r="FK255" s="1866"/>
      <c r="FL255" s="1866"/>
      <c r="FM255" s="1866"/>
      <c r="FN255" s="1866"/>
      <c r="FO255" s="1866"/>
      <c r="FP255" s="1866"/>
      <c r="FQ255" s="1866"/>
      <c r="FR255" s="1866"/>
      <c r="FS255" s="1866"/>
      <c r="FT255" s="1866"/>
      <c r="FU255" s="1866"/>
      <c r="FV255" s="1866"/>
      <c r="FW255" s="1866"/>
      <c r="FX255" s="1866"/>
      <c r="FY255" s="1866"/>
      <c r="FZ255" s="1866"/>
      <c r="GA255" s="1866"/>
      <c r="GB255" s="1866"/>
      <c r="GC255" s="1866"/>
      <c r="GD255" s="1866"/>
      <c r="GE255" s="1866"/>
      <c r="GF255" s="1866"/>
      <c r="GG255" s="1866"/>
      <c r="GH255" s="1866"/>
      <c r="GI255" s="1866"/>
      <c r="GJ255" s="1866"/>
      <c r="GK255" s="1866"/>
      <c r="GL255" s="1866"/>
      <c r="GM255" s="1866"/>
      <c r="GN255" s="1866"/>
      <c r="GO255" s="1866"/>
      <c r="GP255" s="1866"/>
      <c r="GQ255" s="1866"/>
      <c r="GR255" s="1866"/>
      <c r="GS255" s="1866"/>
      <c r="GT255" s="1866"/>
      <c r="GU255" s="1866"/>
      <c r="GV255" s="1866"/>
      <c r="GW255" s="1866"/>
      <c r="GX255" s="1866"/>
      <c r="GY255" s="1866"/>
      <c r="GZ255" s="1866"/>
      <c r="HA255" s="1866"/>
      <c r="HB255" s="1866"/>
      <c r="HC255" s="1866"/>
      <c r="HD255" s="1866"/>
      <c r="HE255" s="1866"/>
      <c r="HF255" s="1872"/>
      <c r="HG255" s="1872"/>
      <c r="HH255" s="1872"/>
      <c r="HI255" s="1872"/>
      <c r="HJ255" s="1872"/>
      <c r="HK255" s="1872"/>
      <c r="HL255" s="1872"/>
      <c r="HM255" s="1872"/>
      <c r="HN255" s="1872"/>
      <c r="HO255" s="1872"/>
      <c r="HP255" s="1872"/>
      <c r="HQ255" s="1872"/>
      <c r="HR255" s="1872"/>
      <c r="HS255" s="1872"/>
      <c r="HT255" s="1872"/>
      <c r="HU255" s="1872"/>
      <c r="HV255" s="1872"/>
      <c r="HW255" s="1872"/>
      <c r="HX255" s="1872"/>
      <c r="HY255" s="1872"/>
      <c r="HZ255" s="1872"/>
      <c r="IA255" s="1872"/>
      <c r="IB255" s="1872"/>
      <c r="IC255" s="1872"/>
      <c r="ID255" s="1872"/>
      <c r="IE255" s="1872"/>
      <c r="IF255" s="1872"/>
      <c r="IG255" s="1872"/>
      <c r="IH255" s="1872"/>
      <c r="II255" s="1872"/>
      <c r="IJ255" s="1872"/>
      <c r="IK255" s="1872"/>
      <c r="IL255" s="1872"/>
      <c r="IM255" s="1872"/>
      <c r="IN255" s="1872"/>
      <c r="IO255" s="1872"/>
      <c r="IP255" s="1872"/>
      <c r="IQ255" s="1872"/>
      <c r="IR255" s="1872"/>
      <c r="IS255" s="1872"/>
      <c r="IT255" s="1872"/>
      <c r="IU255" s="1872"/>
      <c r="IV255" s="1872"/>
      <c r="IW255" s="1872"/>
      <c r="IX255" s="1872"/>
      <c r="IY255" s="1872"/>
      <c r="IZ255" s="1872"/>
      <c r="JA255" s="1872"/>
      <c r="JB255" s="1872"/>
      <c r="JC255" s="1872"/>
      <c r="JD255" s="1872"/>
      <c r="JE255" s="1872"/>
      <c r="JF255" s="1872"/>
      <c r="JG255" s="1872"/>
      <c r="JH255" s="1872"/>
      <c r="JI255" s="1872"/>
      <c r="JJ255" s="1872"/>
      <c r="JK255" s="1872"/>
      <c r="JL255" s="1872"/>
      <c r="JM255" s="1872"/>
      <c r="JN255" s="1872"/>
      <c r="JO255" s="1872"/>
      <c r="JP255" s="1872"/>
      <c r="JQ255" s="1872"/>
      <c r="JR255" s="1872"/>
      <c r="JS255" s="1872"/>
      <c r="JT255" s="1872"/>
      <c r="JU255" s="1872"/>
      <c r="JV255" s="1872"/>
      <c r="JW255" s="1872"/>
      <c r="JX255" s="1872"/>
      <c r="JY255" s="1872"/>
      <c r="JZ255" s="1872"/>
      <c r="KA255" s="1872"/>
      <c r="KB255" s="1872"/>
      <c r="KC255" s="1872"/>
      <c r="KD255" s="1872"/>
      <c r="KE255" s="1872"/>
      <c r="KF255" s="1872"/>
      <c r="KG255" s="1872"/>
      <c r="KH255" s="1872"/>
      <c r="KI255" s="1872"/>
      <c r="KJ255" s="1872"/>
      <c r="KK255" s="1872"/>
      <c r="KL255" s="1872"/>
      <c r="KM255" s="1872"/>
      <c r="KN255" s="1872"/>
      <c r="KO255" s="1872"/>
      <c r="KP255" s="1872"/>
      <c r="KQ255" s="1872"/>
      <c r="KR255" s="1872"/>
      <c r="KS255" s="1872"/>
      <c r="KT255" s="1872"/>
      <c r="KU255" s="1872"/>
      <c r="KV255" s="1872"/>
      <c r="KW255" s="1872"/>
      <c r="KX255" s="1872"/>
      <c r="KY255" s="1872"/>
      <c r="KZ255" s="1872"/>
      <c r="LA255" s="1872"/>
      <c r="LB255" s="1872"/>
      <c r="LC255" s="1872"/>
      <c r="LD255" s="1872"/>
      <c r="LE255" s="1872"/>
      <c r="LF255" s="1872"/>
      <c r="LG255" s="1872"/>
      <c r="LH255" s="1872"/>
      <c r="LI255" s="1872"/>
      <c r="LJ255" s="1872"/>
      <c r="LK255" s="1872"/>
      <c r="LL255" s="1872"/>
      <c r="LM255" s="1872"/>
      <c r="LN255" s="1872"/>
      <c r="LO255" s="1872"/>
      <c r="LP255" s="1872"/>
      <c r="LQ255" s="1872"/>
      <c r="LR255" s="1872"/>
      <c r="LS255" s="1872"/>
      <c r="LT255" s="1872"/>
      <c r="LU255" s="1872"/>
      <c r="LV255" s="1872"/>
      <c r="LW255" s="1872"/>
      <c r="LX255" s="1872"/>
      <c r="LY255" s="1872"/>
      <c r="LZ255" s="1872"/>
      <c r="MA255" s="1872"/>
      <c r="MB255" s="1872"/>
      <c r="MC255" s="1872"/>
      <c r="MD255" s="1872"/>
      <c r="ME255" s="1872"/>
      <c r="MF255" s="1872"/>
      <c r="MG255" s="1872"/>
      <c r="MH255" s="1872"/>
      <c r="MI255" s="1872"/>
      <c r="MJ255" s="1872"/>
      <c r="MK255" s="1872"/>
      <c r="ML255" s="1872"/>
      <c r="MM255" s="1872"/>
      <c r="MN255" s="1872"/>
      <c r="MO255" s="1872"/>
      <c r="MP255" s="1872"/>
      <c r="MQ255" s="1872"/>
      <c r="MR255" s="1872"/>
      <c r="MS255" s="1872"/>
      <c r="MT255" s="1872"/>
      <c r="MU255" s="1872"/>
      <c r="MV255" s="1872"/>
      <c r="MW255" s="1872"/>
      <c r="MX255" s="1872"/>
      <c r="MY255" s="1872"/>
      <c r="MZ255" s="1872"/>
      <c r="NA255" s="1872"/>
      <c r="NB255" s="1872"/>
      <c r="NC255" s="1872"/>
      <c r="ND255" s="1872"/>
      <c r="NE255" s="1872"/>
      <c r="NF255" s="1872"/>
      <c r="NG255" s="1872"/>
      <c r="NH255" s="1872"/>
      <c r="NI255" s="1872"/>
      <c r="NJ255" s="1872"/>
      <c r="NK255" s="1872"/>
      <c r="NL255" s="1872"/>
      <c r="NM255" s="1872"/>
      <c r="NN255" s="1872"/>
      <c r="NO255" s="1872"/>
      <c r="NP255" s="1872"/>
      <c r="NQ255" s="1872"/>
      <c r="NR255" s="1872"/>
      <c r="NS255" s="1872"/>
      <c r="NT255" s="1872"/>
      <c r="NU255" s="1872"/>
      <c r="NV255" s="1872"/>
      <c r="NW255" s="1872"/>
      <c r="NX255" s="1872"/>
      <c r="NY255" s="1872"/>
      <c r="NZ255" s="1872"/>
      <c r="OA255" s="1872"/>
      <c r="OB255" s="1872"/>
      <c r="OC255" s="1872"/>
      <c r="OD255" s="1872"/>
      <c r="OE255" s="1872"/>
      <c r="OF255" s="1872"/>
      <c r="OG255" s="1872"/>
      <c r="OH255" s="1872"/>
      <c r="OI255" s="1872"/>
      <c r="OJ255" s="1872"/>
      <c r="OK255" s="1872"/>
      <c r="OL255" s="1872"/>
      <c r="OM255" s="1872"/>
      <c r="ON255" s="1872"/>
      <c r="OO255" s="1872"/>
      <c r="OP255" s="1872"/>
      <c r="OQ255" s="1872"/>
      <c r="OR255" s="1872"/>
      <c r="OS255" s="1872"/>
      <c r="OT255" s="1872"/>
      <c r="OU255" s="1872"/>
      <c r="OV255" s="1872"/>
      <c r="OW255" s="1872"/>
      <c r="OX255" s="1872"/>
      <c r="OY255" s="1872"/>
      <c r="OZ255" s="1872"/>
      <c r="PA255" s="1872"/>
      <c r="PB255" s="1872"/>
      <c r="PC255" s="1872"/>
      <c r="PD255" s="1872"/>
      <c r="PE255" s="1872"/>
      <c r="PF255" s="1872"/>
      <c r="PG255" s="1872"/>
      <c r="PH255" s="1872"/>
      <c r="PI255" s="1872"/>
      <c r="PJ255" s="1872"/>
      <c r="PK255" s="1872"/>
      <c r="PL255" s="1872"/>
      <c r="PM255" s="1872"/>
      <c r="PN255" s="1872"/>
      <c r="PO255" s="1872"/>
      <c r="PP255" s="1872"/>
      <c r="PQ255" s="1872"/>
      <c r="PR255" s="1872"/>
      <c r="PS255" s="1872"/>
      <c r="PT255" s="1872"/>
      <c r="PU255" s="1872"/>
      <c r="PV255" s="1872"/>
      <c r="PW255" s="1872"/>
      <c r="PX255" s="1872"/>
      <c r="PY255" s="1872"/>
      <c r="PZ255" s="1872"/>
      <c r="QA255" s="1872"/>
      <c r="QB255" s="1872"/>
      <c r="QC255" s="1872"/>
      <c r="QD255" s="1872"/>
      <c r="QE255" s="1872"/>
      <c r="QF255" s="1872"/>
      <c r="QG255" s="1872"/>
      <c r="QH255" s="1872"/>
      <c r="QI255" s="1872"/>
      <c r="QJ255" s="1872"/>
      <c r="QK255" s="1872"/>
      <c r="QL255" s="1872"/>
      <c r="QM255" s="1872"/>
      <c r="QN255" s="1872"/>
      <c r="QO255" s="1872"/>
      <c r="QP255" s="1872"/>
      <c r="QQ255" s="1872"/>
      <c r="QR255" s="1872"/>
      <c r="QS255" s="1872"/>
      <c r="QT255" s="1872"/>
      <c r="QU255" s="1872"/>
      <c r="QV255" s="1872"/>
      <c r="QW255" s="1872"/>
      <c r="QX255" s="1872"/>
      <c r="QY255" s="1872"/>
      <c r="QZ255" s="1872"/>
      <c r="RA255" s="1872"/>
      <c r="RB255" s="1872"/>
      <c r="RC255" s="1872"/>
      <c r="RD255" s="1872"/>
      <c r="RE255" s="1872"/>
      <c r="RF255" s="1872"/>
      <c r="RG255" s="1872"/>
      <c r="RH255" s="1872"/>
      <c r="RI255" s="1872"/>
      <c r="RJ255" s="1872"/>
      <c r="RK255" s="1872"/>
      <c r="RL255" s="1872"/>
      <c r="RM255" s="1872"/>
      <c r="RN255" s="1872"/>
      <c r="RO255" s="1872"/>
      <c r="RP255" s="1872"/>
      <c r="RQ255" s="1872"/>
      <c r="RR255" s="1872"/>
      <c r="RS255" s="1872"/>
      <c r="RT255" s="1872"/>
      <c r="RU255" s="1872"/>
      <c r="RV255" s="1872"/>
      <c r="RW255" s="1872"/>
      <c r="RX255" s="1872"/>
      <c r="RY255" s="1872"/>
      <c r="RZ255" s="1872"/>
      <c r="SA255" s="1872"/>
      <c r="SB255" s="1872"/>
      <c r="SC255" s="1872"/>
      <c r="SD255" s="1872"/>
      <c r="SE255" s="1872"/>
      <c r="SF255" s="1872"/>
      <c r="SG255" s="1872"/>
      <c r="SH255" s="1872"/>
      <c r="SI255" s="1872"/>
      <c r="SJ255" s="1872"/>
      <c r="SK255" s="1872"/>
      <c r="SL255" s="1872"/>
      <c r="SM255" s="1872"/>
      <c r="SN255" s="1872"/>
      <c r="SO255" s="1872"/>
      <c r="SP255" s="1872"/>
      <c r="SQ255" s="1872"/>
      <c r="SR255" s="1872"/>
      <c r="SS255" s="1872"/>
      <c r="ST255" s="1872"/>
      <c r="SU255" s="1872"/>
      <c r="SV255" s="1872"/>
      <c r="SW255" s="1872"/>
      <c r="SX255" s="1872"/>
      <c r="SY255" s="1872"/>
      <c r="SZ255" s="1872"/>
      <c r="TA255" s="1872"/>
      <c r="TB255" s="1872"/>
      <c r="TC255" s="1872"/>
      <c r="TD255" s="1872"/>
      <c r="TE255" s="1872"/>
      <c r="TF255" s="1872"/>
      <c r="TG255" s="1872"/>
      <c r="TH255" s="1872"/>
      <c r="TI255" s="1872"/>
      <c r="TJ255" s="1872"/>
      <c r="TK255" s="1872"/>
      <c r="TL255" s="1872"/>
      <c r="TM255" s="1872"/>
      <c r="TN255" s="1872"/>
      <c r="TO255" s="1872"/>
      <c r="TP255" s="1872"/>
      <c r="TQ255" s="1872"/>
      <c r="TR255" s="1872"/>
      <c r="TS255" s="1872"/>
      <c r="TT255" s="1872"/>
      <c r="TU255" s="1872"/>
      <c r="TV255" s="1872"/>
      <c r="TW255" s="1872"/>
      <c r="TX255" s="1872"/>
      <c r="TY255" s="1872"/>
      <c r="TZ255" s="1872"/>
      <c r="UA255" s="1872"/>
      <c r="UB255" s="1872"/>
      <c r="UC255" s="1872"/>
      <c r="UD255" s="1872"/>
      <c r="UE255" s="1872"/>
      <c r="UF255" s="1872"/>
      <c r="UG255" s="1872"/>
      <c r="UH255" s="1872"/>
      <c r="UI255" s="1872"/>
      <c r="UJ255" s="1872"/>
      <c r="UK255" s="1872"/>
      <c r="UL255" s="1872"/>
      <c r="UM255" s="1872"/>
      <c r="UN255" s="1872"/>
      <c r="UO255" s="1872"/>
      <c r="UP255" s="1872"/>
      <c r="UQ255" s="1872"/>
      <c r="UR255" s="1872"/>
      <c r="US255" s="1872"/>
      <c r="UT255" s="1872"/>
      <c r="UU255" s="1872"/>
      <c r="UV255" s="1872"/>
      <c r="UW255" s="1872"/>
      <c r="UX255" s="1872"/>
      <c r="UY255" s="1872"/>
      <c r="UZ255" s="1872"/>
      <c r="VA255" s="1872"/>
      <c r="VB255" s="1872"/>
      <c r="VC255" s="1872"/>
      <c r="VD255" s="1872"/>
      <c r="VE255" s="1872"/>
      <c r="VF255" s="1872"/>
      <c r="VG255" s="1872"/>
      <c r="VH255" s="1872"/>
      <c r="VI255" s="1872"/>
      <c r="VJ255" s="1872"/>
      <c r="VK255" s="1872"/>
      <c r="VL255" s="1872"/>
      <c r="VM255" s="1872"/>
      <c r="VN255" s="1872"/>
      <c r="VO255" s="1872"/>
      <c r="VP255" s="1872"/>
      <c r="VQ255" s="1872"/>
      <c r="VR255" s="1872"/>
      <c r="VS255" s="1872"/>
      <c r="VT255" s="1872"/>
      <c r="VU255" s="1872"/>
      <c r="VV255" s="1872"/>
      <c r="VW255" s="1872"/>
      <c r="VX255" s="1872"/>
      <c r="VY255" s="1872"/>
      <c r="VZ255" s="1872"/>
      <c r="WA255" s="1872"/>
      <c r="WB255" s="1872"/>
      <c r="WC255" s="1872"/>
      <c r="WD255" s="1872"/>
      <c r="WE255" s="1872"/>
      <c r="WF255" s="1872"/>
      <c r="WG255" s="1872"/>
      <c r="WH255" s="1872"/>
      <c r="WI255" s="1872"/>
      <c r="WJ255" s="1872"/>
      <c r="WK255" s="1872"/>
      <c r="WL255" s="1872"/>
      <c r="WM255" s="1872"/>
      <c r="WN255" s="1872"/>
      <c r="WO255" s="1872"/>
      <c r="WP255" s="1872"/>
      <c r="WQ255" s="1872"/>
      <c r="WR255" s="1872"/>
      <c r="WS255" s="1872"/>
      <c r="WT255" s="1872"/>
      <c r="WU255" s="1872"/>
      <c r="WV255" s="1872"/>
      <c r="WW255" s="1872"/>
      <c r="WX255" s="1872"/>
      <c r="WY255" s="1872"/>
      <c r="WZ255" s="1872"/>
      <c r="XA255" s="1872"/>
      <c r="XB255" s="1872"/>
      <c r="XC255" s="1872"/>
      <c r="XD255" s="1872"/>
      <c r="XE255" s="1872"/>
      <c r="XF255" s="1872"/>
      <c r="XG255" s="1872"/>
      <c r="XH255" s="1872"/>
      <c r="XI255" s="1872"/>
      <c r="XJ255" s="1872"/>
      <c r="XK255" s="1872"/>
      <c r="XL255" s="1872"/>
      <c r="XM255" s="1872"/>
      <c r="XN255" s="1872"/>
      <c r="XO255" s="1872"/>
      <c r="XP255" s="1872"/>
      <c r="XQ255" s="1872"/>
      <c r="XR255" s="1872"/>
      <c r="XS255" s="1872"/>
      <c r="XT255" s="1872"/>
      <c r="XU255" s="1872"/>
      <c r="XV255" s="1872"/>
      <c r="XW255" s="1872"/>
      <c r="XX255" s="1872"/>
      <c r="XY255" s="1872"/>
      <c r="XZ255" s="1872"/>
      <c r="YA255" s="1872"/>
      <c r="YB255" s="1872"/>
      <c r="YC255" s="1872"/>
      <c r="YD255" s="1872"/>
      <c r="YE255" s="1872"/>
      <c r="YF255" s="1872"/>
      <c r="YG255" s="1872"/>
      <c r="YH255" s="1872"/>
      <c r="YI255" s="1872"/>
      <c r="YJ255" s="1872"/>
      <c r="YK255" s="1872"/>
      <c r="YL255" s="1872"/>
      <c r="YM255" s="1872"/>
      <c r="YN255" s="1872"/>
      <c r="YO255" s="1872"/>
      <c r="YP255" s="1872"/>
      <c r="YQ255" s="1872"/>
      <c r="YR255" s="1872"/>
      <c r="YS255" s="1872"/>
      <c r="YT255" s="1872"/>
      <c r="YU255" s="1872"/>
      <c r="YV255" s="1872"/>
      <c r="YW255" s="1872"/>
      <c r="YX255" s="1872"/>
      <c r="YY255" s="1872"/>
      <c r="YZ255" s="1872"/>
      <c r="ZA255" s="1872"/>
      <c r="ZB255" s="1872"/>
      <c r="ZC255" s="1872"/>
      <c r="ZD255" s="1872"/>
      <c r="ZE255" s="1872"/>
      <c r="ZF255" s="1872"/>
      <c r="ZG255" s="1872"/>
      <c r="ZH255" s="1872"/>
      <c r="ZI255" s="1872"/>
      <c r="ZJ255" s="1872"/>
      <c r="ZK255" s="1872"/>
      <c r="ZL255" s="1872"/>
      <c r="ZM255" s="1872"/>
      <c r="ZN255" s="1872"/>
      <c r="ZO255" s="1872"/>
      <c r="ZP255" s="1872"/>
      <c r="ZQ255" s="1872"/>
      <c r="ZR255" s="1872"/>
      <c r="ZS255" s="1872"/>
      <c r="ZT255" s="1872"/>
      <c r="ZU255" s="1872"/>
      <c r="ZV255" s="1872"/>
      <c r="ZW255" s="1872"/>
      <c r="ZX255" s="1872"/>
      <c r="ZY255" s="1872"/>
      <c r="ZZ255" s="1872"/>
      <c r="AAA255" s="1872"/>
      <c r="AAB255" s="1872"/>
      <c r="AAC255" s="1872"/>
      <c r="AAD255" s="1872"/>
      <c r="AAE255" s="1872"/>
      <c r="AAF255" s="1872"/>
      <c r="AAG255" s="1872"/>
      <c r="AAH255" s="1872"/>
      <c r="AAI255" s="1872"/>
      <c r="AAJ255" s="1872"/>
      <c r="AAK255" s="1872"/>
      <c r="AAL255" s="1872"/>
      <c r="AAM255" s="1872"/>
      <c r="AAN255" s="1872"/>
      <c r="AAO255" s="1872"/>
      <c r="AAP255" s="1872"/>
      <c r="AAQ255" s="1872"/>
      <c r="AAR255" s="1872"/>
      <c r="AAS255" s="1872"/>
      <c r="AAT255" s="1872"/>
      <c r="AAU255" s="1872"/>
      <c r="AAV255" s="1872"/>
      <c r="AAW255" s="1872"/>
      <c r="AAX255" s="1872"/>
      <c r="AAY255" s="1872"/>
      <c r="AAZ255" s="1872"/>
      <c r="ABA255" s="1872"/>
      <c r="ABB255" s="1872"/>
      <c r="ABC255" s="1872"/>
      <c r="ABD255" s="1872"/>
      <c r="ABE255" s="1872"/>
      <c r="ABF255" s="1872"/>
      <c r="ABG255" s="1872"/>
      <c r="ABH255" s="1872"/>
      <c r="ABI255" s="1872"/>
      <c r="ABJ255" s="1872"/>
      <c r="ABK255" s="1872"/>
      <c r="ABL255" s="1872"/>
      <c r="ABM255" s="1872"/>
      <c r="ABN255" s="1872"/>
      <c r="ABO255" s="1872"/>
      <c r="ABP255" s="1872"/>
      <c r="ABQ255" s="1872"/>
      <c r="ABR255" s="1872"/>
      <c r="ABS255" s="1872"/>
      <c r="ABT255" s="1872"/>
      <c r="ABU255" s="1872"/>
      <c r="ABV255" s="1872"/>
      <c r="ABW255" s="1872"/>
      <c r="ABX255" s="1872"/>
      <c r="ABY255" s="1872"/>
      <c r="ABZ255" s="1872"/>
      <c r="ACA255" s="1872"/>
      <c r="ACB255" s="1872"/>
      <c r="ACC255" s="1872"/>
      <c r="ACD255" s="1872"/>
      <c r="ACE255" s="1872"/>
      <c r="ACF255" s="1872"/>
      <c r="ACG255" s="1872"/>
      <c r="ACH255" s="1872"/>
      <c r="ACI255" s="1872"/>
      <c r="ACJ255" s="1872"/>
      <c r="ACK255" s="1872"/>
      <c r="ACL255" s="1872"/>
      <c r="ACM255" s="1872"/>
      <c r="ACN255" s="1872"/>
      <c r="ACO255" s="1872"/>
      <c r="ACP255" s="1872"/>
      <c r="ACQ255" s="1872"/>
      <c r="ACR255" s="1872"/>
      <c r="ACS255" s="1872"/>
      <c r="ACT255" s="1872"/>
      <c r="ACU255" s="1872"/>
      <c r="ACV255" s="1872"/>
      <c r="ACW255" s="1872"/>
      <c r="ACX255" s="1872"/>
      <c r="ACY255" s="1872"/>
      <c r="ACZ255" s="1872"/>
      <c r="ADA255" s="1872"/>
      <c r="ADB255" s="1872"/>
      <c r="ADC255" s="1872"/>
      <c r="ADD255" s="1872"/>
      <c r="ADE255" s="1872"/>
      <c r="ADF255" s="1872"/>
      <c r="ADG255" s="1872"/>
      <c r="ADH255" s="1872"/>
      <c r="ADI255" s="1872"/>
      <c r="ADJ255" s="1872"/>
      <c r="ADK255" s="1872"/>
      <c r="ADL255" s="1872"/>
      <c r="ADM255" s="1872"/>
      <c r="ADN255" s="1872"/>
      <c r="ADO255" s="1872"/>
      <c r="ADP255" s="1872"/>
      <c r="ADQ255" s="1872"/>
      <c r="ADR255" s="1872"/>
      <c r="ADS255" s="1872"/>
      <c r="ADT255" s="1872"/>
      <c r="ADU255" s="1872"/>
      <c r="ADV255" s="1872"/>
      <c r="ADW255" s="1872"/>
      <c r="ADX255" s="1872"/>
      <c r="ADY255" s="1872"/>
      <c r="ADZ255" s="1872"/>
      <c r="AEA255" s="1872"/>
      <c r="AEB255" s="1872"/>
      <c r="AEC255" s="1872"/>
      <c r="AED255" s="1872"/>
      <c r="AEE255" s="1872"/>
      <c r="AEF255" s="1872"/>
      <c r="AEG255" s="1872"/>
      <c r="AEH255" s="1872"/>
      <c r="AEI255" s="1872"/>
      <c r="AEJ255" s="1872"/>
      <c r="AEK255" s="1872"/>
      <c r="AEL255" s="1872"/>
      <c r="AEM255" s="1872"/>
      <c r="AEN255" s="1872"/>
      <c r="AEO255" s="1872"/>
      <c r="AEP255" s="1872"/>
      <c r="AEQ255" s="1872"/>
      <c r="AER255" s="1872"/>
      <c r="AES255" s="1872"/>
      <c r="AET255" s="1872"/>
      <c r="AEU255" s="1872"/>
      <c r="AEV255" s="1872"/>
      <c r="AEW255" s="1872"/>
      <c r="AEX255" s="1872"/>
      <c r="AEY255" s="1872"/>
      <c r="AEZ255" s="1872"/>
      <c r="AFA255" s="1872"/>
      <c r="AFB255" s="1872"/>
      <c r="AFC255" s="1872"/>
      <c r="AFD255" s="1872"/>
      <c r="AFE255" s="1872"/>
      <c r="AFF255" s="1872"/>
      <c r="AFG255" s="1872"/>
      <c r="AFH255" s="1872"/>
      <c r="AFI255" s="1872"/>
      <c r="AFJ255" s="1872"/>
      <c r="AFK255" s="1872"/>
      <c r="AFL255" s="1872"/>
      <c r="AFM255" s="1872"/>
      <c r="AFN255" s="1872"/>
      <c r="AFO255" s="1872"/>
      <c r="AFP255" s="1872"/>
      <c r="AFQ255" s="1872"/>
      <c r="AFR255" s="1872"/>
      <c r="AFS255" s="1872"/>
      <c r="AFT255" s="1872"/>
      <c r="AFU255" s="1872"/>
      <c r="AFV255" s="1872"/>
      <c r="AFW255" s="1872"/>
      <c r="AFX255" s="1872"/>
      <c r="AFY255" s="1872"/>
      <c r="AFZ255" s="1872"/>
      <c r="AGA255" s="1872"/>
      <c r="AGB255" s="1872"/>
      <c r="AGC255" s="1872"/>
      <c r="AGD255" s="1872"/>
      <c r="AGE255" s="1872"/>
      <c r="AGF255" s="1872"/>
      <c r="AGG255" s="1872"/>
      <c r="AGH255" s="1872"/>
      <c r="AGI255" s="1872"/>
      <c r="AGJ255" s="1872"/>
      <c r="AGK255" s="1872"/>
      <c r="AGL255" s="1872"/>
      <c r="AGM255" s="1872"/>
      <c r="AGN255" s="1872"/>
      <c r="AGO255" s="1872"/>
      <c r="AGP255" s="1872"/>
      <c r="AGQ255" s="1872"/>
      <c r="AGR255" s="1872"/>
      <c r="AGS255" s="1872"/>
      <c r="AGT255" s="1872"/>
      <c r="AGU255" s="1872"/>
      <c r="AGV255" s="1872"/>
      <c r="AGW255" s="1872"/>
      <c r="AGX255" s="1872"/>
      <c r="AGY255" s="1872"/>
      <c r="AGZ255" s="1872"/>
      <c r="AHA255" s="1872"/>
      <c r="AHB255" s="1872"/>
      <c r="AHC255" s="1872"/>
      <c r="AHD255" s="1872"/>
      <c r="AHE255" s="1872"/>
      <c r="AHF255" s="1872"/>
      <c r="AHG255" s="1872"/>
      <c r="AHH255" s="1872"/>
      <c r="AHI255" s="1872"/>
      <c r="AHJ255" s="1872"/>
      <c r="AHK255" s="1872"/>
      <c r="AHL255" s="1872"/>
      <c r="AHM255" s="1872"/>
      <c r="AHN255" s="1872"/>
      <c r="AHO255" s="1872"/>
      <c r="AHP255" s="1872"/>
      <c r="AHQ255" s="1872"/>
      <c r="AHR255" s="1872"/>
      <c r="AHS255" s="1872"/>
      <c r="AHT255" s="1872"/>
      <c r="AHU255" s="1872"/>
      <c r="AHV255" s="1872"/>
      <c r="AHW255" s="1872"/>
      <c r="AHX255" s="1872"/>
      <c r="AHY255" s="1872"/>
      <c r="AHZ255" s="1872"/>
      <c r="AIA255" s="1872"/>
      <c r="AIB255" s="1872"/>
      <c r="AIC255" s="1872"/>
      <c r="AID255" s="1872"/>
      <c r="AIE255" s="1872"/>
      <c r="AIF255" s="1872"/>
      <c r="AIG255" s="1872"/>
      <c r="AIH255" s="1872"/>
      <c r="AII255" s="1872"/>
      <c r="AIJ255" s="1872"/>
      <c r="AIK255" s="1872"/>
      <c r="AIL255" s="1872"/>
      <c r="AIM255" s="1872"/>
      <c r="AIN255" s="1872"/>
      <c r="AIO255" s="1872"/>
      <c r="AIP255" s="1872"/>
      <c r="AIQ255" s="1872"/>
      <c r="AIR255" s="1872"/>
      <c r="AIS255" s="1872"/>
      <c r="AIT255" s="1872"/>
      <c r="AIU255" s="1872"/>
      <c r="AIV255" s="1872"/>
      <c r="AIW255" s="1872"/>
      <c r="AIX255" s="1872"/>
      <c r="AIY255" s="1872"/>
      <c r="AIZ255" s="1872"/>
      <c r="AJA255" s="1872"/>
      <c r="AJB255" s="1872"/>
      <c r="AJC255" s="1872"/>
      <c r="AJD255" s="1872"/>
      <c r="AJE255" s="1872"/>
      <c r="AJF255" s="1872"/>
      <c r="AJG255" s="1872"/>
      <c r="AJH255" s="1872"/>
      <c r="AJI255" s="1872"/>
      <c r="AJJ255" s="1872"/>
      <c r="AJK255" s="1872"/>
      <c r="AJL255" s="1872"/>
      <c r="AJM255" s="1872"/>
      <c r="AJN255" s="1872"/>
      <c r="AJO255" s="1872"/>
      <c r="AJP255" s="1872"/>
      <c r="AJQ255" s="1872"/>
      <c r="AJR255" s="1872"/>
      <c r="AJS255" s="1872"/>
      <c r="AJT255" s="1872"/>
      <c r="AJU255" s="1872"/>
      <c r="AJV255" s="1872"/>
      <c r="AJW255" s="1872"/>
      <c r="AJX255" s="1872"/>
      <c r="AJY255" s="1872"/>
      <c r="AJZ255" s="1872"/>
      <c r="AKA255" s="1872"/>
      <c r="AKB255" s="1872"/>
      <c r="AKC255" s="1872"/>
      <c r="AKD255" s="1872"/>
      <c r="AKE255" s="1872"/>
      <c r="AKF255" s="1872"/>
      <c r="AKG255" s="1872"/>
      <c r="AKH255" s="1872"/>
      <c r="AKI255" s="1872"/>
      <c r="AKJ255" s="1872"/>
      <c r="AKK255" s="1872"/>
      <c r="AKL255" s="1872"/>
      <c r="AKM255" s="1872"/>
      <c r="AKN255" s="1872"/>
      <c r="AKO255" s="1872"/>
      <c r="AKP255" s="1872"/>
      <c r="AKQ255" s="1872"/>
      <c r="AKR255" s="1872"/>
      <c r="AKS255" s="1872"/>
      <c r="AKT255" s="1872"/>
      <c r="AKU255" s="1872"/>
      <c r="AKV255" s="1872"/>
      <c r="AKW255" s="1872"/>
      <c r="AKX255" s="1872"/>
      <c r="AKY255" s="1872"/>
      <c r="AKZ255" s="1872"/>
      <c r="ALA255" s="1872"/>
      <c r="ALB255" s="1872"/>
      <c r="ALC255" s="1872"/>
      <c r="ALD255" s="1872"/>
      <c r="ALE255" s="1872"/>
      <c r="ALF255" s="1872"/>
      <c r="ALG255" s="1872"/>
      <c r="ALH255" s="1872"/>
      <c r="ALI255" s="1872"/>
      <c r="ALJ255" s="1872"/>
      <c r="ALK255" s="1872"/>
      <c r="ALL255" s="1872"/>
      <c r="ALM255" s="1872"/>
      <c r="ALN255" s="1872"/>
      <c r="ALO255" s="1872"/>
      <c r="ALP255" s="1872"/>
      <c r="ALQ255" s="1872"/>
      <c r="ALR255" s="1872"/>
      <c r="ALS255" s="1872"/>
      <c r="ALT255" s="1872"/>
      <c r="ALU255" s="1872"/>
      <c r="ALV255" s="1872"/>
      <c r="ALW255" s="1872"/>
      <c r="ALX255" s="1872"/>
      <c r="ALY255" s="1872"/>
      <c r="ALZ255" s="1872"/>
      <c r="AMA255" s="1872"/>
      <c r="AMB255" s="1872"/>
      <c r="AMC255" s="1872"/>
      <c r="AMD255" s="1872"/>
      <c r="AME255" s="1872"/>
      <c r="AMF255" s="1872"/>
      <c r="AMG255" s="1872"/>
      <c r="AMH255" s="1872"/>
      <c r="AMI255" s="1872"/>
      <c r="AMJ255" s="1872"/>
      <c r="AMK255" s="1872"/>
      <c r="AML255" s="1872"/>
      <c r="AMM255" s="1872"/>
      <c r="AMN255" s="1872"/>
      <c r="AMO255" s="1872"/>
      <c r="AMP255" s="1872"/>
      <c r="AMQ255" s="1872"/>
      <c r="AMR255" s="1872"/>
      <c r="AMS255" s="1872"/>
      <c r="AMT255" s="1872"/>
      <c r="AMU255" s="1872"/>
      <c r="AMV255" s="1872"/>
      <c r="AMW255" s="1872"/>
      <c r="AMX255" s="1872"/>
      <c r="AMY255" s="1872"/>
      <c r="AMZ255" s="1872"/>
      <c r="ANA255" s="1872"/>
      <c r="ANB255" s="1872"/>
      <c r="ANC255" s="1872"/>
      <c r="AND255" s="1872"/>
      <c r="ANE255" s="1872"/>
      <c r="ANF255" s="1872"/>
      <c r="ANG255" s="1872"/>
      <c r="ANH255" s="1872"/>
      <c r="ANI255" s="1872"/>
      <c r="ANJ255" s="1872"/>
      <c r="ANK255" s="1872"/>
      <c r="ANL255" s="1872"/>
      <c r="ANM255" s="1872"/>
      <c r="ANN255" s="1872"/>
      <c r="ANO255" s="1872"/>
      <c r="ANP255" s="1872"/>
      <c r="ANQ255" s="1872"/>
      <c r="ANR255" s="1872"/>
      <c r="ANS255" s="1872"/>
      <c r="ANT255" s="1872"/>
      <c r="ANU255" s="1872"/>
      <c r="ANV255" s="1872"/>
      <c r="ANW255" s="1872"/>
      <c r="ANX255" s="1872"/>
      <c r="ANY255" s="1872"/>
      <c r="ANZ255" s="1872"/>
      <c r="AOA255" s="1872"/>
      <c r="AOB255" s="1872"/>
      <c r="AOC255" s="1872"/>
      <c r="AOD255" s="1872"/>
      <c r="AOE255" s="1872"/>
      <c r="AOF255" s="1872"/>
      <c r="AOG255" s="1872"/>
      <c r="AOH255" s="1872"/>
      <c r="AOI255" s="1872"/>
      <c r="AOJ255" s="1872"/>
      <c r="AOK255" s="1872"/>
      <c r="AOL255" s="1872"/>
      <c r="AOM255" s="1872"/>
      <c r="AON255" s="1872"/>
      <c r="AOO255" s="1872"/>
      <c r="AOP255" s="1872"/>
      <c r="AOQ255" s="1872"/>
      <c r="AOR255" s="1872"/>
      <c r="AOS255" s="1872"/>
      <c r="AOT255" s="1872"/>
      <c r="AOU255" s="1872"/>
      <c r="AOV255" s="1872"/>
      <c r="AOW255" s="1872"/>
      <c r="AOX255" s="1872"/>
      <c r="AOY255" s="1872"/>
      <c r="AOZ255" s="1872"/>
      <c r="APA255" s="1872"/>
      <c r="APB255" s="1872"/>
      <c r="APC255" s="1872"/>
      <c r="APD255" s="1872"/>
      <c r="APE255" s="1872"/>
      <c r="APF255" s="1872"/>
      <c r="APG255" s="1872"/>
      <c r="APH255" s="1872"/>
      <c r="API255" s="1872"/>
      <c r="APJ255" s="1872"/>
      <c r="APK255" s="1872"/>
      <c r="APL255" s="1872"/>
      <c r="APM255" s="1872"/>
      <c r="APN255" s="1872"/>
      <c r="APO255" s="1872"/>
      <c r="APP255" s="1872"/>
      <c r="APQ255" s="1872"/>
      <c r="APR255" s="1872"/>
      <c r="APS255" s="1872"/>
      <c r="APT255" s="1872"/>
      <c r="APU255" s="1872"/>
      <c r="APV255" s="1872"/>
      <c r="APW255" s="1872"/>
      <c r="APX255" s="1872"/>
      <c r="APY255" s="1872"/>
      <c r="APZ255" s="1872"/>
      <c r="AQA255" s="1872"/>
      <c r="AQB255" s="1872"/>
      <c r="AQC255" s="1872"/>
      <c r="AQD255" s="1872"/>
      <c r="AQE255" s="1872"/>
      <c r="AQF255" s="1872"/>
      <c r="AQG255" s="1872"/>
      <c r="AQH255" s="1872"/>
      <c r="AQI255" s="1872"/>
      <c r="AQJ255" s="1872"/>
      <c r="AQK255" s="1872"/>
      <c r="AQL255" s="1872"/>
      <c r="AQM255" s="1872"/>
      <c r="AQN255" s="1872"/>
      <c r="AQO255" s="1872"/>
      <c r="AQP255" s="1872"/>
      <c r="AQQ255" s="1872"/>
      <c r="AQR255" s="1872"/>
      <c r="AQS255" s="1872"/>
      <c r="AQT255" s="1872"/>
      <c r="AQU255" s="1872"/>
      <c r="AQV255" s="1872"/>
      <c r="AQW255" s="1872"/>
      <c r="AQX255" s="1872"/>
      <c r="AQY255" s="1872"/>
      <c r="AQZ255" s="1872"/>
      <c r="ARA255" s="1872"/>
      <c r="ARB255" s="1872"/>
      <c r="ARC255" s="1872"/>
      <c r="ARD255" s="1872"/>
      <c r="ARE255" s="1872"/>
      <c r="ARF255" s="1872"/>
      <c r="ARG255" s="1872"/>
      <c r="ARH255" s="1872"/>
      <c r="ARI255" s="1872"/>
      <c r="ARJ255" s="1872"/>
      <c r="ARK255" s="1872"/>
      <c r="ARL255" s="1872"/>
      <c r="ARM255" s="1872"/>
      <c r="ARN255" s="1872"/>
      <c r="ARO255" s="1872"/>
      <c r="ARP255" s="1872"/>
      <c r="ARQ255" s="1872"/>
      <c r="ARR255" s="1872"/>
      <c r="ARS255" s="1872"/>
      <c r="ART255" s="1872"/>
      <c r="ARU255" s="1872"/>
      <c r="ARV255" s="1872"/>
      <c r="ARW255" s="1872"/>
      <c r="ARX255" s="1872"/>
      <c r="ARY255" s="1872"/>
      <c r="ARZ255" s="1872"/>
      <c r="ASA255" s="1872"/>
      <c r="ASB255" s="1872"/>
      <c r="ASC255" s="1872"/>
      <c r="ASD255" s="1872"/>
      <c r="ASE255" s="1872"/>
      <c r="ASF255" s="1872"/>
      <c r="ASG255" s="1872"/>
      <c r="ASH255" s="1872"/>
      <c r="ASI255" s="1872"/>
      <c r="ASJ255" s="1872"/>
      <c r="ASK255" s="1872"/>
      <c r="ASL255" s="1872"/>
      <c r="ASM255" s="1872"/>
      <c r="ASN255" s="1872"/>
      <c r="ASO255" s="1872"/>
      <c r="ASP255" s="1872"/>
      <c r="ASQ255" s="1872"/>
      <c r="ASR255" s="1872"/>
      <c r="ASS255" s="1872"/>
      <c r="AST255" s="1872"/>
      <c r="ASU255" s="1872"/>
      <c r="ASV255" s="1872"/>
      <c r="ASW255" s="1872"/>
      <c r="ASX255" s="1872"/>
      <c r="ASY255" s="1872"/>
      <c r="ASZ255" s="1872"/>
      <c r="ATA255" s="1872"/>
      <c r="ATB255" s="1872"/>
      <c r="ATC255" s="1872"/>
      <c r="ATD255" s="1872"/>
      <c r="ATE255" s="1872"/>
      <c r="ATF255" s="1872"/>
      <c r="ATG255" s="1872"/>
      <c r="ATH255" s="1872"/>
      <c r="ATI255" s="1872"/>
      <c r="ATJ255" s="1872"/>
      <c r="ATK255" s="1872"/>
      <c r="ATL255" s="1872"/>
      <c r="ATM255" s="1872"/>
      <c r="ATN255" s="1872"/>
      <c r="ATO255" s="1872"/>
      <c r="ATP255" s="1872"/>
      <c r="ATQ255" s="1872"/>
      <c r="ATR255" s="1872"/>
      <c r="ATS255" s="1872"/>
      <c r="ATT255" s="1872"/>
      <c r="ATU255" s="1872"/>
      <c r="ATV255" s="1872"/>
      <c r="ATW255" s="1872"/>
      <c r="ATX255" s="1872"/>
      <c r="ATY255" s="1872"/>
      <c r="ATZ255" s="1872"/>
      <c r="AUA255" s="1872"/>
      <c r="AUB255" s="1872"/>
      <c r="AUC255" s="1872"/>
      <c r="AUD255" s="1872"/>
      <c r="AUE255" s="1872"/>
      <c r="AUF255" s="1872"/>
      <c r="AUG255" s="1872"/>
      <c r="AUH255" s="1872"/>
      <c r="AUI255" s="1872"/>
      <c r="AUJ255" s="1872"/>
      <c r="AUK255" s="1872"/>
      <c r="AUL255" s="1872"/>
      <c r="AUM255" s="1872"/>
      <c r="AUN255" s="1872"/>
      <c r="AUO255" s="1872"/>
      <c r="AUP255" s="1872"/>
      <c r="AUQ255" s="1872"/>
      <c r="AUR255" s="1872"/>
      <c r="AUS255" s="1872"/>
      <c r="AUT255" s="1872"/>
      <c r="AUU255" s="1872"/>
      <c r="AUV255" s="1872"/>
      <c r="AUW255" s="1872"/>
      <c r="AUX255" s="1872"/>
      <c r="AUY255" s="1872"/>
      <c r="AUZ255" s="1872"/>
      <c r="AVA255" s="1872"/>
      <c r="AVB255" s="1872"/>
      <c r="AVC255" s="1872"/>
      <c r="AVD255" s="1872"/>
      <c r="AVE255" s="1872"/>
      <c r="AVF255" s="1872"/>
      <c r="AVG255" s="1872"/>
      <c r="AVH255" s="1872"/>
      <c r="AVI255" s="1872"/>
      <c r="AVJ255" s="1872"/>
      <c r="AVK255" s="1872"/>
      <c r="AVL255" s="1872"/>
      <c r="AVM255" s="1872"/>
      <c r="AVN255" s="1872"/>
      <c r="AVO255" s="1872"/>
      <c r="AVP255" s="1872"/>
      <c r="AVQ255" s="1872"/>
      <c r="AVR255" s="1872"/>
      <c r="AVS255" s="1872"/>
      <c r="AVT255" s="1872"/>
      <c r="AVU255" s="1872"/>
      <c r="AVV255" s="1872"/>
      <c r="AVW255" s="1872"/>
      <c r="AVX255" s="1872"/>
      <c r="AVY255" s="1872"/>
      <c r="AVZ255" s="1872"/>
      <c r="AWA255" s="1872"/>
      <c r="AWB255" s="1872"/>
      <c r="AWC255" s="1872"/>
      <c r="AWD255" s="1872"/>
      <c r="AWE255" s="1872"/>
      <c r="AWF255" s="1872"/>
      <c r="AWG255" s="1872"/>
      <c r="AWH255" s="1872"/>
      <c r="AWI255" s="1872"/>
      <c r="AWJ255" s="1872"/>
      <c r="AWK255" s="1872"/>
      <c r="AWL255" s="1872"/>
      <c r="AWM255" s="1872"/>
      <c r="AWN255" s="1872"/>
      <c r="AWO255" s="1872"/>
      <c r="AWP255" s="1872"/>
      <c r="AWQ255" s="1872"/>
    </row>
    <row r="256" spans="1:1291" ht="15" customHeight="1" x14ac:dyDescent="0.2">
      <c r="A256" s="1964"/>
      <c r="B256" s="1994"/>
      <c r="C256" s="1696" t="s">
        <v>575</v>
      </c>
      <c r="D256" s="1888"/>
      <c r="E256" s="1996"/>
      <c r="F256" s="1838">
        <v>0</v>
      </c>
      <c r="G256" s="1804">
        <v>0</v>
      </c>
      <c r="H256" s="1804">
        <v>0</v>
      </c>
      <c r="I256" s="1804">
        <v>0</v>
      </c>
      <c r="J256" s="1804">
        <v>0</v>
      </c>
      <c r="K256" s="1804">
        <v>0</v>
      </c>
      <c r="L256" s="1804">
        <v>0</v>
      </c>
      <c r="M256" s="1804">
        <v>0</v>
      </c>
      <c r="N256" s="1804">
        <v>0</v>
      </c>
      <c r="O256" s="1804">
        <v>0</v>
      </c>
      <c r="P256" s="1804">
        <v>0</v>
      </c>
      <c r="Q256" s="1804">
        <v>0</v>
      </c>
      <c r="R256" s="1804">
        <v>0</v>
      </c>
      <c r="S256" s="1804">
        <v>0</v>
      </c>
      <c r="T256" s="1804">
        <v>0</v>
      </c>
      <c r="U256" s="1804">
        <v>0</v>
      </c>
      <c r="V256" s="1804">
        <v>0</v>
      </c>
      <c r="W256" s="1804">
        <v>0</v>
      </c>
      <c r="X256" s="1804">
        <v>0</v>
      </c>
      <c r="Y256" s="1804">
        <v>0</v>
      </c>
      <c r="Z256" s="1804">
        <v>0</v>
      </c>
      <c r="AA256" s="1804">
        <v>0</v>
      </c>
      <c r="AB256" s="1804">
        <v>0</v>
      </c>
      <c r="AC256" s="1804">
        <v>0</v>
      </c>
      <c r="AD256" s="1804">
        <v>0</v>
      </c>
      <c r="AE256" s="1804">
        <v>0</v>
      </c>
      <c r="AF256" s="1804">
        <v>0</v>
      </c>
      <c r="AG256" s="1804">
        <v>0</v>
      </c>
      <c r="AH256" s="1804">
        <v>0</v>
      </c>
      <c r="AI256" s="1804">
        <v>0</v>
      </c>
      <c r="AJ256" s="1804">
        <v>0</v>
      </c>
      <c r="AK256" s="1804">
        <v>0</v>
      </c>
      <c r="AL256" s="1804">
        <v>0</v>
      </c>
      <c r="AM256" s="1804">
        <v>0</v>
      </c>
      <c r="AN256" s="1804">
        <v>0</v>
      </c>
      <c r="AO256" s="1804">
        <v>0</v>
      </c>
      <c r="AP256" s="1804">
        <v>0</v>
      </c>
      <c r="AQ256" s="1804">
        <v>0</v>
      </c>
      <c r="AR256" s="1804">
        <v>0</v>
      </c>
      <c r="AS256" s="1804">
        <v>0</v>
      </c>
      <c r="AT256" s="1804">
        <v>0</v>
      </c>
      <c r="AU256" s="1804">
        <v>0</v>
      </c>
      <c r="AV256" s="1804">
        <v>0</v>
      </c>
      <c r="AW256" s="1804">
        <v>0</v>
      </c>
      <c r="AX256" s="1804">
        <v>0</v>
      </c>
      <c r="AY256" s="1804">
        <v>0</v>
      </c>
      <c r="AZ256" s="1804">
        <v>0</v>
      </c>
      <c r="BA256" s="1804">
        <v>0</v>
      </c>
      <c r="BB256" s="1804">
        <v>0</v>
      </c>
      <c r="BC256" s="1804">
        <v>0</v>
      </c>
      <c r="BD256" s="1804">
        <v>0</v>
      </c>
      <c r="BE256" s="1804">
        <v>0</v>
      </c>
      <c r="BF256" s="1804">
        <v>0</v>
      </c>
      <c r="BG256" s="1804">
        <v>0</v>
      </c>
      <c r="BH256" s="1804">
        <v>0</v>
      </c>
      <c r="BI256" s="1804">
        <v>0</v>
      </c>
      <c r="BJ256" s="1804">
        <v>0</v>
      </c>
      <c r="BK256" s="1804">
        <v>0</v>
      </c>
      <c r="BL256" s="1804">
        <v>0</v>
      </c>
      <c r="BM256" s="1804">
        <v>0</v>
      </c>
      <c r="BN256" s="1804">
        <v>0</v>
      </c>
      <c r="BO256" s="1804">
        <v>0</v>
      </c>
      <c r="BP256" s="1804">
        <v>0</v>
      </c>
      <c r="BQ256" s="1804">
        <v>0</v>
      </c>
      <c r="BR256" s="1804">
        <v>0</v>
      </c>
      <c r="BS256" s="1804">
        <v>0</v>
      </c>
      <c r="BT256" s="1804">
        <v>0</v>
      </c>
      <c r="BU256" s="1804">
        <v>0</v>
      </c>
      <c r="BV256" s="1804">
        <v>0</v>
      </c>
      <c r="BW256" s="1804">
        <v>0</v>
      </c>
      <c r="BX256" s="1804">
        <v>0</v>
      </c>
      <c r="BY256" s="1804">
        <v>0</v>
      </c>
      <c r="BZ256" s="1804">
        <v>0</v>
      </c>
      <c r="CA256" s="1804">
        <v>0</v>
      </c>
      <c r="CB256" s="1804">
        <v>0</v>
      </c>
      <c r="CC256" s="1804">
        <v>0</v>
      </c>
      <c r="CD256" s="1804">
        <v>0</v>
      </c>
      <c r="CE256" s="1804">
        <v>0</v>
      </c>
      <c r="CF256" s="1804">
        <v>0</v>
      </c>
      <c r="CG256" s="1804">
        <v>0</v>
      </c>
      <c r="CH256" s="1804">
        <v>0</v>
      </c>
      <c r="CI256" s="1804">
        <v>0</v>
      </c>
      <c r="CJ256" s="1804">
        <v>0</v>
      </c>
      <c r="CK256" s="1804">
        <v>0</v>
      </c>
      <c r="CL256" s="1804">
        <v>0</v>
      </c>
      <c r="CM256" s="1804">
        <v>0</v>
      </c>
      <c r="CN256" s="1804">
        <v>0</v>
      </c>
      <c r="CO256" s="1804">
        <v>0</v>
      </c>
      <c r="CP256" s="1804">
        <v>0</v>
      </c>
      <c r="CQ256" s="1804">
        <v>0</v>
      </c>
      <c r="CR256" s="1804">
        <v>0</v>
      </c>
      <c r="CS256" s="1804">
        <v>0</v>
      </c>
      <c r="CT256" s="1804">
        <v>0</v>
      </c>
      <c r="CU256" s="1804">
        <v>0</v>
      </c>
      <c r="CV256" s="1804">
        <v>0</v>
      </c>
      <c r="CW256" s="1804">
        <v>0</v>
      </c>
      <c r="CX256" s="1804">
        <v>0</v>
      </c>
      <c r="CY256" s="1804">
        <v>0</v>
      </c>
      <c r="CZ256" s="1804">
        <v>0</v>
      </c>
      <c r="DA256" s="1804">
        <v>0</v>
      </c>
      <c r="DB256" s="1804">
        <v>0</v>
      </c>
      <c r="DC256" s="1804">
        <v>0</v>
      </c>
      <c r="DD256" s="1804">
        <v>0</v>
      </c>
      <c r="DE256" s="1804">
        <v>0</v>
      </c>
      <c r="DF256" s="1804">
        <v>0</v>
      </c>
      <c r="DG256" s="1804">
        <v>0</v>
      </c>
      <c r="DH256" s="1804">
        <v>0</v>
      </c>
      <c r="DI256" s="1804">
        <v>0</v>
      </c>
      <c r="DJ256" s="1804">
        <v>0</v>
      </c>
      <c r="DK256" s="1804">
        <v>0</v>
      </c>
      <c r="DL256" s="1804">
        <v>0</v>
      </c>
      <c r="DM256" s="1804">
        <v>0</v>
      </c>
      <c r="DN256" s="1804">
        <v>0</v>
      </c>
      <c r="DO256" s="1804">
        <v>0</v>
      </c>
      <c r="DP256" s="1804">
        <v>0</v>
      </c>
      <c r="DQ256" s="1804">
        <v>0</v>
      </c>
      <c r="DR256" s="1804">
        <v>0</v>
      </c>
      <c r="DS256" s="1804">
        <v>0</v>
      </c>
      <c r="DT256" s="1804">
        <v>0</v>
      </c>
      <c r="DU256" s="1804">
        <v>0</v>
      </c>
      <c r="DV256" s="1804">
        <v>0</v>
      </c>
      <c r="DW256" s="1804">
        <v>0</v>
      </c>
      <c r="DX256" s="1804">
        <v>0</v>
      </c>
      <c r="DY256" s="1804">
        <v>0</v>
      </c>
      <c r="DZ256" s="1804">
        <v>0</v>
      </c>
      <c r="EA256" s="1804">
        <v>0</v>
      </c>
      <c r="EB256" s="1804">
        <v>0</v>
      </c>
      <c r="EC256" s="1804">
        <v>0</v>
      </c>
      <c r="ED256" s="1804">
        <v>0</v>
      </c>
      <c r="EE256" s="1804">
        <v>0</v>
      </c>
      <c r="EF256" s="1804">
        <v>0</v>
      </c>
      <c r="EG256" s="1804">
        <v>0</v>
      </c>
      <c r="EH256" s="1804">
        <v>0</v>
      </c>
      <c r="EI256" s="1804">
        <v>0</v>
      </c>
      <c r="EJ256" s="1804">
        <v>0</v>
      </c>
      <c r="EK256" s="1804">
        <v>0</v>
      </c>
      <c r="EL256" s="1804">
        <v>0</v>
      </c>
      <c r="EM256" s="1804">
        <v>0</v>
      </c>
      <c r="EN256" s="1804">
        <v>0</v>
      </c>
      <c r="EO256" s="1804">
        <v>0</v>
      </c>
      <c r="EP256" s="1804">
        <v>0</v>
      </c>
      <c r="EQ256" s="1804">
        <v>0</v>
      </c>
      <c r="ER256" s="1804">
        <v>0</v>
      </c>
      <c r="ES256" s="1804">
        <v>0</v>
      </c>
      <c r="ET256" s="1804">
        <v>0</v>
      </c>
      <c r="EU256" s="1804">
        <v>0</v>
      </c>
      <c r="EV256" s="1804">
        <v>0</v>
      </c>
      <c r="EW256" s="1804">
        <v>0</v>
      </c>
      <c r="EX256" s="1804">
        <v>0</v>
      </c>
      <c r="EY256" s="1804">
        <v>0</v>
      </c>
      <c r="EZ256" s="1804">
        <v>0</v>
      </c>
      <c r="FA256" s="1804">
        <v>0</v>
      </c>
      <c r="FB256" s="1804">
        <v>0</v>
      </c>
      <c r="FC256" s="1804">
        <v>0</v>
      </c>
      <c r="FD256" s="1804">
        <v>0</v>
      </c>
      <c r="FE256" s="1804">
        <v>0</v>
      </c>
      <c r="FF256" s="1804">
        <v>0</v>
      </c>
      <c r="FG256" s="1804">
        <v>0</v>
      </c>
      <c r="FH256" s="1804">
        <v>0</v>
      </c>
      <c r="FI256" s="1804">
        <v>0</v>
      </c>
      <c r="FJ256" s="1804">
        <v>0</v>
      </c>
      <c r="FK256" s="1804">
        <v>0</v>
      </c>
      <c r="FL256" s="1804">
        <v>0</v>
      </c>
      <c r="FM256" s="1804">
        <v>0</v>
      </c>
      <c r="FN256" s="1804">
        <v>0</v>
      </c>
      <c r="FO256" s="1804">
        <v>0</v>
      </c>
      <c r="FP256" s="1804">
        <v>0</v>
      </c>
      <c r="FQ256" s="1804">
        <v>0</v>
      </c>
      <c r="FR256" s="1804">
        <v>0</v>
      </c>
      <c r="FS256" s="1804">
        <v>0</v>
      </c>
      <c r="FT256" s="1804">
        <v>0</v>
      </c>
      <c r="FU256" s="1804">
        <v>0</v>
      </c>
      <c r="FV256" s="1804">
        <v>0</v>
      </c>
      <c r="FW256" s="1804">
        <v>0</v>
      </c>
      <c r="FX256" s="1804">
        <v>0</v>
      </c>
      <c r="FY256" s="1804">
        <v>0</v>
      </c>
      <c r="FZ256" s="1804">
        <v>0</v>
      </c>
      <c r="GA256" s="1804">
        <v>0</v>
      </c>
      <c r="GB256" s="1804">
        <v>0</v>
      </c>
      <c r="GC256" s="1804">
        <v>0</v>
      </c>
      <c r="GD256" s="1804">
        <v>0</v>
      </c>
      <c r="GE256" s="1804">
        <v>0</v>
      </c>
      <c r="GF256" s="1804">
        <v>0</v>
      </c>
      <c r="GG256" s="1804">
        <v>0</v>
      </c>
      <c r="GH256" s="1804">
        <v>0</v>
      </c>
      <c r="GI256" s="1804">
        <v>0</v>
      </c>
      <c r="GJ256" s="1804">
        <v>0</v>
      </c>
      <c r="GK256" s="1804">
        <v>0</v>
      </c>
      <c r="GL256" s="1804">
        <v>0</v>
      </c>
      <c r="GM256" s="1804">
        <v>0</v>
      </c>
      <c r="GN256" s="1804">
        <v>0</v>
      </c>
      <c r="GO256" s="1804">
        <v>0</v>
      </c>
      <c r="GP256" s="1804">
        <v>0</v>
      </c>
      <c r="GQ256" s="1804">
        <v>0</v>
      </c>
      <c r="GR256" s="1804">
        <v>0</v>
      </c>
      <c r="GS256" s="1804">
        <v>0</v>
      </c>
      <c r="GT256" s="1804">
        <v>0</v>
      </c>
      <c r="GU256" s="1804">
        <v>0</v>
      </c>
      <c r="GV256" s="1804">
        <v>0</v>
      </c>
      <c r="GW256" s="1804">
        <v>0</v>
      </c>
      <c r="GX256" s="1804">
        <v>0</v>
      </c>
      <c r="GY256" s="1804">
        <v>0</v>
      </c>
      <c r="GZ256" s="1804">
        <v>0</v>
      </c>
      <c r="HA256" s="1804">
        <v>0</v>
      </c>
      <c r="HB256" s="1804">
        <v>0</v>
      </c>
      <c r="HC256" s="1804">
        <v>0</v>
      </c>
      <c r="HD256" s="1804">
        <v>0</v>
      </c>
      <c r="HE256" s="1804">
        <v>0</v>
      </c>
      <c r="HF256" s="1872"/>
      <c r="HG256" s="1872"/>
      <c r="HH256" s="1872"/>
      <c r="HI256" s="1872"/>
      <c r="HJ256" s="1872"/>
      <c r="HK256" s="1872"/>
      <c r="HL256" s="1872"/>
      <c r="HM256" s="1872"/>
      <c r="HN256" s="1872"/>
      <c r="HO256" s="1872"/>
      <c r="HP256" s="1872"/>
      <c r="HQ256" s="1872"/>
      <c r="HR256" s="1872"/>
      <c r="HS256" s="1872"/>
      <c r="HT256" s="1872"/>
      <c r="HU256" s="1872"/>
      <c r="HV256" s="1872"/>
      <c r="HW256" s="1872"/>
      <c r="HX256" s="1872"/>
      <c r="HY256" s="1872"/>
      <c r="HZ256" s="1872"/>
      <c r="IA256" s="1872"/>
      <c r="IB256" s="1872"/>
      <c r="IC256" s="1872"/>
      <c r="ID256" s="1872"/>
      <c r="IE256" s="1872"/>
      <c r="IF256" s="1872"/>
      <c r="IG256" s="1872"/>
      <c r="IH256" s="1872"/>
      <c r="II256" s="1872"/>
      <c r="IJ256" s="1872"/>
      <c r="IK256" s="1872"/>
      <c r="IL256" s="1872"/>
      <c r="IM256" s="1872"/>
      <c r="IN256" s="1872"/>
      <c r="IO256" s="1872"/>
      <c r="IP256" s="1872"/>
      <c r="IQ256" s="1872"/>
      <c r="IR256" s="1872"/>
      <c r="IS256" s="1872"/>
      <c r="IT256" s="1872"/>
      <c r="IU256" s="1872"/>
      <c r="IV256" s="1872"/>
      <c r="IW256" s="1872"/>
      <c r="IX256" s="1872"/>
      <c r="IY256" s="1872"/>
      <c r="IZ256" s="1872"/>
      <c r="JA256" s="1872"/>
      <c r="JB256" s="1872"/>
      <c r="JC256" s="1872"/>
      <c r="JD256" s="1872"/>
      <c r="JE256" s="1872"/>
      <c r="JF256" s="1872"/>
      <c r="JG256" s="1872"/>
      <c r="JH256" s="1872"/>
      <c r="JI256" s="1872"/>
      <c r="JJ256" s="1872"/>
      <c r="JK256" s="1872"/>
      <c r="JL256" s="1872"/>
      <c r="JM256" s="1872"/>
      <c r="JN256" s="1872"/>
      <c r="JO256" s="1872"/>
      <c r="JP256" s="1872"/>
      <c r="JQ256" s="1872"/>
      <c r="JR256" s="1872"/>
      <c r="JS256" s="1872"/>
      <c r="JT256" s="1872"/>
      <c r="JU256" s="1872"/>
      <c r="JV256" s="1872"/>
      <c r="JW256" s="1872"/>
      <c r="JX256" s="1872"/>
      <c r="JY256" s="1872"/>
      <c r="JZ256" s="1872"/>
      <c r="KA256" s="1872"/>
      <c r="KB256" s="1872"/>
      <c r="KC256" s="1872"/>
      <c r="KD256" s="1872"/>
      <c r="KE256" s="1872"/>
      <c r="KF256" s="1872"/>
      <c r="KG256" s="1872"/>
      <c r="KH256" s="1872"/>
      <c r="KI256" s="1872"/>
      <c r="KJ256" s="1872"/>
      <c r="KK256" s="1872"/>
      <c r="KL256" s="1872"/>
      <c r="KM256" s="1872"/>
      <c r="KN256" s="1872"/>
      <c r="KO256" s="1872"/>
      <c r="KP256" s="1872"/>
      <c r="KQ256" s="1872"/>
      <c r="KR256" s="1872"/>
      <c r="KS256" s="1872"/>
      <c r="KT256" s="1872"/>
      <c r="KU256" s="1872"/>
      <c r="KV256" s="1872"/>
      <c r="KW256" s="1872"/>
      <c r="KX256" s="1872"/>
      <c r="KY256" s="1872"/>
      <c r="KZ256" s="1872"/>
      <c r="LA256" s="1872"/>
      <c r="LB256" s="1872"/>
      <c r="LC256" s="1872"/>
      <c r="LD256" s="1872"/>
      <c r="LE256" s="1872"/>
      <c r="LF256" s="1872"/>
      <c r="LG256" s="1872"/>
      <c r="LH256" s="1872"/>
      <c r="LI256" s="1872"/>
      <c r="LJ256" s="1872"/>
      <c r="LK256" s="1872"/>
      <c r="LL256" s="1872"/>
      <c r="LM256" s="1872"/>
      <c r="LN256" s="1872"/>
      <c r="LO256" s="1872"/>
      <c r="LP256" s="1872"/>
      <c r="LQ256" s="1872"/>
      <c r="LR256" s="1872"/>
      <c r="LS256" s="1872"/>
      <c r="LT256" s="1872"/>
      <c r="LU256" s="1872"/>
      <c r="LV256" s="1872"/>
      <c r="LW256" s="1872"/>
      <c r="LX256" s="1872"/>
      <c r="LY256" s="1872"/>
      <c r="LZ256" s="1872"/>
      <c r="MA256" s="1872"/>
      <c r="MB256" s="1872"/>
      <c r="MC256" s="1872"/>
      <c r="MD256" s="1872"/>
      <c r="ME256" s="1872"/>
      <c r="MF256" s="1872"/>
      <c r="MG256" s="1872"/>
      <c r="MH256" s="1872"/>
      <c r="MI256" s="1872"/>
      <c r="MJ256" s="1872"/>
      <c r="MK256" s="1872"/>
      <c r="ML256" s="1872"/>
      <c r="MM256" s="1872"/>
      <c r="MN256" s="1872"/>
      <c r="MO256" s="1872"/>
      <c r="MP256" s="1872"/>
      <c r="MQ256" s="1872"/>
      <c r="MR256" s="1872"/>
      <c r="MS256" s="1872"/>
      <c r="MT256" s="1872"/>
      <c r="MU256" s="1872"/>
      <c r="MV256" s="1872"/>
      <c r="MW256" s="1872"/>
      <c r="MX256" s="1872"/>
      <c r="MY256" s="1872"/>
      <c r="MZ256" s="1872"/>
      <c r="NA256" s="1872"/>
      <c r="NB256" s="1872"/>
      <c r="NC256" s="1872"/>
      <c r="ND256" s="1872"/>
      <c r="NE256" s="1872"/>
      <c r="NF256" s="1872"/>
      <c r="NG256" s="1872"/>
      <c r="NH256" s="1872"/>
      <c r="NI256" s="1872"/>
      <c r="NJ256" s="1872"/>
      <c r="NK256" s="1872"/>
      <c r="NL256" s="1872"/>
      <c r="NM256" s="1872"/>
      <c r="NN256" s="1872"/>
      <c r="NO256" s="1872"/>
      <c r="NP256" s="1872"/>
      <c r="NQ256" s="1872"/>
      <c r="NR256" s="1872"/>
      <c r="NS256" s="1872"/>
      <c r="NT256" s="1872"/>
      <c r="NU256" s="1872"/>
      <c r="NV256" s="1872"/>
      <c r="NW256" s="1872"/>
      <c r="NX256" s="1872"/>
      <c r="NY256" s="1872"/>
      <c r="NZ256" s="1872"/>
      <c r="OA256" s="1872"/>
      <c r="OB256" s="1872"/>
      <c r="OC256" s="1872"/>
      <c r="OD256" s="1872"/>
      <c r="OE256" s="1872"/>
      <c r="OF256" s="1872"/>
      <c r="OG256" s="1872"/>
      <c r="OH256" s="1872"/>
      <c r="OI256" s="1872"/>
      <c r="OJ256" s="1872"/>
      <c r="OK256" s="1872"/>
      <c r="OL256" s="1872"/>
      <c r="OM256" s="1872"/>
      <c r="ON256" s="1872"/>
      <c r="OO256" s="1872"/>
      <c r="OP256" s="1872"/>
      <c r="OQ256" s="1872"/>
      <c r="OR256" s="1872"/>
      <c r="OS256" s="1872"/>
      <c r="OT256" s="1872"/>
      <c r="OU256" s="1872"/>
      <c r="OV256" s="1872"/>
      <c r="OW256" s="1872"/>
      <c r="OX256" s="1872"/>
      <c r="OY256" s="1872"/>
      <c r="OZ256" s="1872"/>
      <c r="PA256" s="1872"/>
      <c r="PB256" s="1872"/>
      <c r="PC256" s="1872"/>
      <c r="PD256" s="1872"/>
      <c r="PE256" s="1872"/>
      <c r="PF256" s="1872"/>
      <c r="PG256" s="1872"/>
      <c r="PH256" s="1872"/>
      <c r="PI256" s="1872"/>
      <c r="PJ256" s="1872"/>
      <c r="PK256" s="1872"/>
      <c r="PL256" s="1872"/>
      <c r="PM256" s="1872"/>
      <c r="PN256" s="1872"/>
      <c r="PO256" s="1872"/>
      <c r="PP256" s="1872"/>
      <c r="PQ256" s="1872"/>
      <c r="PR256" s="1872"/>
      <c r="PS256" s="1872"/>
      <c r="PT256" s="1872"/>
      <c r="PU256" s="1872"/>
      <c r="PV256" s="1872"/>
      <c r="PW256" s="1872"/>
      <c r="PX256" s="1872"/>
      <c r="PY256" s="1872"/>
      <c r="PZ256" s="1872"/>
      <c r="QA256" s="1872"/>
      <c r="QB256" s="1872"/>
      <c r="QC256" s="1872"/>
      <c r="QD256" s="1872"/>
      <c r="QE256" s="1872"/>
      <c r="QF256" s="1872"/>
      <c r="QG256" s="1872"/>
      <c r="QH256" s="1872"/>
      <c r="QI256" s="1872"/>
      <c r="QJ256" s="1872"/>
      <c r="QK256" s="1872"/>
      <c r="QL256" s="1872"/>
      <c r="QM256" s="1872"/>
      <c r="QN256" s="1872"/>
      <c r="QO256" s="1872"/>
      <c r="QP256" s="1872"/>
      <c r="QQ256" s="1872"/>
      <c r="QR256" s="1872"/>
      <c r="QS256" s="1872"/>
      <c r="QT256" s="1872"/>
      <c r="QU256" s="1872"/>
      <c r="QV256" s="1872"/>
      <c r="QW256" s="1872"/>
      <c r="QX256" s="1872"/>
      <c r="QY256" s="1872"/>
      <c r="QZ256" s="1872"/>
      <c r="RA256" s="1872"/>
      <c r="RB256" s="1872"/>
      <c r="RC256" s="1872"/>
      <c r="RD256" s="1872"/>
      <c r="RE256" s="1872"/>
      <c r="RF256" s="1872"/>
      <c r="RG256" s="1872"/>
      <c r="RH256" s="1872"/>
      <c r="RI256" s="1872"/>
      <c r="RJ256" s="1872"/>
      <c r="RK256" s="1872"/>
      <c r="RL256" s="1872"/>
      <c r="RM256" s="1872"/>
      <c r="RN256" s="1872"/>
      <c r="RO256" s="1872"/>
      <c r="RP256" s="1872"/>
      <c r="RQ256" s="1872"/>
      <c r="RR256" s="1872"/>
      <c r="RS256" s="1872"/>
      <c r="RT256" s="1872"/>
      <c r="RU256" s="1872"/>
      <c r="RV256" s="1872"/>
      <c r="RW256" s="1872"/>
      <c r="RX256" s="1872"/>
      <c r="RY256" s="1872"/>
      <c r="RZ256" s="1872"/>
      <c r="SA256" s="1872"/>
      <c r="SB256" s="1872"/>
      <c r="SC256" s="1872"/>
      <c r="SD256" s="1872"/>
      <c r="SE256" s="1872"/>
      <c r="SF256" s="1872"/>
      <c r="SG256" s="1872"/>
      <c r="SH256" s="1872"/>
      <c r="SI256" s="1872"/>
      <c r="SJ256" s="1872"/>
      <c r="SK256" s="1872"/>
      <c r="SL256" s="1872"/>
      <c r="SM256" s="1872"/>
      <c r="SN256" s="1872"/>
      <c r="SO256" s="1872"/>
      <c r="SP256" s="1872"/>
      <c r="SQ256" s="1872"/>
      <c r="SR256" s="1872"/>
      <c r="SS256" s="1872"/>
      <c r="ST256" s="1872"/>
      <c r="SU256" s="1872"/>
      <c r="SV256" s="1872"/>
      <c r="SW256" s="1872"/>
      <c r="SX256" s="1872"/>
      <c r="SY256" s="1872"/>
      <c r="SZ256" s="1872"/>
      <c r="TA256" s="1872"/>
      <c r="TB256" s="1872"/>
      <c r="TC256" s="1872"/>
      <c r="TD256" s="1872"/>
      <c r="TE256" s="1872"/>
      <c r="TF256" s="1872"/>
      <c r="TG256" s="1872"/>
      <c r="TH256" s="1872"/>
      <c r="TI256" s="1872"/>
      <c r="TJ256" s="1872"/>
      <c r="TK256" s="1872"/>
      <c r="TL256" s="1872"/>
      <c r="TM256" s="1872"/>
      <c r="TN256" s="1872"/>
      <c r="TO256" s="1872"/>
      <c r="TP256" s="1872"/>
      <c r="TQ256" s="1872"/>
      <c r="TR256" s="1872"/>
      <c r="TS256" s="1872"/>
      <c r="TT256" s="1872"/>
      <c r="TU256" s="1872"/>
      <c r="TV256" s="1872"/>
      <c r="TW256" s="1872"/>
      <c r="TX256" s="1872"/>
      <c r="TY256" s="1872"/>
      <c r="TZ256" s="1872"/>
      <c r="UA256" s="1872"/>
      <c r="UB256" s="1872"/>
      <c r="UC256" s="1872"/>
      <c r="UD256" s="1872"/>
      <c r="UE256" s="1872"/>
      <c r="UF256" s="1872"/>
      <c r="UG256" s="1872"/>
      <c r="UH256" s="1872"/>
      <c r="UI256" s="1872"/>
      <c r="UJ256" s="1872"/>
      <c r="UK256" s="1872"/>
      <c r="UL256" s="1872"/>
      <c r="UM256" s="1872"/>
      <c r="UN256" s="1872"/>
      <c r="UO256" s="1872"/>
      <c r="UP256" s="1872"/>
      <c r="UQ256" s="1872"/>
      <c r="UR256" s="1872"/>
      <c r="US256" s="1872"/>
      <c r="UT256" s="1872"/>
      <c r="UU256" s="1872"/>
      <c r="UV256" s="1872"/>
      <c r="UW256" s="1872"/>
      <c r="UX256" s="1872"/>
      <c r="UY256" s="1872"/>
      <c r="UZ256" s="1872"/>
      <c r="VA256" s="1872"/>
      <c r="VB256" s="1872"/>
      <c r="VC256" s="1872"/>
      <c r="VD256" s="1872"/>
      <c r="VE256" s="1872"/>
      <c r="VF256" s="1872"/>
      <c r="VG256" s="1872"/>
      <c r="VH256" s="1872"/>
      <c r="VI256" s="1872"/>
      <c r="VJ256" s="1872"/>
      <c r="VK256" s="1872"/>
      <c r="VL256" s="1872"/>
      <c r="VM256" s="1872"/>
      <c r="VN256" s="1872"/>
      <c r="VO256" s="1872"/>
      <c r="VP256" s="1872"/>
      <c r="VQ256" s="1872"/>
      <c r="VR256" s="1872"/>
      <c r="VS256" s="1872"/>
      <c r="VT256" s="1872"/>
      <c r="VU256" s="1872"/>
      <c r="VV256" s="1872"/>
      <c r="VW256" s="1872"/>
      <c r="VX256" s="1872"/>
      <c r="VY256" s="1872"/>
      <c r="VZ256" s="1872"/>
      <c r="WA256" s="1872"/>
      <c r="WB256" s="1872"/>
      <c r="WC256" s="1872"/>
      <c r="WD256" s="1872"/>
      <c r="WE256" s="1872"/>
      <c r="WF256" s="1872"/>
      <c r="WG256" s="1872"/>
      <c r="WH256" s="1872"/>
      <c r="WI256" s="1872"/>
      <c r="WJ256" s="1872"/>
      <c r="WK256" s="1872"/>
      <c r="WL256" s="1872"/>
      <c r="WM256" s="1872"/>
      <c r="WN256" s="1872"/>
      <c r="WO256" s="1872"/>
      <c r="WP256" s="1872"/>
      <c r="WQ256" s="1872"/>
      <c r="WR256" s="1872"/>
      <c r="WS256" s="1872"/>
      <c r="WT256" s="1872"/>
      <c r="WU256" s="1872"/>
      <c r="WV256" s="1872"/>
      <c r="WW256" s="1872"/>
      <c r="WX256" s="1872"/>
      <c r="WY256" s="1872"/>
      <c r="WZ256" s="1872"/>
      <c r="XA256" s="1872"/>
      <c r="XB256" s="1872"/>
      <c r="XC256" s="1872"/>
      <c r="XD256" s="1872"/>
      <c r="XE256" s="1872"/>
      <c r="XF256" s="1872"/>
      <c r="XG256" s="1872"/>
      <c r="XH256" s="1872"/>
      <c r="XI256" s="1872"/>
      <c r="XJ256" s="1872"/>
      <c r="XK256" s="1872"/>
      <c r="XL256" s="1872"/>
      <c r="XM256" s="1872"/>
      <c r="XN256" s="1872"/>
      <c r="XO256" s="1872"/>
      <c r="XP256" s="1872"/>
      <c r="XQ256" s="1872"/>
      <c r="XR256" s="1872"/>
      <c r="XS256" s="1872"/>
      <c r="XT256" s="1872"/>
      <c r="XU256" s="1872"/>
      <c r="XV256" s="1872"/>
      <c r="XW256" s="1872"/>
      <c r="XX256" s="1872"/>
      <c r="XY256" s="1872"/>
      <c r="XZ256" s="1872"/>
      <c r="YA256" s="1872"/>
      <c r="YB256" s="1872"/>
      <c r="YC256" s="1872"/>
      <c r="YD256" s="1872"/>
      <c r="YE256" s="1872"/>
      <c r="YF256" s="1872"/>
      <c r="YG256" s="1872"/>
      <c r="YH256" s="1872"/>
      <c r="YI256" s="1872"/>
      <c r="YJ256" s="1872"/>
      <c r="YK256" s="1872"/>
      <c r="YL256" s="1872"/>
      <c r="YM256" s="1872"/>
      <c r="YN256" s="1872"/>
      <c r="YO256" s="1872"/>
      <c r="YP256" s="1872"/>
      <c r="YQ256" s="1872"/>
      <c r="YR256" s="1872"/>
      <c r="YS256" s="1872"/>
      <c r="YT256" s="1872"/>
      <c r="YU256" s="1872"/>
      <c r="YV256" s="1872"/>
      <c r="YW256" s="1872"/>
      <c r="YX256" s="1872"/>
      <c r="YY256" s="1872"/>
      <c r="YZ256" s="1872"/>
      <c r="ZA256" s="1872"/>
      <c r="ZB256" s="1872"/>
      <c r="ZC256" s="1872"/>
      <c r="ZD256" s="1872"/>
      <c r="ZE256" s="1872"/>
      <c r="ZF256" s="1872"/>
      <c r="ZG256" s="1872"/>
      <c r="ZH256" s="1872"/>
      <c r="ZI256" s="1872"/>
      <c r="ZJ256" s="1872"/>
      <c r="ZK256" s="1872"/>
      <c r="ZL256" s="1872"/>
      <c r="ZM256" s="1872"/>
      <c r="ZN256" s="1872"/>
      <c r="ZO256" s="1872"/>
      <c r="ZP256" s="1872"/>
      <c r="ZQ256" s="1872"/>
      <c r="ZR256" s="1872"/>
      <c r="ZS256" s="1872"/>
      <c r="ZT256" s="1872"/>
      <c r="ZU256" s="1872"/>
      <c r="ZV256" s="1872"/>
      <c r="ZW256" s="1872"/>
      <c r="ZX256" s="1872"/>
      <c r="ZY256" s="1872"/>
      <c r="ZZ256" s="1872"/>
      <c r="AAA256" s="1872"/>
      <c r="AAB256" s="1872"/>
      <c r="AAC256" s="1872"/>
      <c r="AAD256" s="1872"/>
      <c r="AAE256" s="1872"/>
      <c r="AAF256" s="1872"/>
      <c r="AAG256" s="1872"/>
      <c r="AAH256" s="1872"/>
      <c r="AAI256" s="1872"/>
      <c r="AAJ256" s="1872"/>
      <c r="AAK256" s="1872"/>
      <c r="AAL256" s="1872"/>
      <c r="AAM256" s="1872"/>
      <c r="AAN256" s="1872"/>
      <c r="AAO256" s="1872"/>
      <c r="AAP256" s="1872"/>
      <c r="AAQ256" s="1872"/>
      <c r="AAR256" s="1872"/>
      <c r="AAS256" s="1872"/>
      <c r="AAT256" s="1872"/>
      <c r="AAU256" s="1872"/>
      <c r="AAV256" s="1872"/>
      <c r="AAW256" s="1872"/>
      <c r="AAX256" s="1872"/>
      <c r="AAY256" s="1872"/>
      <c r="AAZ256" s="1872"/>
      <c r="ABA256" s="1872"/>
      <c r="ABB256" s="1872"/>
      <c r="ABC256" s="1872"/>
      <c r="ABD256" s="1872"/>
      <c r="ABE256" s="1872"/>
      <c r="ABF256" s="1872"/>
      <c r="ABG256" s="1872"/>
      <c r="ABH256" s="1872"/>
      <c r="ABI256" s="1872"/>
      <c r="ABJ256" s="1872"/>
      <c r="ABK256" s="1872"/>
      <c r="ABL256" s="1872"/>
      <c r="ABM256" s="1872"/>
      <c r="ABN256" s="1872"/>
      <c r="ABO256" s="1872"/>
      <c r="ABP256" s="1872"/>
      <c r="ABQ256" s="1872"/>
      <c r="ABR256" s="1872"/>
      <c r="ABS256" s="1872"/>
      <c r="ABT256" s="1872"/>
      <c r="ABU256" s="1872"/>
      <c r="ABV256" s="1872"/>
      <c r="ABW256" s="1872"/>
      <c r="ABX256" s="1872"/>
      <c r="ABY256" s="1872"/>
      <c r="ABZ256" s="1872"/>
      <c r="ACA256" s="1872"/>
      <c r="ACB256" s="1872"/>
      <c r="ACC256" s="1872"/>
      <c r="ACD256" s="1872"/>
      <c r="ACE256" s="1872"/>
      <c r="ACF256" s="1872"/>
      <c r="ACG256" s="1872"/>
      <c r="ACH256" s="1872"/>
      <c r="ACI256" s="1872"/>
      <c r="ACJ256" s="1872"/>
      <c r="ACK256" s="1872"/>
      <c r="ACL256" s="1872"/>
      <c r="ACM256" s="1872"/>
      <c r="ACN256" s="1872"/>
      <c r="ACO256" s="1872"/>
      <c r="ACP256" s="1872"/>
      <c r="ACQ256" s="1872"/>
      <c r="ACR256" s="1872"/>
      <c r="ACS256" s="1872"/>
      <c r="ACT256" s="1872"/>
      <c r="ACU256" s="1872"/>
      <c r="ACV256" s="1872"/>
      <c r="ACW256" s="1872"/>
      <c r="ACX256" s="1872"/>
      <c r="ACY256" s="1872"/>
      <c r="ACZ256" s="1872"/>
      <c r="ADA256" s="1872"/>
      <c r="ADB256" s="1872"/>
      <c r="ADC256" s="1872"/>
      <c r="ADD256" s="1872"/>
      <c r="ADE256" s="1872"/>
      <c r="ADF256" s="1872"/>
      <c r="ADG256" s="1872"/>
      <c r="ADH256" s="1872"/>
      <c r="ADI256" s="1872"/>
      <c r="ADJ256" s="1872"/>
      <c r="ADK256" s="1872"/>
      <c r="ADL256" s="1872"/>
      <c r="ADM256" s="1872"/>
      <c r="ADN256" s="1872"/>
      <c r="ADO256" s="1872"/>
      <c r="ADP256" s="1872"/>
      <c r="ADQ256" s="1872"/>
      <c r="ADR256" s="1872"/>
      <c r="ADS256" s="1872"/>
      <c r="ADT256" s="1872"/>
      <c r="ADU256" s="1872"/>
      <c r="ADV256" s="1872"/>
      <c r="ADW256" s="1872"/>
      <c r="ADX256" s="1872"/>
      <c r="ADY256" s="1872"/>
      <c r="ADZ256" s="1872"/>
      <c r="AEA256" s="1872"/>
      <c r="AEB256" s="1872"/>
      <c r="AEC256" s="1872"/>
      <c r="AED256" s="1872"/>
      <c r="AEE256" s="1872"/>
      <c r="AEF256" s="1872"/>
      <c r="AEG256" s="1872"/>
      <c r="AEH256" s="1872"/>
      <c r="AEI256" s="1872"/>
      <c r="AEJ256" s="1872"/>
      <c r="AEK256" s="1872"/>
      <c r="AEL256" s="1872"/>
      <c r="AEM256" s="1872"/>
      <c r="AEN256" s="1872"/>
      <c r="AEO256" s="1872"/>
      <c r="AEP256" s="1872"/>
      <c r="AEQ256" s="1872"/>
      <c r="AER256" s="1872"/>
      <c r="AES256" s="1872"/>
      <c r="AET256" s="1872"/>
      <c r="AEU256" s="1872"/>
      <c r="AEV256" s="1872"/>
      <c r="AEW256" s="1872"/>
      <c r="AEX256" s="1872"/>
      <c r="AEY256" s="1872"/>
      <c r="AEZ256" s="1872"/>
      <c r="AFA256" s="1872"/>
      <c r="AFB256" s="1872"/>
      <c r="AFC256" s="1872"/>
      <c r="AFD256" s="1872"/>
      <c r="AFE256" s="1872"/>
      <c r="AFF256" s="1872"/>
      <c r="AFG256" s="1872"/>
      <c r="AFH256" s="1872"/>
      <c r="AFI256" s="1872"/>
      <c r="AFJ256" s="1872"/>
      <c r="AFK256" s="1872"/>
      <c r="AFL256" s="1872"/>
      <c r="AFM256" s="1872"/>
      <c r="AFN256" s="1872"/>
      <c r="AFO256" s="1872"/>
      <c r="AFP256" s="1872"/>
      <c r="AFQ256" s="1872"/>
      <c r="AFR256" s="1872"/>
      <c r="AFS256" s="1872"/>
      <c r="AFT256" s="1872"/>
      <c r="AFU256" s="1872"/>
      <c r="AFV256" s="1872"/>
      <c r="AFW256" s="1872"/>
      <c r="AFX256" s="1872"/>
      <c r="AFY256" s="1872"/>
      <c r="AFZ256" s="1872"/>
      <c r="AGA256" s="1872"/>
      <c r="AGB256" s="1872"/>
      <c r="AGC256" s="1872"/>
      <c r="AGD256" s="1872"/>
      <c r="AGE256" s="1872"/>
      <c r="AGF256" s="1872"/>
      <c r="AGG256" s="1872"/>
      <c r="AGH256" s="1872"/>
      <c r="AGI256" s="1872"/>
      <c r="AGJ256" s="1872"/>
      <c r="AGK256" s="1872"/>
      <c r="AGL256" s="1872"/>
      <c r="AGM256" s="1872"/>
      <c r="AGN256" s="1872"/>
      <c r="AGO256" s="1872"/>
      <c r="AGP256" s="1872"/>
      <c r="AGQ256" s="1872"/>
      <c r="AGR256" s="1872"/>
      <c r="AGS256" s="1872"/>
      <c r="AGT256" s="1872"/>
      <c r="AGU256" s="1872"/>
      <c r="AGV256" s="1872"/>
      <c r="AGW256" s="1872"/>
      <c r="AGX256" s="1872"/>
      <c r="AGY256" s="1872"/>
      <c r="AGZ256" s="1872"/>
      <c r="AHA256" s="1872"/>
      <c r="AHB256" s="1872"/>
      <c r="AHC256" s="1872"/>
      <c r="AHD256" s="1872"/>
      <c r="AHE256" s="1872"/>
      <c r="AHF256" s="1872"/>
      <c r="AHG256" s="1872"/>
      <c r="AHH256" s="1872"/>
      <c r="AHI256" s="1872"/>
      <c r="AHJ256" s="1872"/>
      <c r="AHK256" s="1872"/>
      <c r="AHL256" s="1872"/>
      <c r="AHM256" s="1872"/>
      <c r="AHN256" s="1872"/>
      <c r="AHO256" s="1872"/>
      <c r="AHP256" s="1872"/>
      <c r="AHQ256" s="1872"/>
      <c r="AHR256" s="1872"/>
      <c r="AHS256" s="1872"/>
      <c r="AHT256" s="1872"/>
      <c r="AHU256" s="1872"/>
      <c r="AHV256" s="1872"/>
      <c r="AHW256" s="1872"/>
      <c r="AHX256" s="1872"/>
      <c r="AHY256" s="1872"/>
      <c r="AHZ256" s="1872"/>
      <c r="AIA256" s="1872"/>
      <c r="AIB256" s="1872"/>
      <c r="AIC256" s="1872"/>
      <c r="AID256" s="1872"/>
      <c r="AIE256" s="1872"/>
      <c r="AIF256" s="1872"/>
      <c r="AIG256" s="1872"/>
      <c r="AIH256" s="1872"/>
      <c r="AII256" s="1872"/>
      <c r="AIJ256" s="1872"/>
      <c r="AIK256" s="1872"/>
      <c r="AIL256" s="1872"/>
      <c r="AIM256" s="1872"/>
      <c r="AIN256" s="1872"/>
      <c r="AIO256" s="1872"/>
      <c r="AIP256" s="1872"/>
      <c r="AIQ256" s="1872"/>
      <c r="AIR256" s="1872"/>
      <c r="AIS256" s="1872"/>
      <c r="AIT256" s="1872"/>
      <c r="AIU256" s="1872"/>
      <c r="AIV256" s="1872"/>
      <c r="AIW256" s="1872"/>
      <c r="AIX256" s="1872"/>
      <c r="AIY256" s="1872"/>
      <c r="AIZ256" s="1872"/>
      <c r="AJA256" s="1872"/>
      <c r="AJB256" s="1872"/>
      <c r="AJC256" s="1872"/>
      <c r="AJD256" s="1872"/>
      <c r="AJE256" s="1872"/>
      <c r="AJF256" s="1872"/>
      <c r="AJG256" s="1872"/>
      <c r="AJH256" s="1872"/>
      <c r="AJI256" s="1872"/>
      <c r="AJJ256" s="1872"/>
      <c r="AJK256" s="1872"/>
      <c r="AJL256" s="1872"/>
      <c r="AJM256" s="1872"/>
      <c r="AJN256" s="1872"/>
      <c r="AJO256" s="1872"/>
      <c r="AJP256" s="1872"/>
      <c r="AJQ256" s="1872"/>
      <c r="AJR256" s="1872"/>
      <c r="AJS256" s="1872"/>
      <c r="AJT256" s="1872"/>
      <c r="AJU256" s="1872"/>
      <c r="AJV256" s="1872"/>
      <c r="AJW256" s="1872"/>
      <c r="AJX256" s="1872"/>
      <c r="AJY256" s="1872"/>
      <c r="AJZ256" s="1872"/>
      <c r="AKA256" s="1872"/>
      <c r="AKB256" s="1872"/>
      <c r="AKC256" s="1872"/>
      <c r="AKD256" s="1872"/>
      <c r="AKE256" s="1872"/>
      <c r="AKF256" s="1872"/>
      <c r="AKG256" s="1872"/>
      <c r="AKH256" s="1872"/>
      <c r="AKI256" s="1872"/>
      <c r="AKJ256" s="1872"/>
      <c r="AKK256" s="1872"/>
      <c r="AKL256" s="1872"/>
      <c r="AKM256" s="1872"/>
      <c r="AKN256" s="1872"/>
      <c r="AKO256" s="1872"/>
      <c r="AKP256" s="1872"/>
      <c r="AKQ256" s="1872"/>
      <c r="AKR256" s="1872"/>
      <c r="AKS256" s="1872"/>
      <c r="AKT256" s="1872"/>
      <c r="AKU256" s="1872"/>
      <c r="AKV256" s="1872"/>
      <c r="AKW256" s="1872"/>
      <c r="AKX256" s="1872"/>
      <c r="AKY256" s="1872"/>
      <c r="AKZ256" s="1872"/>
      <c r="ALA256" s="1872"/>
      <c r="ALB256" s="1872"/>
      <c r="ALC256" s="1872"/>
      <c r="ALD256" s="1872"/>
      <c r="ALE256" s="1872"/>
      <c r="ALF256" s="1872"/>
      <c r="ALG256" s="1872"/>
      <c r="ALH256" s="1872"/>
      <c r="ALI256" s="1872"/>
      <c r="ALJ256" s="1872"/>
      <c r="ALK256" s="1872"/>
      <c r="ALL256" s="1872"/>
      <c r="ALM256" s="1872"/>
      <c r="ALN256" s="1872"/>
      <c r="ALO256" s="1872"/>
      <c r="ALP256" s="1872"/>
      <c r="ALQ256" s="1872"/>
      <c r="ALR256" s="1872"/>
      <c r="ALS256" s="1872"/>
      <c r="ALT256" s="1872"/>
      <c r="ALU256" s="1872"/>
      <c r="ALV256" s="1872"/>
      <c r="ALW256" s="1872"/>
      <c r="ALX256" s="1872"/>
      <c r="ALY256" s="1872"/>
      <c r="ALZ256" s="1872"/>
      <c r="AMA256" s="1872"/>
      <c r="AMB256" s="1872"/>
      <c r="AMC256" s="1872"/>
      <c r="AMD256" s="1872"/>
      <c r="AME256" s="1872"/>
      <c r="AMF256" s="1872"/>
      <c r="AMG256" s="1872"/>
      <c r="AMH256" s="1872"/>
      <c r="AMI256" s="1872"/>
      <c r="AMJ256" s="1872"/>
      <c r="AMK256" s="1872"/>
      <c r="AML256" s="1872"/>
      <c r="AMM256" s="1872"/>
      <c r="AMN256" s="1872"/>
      <c r="AMO256" s="1872"/>
      <c r="AMP256" s="1872"/>
      <c r="AMQ256" s="1872"/>
      <c r="AMR256" s="1872"/>
      <c r="AMS256" s="1872"/>
      <c r="AMT256" s="1872"/>
      <c r="AMU256" s="1872"/>
      <c r="AMV256" s="1872"/>
      <c r="AMW256" s="1872"/>
      <c r="AMX256" s="1872"/>
      <c r="AMY256" s="1872"/>
      <c r="AMZ256" s="1872"/>
      <c r="ANA256" s="1872"/>
      <c r="ANB256" s="1872"/>
      <c r="ANC256" s="1872"/>
      <c r="AND256" s="1872"/>
      <c r="ANE256" s="1872"/>
      <c r="ANF256" s="1872"/>
      <c r="ANG256" s="1872"/>
      <c r="ANH256" s="1872"/>
      <c r="ANI256" s="1872"/>
      <c r="ANJ256" s="1872"/>
      <c r="ANK256" s="1872"/>
      <c r="ANL256" s="1872"/>
      <c r="ANM256" s="1872"/>
      <c r="ANN256" s="1872"/>
      <c r="ANO256" s="1872"/>
      <c r="ANP256" s="1872"/>
      <c r="ANQ256" s="1872"/>
      <c r="ANR256" s="1872"/>
      <c r="ANS256" s="1872"/>
      <c r="ANT256" s="1872"/>
      <c r="ANU256" s="1872"/>
      <c r="ANV256" s="1872"/>
      <c r="ANW256" s="1872"/>
      <c r="ANX256" s="1872"/>
      <c r="ANY256" s="1872"/>
      <c r="ANZ256" s="1872"/>
      <c r="AOA256" s="1872"/>
      <c r="AOB256" s="1872"/>
      <c r="AOC256" s="1872"/>
      <c r="AOD256" s="1872"/>
      <c r="AOE256" s="1872"/>
      <c r="AOF256" s="1872"/>
      <c r="AOG256" s="1872"/>
      <c r="AOH256" s="1872"/>
      <c r="AOI256" s="1872"/>
      <c r="AOJ256" s="1872"/>
      <c r="AOK256" s="1872"/>
      <c r="AOL256" s="1872"/>
      <c r="AOM256" s="1872"/>
      <c r="AON256" s="1872"/>
      <c r="AOO256" s="1872"/>
      <c r="AOP256" s="1872"/>
      <c r="AOQ256" s="1872"/>
      <c r="AOR256" s="1872"/>
      <c r="AOS256" s="1872"/>
      <c r="AOT256" s="1872"/>
      <c r="AOU256" s="1872"/>
      <c r="AOV256" s="1872"/>
      <c r="AOW256" s="1872"/>
      <c r="AOX256" s="1872"/>
      <c r="AOY256" s="1872"/>
      <c r="AOZ256" s="1872"/>
      <c r="APA256" s="1872"/>
      <c r="APB256" s="1872"/>
      <c r="APC256" s="1872"/>
      <c r="APD256" s="1872"/>
      <c r="APE256" s="1872"/>
      <c r="APF256" s="1872"/>
      <c r="APG256" s="1872"/>
      <c r="APH256" s="1872"/>
      <c r="API256" s="1872"/>
      <c r="APJ256" s="1872"/>
      <c r="APK256" s="1872"/>
      <c r="APL256" s="1872"/>
      <c r="APM256" s="1872"/>
      <c r="APN256" s="1872"/>
      <c r="APO256" s="1872"/>
      <c r="APP256" s="1872"/>
      <c r="APQ256" s="1872"/>
      <c r="APR256" s="1872"/>
      <c r="APS256" s="1872"/>
      <c r="APT256" s="1872"/>
      <c r="APU256" s="1872"/>
      <c r="APV256" s="1872"/>
      <c r="APW256" s="1872"/>
      <c r="APX256" s="1872"/>
      <c r="APY256" s="1872"/>
      <c r="APZ256" s="1872"/>
      <c r="AQA256" s="1872"/>
      <c r="AQB256" s="1872"/>
      <c r="AQC256" s="1872"/>
      <c r="AQD256" s="1872"/>
      <c r="AQE256" s="1872"/>
      <c r="AQF256" s="1872"/>
      <c r="AQG256" s="1872"/>
      <c r="AQH256" s="1872"/>
      <c r="AQI256" s="1872"/>
      <c r="AQJ256" s="1872"/>
      <c r="AQK256" s="1872"/>
      <c r="AQL256" s="1872"/>
      <c r="AQM256" s="1872"/>
      <c r="AQN256" s="1872"/>
      <c r="AQO256" s="1872"/>
      <c r="AQP256" s="1872"/>
      <c r="AQQ256" s="1872"/>
      <c r="AQR256" s="1872"/>
      <c r="AQS256" s="1872"/>
      <c r="AQT256" s="1872"/>
      <c r="AQU256" s="1872"/>
      <c r="AQV256" s="1872"/>
      <c r="AQW256" s="1872"/>
      <c r="AQX256" s="1872"/>
      <c r="AQY256" s="1872"/>
      <c r="AQZ256" s="1872"/>
      <c r="ARA256" s="1872"/>
      <c r="ARB256" s="1872"/>
      <c r="ARC256" s="1872"/>
      <c r="ARD256" s="1872"/>
      <c r="ARE256" s="1872"/>
      <c r="ARF256" s="1872"/>
      <c r="ARG256" s="1872"/>
      <c r="ARH256" s="1872"/>
      <c r="ARI256" s="1872"/>
      <c r="ARJ256" s="1872"/>
      <c r="ARK256" s="1872"/>
      <c r="ARL256" s="1872"/>
      <c r="ARM256" s="1872"/>
      <c r="ARN256" s="1872"/>
      <c r="ARO256" s="1872"/>
      <c r="ARP256" s="1872"/>
      <c r="ARQ256" s="1872"/>
      <c r="ARR256" s="1872"/>
      <c r="ARS256" s="1872"/>
      <c r="ART256" s="1872"/>
      <c r="ARU256" s="1872"/>
      <c r="ARV256" s="1872"/>
      <c r="ARW256" s="1872"/>
      <c r="ARX256" s="1872"/>
      <c r="ARY256" s="1872"/>
      <c r="ARZ256" s="1872"/>
      <c r="ASA256" s="1872"/>
      <c r="ASB256" s="1872"/>
      <c r="ASC256" s="1872"/>
      <c r="ASD256" s="1872"/>
      <c r="ASE256" s="1872"/>
      <c r="ASF256" s="1872"/>
      <c r="ASG256" s="1872"/>
      <c r="ASH256" s="1872"/>
      <c r="ASI256" s="1872"/>
      <c r="ASJ256" s="1872"/>
      <c r="ASK256" s="1872"/>
      <c r="ASL256" s="1872"/>
      <c r="ASM256" s="1872"/>
      <c r="ASN256" s="1872"/>
      <c r="ASO256" s="1872"/>
      <c r="ASP256" s="1872"/>
      <c r="ASQ256" s="1872"/>
      <c r="ASR256" s="1872"/>
      <c r="ASS256" s="1872"/>
      <c r="AST256" s="1872"/>
      <c r="ASU256" s="1872"/>
      <c r="ASV256" s="1872"/>
      <c r="ASW256" s="1872"/>
      <c r="ASX256" s="1872"/>
      <c r="ASY256" s="1872"/>
      <c r="ASZ256" s="1872"/>
      <c r="ATA256" s="1872"/>
      <c r="ATB256" s="1872"/>
      <c r="ATC256" s="1872"/>
      <c r="ATD256" s="1872"/>
      <c r="ATE256" s="1872"/>
      <c r="ATF256" s="1872"/>
      <c r="ATG256" s="1872"/>
      <c r="ATH256" s="1872"/>
      <c r="ATI256" s="1872"/>
      <c r="ATJ256" s="1872"/>
      <c r="ATK256" s="1872"/>
      <c r="ATL256" s="1872"/>
      <c r="ATM256" s="1872"/>
      <c r="ATN256" s="1872"/>
      <c r="ATO256" s="1872"/>
      <c r="ATP256" s="1872"/>
      <c r="ATQ256" s="1872"/>
      <c r="ATR256" s="1872"/>
      <c r="ATS256" s="1872"/>
      <c r="ATT256" s="1872"/>
      <c r="ATU256" s="1872"/>
      <c r="ATV256" s="1872"/>
      <c r="ATW256" s="1872"/>
      <c r="ATX256" s="1872"/>
      <c r="ATY256" s="1872"/>
      <c r="ATZ256" s="1872"/>
      <c r="AUA256" s="1872"/>
      <c r="AUB256" s="1872"/>
      <c r="AUC256" s="1872"/>
      <c r="AUD256" s="1872"/>
      <c r="AUE256" s="1872"/>
      <c r="AUF256" s="1872"/>
      <c r="AUG256" s="1872"/>
      <c r="AUH256" s="1872"/>
      <c r="AUI256" s="1872"/>
      <c r="AUJ256" s="1872"/>
      <c r="AUK256" s="1872"/>
      <c r="AUL256" s="1872"/>
      <c r="AUM256" s="1872"/>
      <c r="AUN256" s="1872"/>
      <c r="AUO256" s="1872"/>
      <c r="AUP256" s="1872"/>
      <c r="AUQ256" s="1872"/>
      <c r="AUR256" s="1872"/>
      <c r="AUS256" s="1872"/>
      <c r="AUT256" s="1872"/>
      <c r="AUU256" s="1872"/>
      <c r="AUV256" s="1872"/>
      <c r="AUW256" s="1872"/>
      <c r="AUX256" s="1872"/>
      <c r="AUY256" s="1872"/>
      <c r="AUZ256" s="1872"/>
      <c r="AVA256" s="1872"/>
      <c r="AVB256" s="1872"/>
      <c r="AVC256" s="1872"/>
      <c r="AVD256" s="1872"/>
      <c r="AVE256" s="1872"/>
      <c r="AVF256" s="1872"/>
      <c r="AVG256" s="1872"/>
      <c r="AVH256" s="1872"/>
      <c r="AVI256" s="1872"/>
      <c r="AVJ256" s="1872"/>
      <c r="AVK256" s="1872"/>
      <c r="AVL256" s="1872"/>
      <c r="AVM256" s="1872"/>
      <c r="AVN256" s="1872"/>
      <c r="AVO256" s="1872"/>
      <c r="AVP256" s="1872"/>
      <c r="AVQ256" s="1872"/>
      <c r="AVR256" s="1872"/>
      <c r="AVS256" s="1872"/>
      <c r="AVT256" s="1872"/>
      <c r="AVU256" s="1872"/>
      <c r="AVV256" s="1872"/>
      <c r="AVW256" s="1872"/>
      <c r="AVX256" s="1872"/>
      <c r="AVY256" s="1872"/>
      <c r="AVZ256" s="1872"/>
      <c r="AWA256" s="1872"/>
      <c r="AWB256" s="1872"/>
      <c r="AWC256" s="1872"/>
      <c r="AWD256" s="1872"/>
      <c r="AWE256" s="1872"/>
      <c r="AWF256" s="1872"/>
      <c r="AWG256" s="1872"/>
      <c r="AWH256" s="1872"/>
      <c r="AWI256" s="1872"/>
      <c r="AWJ256" s="1872"/>
      <c r="AWK256" s="1872"/>
      <c r="AWL256" s="1872"/>
      <c r="AWM256" s="1872"/>
      <c r="AWN256" s="1872"/>
      <c r="AWO256" s="1872"/>
      <c r="AWP256" s="1872"/>
      <c r="AWQ256" s="1872"/>
    </row>
    <row r="257" spans="1:1291" ht="15" customHeight="1" thickBot="1" x14ac:dyDescent="0.25">
      <c r="A257" s="1964"/>
      <c r="B257" s="1952"/>
      <c r="C257" s="1822" t="s">
        <v>971</v>
      </c>
      <c r="D257" s="1885"/>
      <c r="E257" s="1996"/>
      <c r="F257" s="1838">
        <v>0</v>
      </c>
      <c r="G257" s="1804">
        <v>0</v>
      </c>
      <c r="H257" s="1804">
        <v>0</v>
      </c>
      <c r="I257" s="1804">
        <v>0</v>
      </c>
      <c r="J257" s="1804">
        <v>0</v>
      </c>
      <c r="K257" s="1804">
        <v>0</v>
      </c>
      <c r="L257" s="1804">
        <v>0</v>
      </c>
      <c r="M257" s="1804">
        <v>0</v>
      </c>
      <c r="N257" s="1804">
        <v>0</v>
      </c>
      <c r="O257" s="1804">
        <v>0</v>
      </c>
      <c r="P257" s="1804">
        <v>0</v>
      </c>
      <c r="Q257" s="1804">
        <v>0</v>
      </c>
      <c r="R257" s="1804">
        <v>0</v>
      </c>
      <c r="S257" s="1804">
        <v>0</v>
      </c>
      <c r="T257" s="1804">
        <v>0</v>
      </c>
      <c r="U257" s="1804">
        <v>0</v>
      </c>
      <c r="V257" s="1804">
        <v>0</v>
      </c>
      <c r="W257" s="1804">
        <v>0</v>
      </c>
      <c r="X257" s="1804">
        <v>0</v>
      </c>
      <c r="Y257" s="1804">
        <v>0</v>
      </c>
      <c r="Z257" s="1804">
        <v>0</v>
      </c>
      <c r="AA257" s="1804">
        <v>0</v>
      </c>
      <c r="AB257" s="1804">
        <v>0</v>
      </c>
      <c r="AC257" s="1804">
        <v>0</v>
      </c>
      <c r="AD257" s="1804">
        <v>0</v>
      </c>
      <c r="AE257" s="1804">
        <v>0</v>
      </c>
      <c r="AF257" s="1804">
        <v>0</v>
      </c>
      <c r="AG257" s="1804">
        <v>0</v>
      </c>
      <c r="AH257" s="1804">
        <v>0</v>
      </c>
      <c r="AI257" s="1804">
        <v>0</v>
      </c>
      <c r="AJ257" s="1804">
        <v>0</v>
      </c>
      <c r="AK257" s="1804">
        <v>0</v>
      </c>
      <c r="AL257" s="1804">
        <v>0</v>
      </c>
      <c r="AM257" s="1804">
        <v>0</v>
      </c>
      <c r="AN257" s="1804">
        <v>0</v>
      </c>
      <c r="AO257" s="1804">
        <v>0</v>
      </c>
      <c r="AP257" s="1804">
        <v>0</v>
      </c>
      <c r="AQ257" s="1804">
        <v>0</v>
      </c>
      <c r="AR257" s="1804">
        <v>0</v>
      </c>
      <c r="AS257" s="1804">
        <v>0</v>
      </c>
      <c r="AT257" s="1804">
        <v>0</v>
      </c>
      <c r="AU257" s="1804">
        <v>0</v>
      </c>
      <c r="AV257" s="1804">
        <v>0</v>
      </c>
      <c r="AW257" s="1804">
        <v>0</v>
      </c>
      <c r="AX257" s="1804">
        <v>0</v>
      </c>
      <c r="AY257" s="1804">
        <v>0</v>
      </c>
      <c r="AZ257" s="1804">
        <v>0</v>
      </c>
      <c r="BA257" s="1804">
        <v>0</v>
      </c>
      <c r="BB257" s="1804">
        <v>0</v>
      </c>
      <c r="BC257" s="1804">
        <v>0</v>
      </c>
      <c r="BD257" s="1804">
        <v>0</v>
      </c>
      <c r="BE257" s="1804">
        <v>0</v>
      </c>
      <c r="BF257" s="1804">
        <v>0</v>
      </c>
      <c r="BG257" s="1804">
        <v>0</v>
      </c>
      <c r="BH257" s="1804">
        <v>0</v>
      </c>
      <c r="BI257" s="1804">
        <v>0</v>
      </c>
      <c r="BJ257" s="1804">
        <v>0</v>
      </c>
      <c r="BK257" s="1804">
        <v>0</v>
      </c>
      <c r="BL257" s="1804">
        <v>0</v>
      </c>
      <c r="BM257" s="1804">
        <v>0</v>
      </c>
      <c r="BN257" s="1804">
        <v>0</v>
      </c>
      <c r="BO257" s="1804">
        <v>0</v>
      </c>
      <c r="BP257" s="1804">
        <v>0</v>
      </c>
      <c r="BQ257" s="1804">
        <v>0</v>
      </c>
      <c r="BR257" s="1804">
        <v>0</v>
      </c>
      <c r="BS257" s="1804">
        <v>0</v>
      </c>
      <c r="BT257" s="1804">
        <v>0</v>
      </c>
      <c r="BU257" s="1804">
        <v>0</v>
      </c>
      <c r="BV257" s="1804">
        <v>0</v>
      </c>
      <c r="BW257" s="1804">
        <v>0</v>
      </c>
      <c r="BX257" s="1804">
        <v>0</v>
      </c>
      <c r="BY257" s="1804">
        <v>0</v>
      </c>
      <c r="BZ257" s="1804">
        <v>0</v>
      </c>
      <c r="CA257" s="1804">
        <v>0</v>
      </c>
      <c r="CB257" s="1804">
        <v>0</v>
      </c>
      <c r="CC257" s="1804">
        <v>0</v>
      </c>
      <c r="CD257" s="1804">
        <v>0</v>
      </c>
      <c r="CE257" s="1804">
        <v>0</v>
      </c>
      <c r="CF257" s="1804">
        <v>0</v>
      </c>
      <c r="CG257" s="1804">
        <v>0</v>
      </c>
      <c r="CH257" s="1804">
        <v>0</v>
      </c>
      <c r="CI257" s="1804">
        <v>0</v>
      </c>
      <c r="CJ257" s="1804">
        <v>0</v>
      </c>
      <c r="CK257" s="1804">
        <v>0</v>
      </c>
      <c r="CL257" s="1804">
        <v>0</v>
      </c>
      <c r="CM257" s="1804">
        <v>0</v>
      </c>
      <c r="CN257" s="1804">
        <v>0</v>
      </c>
      <c r="CO257" s="1804">
        <v>0</v>
      </c>
      <c r="CP257" s="1804">
        <v>0</v>
      </c>
      <c r="CQ257" s="1804">
        <v>0</v>
      </c>
      <c r="CR257" s="1804">
        <v>0</v>
      </c>
      <c r="CS257" s="1804">
        <v>0</v>
      </c>
      <c r="CT257" s="1804">
        <v>0</v>
      </c>
      <c r="CU257" s="1804">
        <v>0</v>
      </c>
      <c r="CV257" s="1804">
        <v>0</v>
      </c>
      <c r="CW257" s="1804">
        <v>0</v>
      </c>
      <c r="CX257" s="1804">
        <v>0</v>
      </c>
      <c r="CY257" s="1804">
        <v>0</v>
      </c>
      <c r="CZ257" s="1804">
        <v>0</v>
      </c>
      <c r="DA257" s="1804">
        <v>0</v>
      </c>
      <c r="DB257" s="1804">
        <v>0</v>
      </c>
      <c r="DC257" s="1804">
        <v>0</v>
      </c>
      <c r="DD257" s="1804">
        <v>0</v>
      </c>
      <c r="DE257" s="1804">
        <v>0</v>
      </c>
      <c r="DF257" s="1804">
        <v>0</v>
      </c>
      <c r="DG257" s="1804">
        <v>0</v>
      </c>
      <c r="DH257" s="1804">
        <v>0</v>
      </c>
      <c r="DI257" s="1804">
        <v>0</v>
      </c>
      <c r="DJ257" s="1804">
        <v>0</v>
      </c>
      <c r="DK257" s="1804">
        <v>0</v>
      </c>
      <c r="DL257" s="1804">
        <v>0</v>
      </c>
      <c r="DM257" s="1804">
        <v>0</v>
      </c>
      <c r="DN257" s="1804">
        <v>0</v>
      </c>
      <c r="DO257" s="1804">
        <v>0</v>
      </c>
      <c r="DP257" s="1804">
        <v>0</v>
      </c>
      <c r="DQ257" s="1804">
        <v>0</v>
      </c>
      <c r="DR257" s="1804">
        <v>0</v>
      </c>
      <c r="DS257" s="1804">
        <v>0</v>
      </c>
      <c r="DT257" s="1804">
        <v>0</v>
      </c>
      <c r="DU257" s="1804">
        <v>0</v>
      </c>
      <c r="DV257" s="1804">
        <v>0</v>
      </c>
      <c r="DW257" s="1804">
        <v>0</v>
      </c>
      <c r="DX257" s="1804">
        <v>0</v>
      </c>
      <c r="DY257" s="1804">
        <v>0</v>
      </c>
      <c r="DZ257" s="1804">
        <v>0</v>
      </c>
      <c r="EA257" s="1804">
        <v>0</v>
      </c>
      <c r="EB257" s="1804">
        <v>0</v>
      </c>
      <c r="EC257" s="1804">
        <v>0</v>
      </c>
      <c r="ED257" s="1804">
        <v>0</v>
      </c>
      <c r="EE257" s="1804">
        <v>0</v>
      </c>
      <c r="EF257" s="1804">
        <v>0</v>
      </c>
      <c r="EG257" s="1804">
        <v>0</v>
      </c>
      <c r="EH257" s="1804">
        <v>0</v>
      </c>
      <c r="EI257" s="1804">
        <v>0</v>
      </c>
      <c r="EJ257" s="1804">
        <v>0</v>
      </c>
      <c r="EK257" s="1804">
        <v>0</v>
      </c>
      <c r="EL257" s="1804">
        <v>0</v>
      </c>
      <c r="EM257" s="1804">
        <v>0</v>
      </c>
      <c r="EN257" s="1804">
        <v>0</v>
      </c>
      <c r="EO257" s="1804">
        <v>0</v>
      </c>
      <c r="EP257" s="1804">
        <v>0</v>
      </c>
      <c r="EQ257" s="1804">
        <v>0</v>
      </c>
      <c r="ER257" s="1804">
        <v>0</v>
      </c>
      <c r="ES257" s="1804">
        <v>0</v>
      </c>
      <c r="ET257" s="1804">
        <v>0</v>
      </c>
      <c r="EU257" s="1804">
        <v>0</v>
      </c>
      <c r="EV257" s="1804">
        <v>0</v>
      </c>
      <c r="EW257" s="1804">
        <v>0</v>
      </c>
      <c r="EX257" s="1804">
        <v>0</v>
      </c>
      <c r="EY257" s="1804">
        <v>0</v>
      </c>
      <c r="EZ257" s="1804">
        <v>0</v>
      </c>
      <c r="FA257" s="1804">
        <v>0</v>
      </c>
      <c r="FB257" s="1804">
        <v>0</v>
      </c>
      <c r="FC257" s="1804">
        <v>0</v>
      </c>
      <c r="FD257" s="1804">
        <v>0</v>
      </c>
      <c r="FE257" s="1804">
        <v>0</v>
      </c>
      <c r="FF257" s="1804">
        <v>0</v>
      </c>
      <c r="FG257" s="1804">
        <v>0</v>
      </c>
      <c r="FH257" s="1804">
        <v>0</v>
      </c>
      <c r="FI257" s="1804">
        <v>0</v>
      </c>
      <c r="FJ257" s="1804">
        <v>0</v>
      </c>
      <c r="FK257" s="1804">
        <v>0</v>
      </c>
      <c r="FL257" s="1804">
        <v>0</v>
      </c>
      <c r="FM257" s="1804">
        <v>0</v>
      </c>
      <c r="FN257" s="1804">
        <v>0</v>
      </c>
      <c r="FO257" s="1804">
        <v>0</v>
      </c>
      <c r="FP257" s="1804">
        <v>0</v>
      </c>
      <c r="FQ257" s="1804">
        <v>0</v>
      </c>
      <c r="FR257" s="1804">
        <v>0</v>
      </c>
      <c r="FS257" s="1804">
        <v>0</v>
      </c>
      <c r="FT257" s="1804">
        <v>0</v>
      </c>
      <c r="FU257" s="1804">
        <v>0</v>
      </c>
      <c r="FV257" s="1804">
        <v>0</v>
      </c>
      <c r="FW257" s="1804">
        <v>0</v>
      </c>
      <c r="FX257" s="1804">
        <v>0</v>
      </c>
      <c r="FY257" s="1804">
        <v>0</v>
      </c>
      <c r="FZ257" s="1804">
        <v>0</v>
      </c>
      <c r="GA257" s="1804">
        <v>0</v>
      </c>
      <c r="GB257" s="1804">
        <v>0</v>
      </c>
      <c r="GC257" s="1804">
        <v>0</v>
      </c>
      <c r="GD257" s="1804">
        <v>0</v>
      </c>
      <c r="GE257" s="1804">
        <v>0</v>
      </c>
      <c r="GF257" s="1804">
        <v>0</v>
      </c>
      <c r="GG257" s="1804">
        <v>0</v>
      </c>
      <c r="GH257" s="1804">
        <v>0</v>
      </c>
      <c r="GI257" s="1804">
        <v>0</v>
      </c>
      <c r="GJ257" s="1804">
        <v>0</v>
      </c>
      <c r="GK257" s="1804">
        <v>0</v>
      </c>
      <c r="GL257" s="1804">
        <v>0</v>
      </c>
      <c r="GM257" s="1804">
        <v>0</v>
      </c>
      <c r="GN257" s="1804">
        <v>0</v>
      </c>
      <c r="GO257" s="1804">
        <v>0</v>
      </c>
      <c r="GP257" s="1804">
        <v>0</v>
      </c>
      <c r="GQ257" s="1804">
        <v>0</v>
      </c>
      <c r="GR257" s="1804">
        <v>0</v>
      </c>
      <c r="GS257" s="1804">
        <v>0</v>
      </c>
      <c r="GT257" s="1804">
        <v>0</v>
      </c>
      <c r="GU257" s="1804">
        <v>0</v>
      </c>
      <c r="GV257" s="1804">
        <v>0</v>
      </c>
      <c r="GW257" s="1804">
        <v>0</v>
      </c>
      <c r="GX257" s="1804">
        <v>0</v>
      </c>
      <c r="GY257" s="1804">
        <v>0</v>
      </c>
      <c r="GZ257" s="1804">
        <v>0</v>
      </c>
      <c r="HA257" s="1804">
        <v>0</v>
      </c>
      <c r="HB257" s="1804">
        <v>0</v>
      </c>
      <c r="HC257" s="1804">
        <v>0</v>
      </c>
      <c r="HD257" s="1804">
        <v>0</v>
      </c>
      <c r="HE257" s="1804">
        <v>0</v>
      </c>
      <c r="IG257" s="1872"/>
      <c r="IH257" s="1872"/>
      <c r="II257" s="1872"/>
      <c r="IJ257" s="1872"/>
      <c r="IK257" s="1872"/>
      <c r="IL257" s="1872"/>
      <c r="IM257" s="1872"/>
      <c r="IN257" s="1872"/>
      <c r="IO257" s="1872"/>
      <c r="IP257" s="1872"/>
      <c r="IQ257" s="1872"/>
      <c r="IR257" s="1872"/>
      <c r="IS257" s="1872"/>
      <c r="IT257" s="1872"/>
      <c r="IU257" s="1872"/>
      <c r="IV257" s="1872"/>
      <c r="IW257" s="1872"/>
      <c r="IX257" s="1872"/>
      <c r="IY257" s="1872"/>
      <c r="IZ257" s="1872"/>
      <c r="JA257" s="1872"/>
      <c r="JB257" s="1872"/>
      <c r="JC257" s="1872"/>
      <c r="JD257" s="1872"/>
      <c r="JE257" s="1872"/>
      <c r="JF257" s="1872"/>
      <c r="JG257" s="1872"/>
      <c r="JH257" s="1872"/>
      <c r="JI257" s="1872"/>
      <c r="JJ257" s="1872"/>
      <c r="JK257" s="1872"/>
      <c r="JL257" s="1872"/>
      <c r="JM257" s="1872"/>
      <c r="JN257" s="1872"/>
      <c r="JO257" s="1872"/>
      <c r="JP257" s="1872"/>
      <c r="JQ257" s="1872"/>
      <c r="JR257" s="1872"/>
      <c r="JS257" s="1872"/>
      <c r="JT257" s="1872"/>
      <c r="JU257" s="1872"/>
      <c r="JV257" s="1872"/>
      <c r="JW257" s="1872"/>
      <c r="JX257" s="1872"/>
      <c r="JY257" s="1872"/>
      <c r="JZ257" s="1872"/>
      <c r="KA257" s="1872"/>
      <c r="KB257" s="1872"/>
      <c r="KC257" s="1872"/>
      <c r="KD257" s="1872"/>
      <c r="KE257" s="1872"/>
      <c r="KF257" s="1872"/>
      <c r="KG257" s="1872"/>
      <c r="KH257" s="1872"/>
      <c r="KI257" s="1872"/>
      <c r="KJ257" s="1872"/>
      <c r="KK257" s="1872"/>
      <c r="KL257" s="1872"/>
      <c r="KM257" s="1872"/>
      <c r="KN257" s="1872"/>
      <c r="KO257" s="1872"/>
      <c r="KP257" s="1872"/>
      <c r="KQ257" s="1872"/>
      <c r="KR257" s="1872"/>
      <c r="KS257" s="1872"/>
      <c r="KT257" s="1872"/>
      <c r="KU257" s="1872"/>
      <c r="KV257" s="1872"/>
      <c r="KW257" s="1872"/>
      <c r="KX257" s="1872"/>
      <c r="KY257" s="1872"/>
      <c r="KZ257" s="1872"/>
      <c r="LA257" s="1872"/>
      <c r="LB257" s="1872"/>
      <c r="LC257" s="1872"/>
      <c r="LD257" s="1872"/>
      <c r="LE257" s="1872"/>
      <c r="LF257" s="1872"/>
      <c r="LG257" s="1872"/>
      <c r="LH257" s="1872"/>
      <c r="LI257" s="1872"/>
      <c r="LJ257" s="1872"/>
      <c r="LK257" s="1872"/>
      <c r="LL257" s="1872"/>
      <c r="LM257" s="1872"/>
      <c r="LN257" s="1872"/>
      <c r="LO257" s="1872"/>
      <c r="LP257" s="1872"/>
      <c r="LQ257" s="1872"/>
      <c r="LR257" s="1872"/>
      <c r="LS257" s="1872"/>
      <c r="LT257" s="1872"/>
      <c r="LU257" s="1872"/>
      <c r="LV257" s="1872"/>
      <c r="LW257" s="1872"/>
      <c r="LX257" s="1872"/>
      <c r="LY257" s="1872"/>
      <c r="LZ257" s="1872"/>
      <c r="MA257" s="1872"/>
      <c r="MB257" s="1872"/>
      <c r="MC257" s="1872"/>
      <c r="MD257" s="1872"/>
      <c r="ME257" s="1872"/>
      <c r="MF257" s="1872"/>
      <c r="MG257" s="1872"/>
      <c r="MH257" s="1872"/>
      <c r="MI257" s="1872"/>
      <c r="MJ257" s="1872"/>
      <c r="MK257" s="1872"/>
      <c r="ML257" s="1872"/>
      <c r="MM257" s="1872"/>
      <c r="MN257" s="1872"/>
      <c r="MO257" s="1872"/>
      <c r="MP257" s="1872"/>
      <c r="MQ257" s="1872"/>
      <c r="MR257" s="1872"/>
      <c r="MS257" s="1872"/>
      <c r="MT257" s="1872"/>
      <c r="MU257" s="1872"/>
      <c r="MV257" s="1872"/>
      <c r="MW257" s="1872"/>
      <c r="MX257" s="1872"/>
      <c r="MY257" s="1872"/>
      <c r="MZ257" s="1872"/>
      <c r="NA257" s="1872"/>
      <c r="NB257" s="1872"/>
      <c r="NC257" s="1872"/>
      <c r="ND257" s="1872"/>
      <c r="NE257" s="1872"/>
      <c r="NF257" s="1872"/>
      <c r="NG257" s="1872"/>
      <c r="NH257" s="1872"/>
      <c r="NI257" s="1872"/>
      <c r="NJ257" s="1872"/>
      <c r="NK257" s="1872"/>
      <c r="NL257" s="1872"/>
      <c r="NM257" s="1872"/>
      <c r="NN257" s="1872"/>
      <c r="NO257" s="1872"/>
      <c r="NP257" s="1872"/>
      <c r="NQ257" s="1872"/>
      <c r="NR257" s="1872"/>
      <c r="NS257" s="1872"/>
      <c r="NT257" s="1872"/>
      <c r="NU257" s="1872"/>
      <c r="NV257" s="1872"/>
      <c r="NW257" s="1872"/>
      <c r="NX257" s="1872"/>
      <c r="NY257" s="1872"/>
      <c r="NZ257" s="1872"/>
      <c r="OA257" s="1872"/>
      <c r="OB257" s="1872"/>
      <c r="OC257" s="1872"/>
      <c r="OD257" s="1872"/>
      <c r="OE257" s="1872"/>
      <c r="OF257" s="1872"/>
      <c r="OG257" s="1872"/>
      <c r="OH257" s="1872"/>
      <c r="OI257" s="1872"/>
      <c r="OJ257" s="1872"/>
      <c r="OK257" s="1872"/>
      <c r="OL257" s="1872"/>
      <c r="OM257" s="1872"/>
      <c r="ON257" s="1872"/>
      <c r="OO257" s="1872"/>
      <c r="OP257" s="1872"/>
      <c r="OQ257" s="1872"/>
      <c r="OR257" s="1872"/>
      <c r="OS257" s="1872"/>
      <c r="OT257" s="1872"/>
      <c r="OU257" s="1872"/>
      <c r="OV257" s="1872"/>
      <c r="OW257" s="1872"/>
      <c r="OX257" s="1872"/>
      <c r="OY257" s="1872"/>
      <c r="OZ257" s="1872"/>
      <c r="PA257" s="1872"/>
      <c r="PB257" s="1872"/>
      <c r="PC257" s="1872"/>
      <c r="PD257" s="1872"/>
      <c r="PE257" s="1872"/>
      <c r="PF257" s="1872"/>
      <c r="PG257" s="1872"/>
      <c r="PH257" s="1872"/>
      <c r="PI257" s="1872"/>
      <c r="PJ257" s="1872"/>
      <c r="PK257" s="1872"/>
      <c r="PL257" s="1872"/>
      <c r="PM257" s="1872"/>
      <c r="PN257" s="1872"/>
      <c r="PO257" s="1872"/>
      <c r="PP257" s="1872"/>
      <c r="PQ257" s="1872"/>
      <c r="PR257" s="1872"/>
      <c r="PS257" s="1872"/>
      <c r="PT257" s="1872"/>
      <c r="PU257" s="1872"/>
      <c r="PV257" s="1872"/>
      <c r="PW257" s="1872"/>
      <c r="PX257" s="1872"/>
      <c r="PY257" s="1872"/>
      <c r="PZ257" s="1872"/>
      <c r="QA257" s="1872"/>
      <c r="QB257" s="1872"/>
      <c r="QC257" s="1872"/>
      <c r="QD257" s="1872"/>
      <c r="QE257" s="1872"/>
      <c r="QF257" s="1872"/>
      <c r="QG257" s="1872"/>
      <c r="QH257" s="1872"/>
      <c r="QI257" s="1872"/>
      <c r="QJ257" s="1872"/>
      <c r="QK257" s="1872"/>
      <c r="QL257" s="1872"/>
      <c r="QM257" s="1872"/>
      <c r="QN257" s="1872"/>
      <c r="QO257" s="1872"/>
      <c r="QP257" s="1872"/>
      <c r="QQ257" s="1872"/>
      <c r="QR257" s="1872"/>
      <c r="QS257" s="1872"/>
      <c r="QT257" s="1872"/>
      <c r="QU257" s="1872"/>
      <c r="QV257" s="1872"/>
      <c r="QW257" s="1872"/>
      <c r="QX257" s="1872"/>
      <c r="QY257" s="1872"/>
      <c r="QZ257" s="1872"/>
      <c r="RA257" s="1872"/>
      <c r="RB257" s="1872"/>
      <c r="RC257" s="1872"/>
      <c r="RD257" s="1872"/>
      <c r="RE257" s="1872"/>
      <c r="RF257" s="1872"/>
      <c r="RG257" s="1872"/>
      <c r="RH257" s="1872"/>
      <c r="RI257" s="1872"/>
      <c r="RJ257" s="1872"/>
      <c r="RK257" s="1872"/>
      <c r="RL257" s="1872"/>
      <c r="RM257" s="1872"/>
      <c r="RN257" s="1872"/>
      <c r="RO257" s="1872"/>
      <c r="RP257" s="1872"/>
      <c r="RQ257" s="1872"/>
      <c r="RR257" s="1872"/>
      <c r="RS257" s="1872"/>
      <c r="RT257" s="1872"/>
      <c r="RU257" s="1872"/>
      <c r="RV257" s="1872"/>
      <c r="RW257" s="1872"/>
      <c r="RX257" s="1872"/>
      <c r="RY257" s="1872"/>
      <c r="RZ257" s="1872"/>
      <c r="SA257" s="1872"/>
      <c r="SB257" s="1872"/>
      <c r="SC257" s="1872"/>
      <c r="SD257" s="1872"/>
      <c r="SE257" s="1872"/>
      <c r="SF257" s="1872"/>
      <c r="SG257" s="1872"/>
      <c r="SH257" s="1872"/>
      <c r="SI257" s="1872"/>
      <c r="SJ257" s="1872"/>
      <c r="SK257" s="1872"/>
      <c r="SL257" s="1872"/>
      <c r="SM257" s="1872"/>
      <c r="SN257" s="1872"/>
      <c r="SO257" s="1872"/>
      <c r="SP257" s="1872"/>
      <c r="SQ257" s="1872"/>
      <c r="SR257" s="1872"/>
      <c r="SS257" s="1872"/>
      <c r="ST257" s="1872"/>
      <c r="SU257" s="1872"/>
      <c r="SV257" s="1872"/>
      <c r="SW257" s="1872"/>
      <c r="SX257" s="1872"/>
      <c r="SY257" s="1872"/>
      <c r="SZ257" s="1872"/>
      <c r="TA257" s="1872"/>
      <c r="TB257" s="1872"/>
      <c r="TC257" s="1872"/>
      <c r="TD257" s="1872"/>
      <c r="TE257" s="1872"/>
      <c r="TF257" s="1872"/>
      <c r="TG257" s="1872"/>
      <c r="TH257" s="1872"/>
      <c r="TI257" s="1872"/>
      <c r="TJ257" s="1872"/>
      <c r="TK257" s="1872"/>
      <c r="TL257" s="1872"/>
      <c r="TM257" s="1872"/>
      <c r="TN257" s="1872"/>
      <c r="TO257" s="1872"/>
      <c r="TP257" s="1872"/>
      <c r="TQ257" s="1872"/>
      <c r="TR257" s="1872"/>
      <c r="TS257" s="1872"/>
      <c r="TT257" s="1872"/>
      <c r="TU257" s="1872"/>
      <c r="TV257" s="1872"/>
      <c r="TW257" s="1872"/>
      <c r="TX257" s="1872"/>
      <c r="TY257" s="1872"/>
      <c r="TZ257" s="1872"/>
      <c r="UA257" s="1872"/>
      <c r="UB257" s="1872"/>
      <c r="UC257" s="1872"/>
      <c r="UD257" s="1872"/>
      <c r="UE257" s="1872"/>
      <c r="UF257" s="1872"/>
      <c r="UG257" s="1872"/>
      <c r="UH257" s="1872"/>
      <c r="UI257" s="1872"/>
      <c r="UJ257" s="1872"/>
      <c r="UK257" s="1872"/>
      <c r="UL257" s="1872"/>
      <c r="UM257" s="1872"/>
      <c r="UN257" s="1872"/>
      <c r="UO257" s="1872"/>
      <c r="UP257" s="1872"/>
      <c r="UQ257" s="1872"/>
      <c r="UR257" s="1872"/>
      <c r="US257" s="1872"/>
      <c r="UT257" s="1872"/>
      <c r="UU257" s="1872"/>
      <c r="UV257" s="1872"/>
      <c r="UW257" s="1872"/>
      <c r="UX257" s="1872"/>
      <c r="UY257" s="1872"/>
      <c r="UZ257" s="1872"/>
      <c r="VA257" s="1872"/>
      <c r="VB257" s="1872"/>
      <c r="VC257" s="1872"/>
      <c r="VD257" s="1872"/>
      <c r="VE257" s="1872"/>
      <c r="VF257" s="1872"/>
      <c r="VG257" s="1872"/>
      <c r="VH257" s="1872"/>
      <c r="VI257" s="1872"/>
      <c r="VJ257" s="1872"/>
      <c r="VK257" s="1872"/>
      <c r="VL257" s="1872"/>
      <c r="VM257" s="1872"/>
      <c r="VN257" s="1872"/>
      <c r="VO257" s="1872"/>
      <c r="VP257" s="1872"/>
      <c r="VQ257" s="1872"/>
      <c r="VR257" s="1872"/>
      <c r="VS257" s="1872"/>
      <c r="VT257" s="1872"/>
      <c r="VU257" s="1872"/>
      <c r="VV257" s="1872"/>
      <c r="VW257" s="1872"/>
      <c r="VX257" s="1872"/>
      <c r="VY257" s="1872"/>
      <c r="VZ257" s="1872"/>
      <c r="WA257" s="1872"/>
      <c r="WB257" s="1872"/>
      <c r="WC257" s="1872"/>
      <c r="WD257" s="1872"/>
      <c r="WE257" s="1872"/>
      <c r="WF257" s="1872"/>
      <c r="WG257" s="1872"/>
      <c r="WH257" s="1872"/>
      <c r="WI257" s="1872"/>
      <c r="WJ257" s="1872"/>
      <c r="WK257" s="1872"/>
      <c r="WL257" s="1872"/>
      <c r="WM257" s="1872"/>
      <c r="WN257" s="1872"/>
      <c r="WO257" s="1872"/>
      <c r="WP257" s="1872"/>
      <c r="WQ257" s="1872"/>
      <c r="WR257" s="1872"/>
      <c r="WS257" s="1872"/>
      <c r="WT257" s="1872"/>
      <c r="WU257" s="1872"/>
      <c r="WV257" s="1872"/>
      <c r="WW257" s="1872"/>
      <c r="WX257" s="1872"/>
      <c r="WY257" s="1872"/>
      <c r="WZ257" s="1872"/>
      <c r="XA257" s="1872"/>
      <c r="XB257" s="1872"/>
      <c r="XC257" s="1872"/>
      <c r="XD257" s="1872"/>
      <c r="XE257" s="1872"/>
      <c r="XF257" s="1872"/>
      <c r="XG257" s="1872"/>
      <c r="XH257" s="1872"/>
      <c r="XI257" s="1872"/>
      <c r="XJ257" s="1872"/>
      <c r="XK257" s="1872"/>
      <c r="XL257" s="1872"/>
      <c r="XM257" s="1872"/>
      <c r="XN257" s="1872"/>
      <c r="XO257" s="1872"/>
      <c r="XP257" s="1872"/>
      <c r="XQ257" s="1872"/>
      <c r="XR257" s="1872"/>
      <c r="XS257" s="1872"/>
      <c r="XT257" s="1872"/>
      <c r="XU257" s="1872"/>
      <c r="XV257" s="1872"/>
      <c r="XW257" s="1872"/>
      <c r="XX257" s="1872"/>
      <c r="XY257" s="1872"/>
      <c r="XZ257" s="1872"/>
      <c r="YA257" s="1872"/>
      <c r="YB257" s="1872"/>
      <c r="YC257" s="1872"/>
      <c r="YD257" s="1872"/>
      <c r="YE257" s="1872"/>
      <c r="YF257" s="1872"/>
      <c r="YG257" s="1872"/>
      <c r="YH257" s="1872"/>
      <c r="YI257" s="1872"/>
      <c r="YJ257" s="1872"/>
      <c r="YK257" s="1872"/>
      <c r="YL257" s="1872"/>
      <c r="YM257" s="1872"/>
      <c r="YN257" s="1872"/>
      <c r="YO257" s="1872"/>
      <c r="YP257" s="1872"/>
      <c r="YQ257" s="1872"/>
      <c r="YR257" s="1872"/>
      <c r="YS257" s="1872"/>
      <c r="YT257" s="1872"/>
      <c r="YU257" s="1872"/>
      <c r="YV257" s="1872"/>
      <c r="YW257" s="1872"/>
      <c r="YX257" s="1872"/>
      <c r="YY257" s="1872"/>
      <c r="YZ257" s="1872"/>
      <c r="ZA257" s="1872"/>
      <c r="ZB257" s="1872"/>
      <c r="ZC257" s="1872"/>
      <c r="ZD257" s="1872"/>
      <c r="ZE257" s="1872"/>
      <c r="ZF257" s="1872"/>
      <c r="ZG257" s="1872"/>
      <c r="ZH257" s="1872"/>
      <c r="ZI257" s="1872"/>
      <c r="ZJ257" s="1872"/>
      <c r="ZK257" s="1872"/>
      <c r="ZL257" s="1872"/>
      <c r="ZM257" s="1872"/>
      <c r="ZN257" s="1872"/>
      <c r="ZO257" s="1872"/>
      <c r="ZP257" s="1872"/>
      <c r="ZQ257" s="1872"/>
      <c r="ZR257" s="1872"/>
      <c r="ZS257" s="1872"/>
      <c r="ZT257" s="1872"/>
      <c r="ZU257" s="1872"/>
      <c r="ZV257" s="1872"/>
      <c r="ZW257" s="1872"/>
      <c r="ZX257" s="1872"/>
      <c r="ZY257" s="1872"/>
      <c r="ZZ257" s="1872"/>
      <c r="AAA257" s="1872"/>
      <c r="AAB257" s="1872"/>
      <c r="AAC257" s="1872"/>
      <c r="AAD257" s="1872"/>
      <c r="AAE257" s="1872"/>
      <c r="AAF257" s="1872"/>
      <c r="AAG257" s="1872"/>
      <c r="AAH257" s="1872"/>
      <c r="AAI257" s="1872"/>
      <c r="AAJ257" s="1872"/>
      <c r="AAK257" s="1872"/>
      <c r="AAL257" s="1872"/>
      <c r="AAM257" s="1872"/>
      <c r="AAN257" s="1872"/>
      <c r="AAO257" s="1872"/>
      <c r="AAP257" s="1872"/>
      <c r="AAQ257" s="1872"/>
      <c r="AAR257" s="1872"/>
      <c r="AAS257" s="1872"/>
      <c r="AAT257" s="1872"/>
      <c r="AAU257" s="1872"/>
      <c r="AAV257" s="1872"/>
      <c r="AAW257" s="1872"/>
      <c r="AAX257" s="1872"/>
      <c r="AAY257" s="1872"/>
      <c r="AAZ257" s="1872"/>
      <c r="ABA257" s="1872"/>
      <c r="ABB257" s="1872"/>
      <c r="ABC257" s="1872"/>
      <c r="ABD257" s="1872"/>
      <c r="ABE257" s="1872"/>
      <c r="ABF257" s="1872"/>
      <c r="ABG257" s="1872"/>
      <c r="ABH257" s="1872"/>
      <c r="ABI257" s="1872"/>
      <c r="ABJ257" s="1872"/>
      <c r="ABK257" s="1872"/>
      <c r="ABL257" s="1872"/>
      <c r="ABM257" s="1872"/>
      <c r="ABN257" s="1872"/>
      <c r="ABO257" s="1872"/>
      <c r="ABP257" s="1872"/>
      <c r="ABQ257" s="1872"/>
      <c r="ABR257" s="1872"/>
      <c r="ABS257" s="1872"/>
      <c r="ABT257" s="1872"/>
      <c r="ABU257" s="1872"/>
      <c r="ABV257" s="1872"/>
      <c r="ABW257" s="1872"/>
      <c r="ABX257" s="1872"/>
      <c r="ABY257" s="1872"/>
      <c r="ABZ257" s="1872"/>
      <c r="ACA257" s="1872"/>
      <c r="ACB257" s="1872"/>
      <c r="ACC257" s="1872"/>
      <c r="ACD257" s="1872"/>
      <c r="ACE257" s="1872"/>
      <c r="ACF257" s="1872"/>
      <c r="ACG257" s="1872"/>
      <c r="ACH257" s="1872"/>
      <c r="ACI257" s="1872"/>
      <c r="ACJ257" s="1872"/>
      <c r="ACK257" s="1872"/>
      <c r="ACL257" s="1872"/>
      <c r="ACM257" s="1872"/>
      <c r="ACN257" s="1872"/>
      <c r="ACO257" s="1872"/>
      <c r="ACP257" s="1872"/>
      <c r="ACQ257" s="1872"/>
      <c r="ACR257" s="1872"/>
      <c r="ACS257" s="1872"/>
      <c r="ACT257" s="1872"/>
      <c r="ACU257" s="1872"/>
      <c r="ACV257" s="1872"/>
      <c r="ACW257" s="1872"/>
      <c r="ACX257" s="1872"/>
      <c r="ACY257" s="1872"/>
      <c r="ACZ257" s="1872"/>
      <c r="ADA257" s="1872"/>
      <c r="ADB257" s="1872"/>
      <c r="ADC257" s="1872"/>
      <c r="ADD257" s="1872"/>
      <c r="ADE257" s="1872"/>
      <c r="ADF257" s="1872"/>
      <c r="ADG257" s="1872"/>
      <c r="ADH257" s="1872"/>
      <c r="ADI257" s="1872"/>
      <c r="ADJ257" s="1872"/>
      <c r="ADK257" s="1872"/>
      <c r="ADL257" s="1872"/>
      <c r="ADM257" s="1872"/>
      <c r="ADN257" s="1872"/>
      <c r="ADO257" s="1872"/>
      <c r="ADP257" s="1872"/>
      <c r="ADQ257" s="1872"/>
      <c r="ADR257" s="1872"/>
      <c r="ADS257" s="1872"/>
      <c r="ADT257" s="1872"/>
      <c r="ADU257" s="1872"/>
      <c r="ADV257" s="1872"/>
      <c r="ADW257" s="1872"/>
      <c r="ADX257" s="1872"/>
      <c r="ADY257" s="1872"/>
      <c r="ADZ257" s="1872"/>
      <c r="AEA257" s="1872"/>
      <c r="AEB257" s="1872"/>
      <c r="AEC257" s="1872"/>
      <c r="AED257" s="1872"/>
      <c r="AEE257" s="1872"/>
      <c r="AEF257" s="1872"/>
      <c r="AEG257" s="1872"/>
      <c r="AEH257" s="1872"/>
      <c r="AEI257" s="1872"/>
      <c r="AEJ257" s="1872"/>
      <c r="AEK257" s="1872"/>
      <c r="AEL257" s="1872"/>
      <c r="AEM257" s="1872"/>
      <c r="AEN257" s="1872"/>
      <c r="AEO257" s="1872"/>
      <c r="AEP257" s="1872"/>
      <c r="AEQ257" s="1872"/>
      <c r="AER257" s="1872"/>
      <c r="AES257" s="1872"/>
      <c r="AET257" s="1872"/>
      <c r="AEU257" s="1872"/>
      <c r="AEV257" s="1872"/>
      <c r="AEW257" s="1872"/>
      <c r="AEX257" s="1872"/>
      <c r="AEY257" s="1872"/>
      <c r="AEZ257" s="1872"/>
      <c r="AFA257" s="1872"/>
      <c r="AFB257" s="1872"/>
      <c r="AFC257" s="1872"/>
      <c r="AFD257" s="1872"/>
      <c r="AFE257" s="1872"/>
      <c r="AFF257" s="1872"/>
      <c r="AFG257" s="1872"/>
      <c r="AFH257" s="1872"/>
      <c r="AFI257" s="1872"/>
      <c r="AFJ257" s="1872"/>
      <c r="AFK257" s="1872"/>
      <c r="AFL257" s="1872"/>
      <c r="AFM257" s="1872"/>
      <c r="AFN257" s="1872"/>
      <c r="AFO257" s="1872"/>
      <c r="AFP257" s="1872"/>
      <c r="AFQ257" s="1872"/>
      <c r="AFR257" s="1872"/>
      <c r="AFS257" s="1872"/>
      <c r="AFT257" s="1872"/>
      <c r="AFU257" s="1872"/>
      <c r="AFV257" s="1872"/>
      <c r="AFW257" s="1872"/>
      <c r="AFX257" s="1872"/>
      <c r="AFY257" s="1872"/>
      <c r="AFZ257" s="1872"/>
      <c r="AGA257" s="1872"/>
      <c r="AGB257" s="1872"/>
      <c r="AGC257" s="1872"/>
      <c r="AGD257" s="1872"/>
      <c r="AGE257" s="1872"/>
      <c r="AGF257" s="1872"/>
      <c r="AGG257" s="1872"/>
      <c r="AGH257" s="1872"/>
      <c r="AGI257" s="1872"/>
      <c r="AGJ257" s="1872"/>
      <c r="AGK257" s="1872"/>
      <c r="AGL257" s="1872"/>
      <c r="AGM257" s="1872"/>
      <c r="AGN257" s="1872"/>
      <c r="AGO257" s="1872"/>
      <c r="AGP257" s="1872"/>
      <c r="AGQ257" s="1872"/>
      <c r="AGR257" s="1872"/>
      <c r="AGS257" s="1872"/>
      <c r="AGT257" s="1872"/>
      <c r="AGU257" s="1872"/>
      <c r="AGV257" s="1872"/>
      <c r="AGW257" s="1872"/>
      <c r="AGX257" s="1872"/>
      <c r="AGY257" s="1872"/>
      <c r="AGZ257" s="1872"/>
      <c r="AHA257" s="1872"/>
      <c r="AHB257" s="1872"/>
      <c r="AHC257" s="1872"/>
      <c r="AHD257" s="1872"/>
      <c r="AHE257" s="1872"/>
      <c r="AHF257" s="1872"/>
      <c r="AHG257" s="1872"/>
      <c r="AHH257" s="1872"/>
      <c r="AHI257" s="1872"/>
      <c r="AHJ257" s="1872"/>
      <c r="AHK257" s="1872"/>
      <c r="AHL257" s="1872"/>
      <c r="AHM257" s="1872"/>
      <c r="AHN257" s="1872"/>
      <c r="AHO257" s="1872"/>
      <c r="AHP257" s="1872"/>
      <c r="AHQ257" s="1872"/>
      <c r="AHR257" s="1872"/>
      <c r="AHS257" s="1872"/>
      <c r="AHT257" s="1872"/>
      <c r="AHU257" s="1872"/>
      <c r="AHV257" s="1872"/>
      <c r="AHW257" s="1872"/>
      <c r="AHX257" s="1872"/>
      <c r="AHY257" s="1872"/>
      <c r="AHZ257" s="1872"/>
      <c r="AIA257" s="1872"/>
      <c r="AIB257" s="1872"/>
      <c r="AIC257" s="1872"/>
      <c r="AID257" s="1872"/>
      <c r="AIE257" s="1872"/>
      <c r="AIF257" s="1872"/>
      <c r="AIG257" s="1872"/>
      <c r="AIH257" s="1872"/>
      <c r="AII257" s="1872"/>
      <c r="AIJ257" s="1872"/>
      <c r="AIK257" s="1872"/>
      <c r="AIL257" s="1872"/>
      <c r="AIM257" s="1872"/>
      <c r="AIN257" s="1872"/>
      <c r="AIO257" s="1872"/>
      <c r="AIP257" s="1872"/>
      <c r="AIQ257" s="1872"/>
      <c r="AIR257" s="1872"/>
      <c r="AIS257" s="1872"/>
      <c r="AIT257" s="1872"/>
      <c r="AIU257" s="1872"/>
      <c r="AIV257" s="1872"/>
      <c r="AIW257" s="1872"/>
      <c r="AIX257" s="1872"/>
      <c r="AIY257" s="1872"/>
      <c r="AIZ257" s="1872"/>
      <c r="AJA257" s="1872"/>
      <c r="AJB257" s="1872"/>
      <c r="AJC257" s="1872"/>
      <c r="AJD257" s="1872"/>
      <c r="AJE257" s="1872"/>
      <c r="AJF257" s="1872"/>
      <c r="AJG257" s="1872"/>
      <c r="AJH257" s="1872"/>
      <c r="AJI257" s="1872"/>
      <c r="AJJ257" s="1872"/>
      <c r="AJK257" s="1872"/>
      <c r="AJL257" s="1872"/>
      <c r="AJM257" s="1872"/>
      <c r="AJN257" s="1872"/>
      <c r="AJO257" s="1872"/>
      <c r="AJP257" s="1872"/>
      <c r="AJQ257" s="1872"/>
      <c r="AJR257" s="1872"/>
      <c r="AJS257" s="1872"/>
      <c r="AJT257" s="1872"/>
      <c r="AJU257" s="1872"/>
      <c r="AJV257" s="1872"/>
      <c r="AJW257" s="1872"/>
      <c r="AJX257" s="1872"/>
      <c r="AJY257" s="1872"/>
      <c r="AJZ257" s="1872"/>
      <c r="AKA257" s="1872"/>
      <c r="AKB257" s="1872"/>
      <c r="AKC257" s="1872"/>
      <c r="AKD257" s="1872"/>
      <c r="AKE257" s="1872"/>
      <c r="AKF257" s="1872"/>
      <c r="AKG257" s="1872"/>
      <c r="AKH257" s="1872"/>
      <c r="AKI257" s="1872"/>
      <c r="AKJ257" s="1872"/>
      <c r="AKK257" s="1872"/>
      <c r="AKL257" s="1872"/>
      <c r="AKM257" s="1872"/>
      <c r="AKN257" s="1872"/>
      <c r="AKO257" s="1872"/>
      <c r="AKP257" s="1872"/>
      <c r="AKQ257" s="1872"/>
      <c r="AKR257" s="1872"/>
      <c r="AKS257" s="1872"/>
      <c r="AKT257" s="1872"/>
      <c r="AKU257" s="1872"/>
      <c r="AKV257" s="1872"/>
      <c r="AKW257" s="1872"/>
      <c r="AKX257" s="1872"/>
      <c r="AKY257" s="1872"/>
      <c r="AKZ257" s="1872"/>
      <c r="ALA257" s="1872"/>
      <c r="ALB257" s="1872"/>
      <c r="ALC257" s="1872"/>
      <c r="ALD257" s="1872"/>
      <c r="ALE257" s="1872"/>
      <c r="ALF257" s="1872"/>
      <c r="ALG257" s="1872"/>
      <c r="ALH257" s="1872"/>
      <c r="ALI257" s="1872"/>
      <c r="ALJ257" s="1872"/>
      <c r="ALK257" s="1872"/>
      <c r="ALL257" s="1872"/>
      <c r="ALM257" s="1872"/>
      <c r="ALN257" s="1872"/>
      <c r="ALO257" s="1872"/>
      <c r="ALP257" s="1872"/>
      <c r="ALQ257" s="1872"/>
      <c r="ALR257" s="1872"/>
      <c r="ALS257" s="1872"/>
      <c r="ALT257" s="1872"/>
      <c r="ALU257" s="1872"/>
      <c r="ALV257" s="1872"/>
      <c r="ALW257" s="1872"/>
      <c r="ALX257" s="1872"/>
      <c r="ALY257" s="1872"/>
      <c r="ALZ257" s="1872"/>
      <c r="AMA257" s="1872"/>
      <c r="AMB257" s="1872"/>
      <c r="AMC257" s="1872"/>
      <c r="AMD257" s="1872"/>
      <c r="AME257" s="1872"/>
      <c r="AMF257" s="1872"/>
      <c r="AMG257" s="1872"/>
      <c r="AMH257" s="1872"/>
      <c r="AMI257" s="1872"/>
      <c r="AMJ257" s="1872"/>
      <c r="AMK257" s="1872"/>
      <c r="AML257" s="1872"/>
      <c r="AMM257" s="1872"/>
      <c r="AMN257" s="1872"/>
      <c r="AMO257" s="1872"/>
      <c r="AMP257" s="1872"/>
      <c r="AMQ257" s="1872"/>
      <c r="AMR257" s="1872"/>
      <c r="AMS257" s="1872"/>
      <c r="AMT257" s="1872"/>
      <c r="AMU257" s="1872"/>
      <c r="AMV257" s="1872"/>
      <c r="AMW257" s="1872"/>
      <c r="AMX257" s="1872"/>
      <c r="AMY257" s="1872"/>
      <c r="AMZ257" s="1872"/>
      <c r="ANA257" s="1872"/>
      <c r="ANB257" s="1872"/>
      <c r="ANC257" s="1872"/>
      <c r="AND257" s="1872"/>
      <c r="ANE257" s="1872"/>
      <c r="ANF257" s="1872"/>
      <c r="ANG257" s="1872"/>
      <c r="ANH257" s="1872"/>
      <c r="ANI257" s="1872"/>
      <c r="ANJ257" s="1872"/>
      <c r="ANK257" s="1872"/>
      <c r="ANL257" s="1872"/>
      <c r="ANM257" s="1872"/>
      <c r="ANN257" s="1872"/>
      <c r="ANO257" s="1872"/>
      <c r="ANP257" s="1872"/>
      <c r="ANQ257" s="1872"/>
      <c r="ANR257" s="1872"/>
      <c r="ANS257" s="1872"/>
      <c r="ANT257" s="1872"/>
      <c r="ANU257" s="1872"/>
      <c r="ANV257" s="1872"/>
      <c r="ANW257" s="1872"/>
      <c r="ANX257" s="1872"/>
      <c r="ANY257" s="1872"/>
      <c r="ANZ257" s="1872"/>
      <c r="AOA257" s="1872"/>
      <c r="AOB257" s="1872"/>
      <c r="AOC257" s="1872"/>
      <c r="AOD257" s="1872"/>
      <c r="AOE257" s="1872"/>
      <c r="AOF257" s="1872"/>
      <c r="AOG257" s="1872"/>
      <c r="AOH257" s="1872"/>
      <c r="AOI257" s="1872"/>
      <c r="AOJ257" s="1872"/>
      <c r="AOK257" s="1872"/>
      <c r="AOL257" s="1872"/>
      <c r="AOM257" s="1872"/>
      <c r="AON257" s="1872"/>
      <c r="AOO257" s="1872"/>
      <c r="AOP257" s="1872"/>
      <c r="AOQ257" s="1872"/>
      <c r="AOR257" s="1872"/>
      <c r="AOS257" s="1872"/>
      <c r="AOT257" s="1872"/>
      <c r="AOU257" s="1872"/>
      <c r="AOV257" s="1872"/>
      <c r="AOW257" s="1872"/>
      <c r="AOX257" s="1872"/>
      <c r="AOY257" s="1872"/>
      <c r="AOZ257" s="1872"/>
      <c r="APA257" s="1872"/>
      <c r="APB257" s="1872"/>
      <c r="APC257" s="1872"/>
      <c r="APD257" s="1872"/>
      <c r="APE257" s="1872"/>
      <c r="APF257" s="1872"/>
      <c r="APG257" s="1872"/>
      <c r="APH257" s="1872"/>
      <c r="API257" s="1872"/>
      <c r="APJ257" s="1872"/>
      <c r="APK257" s="1872"/>
      <c r="APL257" s="1872"/>
      <c r="APM257" s="1872"/>
      <c r="APN257" s="1872"/>
      <c r="APO257" s="1872"/>
      <c r="APP257" s="1872"/>
      <c r="APQ257" s="1872"/>
      <c r="APR257" s="1872"/>
      <c r="APS257" s="1872"/>
      <c r="APT257" s="1872"/>
      <c r="APU257" s="1872"/>
      <c r="APV257" s="1872"/>
      <c r="APW257" s="1872"/>
      <c r="APX257" s="1872"/>
      <c r="APY257" s="1872"/>
      <c r="APZ257" s="1872"/>
      <c r="AQA257" s="1872"/>
      <c r="AQB257" s="1872"/>
      <c r="AQC257" s="1872"/>
      <c r="AQD257" s="1872"/>
      <c r="AQE257" s="1872"/>
      <c r="AQF257" s="1872"/>
      <c r="AQG257" s="1872"/>
      <c r="AQH257" s="1872"/>
      <c r="AQI257" s="1872"/>
      <c r="AQJ257" s="1872"/>
      <c r="AQK257" s="1872"/>
      <c r="AQL257" s="1872"/>
      <c r="AQM257" s="1872"/>
      <c r="AQN257" s="1872"/>
      <c r="AQO257" s="1872"/>
      <c r="AQP257" s="1872"/>
      <c r="AQQ257" s="1872"/>
      <c r="AQR257" s="1872"/>
      <c r="AQS257" s="1872"/>
      <c r="AQT257" s="1872"/>
      <c r="AQU257" s="1872"/>
      <c r="AQV257" s="1872"/>
      <c r="AQW257" s="1872"/>
      <c r="AQX257" s="1872"/>
      <c r="AQY257" s="1872"/>
      <c r="AQZ257" s="1872"/>
      <c r="ARA257" s="1872"/>
      <c r="ARB257" s="1872"/>
      <c r="ARC257" s="1872"/>
      <c r="ARD257" s="1872"/>
      <c r="ARE257" s="1872"/>
      <c r="ARF257" s="1872"/>
      <c r="ARG257" s="1872"/>
      <c r="ARH257" s="1872"/>
      <c r="ARI257" s="1872"/>
      <c r="ARJ257" s="1872"/>
      <c r="ARK257" s="1872"/>
      <c r="ARL257" s="1872"/>
      <c r="ARM257" s="1872"/>
      <c r="ARN257" s="1872"/>
      <c r="ARO257" s="1872"/>
      <c r="ARP257" s="1872"/>
      <c r="ARQ257" s="1872"/>
      <c r="ARR257" s="1872"/>
      <c r="ARS257" s="1872"/>
      <c r="ART257" s="1872"/>
      <c r="ARU257" s="1872"/>
      <c r="ARV257" s="1872"/>
      <c r="ARW257" s="1872"/>
      <c r="ARX257" s="1872"/>
      <c r="ARY257" s="1872"/>
      <c r="ARZ257" s="1872"/>
      <c r="ASA257" s="1872"/>
      <c r="ASB257" s="1872"/>
      <c r="ASC257" s="1872"/>
      <c r="ASD257" s="1872"/>
      <c r="ASE257" s="1872"/>
      <c r="ASF257" s="1872"/>
      <c r="ASG257" s="1872"/>
      <c r="ASH257" s="1872"/>
      <c r="ASI257" s="1872"/>
      <c r="ASJ257" s="1872"/>
      <c r="ASK257" s="1872"/>
      <c r="ASL257" s="1872"/>
      <c r="ASM257" s="1872"/>
      <c r="ASN257" s="1872"/>
      <c r="ASO257" s="1872"/>
      <c r="ASP257" s="1872"/>
      <c r="ASQ257" s="1872"/>
      <c r="ASR257" s="1872"/>
      <c r="ASS257" s="1872"/>
      <c r="AST257" s="1872"/>
      <c r="ASU257" s="1872"/>
      <c r="ASV257" s="1872"/>
      <c r="ASW257" s="1872"/>
      <c r="ASX257" s="1872"/>
      <c r="ASY257" s="1872"/>
      <c r="ASZ257" s="1872"/>
      <c r="ATA257" s="1872"/>
      <c r="ATB257" s="1872"/>
      <c r="ATC257" s="1872"/>
      <c r="ATD257" s="1872"/>
      <c r="ATE257" s="1872"/>
      <c r="ATF257" s="1872"/>
      <c r="ATG257" s="1872"/>
      <c r="ATH257" s="1872"/>
      <c r="ATI257" s="1872"/>
      <c r="ATJ257" s="1872"/>
      <c r="ATK257" s="1872"/>
      <c r="ATL257" s="1872"/>
      <c r="ATM257" s="1872"/>
      <c r="ATN257" s="1872"/>
      <c r="ATO257" s="1872"/>
      <c r="ATP257" s="1872"/>
      <c r="ATQ257" s="1872"/>
      <c r="ATR257" s="1872"/>
      <c r="ATS257" s="1872"/>
      <c r="ATT257" s="1872"/>
      <c r="ATU257" s="1872"/>
      <c r="ATV257" s="1872"/>
      <c r="ATW257" s="1872"/>
      <c r="ATX257" s="1872"/>
      <c r="ATY257" s="1872"/>
      <c r="ATZ257" s="1872"/>
      <c r="AUA257" s="1872"/>
      <c r="AUB257" s="1872"/>
      <c r="AUC257" s="1872"/>
      <c r="AUD257" s="1872"/>
      <c r="AUE257" s="1872"/>
      <c r="AUF257" s="1872"/>
      <c r="AUG257" s="1872"/>
      <c r="AUH257" s="1872"/>
      <c r="AUI257" s="1872"/>
      <c r="AUJ257" s="1872"/>
      <c r="AUK257" s="1872"/>
      <c r="AUL257" s="1872"/>
      <c r="AUM257" s="1872"/>
      <c r="AUN257" s="1872"/>
      <c r="AUO257" s="1872"/>
      <c r="AUP257" s="1872"/>
      <c r="AUQ257" s="1872"/>
      <c r="AUR257" s="1872"/>
      <c r="AUS257" s="1872"/>
      <c r="AUT257" s="1872"/>
      <c r="AUU257" s="1872"/>
      <c r="AUV257" s="1872"/>
      <c r="AUW257" s="1872"/>
      <c r="AUX257" s="1872"/>
      <c r="AUY257" s="1872"/>
      <c r="AUZ257" s="1872"/>
      <c r="AVA257" s="1872"/>
      <c r="AVB257" s="1872"/>
      <c r="AVC257" s="1872"/>
      <c r="AVD257" s="1872"/>
      <c r="AVE257" s="1872"/>
      <c r="AVF257" s="1872"/>
      <c r="AVG257" s="1872"/>
      <c r="AVH257" s="1872"/>
      <c r="AVI257" s="1872"/>
      <c r="AVJ257" s="1872"/>
      <c r="AVK257" s="1872"/>
      <c r="AVL257" s="1872"/>
      <c r="AVM257" s="1872"/>
      <c r="AVN257" s="1872"/>
      <c r="AVO257" s="1872"/>
      <c r="AVP257" s="1872"/>
      <c r="AVQ257" s="1872"/>
      <c r="AVR257" s="1872"/>
      <c r="AVS257" s="1872"/>
      <c r="AVT257" s="1872"/>
      <c r="AVU257" s="1872"/>
      <c r="AVV257" s="1872"/>
      <c r="AVW257" s="1872"/>
      <c r="AVX257" s="1872"/>
      <c r="AVY257" s="1872"/>
      <c r="AVZ257" s="1872"/>
      <c r="AWA257" s="1872"/>
      <c r="AWB257" s="1872"/>
      <c r="AWC257" s="1872"/>
      <c r="AWD257" s="1872"/>
      <c r="AWE257" s="1872"/>
      <c r="AWF257" s="1872"/>
      <c r="AWG257" s="1872"/>
      <c r="AWH257" s="1872"/>
      <c r="AWI257" s="1872"/>
      <c r="AWJ257" s="1872"/>
      <c r="AWK257" s="1872"/>
      <c r="AWL257" s="1872"/>
      <c r="AWM257" s="1872"/>
      <c r="AWN257" s="1872"/>
      <c r="AWO257" s="1872"/>
      <c r="AWP257" s="1872"/>
      <c r="AWQ257" s="1872"/>
    </row>
    <row r="258" spans="1:1291" ht="30" customHeight="1" thickBot="1" x14ac:dyDescent="0.25">
      <c r="A258" s="1692" t="s">
        <v>39</v>
      </c>
      <c r="B258" s="1695" t="s">
        <v>972</v>
      </c>
      <c r="C258" s="1693" t="s">
        <v>973</v>
      </c>
      <c r="D258" s="1882"/>
      <c r="E258" s="1843"/>
      <c r="F258" s="1838">
        <v>0</v>
      </c>
      <c r="G258" s="1804">
        <v>0</v>
      </c>
      <c r="H258" s="1804">
        <v>0</v>
      </c>
      <c r="I258" s="1804">
        <v>0</v>
      </c>
      <c r="J258" s="1804">
        <v>0</v>
      </c>
      <c r="K258" s="1804">
        <v>0</v>
      </c>
      <c r="L258" s="1804">
        <v>0</v>
      </c>
      <c r="M258" s="1804">
        <v>0</v>
      </c>
      <c r="N258" s="1804">
        <v>0</v>
      </c>
      <c r="O258" s="1804">
        <v>0</v>
      </c>
      <c r="P258" s="1804">
        <v>0</v>
      </c>
      <c r="Q258" s="1804">
        <v>0</v>
      </c>
      <c r="R258" s="1804">
        <v>0</v>
      </c>
      <c r="S258" s="1804">
        <v>0</v>
      </c>
      <c r="T258" s="1804">
        <v>0</v>
      </c>
      <c r="U258" s="1804">
        <v>0</v>
      </c>
      <c r="V258" s="1804">
        <v>0</v>
      </c>
      <c r="W258" s="1804">
        <v>0</v>
      </c>
      <c r="X258" s="1804">
        <v>0</v>
      </c>
      <c r="Y258" s="1804">
        <v>0</v>
      </c>
      <c r="Z258" s="1804">
        <v>0</v>
      </c>
      <c r="AA258" s="1804">
        <v>0</v>
      </c>
      <c r="AB258" s="1804">
        <v>0</v>
      </c>
      <c r="AC258" s="1804">
        <v>0</v>
      </c>
      <c r="AD258" s="1804">
        <v>0</v>
      </c>
      <c r="AE258" s="1804">
        <v>0</v>
      </c>
      <c r="AF258" s="1804">
        <v>0</v>
      </c>
      <c r="AG258" s="1804">
        <v>0</v>
      </c>
      <c r="AH258" s="1804">
        <v>0</v>
      </c>
      <c r="AI258" s="1804">
        <v>0</v>
      </c>
      <c r="AJ258" s="1804">
        <v>0</v>
      </c>
      <c r="AK258" s="1804">
        <v>0</v>
      </c>
      <c r="AL258" s="1804">
        <v>0</v>
      </c>
      <c r="AM258" s="1804">
        <v>0</v>
      </c>
      <c r="AN258" s="1804">
        <v>0</v>
      </c>
      <c r="AO258" s="1804">
        <v>0</v>
      </c>
      <c r="AP258" s="1804">
        <v>0</v>
      </c>
      <c r="AQ258" s="1804">
        <v>0</v>
      </c>
      <c r="AR258" s="1804">
        <v>0</v>
      </c>
      <c r="AS258" s="1804">
        <v>0</v>
      </c>
      <c r="AT258" s="1804">
        <v>0</v>
      </c>
      <c r="AU258" s="1804">
        <v>0</v>
      </c>
      <c r="AV258" s="1804">
        <v>0</v>
      </c>
      <c r="AW258" s="1804">
        <v>0</v>
      </c>
      <c r="AX258" s="1804">
        <v>0</v>
      </c>
      <c r="AY258" s="1804">
        <v>0</v>
      </c>
      <c r="AZ258" s="1804">
        <v>0</v>
      </c>
      <c r="BA258" s="1804">
        <v>0</v>
      </c>
      <c r="BB258" s="1804">
        <v>0</v>
      </c>
      <c r="BC258" s="1804">
        <v>0</v>
      </c>
      <c r="BD258" s="1804">
        <v>0</v>
      </c>
      <c r="BE258" s="1804">
        <v>0</v>
      </c>
      <c r="BF258" s="1804">
        <v>0</v>
      </c>
      <c r="BG258" s="1804">
        <v>0</v>
      </c>
      <c r="BH258" s="1804">
        <v>0</v>
      </c>
      <c r="BI258" s="1804">
        <v>0</v>
      </c>
      <c r="BJ258" s="1804">
        <v>0</v>
      </c>
      <c r="BK258" s="1804">
        <v>0</v>
      </c>
      <c r="BL258" s="1804">
        <v>0</v>
      </c>
      <c r="BM258" s="1804">
        <v>0</v>
      </c>
      <c r="BN258" s="1804">
        <v>0</v>
      </c>
      <c r="BO258" s="1804">
        <v>0</v>
      </c>
      <c r="BP258" s="1804">
        <v>0</v>
      </c>
      <c r="BQ258" s="1804">
        <v>0</v>
      </c>
      <c r="BR258" s="1804">
        <v>0</v>
      </c>
      <c r="BS258" s="1804">
        <v>0</v>
      </c>
      <c r="BT258" s="1804">
        <v>0</v>
      </c>
      <c r="BU258" s="1804">
        <v>0</v>
      </c>
      <c r="BV258" s="1804">
        <v>0</v>
      </c>
      <c r="BW258" s="1804">
        <v>0</v>
      </c>
      <c r="BX258" s="1804">
        <v>0</v>
      </c>
      <c r="BY258" s="1804">
        <v>0</v>
      </c>
      <c r="BZ258" s="1804">
        <v>0</v>
      </c>
      <c r="CA258" s="1804">
        <v>0</v>
      </c>
      <c r="CB258" s="1804">
        <v>0</v>
      </c>
      <c r="CC258" s="1804">
        <v>0</v>
      </c>
      <c r="CD258" s="1804">
        <v>0</v>
      </c>
      <c r="CE258" s="1804">
        <v>0</v>
      </c>
      <c r="CF258" s="1804">
        <v>0</v>
      </c>
      <c r="CG258" s="1804">
        <v>0</v>
      </c>
      <c r="CH258" s="1804">
        <v>0</v>
      </c>
      <c r="CI258" s="1804">
        <v>0</v>
      </c>
      <c r="CJ258" s="1804">
        <v>0</v>
      </c>
      <c r="CK258" s="1804">
        <v>0</v>
      </c>
      <c r="CL258" s="1804">
        <v>0</v>
      </c>
      <c r="CM258" s="1804">
        <v>0</v>
      </c>
      <c r="CN258" s="1804">
        <v>0</v>
      </c>
      <c r="CO258" s="1804">
        <v>0</v>
      </c>
      <c r="CP258" s="1804">
        <v>0</v>
      </c>
      <c r="CQ258" s="1804">
        <v>0</v>
      </c>
      <c r="CR258" s="1804">
        <v>0</v>
      </c>
      <c r="CS258" s="1804">
        <v>0</v>
      </c>
      <c r="CT258" s="1804">
        <v>0</v>
      </c>
      <c r="CU258" s="1804">
        <v>0</v>
      </c>
      <c r="CV258" s="1804">
        <v>0</v>
      </c>
      <c r="CW258" s="1804">
        <v>0</v>
      </c>
      <c r="CX258" s="1804">
        <v>0</v>
      </c>
      <c r="CY258" s="1804">
        <v>0</v>
      </c>
      <c r="CZ258" s="1804">
        <v>0</v>
      </c>
      <c r="DA258" s="1804">
        <v>0</v>
      </c>
      <c r="DB258" s="1804">
        <v>0</v>
      </c>
      <c r="DC258" s="1804">
        <v>0</v>
      </c>
      <c r="DD258" s="1804">
        <v>0</v>
      </c>
      <c r="DE258" s="1804">
        <v>0</v>
      </c>
      <c r="DF258" s="1804">
        <v>0</v>
      </c>
      <c r="DG258" s="1804">
        <v>0</v>
      </c>
      <c r="DH258" s="1804">
        <v>0</v>
      </c>
      <c r="DI258" s="1804">
        <v>0</v>
      </c>
      <c r="DJ258" s="1804">
        <v>0</v>
      </c>
      <c r="DK258" s="1804">
        <v>0</v>
      </c>
      <c r="DL258" s="1804">
        <v>0</v>
      </c>
      <c r="DM258" s="1804">
        <v>0</v>
      </c>
      <c r="DN258" s="1804">
        <v>0</v>
      </c>
      <c r="DO258" s="1804">
        <v>0</v>
      </c>
      <c r="DP258" s="1804">
        <v>0</v>
      </c>
      <c r="DQ258" s="1804">
        <v>0</v>
      </c>
      <c r="DR258" s="1804">
        <v>0</v>
      </c>
      <c r="DS258" s="1804">
        <v>0</v>
      </c>
      <c r="DT258" s="1804">
        <v>0</v>
      </c>
      <c r="DU258" s="1804">
        <v>0</v>
      </c>
      <c r="DV258" s="1804">
        <v>0</v>
      </c>
      <c r="DW258" s="1804">
        <v>0</v>
      </c>
      <c r="DX258" s="1804">
        <v>0</v>
      </c>
      <c r="DY258" s="1804">
        <v>0</v>
      </c>
      <c r="DZ258" s="1804">
        <v>0</v>
      </c>
      <c r="EA258" s="1804">
        <v>0</v>
      </c>
      <c r="EB258" s="1804">
        <v>0</v>
      </c>
      <c r="EC258" s="1804">
        <v>0</v>
      </c>
      <c r="ED258" s="1804">
        <v>0</v>
      </c>
      <c r="EE258" s="1804">
        <v>0</v>
      </c>
      <c r="EF258" s="1804">
        <v>0</v>
      </c>
      <c r="EG258" s="1804">
        <v>0</v>
      </c>
      <c r="EH258" s="1804">
        <v>0</v>
      </c>
      <c r="EI258" s="1804">
        <v>0</v>
      </c>
      <c r="EJ258" s="1804">
        <v>0</v>
      </c>
      <c r="EK258" s="1804">
        <v>0</v>
      </c>
      <c r="EL258" s="1804">
        <v>0</v>
      </c>
      <c r="EM258" s="1804">
        <v>0</v>
      </c>
      <c r="EN258" s="1804">
        <v>0</v>
      </c>
      <c r="EO258" s="1804">
        <v>0</v>
      </c>
      <c r="EP258" s="1804">
        <v>0</v>
      </c>
      <c r="EQ258" s="1804">
        <v>0</v>
      </c>
      <c r="ER258" s="1804">
        <v>0</v>
      </c>
      <c r="ES258" s="1804">
        <v>0</v>
      </c>
      <c r="ET258" s="1804">
        <v>0</v>
      </c>
      <c r="EU258" s="1804">
        <v>0</v>
      </c>
      <c r="EV258" s="1804">
        <v>0</v>
      </c>
      <c r="EW258" s="1804">
        <v>0</v>
      </c>
      <c r="EX258" s="1804">
        <v>0</v>
      </c>
      <c r="EY258" s="1804">
        <v>0</v>
      </c>
      <c r="EZ258" s="1804">
        <v>0</v>
      </c>
      <c r="FA258" s="1804">
        <v>0</v>
      </c>
      <c r="FB258" s="1804">
        <v>0</v>
      </c>
      <c r="FC258" s="1804">
        <v>0</v>
      </c>
      <c r="FD258" s="1804">
        <v>0</v>
      </c>
      <c r="FE258" s="1804">
        <v>0</v>
      </c>
      <c r="FF258" s="1804">
        <v>0</v>
      </c>
      <c r="FG258" s="1804">
        <v>0</v>
      </c>
      <c r="FH258" s="1804">
        <v>0</v>
      </c>
      <c r="FI258" s="1804">
        <v>0</v>
      </c>
      <c r="FJ258" s="1804">
        <v>0</v>
      </c>
      <c r="FK258" s="1804">
        <v>0</v>
      </c>
      <c r="FL258" s="1804">
        <v>0</v>
      </c>
      <c r="FM258" s="1804">
        <v>0</v>
      </c>
      <c r="FN258" s="1804">
        <v>0</v>
      </c>
      <c r="FO258" s="1804">
        <v>0</v>
      </c>
      <c r="FP258" s="1804">
        <v>0</v>
      </c>
      <c r="FQ258" s="1804">
        <v>0</v>
      </c>
      <c r="FR258" s="1804">
        <v>0</v>
      </c>
      <c r="FS258" s="1804">
        <v>0</v>
      </c>
      <c r="FT258" s="1804">
        <v>0</v>
      </c>
      <c r="FU258" s="1804">
        <v>0</v>
      </c>
      <c r="FV258" s="1804">
        <v>0</v>
      </c>
      <c r="FW258" s="1804">
        <v>0</v>
      </c>
      <c r="FX258" s="1804">
        <v>0</v>
      </c>
      <c r="FY258" s="1804">
        <v>0</v>
      </c>
      <c r="FZ258" s="1804">
        <v>0</v>
      </c>
      <c r="GA258" s="1804">
        <v>0</v>
      </c>
      <c r="GB258" s="1804">
        <v>0</v>
      </c>
      <c r="GC258" s="1804">
        <v>0</v>
      </c>
      <c r="GD258" s="1804">
        <v>0</v>
      </c>
      <c r="GE258" s="1804">
        <v>0</v>
      </c>
      <c r="GF258" s="1804">
        <v>0</v>
      </c>
      <c r="GG258" s="1804">
        <v>0</v>
      </c>
      <c r="GH258" s="1804">
        <v>0</v>
      </c>
      <c r="GI258" s="1804">
        <v>0</v>
      </c>
      <c r="GJ258" s="1804">
        <v>0</v>
      </c>
      <c r="GK258" s="1804">
        <v>0</v>
      </c>
      <c r="GL258" s="1804">
        <v>0</v>
      </c>
      <c r="GM258" s="1804">
        <v>0</v>
      </c>
      <c r="GN258" s="1804">
        <v>0</v>
      </c>
      <c r="GO258" s="1804">
        <v>0</v>
      </c>
      <c r="GP258" s="1804">
        <v>0</v>
      </c>
      <c r="GQ258" s="1804">
        <v>0</v>
      </c>
      <c r="GR258" s="1804">
        <v>0</v>
      </c>
      <c r="GS258" s="1804">
        <v>0</v>
      </c>
      <c r="GT258" s="1804">
        <v>0</v>
      </c>
      <c r="GU258" s="1804">
        <v>0</v>
      </c>
      <c r="GV258" s="1804">
        <v>0</v>
      </c>
      <c r="GW258" s="1804">
        <v>0</v>
      </c>
      <c r="GX258" s="1804">
        <v>0</v>
      </c>
      <c r="GY258" s="1804">
        <v>0</v>
      </c>
      <c r="GZ258" s="1804">
        <v>0</v>
      </c>
      <c r="HA258" s="1804">
        <v>0</v>
      </c>
      <c r="HB258" s="1804">
        <v>0</v>
      </c>
      <c r="HC258" s="1804">
        <v>0</v>
      </c>
      <c r="HD258" s="1804">
        <v>0</v>
      </c>
      <c r="HE258" s="1804">
        <v>0</v>
      </c>
      <c r="IG258" s="1872"/>
      <c r="IH258" s="1872"/>
      <c r="II258" s="1872"/>
      <c r="IJ258" s="1872"/>
      <c r="IK258" s="1872"/>
      <c r="IL258" s="1872"/>
      <c r="IM258" s="1872"/>
      <c r="IN258" s="1872"/>
      <c r="IO258" s="1872"/>
      <c r="IP258" s="1872"/>
      <c r="IQ258" s="1872"/>
      <c r="IR258" s="1872"/>
      <c r="IS258" s="1872"/>
      <c r="IT258" s="1872"/>
      <c r="IU258" s="1872"/>
      <c r="IV258" s="1872"/>
      <c r="IW258" s="1872"/>
      <c r="IX258" s="1872"/>
      <c r="IY258" s="1872"/>
      <c r="IZ258" s="1872"/>
      <c r="JA258" s="1872"/>
      <c r="JB258" s="1872"/>
      <c r="JC258" s="1872"/>
      <c r="JD258" s="1872"/>
      <c r="JE258" s="1872"/>
      <c r="JF258" s="1872"/>
      <c r="JG258" s="1872"/>
      <c r="JH258" s="1872"/>
      <c r="JI258" s="1872"/>
      <c r="JJ258" s="1872"/>
      <c r="JK258" s="1872"/>
      <c r="JL258" s="1872"/>
      <c r="JM258" s="1872"/>
      <c r="JN258" s="1872"/>
      <c r="JO258" s="1872"/>
      <c r="JP258" s="1872"/>
      <c r="JQ258" s="1872"/>
      <c r="JR258" s="1872"/>
      <c r="JS258" s="1872"/>
      <c r="JT258" s="1872"/>
      <c r="JU258" s="1872"/>
      <c r="JV258" s="1872"/>
      <c r="JW258" s="1872"/>
      <c r="JX258" s="1872"/>
      <c r="JY258" s="1872"/>
      <c r="JZ258" s="1872"/>
      <c r="KA258" s="1872"/>
      <c r="KB258" s="1872"/>
      <c r="KC258" s="1872"/>
      <c r="KD258" s="1872"/>
      <c r="KE258" s="1872"/>
      <c r="KF258" s="1872"/>
      <c r="KG258" s="1872"/>
      <c r="KH258" s="1872"/>
      <c r="KI258" s="1872"/>
      <c r="KJ258" s="1872"/>
      <c r="KK258" s="1872"/>
      <c r="KL258" s="1872"/>
      <c r="KM258" s="1872"/>
      <c r="KN258" s="1872"/>
      <c r="KO258" s="1872"/>
      <c r="KP258" s="1872"/>
      <c r="KQ258" s="1872"/>
      <c r="KR258" s="1872"/>
      <c r="KS258" s="1872"/>
      <c r="KT258" s="1872"/>
      <c r="KU258" s="1872"/>
      <c r="KV258" s="1872"/>
      <c r="KW258" s="1872"/>
      <c r="KX258" s="1872"/>
      <c r="KY258" s="1872"/>
      <c r="KZ258" s="1872"/>
      <c r="LA258" s="1872"/>
      <c r="LB258" s="1872"/>
      <c r="LC258" s="1872"/>
      <c r="LD258" s="1872"/>
      <c r="LE258" s="1872"/>
      <c r="LF258" s="1872"/>
      <c r="LG258" s="1872"/>
      <c r="LH258" s="1872"/>
      <c r="LI258" s="1872"/>
      <c r="LJ258" s="1872"/>
      <c r="LK258" s="1872"/>
      <c r="LL258" s="1872"/>
      <c r="LM258" s="1872"/>
      <c r="LN258" s="1872"/>
      <c r="LO258" s="1872"/>
      <c r="LP258" s="1872"/>
      <c r="LQ258" s="1872"/>
      <c r="LR258" s="1872"/>
      <c r="LS258" s="1872"/>
      <c r="LT258" s="1872"/>
      <c r="LU258" s="1872"/>
      <c r="LV258" s="1872"/>
      <c r="LW258" s="1872"/>
      <c r="LX258" s="1872"/>
      <c r="LY258" s="1872"/>
      <c r="LZ258" s="1872"/>
      <c r="MA258" s="1872"/>
      <c r="MB258" s="1872"/>
      <c r="MC258" s="1872"/>
      <c r="MD258" s="1872"/>
      <c r="ME258" s="1872"/>
      <c r="MF258" s="1872"/>
      <c r="MG258" s="1872"/>
      <c r="MH258" s="1872"/>
      <c r="MI258" s="1872"/>
      <c r="MJ258" s="1872"/>
      <c r="MK258" s="1872"/>
      <c r="ML258" s="1872"/>
      <c r="MM258" s="1872"/>
      <c r="MN258" s="1872"/>
      <c r="MO258" s="1872"/>
      <c r="MP258" s="1872"/>
      <c r="MQ258" s="1872"/>
      <c r="MR258" s="1872"/>
      <c r="MS258" s="1872"/>
      <c r="MT258" s="1872"/>
      <c r="MU258" s="1872"/>
      <c r="MV258" s="1872"/>
      <c r="MW258" s="1872"/>
      <c r="MX258" s="1872"/>
      <c r="MY258" s="1872"/>
      <c r="MZ258" s="1872"/>
      <c r="NA258" s="1872"/>
      <c r="NB258" s="1872"/>
      <c r="NC258" s="1872"/>
      <c r="ND258" s="1872"/>
      <c r="NE258" s="1872"/>
      <c r="NF258" s="1872"/>
      <c r="NG258" s="1872"/>
      <c r="NH258" s="1872"/>
      <c r="NI258" s="1872"/>
      <c r="NJ258" s="1872"/>
      <c r="NK258" s="1872"/>
      <c r="NL258" s="1872"/>
      <c r="NM258" s="1872"/>
      <c r="NN258" s="1872"/>
      <c r="NO258" s="1872"/>
      <c r="NP258" s="1872"/>
      <c r="NQ258" s="1872"/>
      <c r="NR258" s="1872"/>
      <c r="NS258" s="1872"/>
      <c r="NT258" s="1872"/>
      <c r="NU258" s="1872"/>
      <c r="NV258" s="1872"/>
      <c r="NW258" s="1872"/>
      <c r="NX258" s="1872"/>
      <c r="NY258" s="1872"/>
      <c r="NZ258" s="1872"/>
      <c r="OA258" s="1872"/>
      <c r="OB258" s="1872"/>
      <c r="OC258" s="1872"/>
      <c r="OD258" s="1872"/>
      <c r="OE258" s="1872"/>
      <c r="OF258" s="1872"/>
      <c r="OG258" s="1872"/>
      <c r="OH258" s="1872"/>
      <c r="OI258" s="1872"/>
      <c r="OJ258" s="1872"/>
      <c r="OK258" s="1872"/>
      <c r="OL258" s="1872"/>
      <c r="OM258" s="1872"/>
      <c r="ON258" s="1872"/>
      <c r="OO258" s="1872"/>
      <c r="OP258" s="1872"/>
      <c r="OQ258" s="1872"/>
      <c r="OR258" s="1872"/>
      <c r="OS258" s="1872"/>
      <c r="OT258" s="1872"/>
      <c r="OU258" s="1872"/>
      <c r="OV258" s="1872"/>
      <c r="OW258" s="1872"/>
      <c r="OX258" s="1872"/>
      <c r="OY258" s="1872"/>
      <c r="OZ258" s="1872"/>
      <c r="PA258" s="1872"/>
      <c r="PB258" s="1872"/>
      <c r="PC258" s="1872"/>
      <c r="PD258" s="1872"/>
      <c r="PE258" s="1872"/>
      <c r="PF258" s="1872"/>
      <c r="PG258" s="1872"/>
      <c r="PH258" s="1872"/>
      <c r="PI258" s="1872"/>
      <c r="PJ258" s="1872"/>
      <c r="PK258" s="1872"/>
      <c r="PL258" s="1872"/>
      <c r="PM258" s="1872"/>
      <c r="PN258" s="1872"/>
      <c r="PO258" s="1872"/>
      <c r="PP258" s="1872"/>
      <c r="PQ258" s="1872"/>
      <c r="PR258" s="1872"/>
      <c r="PS258" s="1872"/>
      <c r="PT258" s="1872"/>
      <c r="PU258" s="1872"/>
      <c r="PV258" s="1872"/>
      <c r="PW258" s="1872"/>
      <c r="PX258" s="1872"/>
      <c r="PY258" s="1872"/>
      <c r="PZ258" s="1872"/>
      <c r="QA258" s="1872"/>
      <c r="QB258" s="1872"/>
      <c r="QC258" s="1872"/>
      <c r="QD258" s="1872"/>
      <c r="QE258" s="1872"/>
      <c r="QF258" s="1872"/>
      <c r="QG258" s="1872"/>
      <c r="QH258" s="1872"/>
      <c r="QI258" s="1872"/>
      <c r="QJ258" s="1872"/>
      <c r="QK258" s="1872"/>
      <c r="QL258" s="1872"/>
      <c r="QM258" s="1872"/>
      <c r="QN258" s="1872"/>
      <c r="QO258" s="1872"/>
      <c r="QP258" s="1872"/>
      <c r="QQ258" s="1872"/>
      <c r="QR258" s="1872"/>
      <c r="QS258" s="1872"/>
      <c r="QT258" s="1872"/>
      <c r="QU258" s="1872"/>
      <c r="QV258" s="1872"/>
      <c r="QW258" s="1872"/>
      <c r="QX258" s="1872"/>
      <c r="QY258" s="1872"/>
      <c r="QZ258" s="1872"/>
      <c r="RA258" s="1872"/>
      <c r="RB258" s="1872"/>
      <c r="RC258" s="1872"/>
      <c r="RD258" s="1872"/>
      <c r="RE258" s="1872"/>
      <c r="RF258" s="1872"/>
      <c r="RG258" s="1872"/>
      <c r="RH258" s="1872"/>
      <c r="RI258" s="1872"/>
      <c r="RJ258" s="1872"/>
      <c r="RK258" s="1872"/>
      <c r="RL258" s="1872"/>
      <c r="RM258" s="1872"/>
      <c r="RN258" s="1872"/>
      <c r="RO258" s="1872"/>
      <c r="RP258" s="1872"/>
      <c r="RQ258" s="1872"/>
      <c r="RR258" s="1872"/>
      <c r="RS258" s="1872"/>
      <c r="RT258" s="1872"/>
      <c r="RU258" s="1872"/>
      <c r="RV258" s="1872"/>
      <c r="RW258" s="1872"/>
      <c r="RX258" s="1872"/>
      <c r="RY258" s="1872"/>
      <c r="RZ258" s="1872"/>
      <c r="SA258" s="1872"/>
      <c r="SB258" s="1872"/>
      <c r="SC258" s="1872"/>
      <c r="SD258" s="1872"/>
      <c r="SE258" s="1872"/>
      <c r="SF258" s="1872"/>
      <c r="SG258" s="1872"/>
      <c r="SH258" s="1872"/>
      <c r="SI258" s="1872"/>
      <c r="SJ258" s="1872"/>
      <c r="SK258" s="1872"/>
      <c r="SL258" s="1872"/>
      <c r="SM258" s="1872"/>
      <c r="SN258" s="1872"/>
      <c r="SO258" s="1872"/>
      <c r="SP258" s="1872"/>
      <c r="SQ258" s="1872"/>
      <c r="SR258" s="1872"/>
      <c r="SS258" s="1872"/>
      <c r="ST258" s="1872"/>
      <c r="SU258" s="1872"/>
      <c r="SV258" s="1872"/>
      <c r="SW258" s="1872"/>
      <c r="SX258" s="1872"/>
      <c r="SY258" s="1872"/>
      <c r="SZ258" s="1872"/>
      <c r="TA258" s="1872"/>
      <c r="TB258" s="1872"/>
      <c r="TC258" s="1872"/>
      <c r="TD258" s="1872"/>
      <c r="TE258" s="1872"/>
      <c r="TF258" s="1872"/>
      <c r="TG258" s="1872"/>
      <c r="TH258" s="1872"/>
      <c r="TI258" s="1872"/>
      <c r="TJ258" s="1872"/>
      <c r="TK258" s="1872"/>
      <c r="TL258" s="1872"/>
      <c r="TM258" s="1872"/>
      <c r="TN258" s="1872"/>
      <c r="TO258" s="1872"/>
      <c r="TP258" s="1872"/>
      <c r="TQ258" s="1872"/>
      <c r="TR258" s="1872"/>
      <c r="TS258" s="1872"/>
      <c r="TT258" s="1872"/>
      <c r="TU258" s="1872"/>
      <c r="TV258" s="1872"/>
      <c r="TW258" s="1872"/>
      <c r="TX258" s="1872"/>
      <c r="TY258" s="1872"/>
      <c r="TZ258" s="1872"/>
      <c r="UA258" s="1872"/>
      <c r="UB258" s="1872"/>
      <c r="UC258" s="1872"/>
      <c r="UD258" s="1872"/>
      <c r="UE258" s="1872"/>
      <c r="UF258" s="1872"/>
      <c r="UG258" s="1872"/>
      <c r="UH258" s="1872"/>
      <c r="UI258" s="1872"/>
      <c r="UJ258" s="1872"/>
      <c r="UK258" s="1872"/>
      <c r="UL258" s="1872"/>
      <c r="UM258" s="1872"/>
      <c r="UN258" s="1872"/>
      <c r="UO258" s="1872"/>
      <c r="UP258" s="1872"/>
      <c r="UQ258" s="1872"/>
      <c r="UR258" s="1872"/>
      <c r="US258" s="1872"/>
      <c r="UT258" s="1872"/>
      <c r="UU258" s="1872"/>
      <c r="UV258" s="1872"/>
      <c r="UW258" s="1872"/>
      <c r="UX258" s="1872"/>
      <c r="UY258" s="1872"/>
      <c r="UZ258" s="1872"/>
      <c r="VA258" s="1872"/>
      <c r="VB258" s="1872"/>
      <c r="VC258" s="1872"/>
      <c r="VD258" s="1872"/>
      <c r="VE258" s="1872"/>
      <c r="VF258" s="1872"/>
      <c r="VG258" s="1872"/>
      <c r="VH258" s="1872"/>
      <c r="VI258" s="1872"/>
      <c r="VJ258" s="1872"/>
      <c r="VK258" s="1872"/>
      <c r="VL258" s="1872"/>
      <c r="VM258" s="1872"/>
      <c r="VN258" s="1872"/>
      <c r="VO258" s="1872"/>
      <c r="VP258" s="1872"/>
      <c r="VQ258" s="1872"/>
      <c r="VR258" s="1872"/>
      <c r="VS258" s="1872"/>
      <c r="VT258" s="1872"/>
      <c r="VU258" s="1872"/>
      <c r="VV258" s="1872"/>
      <c r="VW258" s="1872"/>
      <c r="VX258" s="1872"/>
      <c r="VY258" s="1872"/>
      <c r="VZ258" s="1872"/>
      <c r="WA258" s="1872"/>
      <c r="WB258" s="1872"/>
      <c r="WC258" s="1872"/>
      <c r="WD258" s="1872"/>
      <c r="WE258" s="1872"/>
      <c r="WF258" s="1872"/>
      <c r="WG258" s="1872"/>
      <c r="WH258" s="1872"/>
      <c r="WI258" s="1872"/>
      <c r="WJ258" s="1872"/>
      <c r="WK258" s="1872"/>
      <c r="WL258" s="1872"/>
      <c r="WM258" s="1872"/>
      <c r="WN258" s="1872"/>
      <c r="WO258" s="1872"/>
      <c r="WP258" s="1872"/>
      <c r="WQ258" s="1872"/>
      <c r="WR258" s="1872"/>
      <c r="WS258" s="1872"/>
      <c r="WT258" s="1872"/>
      <c r="WU258" s="1872"/>
      <c r="WV258" s="1872"/>
      <c r="WW258" s="1872"/>
      <c r="WX258" s="1872"/>
      <c r="WY258" s="1872"/>
      <c r="WZ258" s="1872"/>
      <c r="XA258" s="1872"/>
      <c r="XB258" s="1872"/>
      <c r="XC258" s="1872"/>
      <c r="XD258" s="1872"/>
      <c r="XE258" s="1872"/>
      <c r="XF258" s="1872"/>
      <c r="XG258" s="1872"/>
      <c r="XH258" s="1872"/>
      <c r="XI258" s="1872"/>
      <c r="XJ258" s="1872"/>
      <c r="XK258" s="1872"/>
      <c r="XL258" s="1872"/>
      <c r="XM258" s="1872"/>
      <c r="XN258" s="1872"/>
      <c r="XO258" s="1872"/>
      <c r="XP258" s="1872"/>
      <c r="XQ258" s="1872"/>
      <c r="XR258" s="1872"/>
      <c r="XS258" s="1872"/>
      <c r="XT258" s="1872"/>
      <c r="XU258" s="1872"/>
      <c r="XV258" s="1872"/>
      <c r="XW258" s="1872"/>
      <c r="XX258" s="1872"/>
      <c r="XY258" s="1872"/>
      <c r="XZ258" s="1872"/>
      <c r="YA258" s="1872"/>
      <c r="YB258" s="1872"/>
      <c r="YC258" s="1872"/>
      <c r="YD258" s="1872"/>
      <c r="YE258" s="1872"/>
      <c r="YF258" s="1872"/>
      <c r="YG258" s="1872"/>
      <c r="YH258" s="1872"/>
      <c r="YI258" s="1872"/>
      <c r="YJ258" s="1872"/>
      <c r="YK258" s="1872"/>
      <c r="YL258" s="1872"/>
      <c r="YM258" s="1872"/>
      <c r="YN258" s="1872"/>
      <c r="YO258" s="1872"/>
      <c r="YP258" s="1872"/>
      <c r="YQ258" s="1872"/>
      <c r="YR258" s="1872"/>
      <c r="YS258" s="1872"/>
      <c r="YT258" s="1872"/>
      <c r="YU258" s="1872"/>
      <c r="YV258" s="1872"/>
      <c r="YW258" s="1872"/>
      <c r="YX258" s="1872"/>
      <c r="YY258" s="1872"/>
      <c r="YZ258" s="1872"/>
      <c r="ZA258" s="1872"/>
      <c r="ZB258" s="1872"/>
      <c r="ZC258" s="1872"/>
      <c r="ZD258" s="1872"/>
      <c r="ZE258" s="1872"/>
      <c r="ZF258" s="1872"/>
      <c r="ZG258" s="1872"/>
      <c r="ZH258" s="1872"/>
      <c r="ZI258" s="1872"/>
      <c r="ZJ258" s="1872"/>
      <c r="ZK258" s="1872"/>
      <c r="ZL258" s="1872"/>
      <c r="ZM258" s="1872"/>
      <c r="ZN258" s="1872"/>
      <c r="ZO258" s="1872"/>
      <c r="ZP258" s="1872"/>
      <c r="ZQ258" s="1872"/>
      <c r="ZR258" s="1872"/>
      <c r="ZS258" s="1872"/>
      <c r="ZT258" s="1872"/>
      <c r="ZU258" s="1872"/>
      <c r="ZV258" s="1872"/>
      <c r="ZW258" s="1872"/>
      <c r="ZX258" s="1872"/>
      <c r="ZY258" s="1872"/>
      <c r="ZZ258" s="1872"/>
      <c r="AAA258" s="1872"/>
      <c r="AAB258" s="1872"/>
      <c r="AAC258" s="1872"/>
      <c r="AAD258" s="1872"/>
      <c r="AAE258" s="1872"/>
      <c r="AAF258" s="1872"/>
      <c r="AAG258" s="1872"/>
      <c r="AAH258" s="1872"/>
      <c r="AAI258" s="1872"/>
      <c r="AAJ258" s="1872"/>
      <c r="AAK258" s="1872"/>
      <c r="AAL258" s="1872"/>
      <c r="AAM258" s="1872"/>
      <c r="AAN258" s="1872"/>
      <c r="AAO258" s="1872"/>
      <c r="AAP258" s="1872"/>
      <c r="AAQ258" s="1872"/>
      <c r="AAR258" s="1872"/>
      <c r="AAS258" s="1872"/>
      <c r="AAT258" s="1872"/>
      <c r="AAU258" s="1872"/>
      <c r="AAV258" s="1872"/>
      <c r="AAW258" s="1872"/>
      <c r="AAX258" s="1872"/>
      <c r="AAY258" s="1872"/>
      <c r="AAZ258" s="1872"/>
      <c r="ABA258" s="1872"/>
      <c r="ABB258" s="1872"/>
      <c r="ABC258" s="1872"/>
      <c r="ABD258" s="1872"/>
      <c r="ABE258" s="1872"/>
      <c r="ABF258" s="1872"/>
      <c r="ABG258" s="1872"/>
      <c r="ABH258" s="1872"/>
      <c r="ABI258" s="1872"/>
      <c r="ABJ258" s="1872"/>
      <c r="ABK258" s="1872"/>
      <c r="ABL258" s="1872"/>
      <c r="ABM258" s="1872"/>
      <c r="ABN258" s="1872"/>
      <c r="ABO258" s="1872"/>
      <c r="ABP258" s="1872"/>
      <c r="ABQ258" s="1872"/>
      <c r="ABR258" s="1872"/>
      <c r="ABS258" s="1872"/>
      <c r="ABT258" s="1872"/>
      <c r="ABU258" s="1872"/>
      <c r="ABV258" s="1872"/>
      <c r="ABW258" s="1872"/>
      <c r="ABX258" s="1872"/>
      <c r="ABY258" s="1872"/>
      <c r="ABZ258" s="1872"/>
      <c r="ACA258" s="1872"/>
      <c r="ACB258" s="1872"/>
      <c r="ACC258" s="1872"/>
      <c r="ACD258" s="1872"/>
      <c r="ACE258" s="1872"/>
      <c r="ACF258" s="1872"/>
      <c r="ACG258" s="1872"/>
      <c r="ACH258" s="1872"/>
      <c r="ACI258" s="1872"/>
      <c r="ACJ258" s="1872"/>
      <c r="ACK258" s="1872"/>
      <c r="ACL258" s="1872"/>
      <c r="ACM258" s="1872"/>
      <c r="ACN258" s="1872"/>
      <c r="ACO258" s="1872"/>
      <c r="ACP258" s="1872"/>
      <c r="ACQ258" s="1872"/>
      <c r="ACR258" s="1872"/>
      <c r="ACS258" s="1872"/>
      <c r="ACT258" s="1872"/>
      <c r="ACU258" s="1872"/>
      <c r="ACV258" s="1872"/>
      <c r="ACW258" s="1872"/>
      <c r="ACX258" s="1872"/>
      <c r="ACY258" s="1872"/>
      <c r="ACZ258" s="1872"/>
      <c r="ADA258" s="1872"/>
      <c r="ADB258" s="1872"/>
      <c r="ADC258" s="1872"/>
      <c r="ADD258" s="1872"/>
      <c r="ADE258" s="1872"/>
      <c r="ADF258" s="1872"/>
      <c r="ADG258" s="1872"/>
      <c r="ADH258" s="1872"/>
      <c r="ADI258" s="1872"/>
      <c r="ADJ258" s="1872"/>
      <c r="ADK258" s="1872"/>
      <c r="ADL258" s="1872"/>
      <c r="ADM258" s="1872"/>
      <c r="ADN258" s="1872"/>
      <c r="ADO258" s="1872"/>
      <c r="ADP258" s="1872"/>
      <c r="ADQ258" s="1872"/>
      <c r="ADR258" s="1872"/>
      <c r="ADS258" s="1872"/>
      <c r="ADT258" s="1872"/>
      <c r="ADU258" s="1872"/>
      <c r="ADV258" s="1872"/>
      <c r="ADW258" s="1872"/>
      <c r="ADX258" s="1872"/>
      <c r="ADY258" s="1872"/>
      <c r="ADZ258" s="1872"/>
      <c r="AEA258" s="1872"/>
      <c r="AEB258" s="1872"/>
      <c r="AEC258" s="1872"/>
      <c r="AED258" s="1872"/>
      <c r="AEE258" s="1872"/>
      <c r="AEF258" s="1872"/>
      <c r="AEG258" s="1872"/>
      <c r="AEH258" s="1872"/>
      <c r="AEI258" s="1872"/>
      <c r="AEJ258" s="1872"/>
      <c r="AEK258" s="1872"/>
      <c r="AEL258" s="1872"/>
      <c r="AEM258" s="1872"/>
      <c r="AEN258" s="1872"/>
      <c r="AEO258" s="1872"/>
      <c r="AEP258" s="1872"/>
      <c r="AEQ258" s="1872"/>
      <c r="AER258" s="1872"/>
      <c r="AES258" s="1872"/>
      <c r="AET258" s="1872"/>
      <c r="AEU258" s="1872"/>
      <c r="AEV258" s="1872"/>
      <c r="AEW258" s="1872"/>
      <c r="AEX258" s="1872"/>
      <c r="AEY258" s="1872"/>
      <c r="AEZ258" s="1872"/>
      <c r="AFA258" s="1872"/>
      <c r="AFB258" s="1872"/>
      <c r="AFC258" s="1872"/>
      <c r="AFD258" s="1872"/>
      <c r="AFE258" s="1872"/>
      <c r="AFF258" s="1872"/>
      <c r="AFG258" s="1872"/>
      <c r="AFH258" s="1872"/>
      <c r="AFI258" s="1872"/>
      <c r="AFJ258" s="1872"/>
      <c r="AFK258" s="1872"/>
      <c r="AFL258" s="1872"/>
      <c r="AFM258" s="1872"/>
      <c r="AFN258" s="1872"/>
      <c r="AFO258" s="1872"/>
      <c r="AFP258" s="1872"/>
      <c r="AFQ258" s="1872"/>
      <c r="AFR258" s="1872"/>
      <c r="AFS258" s="1872"/>
      <c r="AFT258" s="1872"/>
      <c r="AFU258" s="1872"/>
      <c r="AFV258" s="1872"/>
      <c r="AFW258" s="1872"/>
      <c r="AFX258" s="1872"/>
      <c r="AFY258" s="1872"/>
      <c r="AFZ258" s="1872"/>
      <c r="AGA258" s="1872"/>
      <c r="AGB258" s="1872"/>
      <c r="AGC258" s="1872"/>
      <c r="AGD258" s="1872"/>
      <c r="AGE258" s="1872"/>
      <c r="AGF258" s="1872"/>
      <c r="AGG258" s="1872"/>
      <c r="AGH258" s="1872"/>
      <c r="AGI258" s="1872"/>
      <c r="AGJ258" s="1872"/>
      <c r="AGK258" s="1872"/>
      <c r="AGL258" s="1872"/>
      <c r="AGM258" s="1872"/>
      <c r="AGN258" s="1872"/>
      <c r="AGO258" s="1872"/>
      <c r="AGP258" s="1872"/>
      <c r="AGQ258" s="1872"/>
      <c r="AGR258" s="1872"/>
      <c r="AGS258" s="1872"/>
      <c r="AGT258" s="1872"/>
      <c r="AGU258" s="1872"/>
      <c r="AGV258" s="1872"/>
      <c r="AGW258" s="1872"/>
      <c r="AGX258" s="1872"/>
      <c r="AGY258" s="1872"/>
      <c r="AGZ258" s="1872"/>
      <c r="AHA258" s="1872"/>
      <c r="AHB258" s="1872"/>
      <c r="AHC258" s="1872"/>
      <c r="AHD258" s="1872"/>
      <c r="AHE258" s="1872"/>
      <c r="AHF258" s="1872"/>
      <c r="AHG258" s="1872"/>
      <c r="AHH258" s="1872"/>
      <c r="AHI258" s="1872"/>
      <c r="AHJ258" s="1872"/>
      <c r="AHK258" s="1872"/>
      <c r="AHL258" s="1872"/>
      <c r="AHM258" s="1872"/>
      <c r="AHN258" s="1872"/>
      <c r="AHO258" s="1872"/>
      <c r="AHP258" s="1872"/>
      <c r="AHQ258" s="1872"/>
      <c r="AHR258" s="1872"/>
      <c r="AHS258" s="1872"/>
      <c r="AHT258" s="1872"/>
      <c r="AHU258" s="1872"/>
      <c r="AHV258" s="1872"/>
      <c r="AHW258" s="1872"/>
      <c r="AHX258" s="1872"/>
      <c r="AHY258" s="1872"/>
      <c r="AHZ258" s="1872"/>
      <c r="AIA258" s="1872"/>
      <c r="AIB258" s="1872"/>
      <c r="AIC258" s="1872"/>
      <c r="AID258" s="1872"/>
      <c r="AIE258" s="1872"/>
      <c r="AIF258" s="1872"/>
      <c r="AIG258" s="1872"/>
      <c r="AIH258" s="1872"/>
      <c r="AII258" s="1872"/>
      <c r="AIJ258" s="1872"/>
      <c r="AIK258" s="1872"/>
      <c r="AIL258" s="1872"/>
      <c r="AIM258" s="1872"/>
      <c r="AIN258" s="1872"/>
      <c r="AIO258" s="1872"/>
      <c r="AIP258" s="1872"/>
      <c r="AIQ258" s="1872"/>
      <c r="AIR258" s="1872"/>
      <c r="AIS258" s="1872"/>
      <c r="AIT258" s="1872"/>
      <c r="AIU258" s="1872"/>
      <c r="AIV258" s="1872"/>
      <c r="AIW258" s="1872"/>
      <c r="AIX258" s="1872"/>
      <c r="AIY258" s="1872"/>
      <c r="AIZ258" s="1872"/>
      <c r="AJA258" s="1872"/>
      <c r="AJB258" s="1872"/>
      <c r="AJC258" s="1872"/>
      <c r="AJD258" s="1872"/>
      <c r="AJE258" s="1872"/>
      <c r="AJF258" s="1872"/>
      <c r="AJG258" s="1872"/>
      <c r="AJH258" s="1872"/>
      <c r="AJI258" s="1872"/>
      <c r="AJJ258" s="1872"/>
      <c r="AJK258" s="1872"/>
      <c r="AJL258" s="1872"/>
      <c r="AJM258" s="1872"/>
      <c r="AJN258" s="1872"/>
      <c r="AJO258" s="1872"/>
      <c r="AJP258" s="1872"/>
      <c r="AJQ258" s="1872"/>
      <c r="AJR258" s="1872"/>
      <c r="AJS258" s="1872"/>
      <c r="AJT258" s="1872"/>
      <c r="AJU258" s="1872"/>
      <c r="AJV258" s="1872"/>
      <c r="AJW258" s="1872"/>
      <c r="AJX258" s="1872"/>
      <c r="AJY258" s="1872"/>
      <c r="AJZ258" s="1872"/>
      <c r="AKA258" s="1872"/>
      <c r="AKB258" s="1872"/>
      <c r="AKC258" s="1872"/>
      <c r="AKD258" s="1872"/>
      <c r="AKE258" s="1872"/>
      <c r="AKF258" s="1872"/>
      <c r="AKG258" s="1872"/>
      <c r="AKH258" s="1872"/>
      <c r="AKI258" s="1872"/>
      <c r="AKJ258" s="1872"/>
      <c r="AKK258" s="1872"/>
      <c r="AKL258" s="1872"/>
      <c r="AKM258" s="1872"/>
      <c r="AKN258" s="1872"/>
      <c r="AKO258" s="1872"/>
      <c r="AKP258" s="1872"/>
      <c r="AKQ258" s="1872"/>
      <c r="AKR258" s="1872"/>
      <c r="AKS258" s="1872"/>
      <c r="AKT258" s="1872"/>
      <c r="AKU258" s="1872"/>
      <c r="AKV258" s="1872"/>
      <c r="AKW258" s="1872"/>
      <c r="AKX258" s="1872"/>
      <c r="AKY258" s="1872"/>
      <c r="AKZ258" s="1872"/>
      <c r="ALA258" s="1872"/>
      <c r="ALB258" s="1872"/>
      <c r="ALC258" s="1872"/>
      <c r="ALD258" s="1872"/>
      <c r="ALE258" s="1872"/>
      <c r="ALF258" s="1872"/>
      <c r="ALG258" s="1872"/>
      <c r="ALH258" s="1872"/>
      <c r="ALI258" s="1872"/>
      <c r="ALJ258" s="1872"/>
      <c r="ALK258" s="1872"/>
      <c r="ALL258" s="1872"/>
      <c r="ALM258" s="1872"/>
      <c r="ALN258" s="1872"/>
      <c r="ALO258" s="1872"/>
      <c r="ALP258" s="1872"/>
      <c r="ALQ258" s="1872"/>
      <c r="ALR258" s="1872"/>
      <c r="ALS258" s="1872"/>
      <c r="ALT258" s="1872"/>
      <c r="ALU258" s="1872"/>
      <c r="ALV258" s="1872"/>
      <c r="ALW258" s="1872"/>
      <c r="ALX258" s="1872"/>
      <c r="ALY258" s="1872"/>
      <c r="ALZ258" s="1872"/>
      <c r="AMA258" s="1872"/>
      <c r="AMB258" s="1872"/>
      <c r="AMC258" s="1872"/>
      <c r="AMD258" s="1872"/>
      <c r="AME258" s="1872"/>
      <c r="AMF258" s="1872"/>
      <c r="AMG258" s="1872"/>
      <c r="AMH258" s="1872"/>
      <c r="AMI258" s="1872"/>
      <c r="AMJ258" s="1872"/>
      <c r="AMK258" s="1872"/>
      <c r="AML258" s="1872"/>
      <c r="AMM258" s="1872"/>
      <c r="AMN258" s="1872"/>
      <c r="AMO258" s="1872"/>
      <c r="AMP258" s="1872"/>
      <c r="AMQ258" s="1872"/>
      <c r="AMR258" s="1872"/>
      <c r="AMS258" s="1872"/>
      <c r="AMT258" s="1872"/>
      <c r="AMU258" s="1872"/>
      <c r="AMV258" s="1872"/>
      <c r="AMW258" s="1872"/>
      <c r="AMX258" s="1872"/>
      <c r="AMY258" s="1872"/>
      <c r="AMZ258" s="1872"/>
      <c r="ANA258" s="1872"/>
      <c r="ANB258" s="1872"/>
      <c r="ANC258" s="1872"/>
      <c r="AND258" s="1872"/>
      <c r="ANE258" s="1872"/>
      <c r="ANF258" s="1872"/>
      <c r="ANG258" s="1872"/>
      <c r="ANH258" s="1872"/>
      <c r="ANI258" s="1872"/>
      <c r="ANJ258" s="1872"/>
      <c r="ANK258" s="1872"/>
      <c r="ANL258" s="1872"/>
      <c r="ANM258" s="1872"/>
      <c r="ANN258" s="1872"/>
      <c r="ANO258" s="1872"/>
      <c r="ANP258" s="1872"/>
      <c r="ANQ258" s="1872"/>
      <c r="ANR258" s="1872"/>
      <c r="ANS258" s="1872"/>
      <c r="ANT258" s="1872"/>
      <c r="ANU258" s="1872"/>
      <c r="ANV258" s="1872"/>
      <c r="ANW258" s="1872"/>
      <c r="ANX258" s="1872"/>
      <c r="ANY258" s="1872"/>
      <c r="ANZ258" s="1872"/>
      <c r="AOA258" s="1872"/>
      <c r="AOB258" s="1872"/>
      <c r="AOC258" s="1872"/>
      <c r="AOD258" s="1872"/>
      <c r="AOE258" s="1872"/>
      <c r="AOF258" s="1872"/>
      <c r="AOG258" s="1872"/>
      <c r="AOH258" s="1872"/>
      <c r="AOI258" s="1872"/>
      <c r="AOJ258" s="1872"/>
      <c r="AOK258" s="1872"/>
      <c r="AOL258" s="1872"/>
      <c r="AOM258" s="1872"/>
      <c r="AON258" s="1872"/>
      <c r="AOO258" s="1872"/>
      <c r="AOP258" s="1872"/>
      <c r="AOQ258" s="1872"/>
      <c r="AOR258" s="1872"/>
      <c r="AOS258" s="1872"/>
      <c r="AOT258" s="1872"/>
      <c r="AOU258" s="1872"/>
      <c r="AOV258" s="1872"/>
      <c r="AOW258" s="1872"/>
      <c r="AOX258" s="1872"/>
      <c r="AOY258" s="1872"/>
      <c r="AOZ258" s="1872"/>
      <c r="APA258" s="1872"/>
      <c r="APB258" s="1872"/>
      <c r="APC258" s="1872"/>
      <c r="APD258" s="1872"/>
      <c r="APE258" s="1872"/>
      <c r="APF258" s="1872"/>
      <c r="APG258" s="1872"/>
      <c r="APH258" s="1872"/>
      <c r="API258" s="1872"/>
      <c r="APJ258" s="1872"/>
      <c r="APK258" s="1872"/>
      <c r="APL258" s="1872"/>
      <c r="APM258" s="1872"/>
      <c r="APN258" s="1872"/>
      <c r="APO258" s="1872"/>
      <c r="APP258" s="1872"/>
      <c r="APQ258" s="1872"/>
      <c r="APR258" s="1872"/>
      <c r="APS258" s="1872"/>
      <c r="APT258" s="1872"/>
      <c r="APU258" s="1872"/>
      <c r="APV258" s="1872"/>
      <c r="APW258" s="1872"/>
      <c r="APX258" s="1872"/>
      <c r="APY258" s="1872"/>
      <c r="APZ258" s="1872"/>
      <c r="AQA258" s="1872"/>
      <c r="AQB258" s="1872"/>
      <c r="AQC258" s="1872"/>
      <c r="AQD258" s="1872"/>
      <c r="AQE258" s="1872"/>
      <c r="AQF258" s="1872"/>
      <c r="AQG258" s="1872"/>
      <c r="AQH258" s="1872"/>
      <c r="AQI258" s="1872"/>
      <c r="AQJ258" s="1872"/>
      <c r="AQK258" s="1872"/>
      <c r="AQL258" s="1872"/>
      <c r="AQM258" s="1872"/>
      <c r="AQN258" s="1872"/>
      <c r="AQO258" s="1872"/>
      <c r="AQP258" s="1872"/>
      <c r="AQQ258" s="1872"/>
      <c r="AQR258" s="1872"/>
      <c r="AQS258" s="1872"/>
      <c r="AQT258" s="1872"/>
      <c r="AQU258" s="1872"/>
      <c r="AQV258" s="1872"/>
      <c r="AQW258" s="1872"/>
      <c r="AQX258" s="1872"/>
      <c r="AQY258" s="1872"/>
      <c r="AQZ258" s="1872"/>
      <c r="ARA258" s="1872"/>
      <c r="ARB258" s="1872"/>
      <c r="ARC258" s="1872"/>
      <c r="ARD258" s="1872"/>
      <c r="ARE258" s="1872"/>
      <c r="ARF258" s="1872"/>
      <c r="ARG258" s="1872"/>
      <c r="ARH258" s="1872"/>
      <c r="ARI258" s="1872"/>
      <c r="ARJ258" s="1872"/>
      <c r="ARK258" s="1872"/>
      <c r="ARL258" s="1872"/>
      <c r="ARM258" s="1872"/>
      <c r="ARN258" s="1872"/>
      <c r="ARO258" s="1872"/>
      <c r="ARP258" s="1872"/>
      <c r="ARQ258" s="1872"/>
      <c r="ARR258" s="1872"/>
      <c r="ARS258" s="1872"/>
      <c r="ART258" s="1872"/>
      <c r="ARU258" s="1872"/>
      <c r="ARV258" s="1872"/>
      <c r="ARW258" s="1872"/>
      <c r="ARX258" s="1872"/>
      <c r="ARY258" s="1872"/>
      <c r="ARZ258" s="1872"/>
      <c r="ASA258" s="1872"/>
      <c r="ASB258" s="1872"/>
      <c r="ASC258" s="1872"/>
      <c r="ASD258" s="1872"/>
      <c r="ASE258" s="1872"/>
      <c r="ASF258" s="1872"/>
      <c r="ASG258" s="1872"/>
      <c r="ASH258" s="1872"/>
      <c r="ASI258" s="1872"/>
      <c r="ASJ258" s="1872"/>
      <c r="ASK258" s="1872"/>
      <c r="ASL258" s="1872"/>
      <c r="ASM258" s="1872"/>
      <c r="ASN258" s="1872"/>
      <c r="ASO258" s="1872"/>
      <c r="ASP258" s="1872"/>
      <c r="ASQ258" s="1872"/>
      <c r="ASR258" s="1872"/>
      <c r="ASS258" s="1872"/>
      <c r="AST258" s="1872"/>
      <c r="ASU258" s="1872"/>
      <c r="ASV258" s="1872"/>
      <c r="ASW258" s="1872"/>
      <c r="ASX258" s="1872"/>
      <c r="ASY258" s="1872"/>
      <c r="ASZ258" s="1872"/>
      <c r="ATA258" s="1872"/>
      <c r="ATB258" s="1872"/>
      <c r="ATC258" s="1872"/>
      <c r="ATD258" s="1872"/>
      <c r="ATE258" s="1872"/>
      <c r="ATF258" s="1872"/>
      <c r="ATG258" s="1872"/>
      <c r="ATH258" s="1872"/>
      <c r="ATI258" s="1872"/>
      <c r="ATJ258" s="1872"/>
      <c r="ATK258" s="1872"/>
      <c r="ATL258" s="1872"/>
      <c r="ATM258" s="1872"/>
      <c r="ATN258" s="1872"/>
      <c r="ATO258" s="1872"/>
      <c r="ATP258" s="1872"/>
      <c r="ATQ258" s="1872"/>
      <c r="ATR258" s="1872"/>
      <c r="ATS258" s="1872"/>
      <c r="ATT258" s="1872"/>
      <c r="ATU258" s="1872"/>
      <c r="ATV258" s="1872"/>
      <c r="ATW258" s="1872"/>
      <c r="ATX258" s="1872"/>
      <c r="ATY258" s="1872"/>
      <c r="ATZ258" s="1872"/>
      <c r="AUA258" s="1872"/>
      <c r="AUB258" s="1872"/>
      <c r="AUC258" s="1872"/>
      <c r="AUD258" s="1872"/>
      <c r="AUE258" s="1872"/>
      <c r="AUF258" s="1872"/>
      <c r="AUG258" s="1872"/>
      <c r="AUH258" s="1872"/>
      <c r="AUI258" s="1872"/>
      <c r="AUJ258" s="1872"/>
      <c r="AUK258" s="1872"/>
      <c r="AUL258" s="1872"/>
      <c r="AUM258" s="1872"/>
      <c r="AUN258" s="1872"/>
      <c r="AUO258" s="1872"/>
      <c r="AUP258" s="1872"/>
      <c r="AUQ258" s="1872"/>
      <c r="AUR258" s="1872"/>
      <c r="AUS258" s="1872"/>
      <c r="AUT258" s="1872"/>
      <c r="AUU258" s="1872"/>
      <c r="AUV258" s="1872"/>
      <c r="AUW258" s="1872"/>
      <c r="AUX258" s="1872"/>
      <c r="AUY258" s="1872"/>
      <c r="AUZ258" s="1872"/>
      <c r="AVA258" s="1872"/>
      <c r="AVB258" s="1872"/>
      <c r="AVC258" s="1872"/>
      <c r="AVD258" s="1872"/>
      <c r="AVE258" s="1872"/>
      <c r="AVF258" s="1872"/>
      <c r="AVG258" s="1872"/>
      <c r="AVH258" s="1872"/>
      <c r="AVI258" s="1872"/>
      <c r="AVJ258" s="1872"/>
      <c r="AVK258" s="1872"/>
      <c r="AVL258" s="1872"/>
      <c r="AVM258" s="1872"/>
      <c r="AVN258" s="1872"/>
      <c r="AVO258" s="1872"/>
      <c r="AVP258" s="1872"/>
      <c r="AVQ258" s="1872"/>
      <c r="AVR258" s="1872"/>
      <c r="AVS258" s="1872"/>
      <c r="AVT258" s="1872"/>
      <c r="AVU258" s="1872"/>
      <c r="AVV258" s="1872"/>
      <c r="AVW258" s="1872"/>
      <c r="AVX258" s="1872"/>
      <c r="AVY258" s="1872"/>
      <c r="AVZ258" s="1872"/>
      <c r="AWA258" s="1872"/>
      <c r="AWB258" s="1872"/>
      <c r="AWC258" s="1872"/>
      <c r="AWD258" s="1872"/>
      <c r="AWE258" s="1872"/>
      <c r="AWF258" s="1872"/>
      <c r="AWG258" s="1872"/>
      <c r="AWH258" s="1872"/>
      <c r="AWI258" s="1872"/>
      <c r="AWJ258" s="1872"/>
      <c r="AWK258" s="1872"/>
      <c r="AWL258" s="1872"/>
      <c r="AWM258" s="1872"/>
      <c r="AWN258" s="1872"/>
      <c r="AWO258" s="1872"/>
      <c r="AWP258" s="1872"/>
      <c r="AWQ258" s="1872"/>
    </row>
    <row r="259" spans="1:1291" s="1872" customFormat="1" ht="21" customHeight="1" thickBot="1" x14ac:dyDescent="0.25">
      <c r="A259" s="1975" t="s">
        <v>203</v>
      </c>
      <c r="B259" s="2008" t="s">
        <v>92</v>
      </c>
      <c r="C259" s="1704" t="s">
        <v>1378</v>
      </c>
      <c r="D259" s="1880"/>
      <c r="E259" s="1984"/>
      <c r="F259" s="1865"/>
      <c r="G259" s="1866"/>
      <c r="H259" s="1866"/>
      <c r="I259" s="1866"/>
      <c r="J259" s="1866"/>
      <c r="K259" s="1866"/>
      <c r="L259" s="1866"/>
      <c r="M259" s="1866"/>
      <c r="N259" s="1866"/>
      <c r="O259" s="1866"/>
      <c r="P259" s="1866"/>
      <c r="Q259" s="1866"/>
      <c r="R259" s="1866"/>
      <c r="S259" s="1866"/>
      <c r="T259" s="1866"/>
      <c r="U259" s="1866"/>
      <c r="V259" s="1866"/>
      <c r="W259" s="1866"/>
      <c r="X259" s="1866"/>
      <c r="Y259" s="1866"/>
      <c r="Z259" s="1866"/>
      <c r="AA259" s="1866"/>
      <c r="AB259" s="1866"/>
      <c r="AC259" s="1866"/>
      <c r="AD259" s="1866"/>
      <c r="AE259" s="1866"/>
      <c r="AF259" s="1866"/>
      <c r="AG259" s="1866"/>
      <c r="AH259" s="1866"/>
      <c r="AI259" s="1866"/>
      <c r="AJ259" s="1866"/>
      <c r="AK259" s="1866"/>
      <c r="AL259" s="1866"/>
      <c r="AM259" s="1866"/>
      <c r="AN259" s="1866"/>
      <c r="AO259" s="1866"/>
      <c r="AP259" s="1866"/>
      <c r="AQ259" s="1866"/>
      <c r="AR259" s="1866"/>
      <c r="AS259" s="1866"/>
      <c r="AT259" s="1866"/>
      <c r="AU259" s="1866"/>
      <c r="AV259" s="1866"/>
      <c r="AW259" s="1866"/>
      <c r="AX259" s="1866"/>
      <c r="AY259" s="1866"/>
      <c r="AZ259" s="1866"/>
      <c r="BA259" s="1866"/>
      <c r="BB259" s="1866"/>
      <c r="BC259" s="1866"/>
      <c r="BD259" s="1866"/>
      <c r="BE259" s="1866"/>
      <c r="BF259" s="1866"/>
      <c r="BG259" s="1866"/>
      <c r="BH259" s="1866"/>
      <c r="BI259" s="1866"/>
      <c r="BJ259" s="1866"/>
      <c r="BK259" s="1866"/>
      <c r="BL259" s="1866"/>
      <c r="BM259" s="1866"/>
      <c r="BN259" s="1866"/>
      <c r="BO259" s="1866"/>
      <c r="BP259" s="1866"/>
      <c r="BQ259" s="1866"/>
      <c r="BR259" s="1866"/>
      <c r="BS259" s="1866"/>
      <c r="BT259" s="1866"/>
      <c r="BU259" s="1866"/>
      <c r="BV259" s="1866"/>
      <c r="BW259" s="1866"/>
      <c r="BX259" s="1866"/>
      <c r="BY259" s="1866"/>
      <c r="BZ259" s="1866"/>
      <c r="CA259" s="1866"/>
      <c r="CB259" s="1866"/>
      <c r="CC259" s="1866"/>
      <c r="CD259" s="1866"/>
      <c r="CE259" s="1866"/>
      <c r="CF259" s="1866"/>
      <c r="CG259" s="1866"/>
      <c r="CH259" s="1866"/>
      <c r="CI259" s="1866"/>
      <c r="CJ259" s="1866"/>
      <c r="CK259" s="1866"/>
      <c r="CL259" s="1866"/>
      <c r="CM259" s="1866"/>
      <c r="CN259" s="1866"/>
      <c r="CO259" s="1866"/>
      <c r="CP259" s="1866"/>
      <c r="CQ259" s="1866"/>
      <c r="CR259" s="1866"/>
      <c r="CS259" s="1866"/>
      <c r="CT259" s="1866"/>
      <c r="CU259" s="1866"/>
      <c r="CV259" s="1866"/>
      <c r="CW259" s="1866"/>
      <c r="CX259" s="1866"/>
      <c r="CY259" s="1866"/>
      <c r="CZ259" s="1866"/>
      <c r="DA259" s="1866"/>
      <c r="DB259" s="1866"/>
      <c r="DC259" s="1866"/>
      <c r="DD259" s="1866"/>
      <c r="DE259" s="1866"/>
      <c r="DF259" s="1866"/>
      <c r="DG259" s="1866"/>
      <c r="DH259" s="1866"/>
      <c r="DI259" s="1866"/>
      <c r="DJ259" s="1866"/>
      <c r="DK259" s="1866"/>
      <c r="DL259" s="1866"/>
      <c r="DM259" s="1866"/>
      <c r="DN259" s="1866"/>
      <c r="DO259" s="1866"/>
      <c r="DP259" s="1866"/>
      <c r="DQ259" s="1866"/>
      <c r="DR259" s="1866"/>
      <c r="DS259" s="1866"/>
      <c r="DT259" s="1866"/>
      <c r="DU259" s="1866"/>
      <c r="DV259" s="1866"/>
      <c r="DW259" s="1866"/>
      <c r="DX259" s="1866"/>
      <c r="DY259" s="1866"/>
      <c r="DZ259" s="1866"/>
      <c r="EA259" s="1866"/>
      <c r="EB259" s="1866"/>
      <c r="EC259" s="1866"/>
      <c r="ED259" s="1866"/>
      <c r="EE259" s="1866"/>
      <c r="EF259" s="1866"/>
      <c r="EG259" s="1866"/>
      <c r="EH259" s="1866"/>
      <c r="EI259" s="1866"/>
      <c r="EJ259" s="1866"/>
      <c r="EK259" s="1866"/>
      <c r="EL259" s="1866"/>
      <c r="EM259" s="1866"/>
      <c r="EN259" s="1866"/>
      <c r="EO259" s="1866"/>
      <c r="EP259" s="1866"/>
      <c r="EQ259" s="1866"/>
      <c r="ER259" s="1866"/>
      <c r="ES259" s="1866"/>
      <c r="ET259" s="1866"/>
      <c r="EU259" s="1866"/>
      <c r="EV259" s="1866"/>
      <c r="EW259" s="1866"/>
      <c r="EX259" s="1866"/>
      <c r="EY259" s="1866"/>
      <c r="EZ259" s="1866"/>
      <c r="FA259" s="1866"/>
      <c r="FB259" s="1866"/>
      <c r="FC259" s="1866"/>
      <c r="FD259" s="1866"/>
      <c r="FE259" s="1866"/>
      <c r="FF259" s="1866"/>
      <c r="FG259" s="1866"/>
      <c r="FH259" s="1866"/>
      <c r="FI259" s="1866"/>
      <c r="FJ259" s="1866"/>
      <c r="FK259" s="1866"/>
      <c r="FL259" s="1866"/>
      <c r="FM259" s="1866"/>
      <c r="FN259" s="1866"/>
      <c r="FO259" s="1866"/>
      <c r="FP259" s="1866"/>
      <c r="FQ259" s="1866"/>
      <c r="FR259" s="1866"/>
      <c r="FS259" s="1866"/>
      <c r="FT259" s="1866"/>
      <c r="FU259" s="1866"/>
      <c r="FV259" s="1866"/>
      <c r="FW259" s="1866"/>
      <c r="FX259" s="1866"/>
      <c r="FY259" s="1866"/>
      <c r="FZ259" s="1866"/>
      <c r="GA259" s="1866"/>
      <c r="GB259" s="1866"/>
      <c r="GC259" s="1866"/>
      <c r="GD259" s="1866"/>
      <c r="GE259" s="1866"/>
      <c r="GF259" s="1866"/>
      <c r="GG259" s="1866"/>
      <c r="GH259" s="1866"/>
      <c r="GI259" s="1866"/>
      <c r="GJ259" s="1866"/>
      <c r="GK259" s="1866"/>
      <c r="GL259" s="1866"/>
      <c r="GM259" s="1866"/>
      <c r="GN259" s="1866"/>
      <c r="GO259" s="1866"/>
      <c r="GP259" s="1866"/>
      <c r="GQ259" s="1866"/>
      <c r="GR259" s="1866"/>
      <c r="GS259" s="1866"/>
      <c r="GT259" s="1866"/>
      <c r="GU259" s="1866"/>
      <c r="GV259" s="1866"/>
      <c r="GW259" s="1866"/>
      <c r="GX259" s="1866"/>
      <c r="GY259" s="1866"/>
      <c r="GZ259" s="1866"/>
      <c r="HA259" s="1866"/>
      <c r="HB259" s="1866"/>
      <c r="HC259" s="1866"/>
      <c r="HD259" s="1866"/>
      <c r="HE259" s="1866"/>
      <c r="HF259" s="1864"/>
      <c r="HG259" s="1864"/>
      <c r="HH259" s="1864"/>
      <c r="HI259" s="1864"/>
      <c r="HJ259" s="1864"/>
      <c r="HK259" s="1864"/>
      <c r="HL259" s="1864"/>
      <c r="HM259" s="1864"/>
      <c r="HN259" s="1864"/>
      <c r="HO259" s="1864"/>
      <c r="HP259" s="1864"/>
      <c r="HQ259" s="1864"/>
      <c r="HR259" s="1864"/>
      <c r="HS259" s="1864"/>
      <c r="HT259" s="1864"/>
      <c r="HU259" s="1864"/>
      <c r="HV259" s="1864"/>
      <c r="HW259" s="1864"/>
      <c r="HX259" s="1864"/>
      <c r="HY259" s="1864"/>
      <c r="HZ259" s="1864"/>
      <c r="IA259" s="1864"/>
      <c r="IB259" s="1864"/>
      <c r="IC259" s="1864"/>
      <c r="ID259" s="1864"/>
      <c r="IE259" s="1864"/>
      <c r="IF259" s="1864"/>
    </row>
    <row r="260" spans="1:1291" s="1872" customFormat="1" ht="15" customHeight="1" x14ac:dyDescent="0.2">
      <c r="A260" s="1976"/>
      <c r="B260" s="2008"/>
      <c r="C260" s="1705" t="s">
        <v>93</v>
      </c>
      <c r="D260" s="1882"/>
      <c r="E260" s="1984"/>
      <c r="F260" s="1838">
        <v>0</v>
      </c>
      <c r="G260" s="1804">
        <v>0</v>
      </c>
      <c r="H260" s="1804">
        <v>0</v>
      </c>
      <c r="I260" s="1804">
        <v>0</v>
      </c>
      <c r="J260" s="1804">
        <v>0</v>
      </c>
      <c r="K260" s="1804">
        <v>0</v>
      </c>
      <c r="L260" s="1804">
        <v>0</v>
      </c>
      <c r="M260" s="1804">
        <v>0</v>
      </c>
      <c r="N260" s="1804">
        <v>0</v>
      </c>
      <c r="O260" s="1804">
        <v>0</v>
      </c>
      <c r="P260" s="1804">
        <v>0</v>
      </c>
      <c r="Q260" s="1804">
        <v>0</v>
      </c>
      <c r="R260" s="1804">
        <v>0</v>
      </c>
      <c r="S260" s="1804">
        <v>0</v>
      </c>
      <c r="T260" s="1804">
        <v>0</v>
      </c>
      <c r="U260" s="1804">
        <v>0</v>
      </c>
      <c r="V260" s="1804">
        <v>0</v>
      </c>
      <c r="W260" s="1804">
        <v>0</v>
      </c>
      <c r="X260" s="1804">
        <v>0</v>
      </c>
      <c r="Y260" s="1804">
        <v>0</v>
      </c>
      <c r="Z260" s="1804">
        <v>0</v>
      </c>
      <c r="AA260" s="1804">
        <v>0</v>
      </c>
      <c r="AB260" s="1804">
        <v>0</v>
      </c>
      <c r="AC260" s="1804">
        <v>0</v>
      </c>
      <c r="AD260" s="1804">
        <v>0</v>
      </c>
      <c r="AE260" s="1804">
        <v>0</v>
      </c>
      <c r="AF260" s="1804">
        <v>0</v>
      </c>
      <c r="AG260" s="1804">
        <v>0</v>
      </c>
      <c r="AH260" s="1804">
        <v>0</v>
      </c>
      <c r="AI260" s="1804">
        <v>0</v>
      </c>
      <c r="AJ260" s="1804">
        <v>0</v>
      </c>
      <c r="AK260" s="1804">
        <v>0</v>
      </c>
      <c r="AL260" s="1804">
        <v>0</v>
      </c>
      <c r="AM260" s="1804">
        <v>0</v>
      </c>
      <c r="AN260" s="1804">
        <v>0</v>
      </c>
      <c r="AO260" s="1804">
        <v>0</v>
      </c>
      <c r="AP260" s="1804">
        <v>0</v>
      </c>
      <c r="AQ260" s="1804">
        <v>0</v>
      </c>
      <c r="AR260" s="1804">
        <v>0</v>
      </c>
      <c r="AS260" s="1804">
        <v>0</v>
      </c>
      <c r="AT260" s="1804">
        <v>0</v>
      </c>
      <c r="AU260" s="1804">
        <v>0</v>
      </c>
      <c r="AV260" s="1804">
        <v>0</v>
      </c>
      <c r="AW260" s="1804">
        <v>0</v>
      </c>
      <c r="AX260" s="1804">
        <v>0</v>
      </c>
      <c r="AY260" s="1804">
        <v>0</v>
      </c>
      <c r="AZ260" s="1804">
        <v>0</v>
      </c>
      <c r="BA260" s="1804">
        <v>0</v>
      </c>
      <c r="BB260" s="1804">
        <v>0</v>
      </c>
      <c r="BC260" s="1804">
        <v>0</v>
      </c>
      <c r="BD260" s="1804">
        <v>0</v>
      </c>
      <c r="BE260" s="1804">
        <v>0</v>
      </c>
      <c r="BF260" s="1804">
        <v>0</v>
      </c>
      <c r="BG260" s="1804">
        <v>0</v>
      </c>
      <c r="BH260" s="1804">
        <v>0</v>
      </c>
      <c r="BI260" s="1804">
        <v>0</v>
      </c>
      <c r="BJ260" s="1804">
        <v>0</v>
      </c>
      <c r="BK260" s="1804">
        <v>0</v>
      </c>
      <c r="BL260" s="1804">
        <v>0</v>
      </c>
      <c r="BM260" s="1804">
        <v>0</v>
      </c>
      <c r="BN260" s="1804">
        <v>0</v>
      </c>
      <c r="BO260" s="1804">
        <v>0</v>
      </c>
      <c r="BP260" s="1804">
        <v>0</v>
      </c>
      <c r="BQ260" s="1804">
        <v>0</v>
      </c>
      <c r="BR260" s="1804">
        <v>0</v>
      </c>
      <c r="BS260" s="1804">
        <v>0</v>
      </c>
      <c r="BT260" s="1804">
        <v>0</v>
      </c>
      <c r="BU260" s="1804">
        <v>0</v>
      </c>
      <c r="BV260" s="1804">
        <v>0</v>
      </c>
      <c r="BW260" s="1804">
        <v>0</v>
      </c>
      <c r="BX260" s="1804">
        <v>0</v>
      </c>
      <c r="BY260" s="1804">
        <v>0</v>
      </c>
      <c r="BZ260" s="1804">
        <v>0</v>
      </c>
      <c r="CA260" s="1804">
        <v>0</v>
      </c>
      <c r="CB260" s="1804">
        <v>0</v>
      </c>
      <c r="CC260" s="1804">
        <v>0</v>
      </c>
      <c r="CD260" s="1804">
        <v>0</v>
      </c>
      <c r="CE260" s="1804">
        <v>0</v>
      </c>
      <c r="CF260" s="1804">
        <v>0</v>
      </c>
      <c r="CG260" s="1804">
        <v>0</v>
      </c>
      <c r="CH260" s="1804">
        <v>0</v>
      </c>
      <c r="CI260" s="1804">
        <v>0</v>
      </c>
      <c r="CJ260" s="1804">
        <v>0</v>
      </c>
      <c r="CK260" s="1804">
        <v>0</v>
      </c>
      <c r="CL260" s="1804">
        <v>0</v>
      </c>
      <c r="CM260" s="1804">
        <v>0</v>
      </c>
      <c r="CN260" s="1804">
        <v>0</v>
      </c>
      <c r="CO260" s="1804">
        <v>0</v>
      </c>
      <c r="CP260" s="1804">
        <v>0</v>
      </c>
      <c r="CQ260" s="1804">
        <v>0</v>
      </c>
      <c r="CR260" s="1804">
        <v>0</v>
      </c>
      <c r="CS260" s="1804">
        <v>0</v>
      </c>
      <c r="CT260" s="1804">
        <v>0</v>
      </c>
      <c r="CU260" s="1804">
        <v>0</v>
      </c>
      <c r="CV260" s="1804">
        <v>0</v>
      </c>
      <c r="CW260" s="1804">
        <v>0</v>
      </c>
      <c r="CX260" s="1804">
        <v>0</v>
      </c>
      <c r="CY260" s="1804">
        <v>0</v>
      </c>
      <c r="CZ260" s="1804">
        <v>0</v>
      </c>
      <c r="DA260" s="1804">
        <v>0</v>
      </c>
      <c r="DB260" s="1804">
        <v>0</v>
      </c>
      <c r="DC260" s="1804">
        <v>0</v>
      </c>
      <c r="DD260" s="1804">
        <v>0</v>
      </c>
      <c r="DE260" s="1804">
        <v>0</v>
      </c>
      <c r="DF260" s="1804">
        <v>0</v>
      </c>
      <c r="DG260" s="1804">
        <v>0</v>
      </c>
      <c r="DH260" s="1804">
        <v>0</v>
      </c>
      <c r="DI260" s="1804">
        <v>0</v>
      </c>
      <c r="DJ260" s="1804">
        <v>0</v>
      </c>
      <c r="DK260" s="1804">
        <v>0</v>
      </c>
      <c r="DL260" s="1804">
        <v>0</v>
      </c>
      <c r="DM260" s="1804">
        <v>0</v>
      </c>
      <c r="DN260" s="1804">
        <v>0</v>
      </c>
      <c r="DO260" s="1804">
        <v>0</v>
      </c>
      <c r="DP260" s="1804">
        <v>0</v>
      </c>
      <c r="DQ260" s="1804">
        <v>0</v>
      </c>
      <c r="DR260" s="1804">
        <v>0</v>
      </c>
      <c r="DS260" s="1804">
        <v>0</v>
      </c>
      <c r="DT260" s="1804">
        <v>0</v>
      </c>
      <c r="DU260" s="1804">
        <v>0</v>
      </c>
      <c r="DV260" s="1804">
        <v>0</v>
      </c>
      <c r="DW260" s="1804">
        <v>0</v>
      </c>
      <c r="DX260" s="1804">
        <v>0</v>
      </c>
      <c r="DY260" s="1804">
        <v>0</v>
      </c>
      <c r="DZ260" s="1804">
        <v>0</v>
      </c>
      <c r="EA260" s="1804">
        <v>0</v>
      </c>
      <c r="EB260" s="1804">
        <v>0</v>
      </c>
      <c r="EC260" s="1804">
        <v>0</v>
      </c>
      <c r="ED260" s="1804">
        <v>0</v>
      </c>
      <c r="EE260" s="1804">
        <v>0</v>
      </c>
      <c r="EF260" s="1804">
        <v>0</v>
      </c>
      <c r="EG260" s="1804">
        <v>0</v>
      </c>
      <c r="EH260" s="1804">
        <v>0</v>
      </c>
      <c r="EI260" s="1804">
        <v>0</v>
      </c>
      <c r="EJ260" s="1804">
        <v>0</v>
      </c>
      <c r="EK260" s="1804">
        <v>0</v>
      </c>
      <c r="EL260" s="1804">
        <v>0</v>
      </c>
      <c r="EM260" s="1804">
        <v>0</v>
      </c>
      <c r="EN260" s="1804">
        <v>0</v>
      </c>
      <c r="EO260" s="1804">
        <v>0</v>
      </c>
      <c r="EP260" s="1804">
        <v>0</v>
      </c>
      <c r="EQ260" s="1804">
        <v>0</v>
      </c>
      <c r="ER260" s="1804">
        <v>0</v>
      </c>
      <c r="ES260" s="1804">
        <v>0</v>
      </c>
      <c r="ET260" s="1804">
        <v>0</v>
      </c>
      <c r="EU260" s="1804">
        <v>0</v>
      </c>
      <c r="EV260" s="1804">
        <v>0</v>
      </c>
      <c r="EW260" s="1804">
        <v>0</v>
      </c>
      <c r="EX260" s="1804">
        <v>0</v>
      </c>
      <c r="EY260" s="1804">
        <v>0</v>
      </c>
      <c r="EZ260" s="1804">
        <v>0</v>
      </c>
      <c r="FA260" s="1804">
        <v>0</v>
      </c>
      <c r="FB260" s="1804">
        <v>0</v>
      </c>
      <c r="FC260" s="1804">
        <v>0</v>
      </c>
      <c r="FD260" s="1804">
        <v>0</v>
      </c>
      <c r="FE260" s="1804">
        <v>0</v>
      </c>
      <c r="FF260" s="1804">
        <v>0</v>
      </c>
      <c r="FG260" s="1804">
        <v>0</v>
      </c>
      <c r="FH260" s="1804">
        <v>0</v>
      </c>
      <c r="FI260" s="1804">
        <v>0</v>
      </c>
      <c r="FJ260" s="1804">
        <v>0</v>
      </c>
      <c r="FK260" s="1804">
        <v>0</v>
      </c>
      <c r="FL260" s="1804">
        <v>0</v>
      </c>
      <c r="FM260" s="1804">
        <v>0</v>
      </c>
      <c r="FN260" s="1804">
        <v>0</v>
      </c>
      <c r="FO260" s="1804">
        <v>0</v>
      </c>
      <c r="FP260" s="1804">
        <v>0</v>
      </c>
      <c r="FQ260" s="1804">
        <v>0</v>
      </c>
      <c r="FR260" s="1804">
        <v>0</v>
      </c>
      <c r="FS260" s="1804">
        <v>0</v>
      </c>
      <c r="FT260" s="1804">
        <v>0</v>
      </c>
      <c r="FU260" s="1804">
        <v>0</v>
      </c>
      <c r="FV260" s="1804">
        <v>0</v>
      </c>
      <c r="FW260" s="1804">
        <v>0</v>
      </c>
      <c r="FX260" s="1804">
        <v>0</v>
      </c>
      <c r="FY260" s="1804">
        <v>0</v>
      </c>
      <c r="FZ260" s="1804">
        <v>0</v>
      </c>
      <c r="GA260" s="1804">
        <v>0</v>
      </c>
      <c r="GB260" s="1804">
        <v>0</v>
      </c>
      <c r="GC260" s="1804">
        <v>0</v>
      </c>
      <c r="GD260" s="1804">
        <v>0</v>
      </c>
      <c r="GE260" s="1804">
        <v>0</v>
      </c>
      <c r="GF260" s="1804">
        <v>0</v>
      </c>
      <c r="GG260" s="1804">
        <v>0</v>
      </c>
      <c r="GH260" s="1804">
        <v>0</v>
      </c>
      <c r="GI260" s="1804">
        <v>0</v>
      </c>
      <c r="GJ260" s="1804">
        <v>0</v>
      </c>
      <c r="GK260" s="1804">
        <v>0</v>
      </c>
      <c r="GL260" s="1804">
        <v>0</v>
      </c>
      <c r="GM260" s="1804">
        <v>0</v>
      </c>
      <c r="GN260" s="1804">
        <v>0</v>
      </c>
      <c r="GO260" s="1804">
        <v>0</v>
      </c>
      <c r="GP260" s="1804">
        <v>0</v>
      </c>
      <c r="GQ260" s="1804">
        <v>0</v>
      </c>
      <c r="GR260" s="1804">
        <v>0</v>
      </c>
      <c r="GS260" s="1804">
        <v>0</v>
      </c>
      <c r="GT260" s="1804">
        <v>0</v>
      </c>
      <c r="GU260" s="1804">
        <v>0</v>
      </c>
      <c r="GV260" s="1804">
        <v>0</v>
      </c>
      <c r="GW260" s="1804">
        <v>0</v>
      </c>
      <c r="GX260" s="1804">
        <v>0</v>
      </c>
      <c r="GY260" s="1804">
        <v>0</v>
      </c>
      <c r="GZ260" s="1804">
        <v>0</v>
      </c>
      <c r="HA260" s="1804">
        <v>0</v>
      </c>
      <c r="HB260" s="1804">
        <v>0</v>
      </c>
      <c r="HC260" s="1804">
        <v>0</v>
      </c>
      <c r="HD260" s="1804">
        <v>0</v>
      </c>
      <c r="HE260" s="1804">
        <v>0</v>
      </c>
      <c r="HF260" s="1864"/>
      <c r="HG260" s="1864"/>
      <c r="HH260" s="1864"/>
      <c r="HI260" s="1864"/>
      <c r="HJ260" s="1864"/>
      <c r="HK260" s="1864"/>
      <c r="HL260" s="1864"/>
      <c r="HM260" s="1864"/>
      <c r="HN260" s="1864"/>
      <c r="HO260" s="1864"/>
      <c r="HP260" s="1864"/>
      <c r="HQ260" s="1864"/>
      <c r="HR260" s="1864"/>
      <c r="HS260" s="1864"/>
      <c r="HT260" s="1864"/>
      <c r="HU260" s="1864"/>
      <c r="HV260" s="1864"/>
      <c r="HW260" s="1864"/>
      <c r="HX260" s="1864"/>
      <c r="HY260" s="1864"/>
      <c r="HZ260" s="1864"/>
      <c r="IA260" s="1864"/>
      <c r="IB260" s="1864"/>
      <c r="IC260" s="1864"/>
      <c r="ID260" s="1864"/>
      <c r="IE260" s="1864"/>
      <c r="IF260" s="1864"/>
      <c r="IG260" s="1864"/>
      <c r="IH260" s="1864"/>
      <c r="II260" s="1864"/>
      <c r="IJ260" s="1864"/>
      <c r="IK260" s="1864"/>
      <c r="IL260" s="1864"/>
      <c r="IM260" s="1864"/>
      <c r="IN260" s="1864"/>
      <c r="IO260" s="1864"/>
      <c r="IP260" s="1864"/>
      <c r="IQ260" s="1864"/>
      <c r="IR260" s="1864"/>
      <c r="IS260" s="1864"/>
      <c r="IT260" s="1864"/>
      <c r="IU260" s="1864"/>
      <c r="IV260" s="1864"/>
      <c r="IW260" s="1864"/>
      <c r="IX260" s="1864"/>
      <c r="IY260" s="1864"/>
      <c r="IZ260" s="1864"/>
      <c r="JA260" s="1864"/>
      <c r="JB260" s="1864"/>
      <c r="JC260" s="1864"/>
      <c r="JD260" s="1864"/>
      <c r="JE260" s="1864"/>
      <c r="JF260" s="1864"/>
      <c r="JG260" s="1864"/>
      <c r="JH260" s="1864"/>
      <c r="JI260" s="1864"/>
      <c r="JJ260" s="1864"/>
      <c r="JK260" s="1864"/>
      <c r="JL260" s="1864"/>
      <c r="JM260" s="1864"/>
      <c r="JN260" s="1864"/>
      <c r="JO260" s="1864"/>
      <c r="JP260" s="1864"/>
      <c r="JQ260" s="1864"/>
      <c r="JR260" s="1864"/>
      <c r="JS260" s="1864"/>
      <c r="JT260" s="1864"/>
      <c r="JU260" s="1864"/>
      <c r="JV260" s="1864"/>
      <c r="JW260" s="1864"/>
      <c r="JX260" s="1864"/>
      <c r="JY260" s="1864"/>
      <c r="JZ260" s="1864"/>
      <c r="KA260" s="1864"/>
      <c r="KB260" s="1864"/>
      <c r="KC260" s="1864"/>
      <c r="KD260" s="1864"/>
      <c r="KE260" s="1864"/>
      <c r="KF260" s="1864"/>
      <c r="KG260" s="1864"/>
      <c r="KH260" s="1864"/>
      <c r="KI260" s="1864"/>
      <c r="KJ260" s="1864"/>
      <c r="KK260" s="1864"/>
      <c r="KL260" s="1864"/>
      <c r="KM260" s="1864"/>
      <c r="KN260" s="1864"/>
      <c r="KO260" s="1864"/>
      <c r="KP260" s="1864"/>
      <c r="KQ260" s="1864"/>
      <c r="KR260" s="1864"/>
      <c r="KS260" s="1864"/>
      <c r="KT260" s="1864"/>
      <c r="KU260" s="1864"/>
      <c r="KV260" s="1864"/>
      <c r="KW260" s="1864"/>
      <c r="KX260" s="1864"/>
      <c r="KY260" s="1864"/>
      <c r="KZ260" s="1864"/>
      <c r="LA260" s="1864"/>
      <c r="LB260" s="1864"/>
      <c r="LC260" s="1864"/>
      <c r="LD260" s="1864"/>
      <c r="LE260" s="1864"/>
      <c r="LF260" s="1864"/>
      <c r="LG260" s="1864"/>
      <c r="LH260" s="1864"/>
      <c r="LI260" s="1864"/>
      <c r="LJ260" s="1864"/>
      <c r="LK260" s="1864"/>
      <c r="LL260" s="1864"/>
      <c r="LM260" s="1864"/>
      <c r="LN260" s="1864"/>
      <c r="LO260" s="1864"/>
      <c r="LP260" s="1864"/>
      <c r="LQ260" s="1864"/>
      <c r="LR260" s="1864"/>
      <c r="LS260" s="1864"/>
      <c r="LT260" s="1864"/>
      <c r="LU260" s="1864"/>
      <c r="LV260" s="1864"/>
      <c r="LW260" s="1864"/>
      <c r="LX260" s="1864"/>
      <c r="LY260" s="1864"/>
      <c r="LZ260" s="1864"/>
      <c r="MA260" s="1864"/>
      <c r="MB260" s="1864"/>
      <c r="MC260" s="1864"/>
      <c r="MD260" s="1864"/>
      <c r="ME260" s="1864"/>
      <c r="MF260" s="1864"/>
      <c r="MG260" s="1864"/>
      <c r="MH260" s="1864"/>
      <c r="MI260" s="1864"/>
      <c r="MJ260" s="1864"/>
      <c r="MK260" s="1864"/>
      <c r="ML260" s="1864"/>
      <c r="MM260" s="1864"/>
      <c r="MN260" s="1864"/>
      <c r="MO260" s="1864"/>
      <c r="MP260" s="1864"/>
      <c r="MQ260" s="1864"/>
      <c r="MR260" s="1864"/>
    </row>
    <row r="261" spans="1:1291" s="1872" customFormat="1" ht="15" customHeight="1" x14ac:dyDescent="0.2">
      <c r="A261" s="1976"/>
      <c r="B261" s="2008"/>
      <c r="C261" s="1820" t="s">
        <v>787</v>
      </c>
      <c r="D261" s="1882"/>
      <c r="E261" s="1984"/>
      <c r="F261" s="1838">
        <v>0</v>
      </c>
      <c r="G261" s="1804">
        <v>0</v>
      </c>
      <c r="H261" s="1804">
        <v>0</v>
      </c>
      <c r="I261" s="1804">
        <v>0</v>
      </c>
      <c r="J261" s="1804">
        <v>0</v>
      </c>
      <c r="K261" s="1804">
        <v>0</v>
      </c>
      <c r="L261" s="1804">
        <v>0</v>
      </c>
      <c r="M261" s="1804">
        <v>0</v>
      </c>
      <c r="N261" s="1804">
        <v>0</v>
      </c>
      <c r="O261" s="1804">
        <v>0</v>
      </c>
      <c r="P261" s="1804">
        <v>0</v>
      </c>
      <c r="Q261" s="1804">
        <v>0</v>
      </c>
      <c r="R261" s="1804">
        <v>0</v>
      </c>
      <c r="S261" s="1804">
        <v>0</v>
      </c>
      <c r="T261" s="1804">
        <v>0</v>
      </c>
      <c r="U261" s="1804">
        <v>0</v>
      </c>
      <c r="V261" s="1804">
        <v>0</v>
      </c>
      <c r="W261" s="1804">
        <v>0</v>
      </c>
      <c r="X261" s="1804">
        <v>0</v>
      </c>
      <c r="Y261" s="1804">
        <v>0</v>
      </c>
      <c r="Z261" s="1804">
        <v>0</v>
      </c>
      <c r="AA261" s="1804">
        <v>0</v>
      </c>
      <c r="AB261" s="1804">
        <v>0</v>
      </c>
      <c r="AC261" s="1804">
        <v>0</v>
      </c>
      <c r="AD261" s="1804">
        <v>0</v>
      </c>
      <c r="AE261" s="1804">
        <v>0</v>
      </c>
      <c r="AF261" s="1804">
        <v>0</v>
      </c>
      <c r="AG261" s="1804">
        <v>0</v>
      </c>
      <c r="AH261" s="1804">
        <v>0</v>
      </c>
      <c r="AI261" s="1804">
        <v>0</v>
      </c>
      <c r="AJ261" s="1804">
        <v>0</v>
      </c>
      <c r="AK261" s="1804">
        <v>0</v>
      </c>
      <c r="AL261" s="1804">
        <v>0</v>
      </c>
      <c r="AM261" s="1804">
        <v>0</v>
      </c>
      <c r="AN261" s="1804">
        <v>0</v>
      </c>
      <c r="AO261" s="1804">
        <v>0</v>
      </c>
      <c r="AP261" s="1804">
        <v>0</v>
      </c>
      <c r="AQ261" s="1804">
        <v>0</v>
      </c>
      <c r="AR261" s="1804">
        <v>0</v>
      </c>
      <c r="AS261" s="1804">
        <v>0</v>
      </c>
      <c r="AT261" s="1804">
        <v>0</v>
      </c>
      <c r="AU261" s="1804">
        <v>0</v>
      </c>
      <c r="AV261" s="1804">
        <v>0</v>
      </c>
      <c r="AW261" s="1804">
        <v>0</v>
      </c>
      <c r="AX261" s="1804">
        <v>0</v>
      </c>
      <c r="AY261" s="1804">
        <v>0</v>
      </c>
      <c r="AZ261" s="1804">
        <v>0</v>
      </c>
      <c r="BA261" s="1804">
        <v>0</v>
      </c>
      <c r="BB261" s="1804">
        <v>0</v>
      </c>
      <c r="BC261" s="1804">
        <v>0</v>
      </c>
      <c r="BD261" s="1804">
        <v>0</v>
      </c>
      <c r="BE261" s="1804">
        <v>0</v>
      </c>
      <c r="BF261" s="1804">
        <v>0</v>
      </c>
      <c r="BG261" s="1804">
        <v>0</v>
      </c>
      <c r="BH261" s="1804">
        <v>0</v>
      </c>
      <c r="BI261" s="1804">
        <v>0</v>
      </c>
      <c r="BJ261" s="1804">
        <v>0</v>
      </c>
      <c r="BK261" s="1804">
        <v>0</v>
      </c>
      <c r="BL261" s="1804">
        <v>0</v>
      </c>
      <c r="BM261" s="1804">
        <v>0</v>
      </c>
      <c r="BN261" s="1804">
        <v>0</v>
      </c>
      <c r="BO261" s="1804">
        <v>0</v>
      </c>
      <c r="BP261" s="1804">
        <v>0</v>
      </c>
      <c r="BQ261" s="1804">
        <v>0</v>
      </c>
      <c r="BR261" s="1804">
        <v>0</v>
      </c>
      <c r="BS261" s="1804">
        <v>0</v>
      </c>
      <c r="BT261" s="1804">
        <v>0</v>
      </c>
      <c r="BU261" s="1804">
        <v>0</v>
      </c>
      <c r="BV261" s="1804">
        <v>0</v>
      </c>
      <c r="BW261" s="1804">
        <v>0</v>
      </c>
      <c r="BX261" s="1804">
        <v>0</v>
      </c>
      <c r="BY261" s="1804">
        <v>0</v>
      </c>
      <c r="BZ261" s="1804">
        <v>0</v>
      </c>
      <c r="CA261" s="1804">
        <v>0</v>
      </c>
      <c r="CB261" s="1804">
        <v>0</v>
      </c>
      <c r="CC261" s="1804">
        <v>0</v>
      </c>
      <c r="CD261" s="1804">
        <v>0</v>
      </c>
      <c r="CE261" s="1804">
        <v>0</v>
      </c>
      <c r="CF261" s="1804">
        <v>0</v>
      </c>
      <c r="CG261" s="1804">
        <v>0</v>
      </c>
      <c r="CH261" s="1804">
        <v>0</v>
      </c>
      <c r="CI261" s="1804">
        <v>0</v>
      </c>
      <c r="CJ261" s="1804">
        <v>0</v>
      </c>
      <c r="CK261" s="1804">
        <v>0</v>
      </c>
      <c r="CL261" s="1804">
        <v>0</v>
      </c>
      <c r="CM261" s="1804">
        <v>0</v>
      </c>
      <c r="CN261" s="1804">
        <v>0</v>
      </c>
      <c r="CO261" s="1804">
        <v>0</v>
      </c>
      <c r="CP261" s="1804">
        <v>0</v>
      </c>
      <c r="CQ261" s="1804">
        <v>0</v>
      </c>
      <c r="CR261" s="1804">
        <v>0</v>
      </c>
      <c r="CS261" s="1804">
        <v>0</v>
      </c>
      <c r="CT261" s="1804">
        <v>0</v>
      </c>
      <c r="CU261" s="1804">
        <v>0</v>
      </c>
      <c r="CV261" s="1804">
        <v>0</v>
      </c>
      <c r="CW261" s="1804">
        <v>0</v>
      </c>
      <c r="CX261" s="1804">
        <v>0</v>
      </c>
      <c r="CY261" s="1804">
        <v>0</v>
      </c>
      <c r="CZ261" s="1804">
        <v>0</v>
      </c>
      <c r="DA261" s="1804">
        <v>0</v>
      </c>
      <c r="DB261" s="1804">
        <v>0</v>
      </c>
      <c r="DC261" s="1804">
        <v>0</v>
      </c>
      <c r="DD261" s="1804">
        <v>0</v>
      </c>
      <c r="DE261" s="1804">
        <v>0</v>
      </c>
      <c r="DF261" s="1804">
        <v>0</v>
      </c>
      <c r="DG261" s="1804">
        <v>0</v>
      </c>
      <c r="DH261" s="1804">
        <v>0</v>
      </c>
      <c r="DI261" s="1804">
        <v>0</v>
      </c>
      <c r="DJ261" s="1804">
        <v>0</v>
      </c>
      <c r="DK261" s="1804">
        <v>0</v>
      </c>
      <c r="DL261" s="1804">
        <v>0</v>
      </c>
      <c r="DM261" s="1804">
        <v>0</v>
      </c>
      <c r="DN261" s="1804">
        <v>0</v>
      </c>
      <c r="DO261" s="1804">
        <v>0</v>
      </c>
      <c r="DP261" s="1804">
        <v>0</v>
      </c>
      <c r="DQ261" s="1804">
        <v>0</v>
      </c>
      <c r="DR261" s="1804">
        <v>0</v>
      </c>
      <c r="DS261" s="1804">
        <v>0</v>
      </c>
      <c r="DT261" s="1804">
        <v>0</v>
      </c>
      <c r="DU261" s="1804">
        <v>0</v>
      </c>
      <c r="DV261" s="1804">
        <v>0</v>
      </c>
      <c r="DW261" s="1804">
        <v>0</v>
      </c>
      <c r="DX261" s="1804">
        <v>0</v>
      </c>
      <c r="DY261" s="1804">
        <v>0</v>
      </c>
      <c r="DZ261" s="1804">
        <v>0</v>
      </c>
      <c r="EA261" s="1804">
        <v>0</v>
      </c>
      <c r="EB261" s="1804">
        <v>0</v>
      </c>
      <c r="EC261" s="1804">
        <v>0</v>
      </c>
      <c r="ED261" s="1804">
        <v>0</v>
      </c>
      <c r="EE261" s="1804">
        <v>0</v>
      </c>
      <c r="EF261" s="1804">
        <v>0</v>
      </c>
      <c r="EG261" s="1804">
        <v>0</v>
      </c>
      <c r="EH261" s="1804">
        <v>0</v>
      </c>
      <c r="EI261" s="1804">
        <v>0</v>
      </c>
      <c r="EJ261" s="1804">
        <v>0</v>
      </c>
      <c r="EK261" s="1804">
        <v>0</v>
      </c>
      <c r="EL261" s="1804">
        <v>0</v>
      </c>
      <c r="EM261" s="1804">
        <v>0</v>
      </c>
      <c r="EN261" s="1804">
        <v>0</v>
      </c>
      <c r="EO261" s="1804">
        <v>0</v>
      </c>
      <c r="EP261" s="1804">
        <v>0</v>
      </c>
      <c r="EQ261" s="1804">
        <v>0</v>
      </c>
      <c r="ER261" s="1804">
        <v>0</v>
      </c>
      <c r="ES261" s="1804">
        <v>0</v>
      </c>
      <c r="ET261" s="1804">
        <v>0</v>
      </c>
      <c r="EU261" s="1804">
        <v>0</v>
      </c>
      <c r="EV261" s="1804">
        <v>0</v>
      </c>
      <c r="EW261" s="1804">
        <v>0</v>
      </c>
      <c r="EX261" s="1804">
        <v>0</v>
      </c>
      <c r="EY261" s="1804">
        <v>0</v>
      </c>
      <c r="EZ261" s="1804">
        <v>0</v>
      </c>
      <c r="FA261" s="1804">
        <v>0</v>
      </c>
      <c r="FB261" s="1804">
        <v>0</v>
      </c>
      <c r="FC261" s="1804">
        <v>0</v>
      </c>
      <c r="FD261" s="1804">
        <v>0</v>
      </c>
      <c r="FE261" s="1804">
        <v>0</v>
      </c>
      <c r="FF261" s="1804">
        <v>0</v>
      </c>
      <c r="FG261" s="1804">
        <v>0</v>
      </c>
      <c r="FH261" s="1804">
        <v>0</v>
      </c>
      <c r="FI261" s="1804">
        <v>0</v>
      </c>
      <c r="FJ261" s="1804">
        <v>0</v>
      </c>
      <c r="FK261" s="1804">
        <v>0</v>
      </c>
      <c r="FL261" s="1804">
        <v>0</v>
      </c>
      <c r="FM261" s="1804">
        <v>0</v>
      </c>
      <c r="FN261" s="1804">
        <v>0</v>
      </c>
      <c r="FO261" s="1804">
        <v>0</v>
      </c>
      <c r="FP261" s="1804">
        <v>0</v>
      </c>
      <c r="FQ261" s="1804">
        <v>0</v>
      </c>
      <c r="FR261" s="1804">
        <v>0</v>
      </c>
      <c r="FS261" s="1804">
        <v>0</v>
      </c>
      <c r="FT261" s="1804">
        <v>0</v>
      </c>
      <c r="FU261" s="1804">
        <v>0</v>
      </c>
      <c r="FV261" s="1804">
        <v>0</v>
      </c>
      <c r="FW261" s="1804">
        <v>0</v>
      </c>
      <c r="FX261" s="1804">
        <v>0</v>
      </c>
      <c r="FY261" s="1804">
        <v>0</v>
      </c>
      <c r="FZ261" s="1804">
        <v>0</v>
      </c>
      <c r="GA261" s="1804">
        <v>0</v>
      </c>
      <c r="GB261" s="1804">
        <v>0</v>
      </c>
      <c r="GC261" s="1804">
        <v>0</v>
      </c>
      <c r="GD261" s="1804">
        <v>0</v>
      </c>
      <c r="GE261" s="1804">
        <v>0</v>
      </c>
      <c r="GF261" s="1804">
        <v>0</v>
      </c>
      <c r="GG261" s="1804">
        <v>0</v>
      </c>
      <c r="GH261" s="1804">
        <v>0</v>
      </c>
      <c r="GI261" s="1804">
        <v>0</v>
      </c>
      <c r="GJ261" s="1804">
        <v>0</v>
      </c>
      <c r="GK261" s="1804">
        <v>0</v>
      </c>
      <c r="GL261" s="1804">
        <v>0</v>
      </c>
      <c r="GM261" s="1804">
        <v>0</v>
      </c>
      <c r="GN261" s="1804">
        <v>0</v>
      </c>
      <c r="GO261" s="1804">
        <v>0</v>
      </c>
      <c r="GP261" s="1804">
        <v>0</v>
      </c>
      <c r="GQ261" s="1804">
        <v>0</v>
      </c>
      <c r="GR261" s="1804">
        <v>0</v>
      </c>
      <c r="GS261" s="1804">
        <v>0</v>
      </c>
      <c r="GT261" s="1804">
        <v>0</v>
      </c>
      <c r="GU261" s="1804">
        <v>0</v>
      </c>
      <c r="GV261" s="1804">
        <v>0</v>
      </c>
      <c r="GW261" s="1804">
        <v>0</v>
      </c>
      <c r="GX261" s="1804">
        <v>0</v>
      </c>
      <c r="GY261" s="1804">
        <v>0</v>
      </c>
      <c r="GZ261" s="1804">
        <v>0</v>
      </c>
      <c r="HA261" s="1804">
        <v>0</v>
      </c>
      <c r="HB261" s="1804">
        <v>0</v>
      </c>
      <c r="HC261" s="1804">
        <v>0</v>
      </c>
      <c r="HD261" s="1804">
        <v>0</v>
      </c>
      <c r="HE261" s="1804">
        <v>0</v>
      </c>
      <c r="HF261" s="1864"/>
      <c r="HG261" s="1864"/>
      <c r="HH261" s="1864"/>
      <c r="HI261" s="1864"/>
      <c r="HJ261" s="1864"/>
      <c r="HK261" s="1864"/>
      <c r="HL261" s="1864"/>
      <c r="HM261" s="1864"/>
      <c r="HN261" s="1864"/>
      <c r="HO261" s="1864"/>
      <c r="HP261" s="1864"/>
      <c r="HQ261" s="1864"/>
      <c r="HR261" s="1864"/>
      <c r="HS261" s="1864"/>
      <c r="HT261" s="1864"/>
      <c r="HU261" s="1864"/>
      <c r="HV261" s="1864"/>
      <c r="HW261" s="1864"/>
      <c r="HX261" s="1864"/>
      <c r="HY261" s="1864"/>
      <c r="HZ261" s="1864"/>
      <c r="IA261" s="1864"/>
      <c r="IB261" s="1864"/>
      <c r="IC261" s="1864"/>
      <c r="ID261" s="1864"/>
      <c r="IE261" s="1864"/>
      <c r="IF261" s="1864"/>
      <c r="IG261" s="1864"/>
      <c r="IH261" s="1864"/>
      <c r="II261" s="1864"/>
      <c r="IJ261" s="1864"/>
      <c r="IK261" s="1864"/>
      <c r="IL261" s="1864"/>
      <c r="IM261" s="1864"/>
      <c r="IN261" s="1864"/>
      <c r="IO261" s="1864"/>
      <c r="IP261" s="1864"/>
      <c r="IQ261" s="1864"/>
      <c r="IR261" s="1864"/>
      <c r="IS261" s="1864"/>
      <c r="IT261" s="1864"/>
      <c r="IU261" s="1864"/>
      <c r="IV261" s="1864"/>
      <c r="IW261" s="1864"/>
      <c r="IX261" s="1864"/>
      <c r="IY261" s="1864"/>
      <c r="IZ261" s="1864"/>
      <c r="JA261" s="1864"/>
      <c r="JB261" s="1864"/>
      <c r="JC261" s="1864"/>
      <c r="JD261" s="1864"/>
      <c r="JE261" s="1864"/>
      <c r="JF261" s="1864"/>
      <c r="JG261" s="1864"/>
      <c r="JH261" s="1864"/>
      <c r="JI261" s="1864"/>
      <c r="JJ261" s="1864"/>
      <c r="JK261" s="1864"/>
      <c r="JL261" s="1864"/>
      <c r="JM261" s="1864"/>
      <c r="JN261" s="1864"/>
      <c r="JO261" s="1864"/>
      <c r="JP261" s="1864"/>
      <c r="JQ261" s="1864"/>
      <c r="JR261" s="1864"/>
      <c r="JS261" s="1864"/>
      <c r="JT261" s="1864"/>
      <c r="JU261" s="1864"/>
      <c r="JV261" s="1864"/>
      <c r="JW261" s="1864"/>
      <c r="JX261" s="1864"/>
      <c r="JY261" s="1864"/>
      <c r="JZ261" s="1864"/>
      <c r="KA261" s="1864"/>
      <c r="KB261" s="1864"/>
      <c r="KC261" s="1864"/>
      <c r="KD261" s="1864"/>
      <c r="KE261" s="1864"/>
      <c r="KF261" s="1864"/>
      <c r="KG261" s="1864"/>
      <c r="KH261" s="1864"/>
      <c r="KI261" s="1864"/>
      <c r="KJ261" s="1864"/>
      <c r="KK261" s="1864"/>
      <c r="KL261" s="1864"/>
      <c r="KM261" s="1864"/>
      <c r="KN261" s="1864"/>
      <c r="KO261" s="1864"/>
      <c r="KP261" s="1864"/>
      <c r="KQ261" s="1864"/>
      <c r="KR261" s="1864"/>
      <c r="KS261" s="1864"/>
      <c r="KT261" s="1864"/>
      <c r="KU261" s="1864"/>
      <c r="KV261" s="1864"/>
      <c r="KW261" s="1864"/>
      <c r="KX261" s="1864"/>
      <c r="KY261" s="1864"/>
      <c r="KZ261" s="1864"/>
      <c r="LA261" s="1864"/>
      <c r="LB261" s="1864"/>
      <c r="LC261" s="1864"/>
      <c r="LD261" s="1864"/>
      <c r="LE261" s="1864"/>
      <c r="LF261" s="1864"/>
      <c r="LG261" s="1864"/>
      <c r="LH261" s="1864"/>
      <c r="LI261" s="1864"/>
      <c r="LJ261" s="1864"/>
      <c r="LK261" s="1864"/>
      <c r="LL261" s="1864"/>
      <c r="LM261" s="1864"/>
      <c r="LN261" s="1864"/>
      <c r="LO261" s="1864"/>
      <c r="LP261" s="1864"/>
      <c r="LQ261" s="1864"/>
      <c r="LR261" s="1864"/>
      <c r="LS261" s="1864"/>
      <c r="LT261" s="1864"/>
      <c r="LU261" s="1864"/>
      <c r="LV261" s="1864"/>
      <c r="LW261" s="1864"/>
      <c r="LX261" s="1864"/>
      <c r="LY261" s="1864"/>
      <c r="LZ261" s="1864"/>
      <c r="MA261" s="1864"/>
      <c r="MB261" s="1864"/>
      <c r="MC261" s="1864"/>
      <c r="MD261" s="1864"/>
      <c r="ME261" s="1864"/>
      <c r="MF261" s="1864"/>
      <c r="MG261" s="1864"/>
      <c r="MH261" s="1864"/>
      <c r="MI261" s="1864"/>
      <c r="MJ261" s="1864"/>
      <c r="MK261" s="1864"/>
      <c r="ML261" s="1864"/>
      <c r="MM261" s="1864"/>
      <c r="MN261" s="1864"/>
      <c r="MO261" s="1864"/>
      <c r="MP261" s="1864"/>
      <c r="MQ261" s="1864"/>
      <c r="MR261" s="1864"/>
      <c r="MS261" s="1864"/>
      <c r="MT261" s="1864"/>
      <c r="MU261" s="1864"/>
      <c r="MV261" s="1864"/>
      <c r="MW261" s="1864"/>
      <c r="MX261" s="1864"/>
      <c r="MY261" s="1864"/>
      <c r="MZ261" s="1864"/>
      <c r="NA261" s="1864"/>
      <c r="NB261" s="1864"/>
      <c r="NC261" s="1864"/>
      <c r="ND261" s="1864"/>
      <c r="NE261" s="1864"/>
      <c r="NF261" s="1864"/>
      <c r="NG261" s="1864"/>
      <c r="NH261" s="1864"/>
      <c r="NI261" s="1864"/>
      <c r="NJ261" s="1864"/>
      <c r="NK261" s="1864"/>
      <c r="NL261" s="1864"/>
      <c r="NM261" s="1864"/>
      <c r="NN261" s="1864"/>
      <c r="NO261" s="1864"/>
      <c r="NP261" s="1864"/>
      <c r="NQ261" s="1864"/>
      <c r="NR261" s="1864"/>
      <c r="NS261" s="1864"/>
      <c r="NT261" s="1864"/>
      <c r="NU261" s="1864"/>
      <c r="NV261" s="1864"/>
      <c r="NW261" s="1864"/>
      <c r="NX261" s="1864"/>
      <c r="NY261" s="1864"/>
      <c r="NZ261" s="1864"/>
      <c r="OA261" s="1864"/>
      <c r="OB261" s="1864"/>
      <c r="OC261" s="1864"/>
      <c r="OD261" s="1864"/>
      <c r="OE261" s="1864"/>
      <c r="OF261" s="1864"/>
      <c r="OG261" s="1864"/>
      <c r="OH261" s="1864"/>
      <c r="OI261" s="1864"/>
      <c r="OJ261" s="1864"/>
      <c r="OK261" s="1864"/>
      <c r="OL261" s="1864"/>
      <c r="OM261" s="1864"/>
      <c r="ON261" s="1864"/>
      <c r="OO261" s="1864"/>
      <c r="OP261" s="1864"/>
      <c r="OQ261" s="1864"/>
      <c r="OR261" s="1864"/>
      <c r="OS261" s="1864"/>
      <c r="OT261" s="1864"/>
      <c r="OU261" s="1864"/>
      <c r="OV261" s="1864"/>
      <c r="OW261" s="1864"/>
      <c r="OX261" s="1864"/>
      <c r="OY261" s="1864"/>
      <c r="OZ261" s="1864"/>
      <c r="PA261" s="1864"/>
      <c r="PB261" s="1864"/>
      <c r="PC261" s="1864"/>
      <c r="PD261" s="1864"/>
      <c r="PE261" s="1864"/>
      <c r="PF261" s="1864"/>
      <c r="PG261" s="1864"/>
      <c r="PH261" s="1864"/>
      <c r="PI261" s="1864"/>
      <c r="PJ261" s="1864"/>
      <c r="PK261" s="1864"/>
      <c r="PL261" s="1864"/>
      <c r="PM261" s="1864"/>
      <c r="PN261" s="1864"/>
      <c r="PO261" s="1864"/>
      <c r="PP261" s="1864"/>
      <c r="PQ261" s="1864"/>
      <c r="PR261" s="1864"/>
      <c r="PS261" s="1864"/>
      <c r="PT261" s="1864"/>
      <c r="PU261" s="1864"/>
      <c r="PV261" s="1864"/>
      <c r="PW261" s="1864"/>
      <c r="PX261" s="1864"/>
      <c r="PY261" s="1864"/>
      <c r="PZ261" s="1864"/>
      <c r="QA261" s="1864"/>
      <c r="QB261" s="1864"/>
      <c r="QC261" s="1864"/>
      <c r="QD261" s="1864"/>
      <c r="QE261" s="1864"/>
      <c r="QF261" s="1864"/>
      <c r="QG261" s="1864"/>
      <c r="QH261" s="1864"/>
      <c r="QI261" s="1864"/>
      <c r="QJ261" s="1864"/>
      <c r="QK261" s="1864"/>
      <c r="QL261" s="1864"/>
      <c r="QM261" s="1864"/>
      <c r="QN261" s="1864"/>
      <c r="QO261" s="1864"/>
      <c r="QP261" s="1864"/>
      <c r="QQ261" s="1864"/>
      <c r="QR261" s="1864"/>
      <c r="QS261" s="1864"/>
      <c r="QT261" s="1864"/>
      <c r="QU261" s="1864"/>
      <c r="QV261" s="1864"/>
      <c r="QW261" s="1864"/>
      <c r="QX261" s="1864"/>
      <c r="QY261" s="1864"/>
      <c r="QZ261" s="1864"/>
      <c r="RA261" s="1864"/>
      <c r="RB261" s="1864"/>
      <c r="RC261" s="1864"/>
      <c r="RD261" s="1864"/>
      <c r="RE261" s="1864"/>
      <c r="RF261" s="1864"/>
      <c r="RG261" s="1864"/>
      <c r="RH261" s="1864"/>
      <c r="RI261" s="1864"/>
      <c r="RJ261" s="1864"/>
      <c r="RK261" s="1864"/>
      <c r="RL261" s="1864"/>
      <c r="RM261" s="1864"/>
      <c r="RN261" s="1864"/>
      <c r="RO261" s="1864"/>
      <c r="RP261" s="1864"/>
      <c r="RQ261" s="1864"/>
      <c r="RR261" s="1864"/>
      <c r="RS261" s="1864"/>
      <c r="RT261" s="1864"/>
      <c r="RU261" s="1864"/>
      <c r="RV261" s="1864"/>
      <c r="RW261" s="1864"/>
      <c r="RX261" s="1864"/>
      <c r="RY261" s="1864"/>
      <c r="RZ261" s="1864"/>
      <c r="SA261" s="1864"/>
      <c r="SB261" s="1864"/>
      <c r="SC261" s="1864"/>
      <c r="SD261" s="1864"/>
      <c r="SE261" s="1864"/>
      <c r="SF261" s="1864"/>
      <c r="SG261" s="1864"/>
      <c r="SH261" s="1864"/>
      <c r="SI261" s="1864"/>
      <c r="SJ261" s="1864"/>
      <c r="SK261" s="1864"/>
      <c r="SL261" s="1864"/>
      <c r="SM261" s="1864"/>
      <c r="SN261" s="1864"/>
      <c r="SO261" s="1864"/>
      <c r="SP261" s="1864"/>
      <c r="SQ261" s="1864"/>
      <c r="SR261" s="1864"/>
      <c r="SS261" s="1864"/>
      <c r="ST261" s="1864"/>
      <c r="SU261" s="1864"/>
      <c r="SV261" s="1864"/>
      <c r="SW261" s="1864"/>
      <c r="SX261" s="1864"/>
      <c r="SY261" s="1864"/>
      <c r="SZ261" s="1864"/>
      <c r="TA261" s="1864"/>
      <c r="TB261" s="1864"/>
      <c r="TC261" s="1864"/>
      <c r="TD261" s="1864"/>
      <c r="TE261" s="1864"/>
      <c r="TF261" s="1864"/>
      <c r="TG261" s="1864"/>
      <c r="TH261" s="1864"/>
      <c r="TI261" s="1864"/>
      <c r="TJ261" s="1864"/>
      <c r="TK261" s="1864"/>
      <c r="TL261" s="1864"/>
      <c r="TM261" s="1864"/>
      <c r="TN261" s="1864"/>
      <c r="TO261" s="1864"/>
      <c r="TP261" s="1864"/>
      <c r="TQ261" s="1864"/>
      <c r="TR261" s="1864"/>
      <c r="TS261" s="1864"/>
      <c r="TT261" s="1864"/>
      <c r="TU261" s="1864"/>
      <c r="TV261" s="1864"/>
      <c r="TW261" s="1864"/>
      <c r="TX261" s="1864"/>
      <c r="TY261" s="1864"/>
      <c r="TZ261" s="1864"/>
      <c r="UA261" s="1864"/>
      <c r="UB261" s="1864"/>
      <c r="UC261" s="1864"/>
      <c r="UD261" s="1864"/>
      <c r="UE261" s="1864"/>
      <c r="UF261" s="1864"/>
      <c r="UG261" s="1864"/>
      <c r="UH261" s="1864"/>
      <c r="UI261" s="1864"/>
      <c r="UJ261" s="1864"/>
      <c r="UK261" s="1864"/>
      <c r="UL261" s="1864"/>
      <c r="UM261" s="1864"/>
      <c r="UN261" s="1864"/>
      <c r="UO261" s="1864"/>
      <c r="UP261" s="1864"/>
      <c r="UQ261" s="1864"/>
      <c r="UR261" s="1864"/>
      <c r="US261" s="1864"/>
      <c r="UT261" s="1864"/>
      <c r="UU261" s="1864"/>
      <c r="UV261" s="1864"/>
      <c r="UW261" s="1864"/>
      <c r="UX261" s="1864"/>
      <c r="UY261" s="1864"/>
      <c r="UZ261" s="1864"/>
      <c r="VA261" s="1864"/>
      <c r="VB261" s="1864"/>
      <c r="VC261" s="1864"/>
      <c r="VD261" s="1864"/>
      <c r="VE261" s="1864"/>
      <c r="VF261" s="1864"/>
      <c r="VG261" s="1864"/>
      <c r="VH261" s="1864"/>
      <c r="VI261" s="1864"/>
      <c r="VJ261" s="1864"/>
      <c r="VK261" s="1864"/>
      <c r="VL261" s="1864"/>
      <c r="VM261" s="1864"/>
      <c r="VN261" s="1864"/>
      <c r="VO261" s="1864"/>
      <c r="VP261" s="1864"/>
      <c r="VQ261" s="1864"/>
      <c r="VR261" s="1864"/>
      <c r="VS261" s="1864"/>
      <c r="VT261" s="1864"/>
      <c r="VU261" s="1864"/>
      <c r="VV261" s="1864"/>
      <c r="VW261" s="1864"/>
      <c r="VX261" s="1864"/>
      <c r="VY261" s="1864"/>
      <c r="VZ261" s="1864"/>
      <c r="WA261" s="1864"/>
      <c r="WB261" s="1864"/>
      <c r="WC261" s="1864"/>
      <c r="WD261" s="1864"/>
      <c r="WE261" s="1864"/>
      <c r="WF261" s="1864"/>
      <c r="WG261" s="1864"/>
      <c r="WH261" s="1864"/>
      <c r="WI261" s="1864"/>
      <c r="WJ261" s="1864"/>
      <c r="WK261" s="1864"/>
      <c r="WL261" s="1864"/>
      <c r="WM261" s="1864"/>
      <c r="WN261" s="1864"/>
      <c r="WO261" s="1864"/>
      <c r="WP261" s="1864"/>
      <c r="WQ261" s="1864"/>
      <c r="WR261" s="1864"/>
      <c r="WS261" s="1864"/>
      <c r="WT261" s="1864"/>
      <c r="WU261" s="1864"/>
      <c r="WV261" s="1864"/>
      <c r="WW261" s="1864"/>
      <c r="WX261" s="1864"/>
      <c r="WY261" s="1864"/>
      <c r="WZ261" s="1864"/>
      <c r="XA261" s="1864"/>
      <c r="XB261" s="1864"/>
      <c r="XC261" s="1864"/>
      <c r="XD261" s="1864"/>
      <c r="XE261" s="1864"/>
      <c r="XF261" s="1864"/>
      <c r="XG261" s="1864"/>
      <c r="XH261" s="1864"/>
      <c r="XI261" s="1864"/>
      <c r="XJ261" s="1864"/>
      <c r="XK261" s="1864"/>
      <c r="XL261" s="1864"/>
      <c r="XM261" s="1864"/>
      <c r="XN261" s="1864"/>
      <c r="XO261" s="1864"/>
      <c r="XP261" s="1864"/>
      <c r="XQ261" s="1864"/>
      <c r="XR261" s="1864"/>
      <c r="XS261" s="1864"/>
      <c r="XT261" s="1864"/>
      <c r="XU261" s="1864"/>
      <c r="XV261" s="1864"/>
      <c r="XW261" s="1864"/>
      <c r="XX261" s="1864"/>
      <c r="XY261" s="1864"/>
      <c r="XZ261" s="1864"/>
      <c r="YA261" s="1864"/>
      <c r="YB261" s="1864"/>
      <c r="YC261" s="1864"/>
      <c r="YD261" s="1864"/>
      <c r="YE261" s="1864"/>
      <c r="YF261" s="1864"/>
      <c r="YG261" s="1864"/>
      <c r="YH261" s="1864"/>
      <c r="YI261" s="1864"/>
      <c r="YJ261" s="1864"/>
      <c r="YK261" s="1864"/>
      <c r="YL261" s="1864"/>
      <c r="YM261" s="1864"/>
      <c r="YN261" s="1864"/>
      <c r="YO261" s="1864"/>
      <c r="YP261" s="1864"/>
      <c r="YQ261" s="1864"/>
      <c r="YR261" s="1864"/>
      <c r="YS261" s="1864"/>
      <c r="YT261" s="1864"/>
      <c r="YU261" s="1864"/>
      <c r="YV261" s="1864"/>
      <c r="YW261" s="1864"/>
      <c r="YX261" s="1864"/>
      <c r="YY261" s="1864"/>
      <c r="YZ261" s="1864"/>
      <c r="ZA261" s="1864"/>
      <c r="ZB261" s="1864"/>
      <c r="ZC261" s="1864"/>
      <c r="ZD261" s="1864"/>
      <c r="ZE261" s="1864"/>
      <c r="ZF261" s="1864"/>
      <c r="ZG261" s="1864"/>
      <c r="ZH261" s="1864"/>
      <c r="ZI261" s="1864"/>
      <c r="ZJ261" s="1864"/>
      <c r="ZK261" s="1864"/>
      <c r="ZL261" s="1864"/>
      <c r="ZM261" s="1864"/>
      <c r="ZN261" s="1864"/>
      <c r="ZO261" s="1864"/>
      <c r="ZP261" s="1864"/>
      <c r="ZQ261" s="1864"/>
      <c r="ZR261" s="1864"/>
      <c r="ZS261" s="1864"/>
      <c r="ZT261" s="1864"/>
      <c r="ZU261" s="1864"/>
      <c r="ZV261" s="1864"/>
      <c r="ZW261" s="1864"/>
      <c r="ZX261" s="1864"/>
      <c r="ZY261" s="1864"/>
      <c r="ZZ261" s="1864"/>
      <c r="AAA261" s="1864"/>
      <c r="AAB261" s="1864"/>
      <c r="AAC261" s="1864"/>
      <c r="AAD261" s="1864"/>
      <c r="AAE261" s="1864"/>
      <c r="AAF261" s="1864"/>
      <c r="AAG261" s="1864"/>
      <c r="AAH261" s="1864"/>
      <c r="AAI261" s="1864"/>
      <c r="AAJ261" s="1864"/>
      <c r="AAK261" s="1864"/>
      <c r="AAL261" s="1864"/>
      <c r="AAM261" s="1864"/>
      <c r="AAN261" s="1864"/>
      <c r="AAO261" s="1864"/>
      <c r="AAP261" s="1864"/>
      <c r="AAQ261" s="1864"/>
      <c r="AAR261" s="1864"/>
      <c r="AAS261" s="1864"/>
      <c r="AAT261" s="1864"/>
      <c r="AAU261" s="1864"/>
      <c r="AAV261" s="1864"/>
      <c r="AAW261" s="1864"/>
      <c r="AAX261" s="1864"/>
      <c r="AAY261" s="1864"/>
      <c r="AAZ261" s="1864"/>
      <c r="ABA261" s="1864"/>
      <c r="ABB261" s="1864"/>
      <c r="ABC261" s="1864"/>
      <c r="ABD261" s="1864"/>
      <c r="ABE261" s="1864"/>
      <c r="ABF261" s="1864"/>
      <c r="ABG261" s="1864"/>
      <c r="ABH261" s="1864"/>
      <c r="ABI261" s="1864"/>
      <c r="ABJ261" s="1864"/>
      <c r="ABK261" s="1864"/>
      <c r="ABL261" s="1864"/>
      <c r="ABM261" s="1864"/>
      <c r="ABN261" s="1864"/>
      <c r="ABO261" s="1864"/>
      <c r="ABP261" s="1864"/>
      <c r="ABQ261" s="1864"/>
      <c r="ABR261" s="1864"/>
      <c r="ABS261" s="1864"/>
      <c r="ABT261" s="1864"/>
      <c r="ABU261" s="1864"/>
      <c r="ABV261" s="1864"/>
      <c r="ABW261" s="1864"/>
      <c r="ABX261" s="1864"/>
      <c r="ABY261" s="1864"/>
      <c r="ABZ261" s="1864"/>
      <c r="ACA261" s="1864"/>
      <c r="ACB261" s="1864"/>
      <c r="ACC261" s="1864"/>
      <c r="ACD261" s="1864"/>
      <c r="ACE261" s="1864"/>
      <c r="ACF261" s="1864"/>
      <c r="ACG261" s="1864"/>
      <c r="ACH261" s="1864"/>
      <c r="ACI261" s="1864"/>
      <c r="ACJ261" s="1864"/>
      <c r="ACK261" s="1864"/>
      <c r="ACL261" s="1864"/>
      <c r="ACM261" s="1864"/>
      <c r="ACN261" s="1864"/>
      <c r="ACO261" s="1864"/>
      <c r="ACP261" s="1864"/>
      <c r="ACQ261" s="1864"/>
      <c r="ACR261" s="1864"/>
      <c r="ACS261" s="1864"/>
      <c r="ACT261" s="1864"/>
      <c r="ACU261" s="1864"/>
      <c r="ACV261" s="1864"/>
      <c r="ACW261" s="1864"/>
      <c r="ACX261" s="1864"/>
      <c r="ACY261" s="1864"/>
      <c r="ACZ261" s="1864"/>
      <c r="ADA261" s="1864"/>
      <c r="ADB261" s="1864"/>
      <c r="ADC261" s="1864"/>
      <c r="ADD261" s="1864"/>
      <c r="ADE261" s="1864"/>
      <c r="ADF261" s="1864"/>
      <c r="ADG261" s="1864"/>
      <c r="ADH261" s="1864"/>
      <c r="ADI261" s="1864"/>
      <c r="ADJ261" s="1864"/>
      <c r="ADK261" s="1864"/>
      <c r="ADL261" s="1864"/>
      <c r="ADM261" s="1864"/>
      <c r="ADN261" s="1864"/>
      <c r="ADO261" s="1864"/>
      <c r="ADP261" s="1864"/>
      <c r="ADQ261" s="1864"/>
      <c r="ADR261" s="1864"/>
      <c r="ADS261" s="1864"/>
      <c r="ADT261" s="1864"/>
      <c r="ADU261" s="1864"/>
      <c r="ADV261" s="1864"/>
      <c r="ADW261" s="1864"/>
      <c r="ADX261" s="1864"/>
      <c r="ADY261" s="1864"/>
      <c r="ADZ261" s="1864"/>
      <c r="AEA261" s="1864"/>
      <c r="AEB261" s="1864"/>
      <c r="AEC261" s="1864"/>
      <c r="AED261" s="1864"/>
      <c r="AEE261" s="1864"/>
      <c r="AEF261" s="1864"/>
      <c r="AEG261" s="1864"/>
      <c r="AEH261" s="1864"/>
      <c r="AEI261" s="1864"/>
      <c r="AEJ261" s="1864"/>
      <c r="AEK261" s="1864"/>
      <c r="AEL261" s="1864"/>
      <c r="AEM261" s="1864"/>
      <c r="AEN261" s="1864"/>
      <c r="AEO261" s="1864"/>
      <c r="AEP261" s="1864"/>
      <c r="AEQ261" s="1864"/>
      <c r="AER261" s="1864"/>
      <c r="AES261" s="1864"/>
      <c r="AET261" s="1864"/>
      <c r="AEU261" s="1864"/>
      <c r="AEV261" s="1864"/>
      <c r="AEW261" s="1864"/>
      <c r="AEX261" s="1864"/>
      <c r="AEY261" s="1864"/>
      <c r="AEZ261" s="1864"/>
      <c r="AFA261" s="1864"/>
      <c r="AFB261" s="1864"/>
      <c r="AFC261" s="1864"/>
      <c r="AFD261" s="1864"/>
      <c r="AFE261" s="1864"/>
      <c r="AFF261" s="1864"/>
      <c r="AFG261" s="1864"/>
      <c r="AFH261" s="1864"/>
      <c r="AFI261" s="1864"/>
      <c r="AFJ261" s="1864"/>
      <c r="AFK261" s="1864"/>
      <c r="AFL261" s="1864"/>
      <c r="AFM261" s="1864"/>
      <c r="AFN261" s="1864"/>
      <c r="AFO261" s="1864"/>
      <c r="AFP261" s="1864"/>
      <c r="AFQ261" s="1864"/>
      <c r="AFR261" s="1864"/>
      <c r="AFS261" s="1864"/>
      <c r="AFT261" s="1864"/>
      <c r="AFU261" s="1864"/>
      <c r="AFV261" s="1864"/>
      <c r="AFW261" s="1864"/>
      <c r="AFX261" s="1864"/>
      <c r="AFY261" s="1864"/>
      <c r="AFZ261" s="1864"/>
      <c r="AGA261" s="1864"/>
      <c r="AGB261" s="1864"/>
      <c r="AGC261" s="1864"/>
      <c r="AGD261" s="1864"/>
      <c r="AGE261" s="1864"/>
      <c r="AGF261" s="1864"/>
      <c r="AGG261" s="1864"/>
      <c r="AGH261" s="1864"/>
      <c r="AGI261" s="1864"/>
      <c r="AGJ261" s="1864"/>
      <c r="AGK261" s="1864"/>
      <c r="AGL261" s="1864"/>
      <c r="AGM261" s="1864"/>
      <c r="AGN261" s="1864"/>
      <c r="AGO261" s="1864"/>
      <c r="AGP261" s="1864"/>
      <c r="AGQ261" s="1864"/>
      <c r="AGR261" s="1864"/>
      <c r="AGS261" s="1864"/>
      <c r="AGT261" s="1864"/>
      <c r="AGU261" s="1864"/>
      <c r="AGV261" s="1864"/>
      <c r="AGW261" s="1864"/>
      <c r="AGX261" s="1864"/>
      <c r="AGY261" s="1864"/>
      <c r="AGZ261" s="1864"/>
      <c r="AHA261" s="1864"/>
      <c r="AHB261" s="1864"/>
      <c r="AHC261" s="1864"/>
      <c r="AHD261" s="1864"/>
      <c r="AHE261" s="1864"/>
      <c r="AHF261" s="1864"/>
      <c r="AHG261" s="1864"/>
      <c r="AHH261" s="1864"/>
      <c r="AHI261" s="1864"/>
      <c r="AHJ261" s="1864"/>
      <c r="AHK261" s="1864"/>
      <c r="AHL261" s="1864"/>
      <c r="AHM261" s="1864"/>
      <c r="AHN261" s="1864"/>
      <c r="AHO261" s="1864"/>
      <c r="AHP261" s="1864"/>
      <c r="AHQ261" s="1864"/>
      <c r="AHR261" s="1864"/>
      <c r="AHS261" s="1864"/>
      <c r="AHT261" s="1864"/>
      <c r="AHU261" s="1864"/>
      <c r="AHV261" s="1864"/>
      <c r="AHW261" s="1864"/>
      <c r="AHX261" s="1864"/>
      <c r="AHY261" s="1864"/>
      <c r="AHZ261" s="1864"/>
      <c r="AIA261" s="1864"/>
      <c r="AIB261" s="1864"/>
      <c r="AIC261" s="1864"/>
      <c r="AID261" s="1864"/>
      <c r="AIE261" s="1864"/>
      <c r="AIF261" s="1864"/>
      <c r="AIG261" s="1864"/>
      <c r="AIH261" s="1864"/>
      <c r="AII261" s="1864"/>
      <c r="AIJ261" s="1864"/>
      <c r="AIK261" s="1864"/>
      <c r="AIL261" s="1864"/>
      <c r="AIM261" s="1864"/>
      <c r="AIN261" s="1864"/>
      <c r="AIO261" s="1864"/>
      <c r="AIP261" s="1864"/>
      <c r="AIQ261" s="1864"/>
      <c r="AIR261" s="1864"/>
      <c r="AIS261" s="1864"/>
      <c r="AIT261" s="1864"/>
      <c r="AIU261" s="1864"/>
      <c r="AIV261" s="1864"/>
      <c r="AIW261" s="1864"/>
      <c r="AIX261" s="1864"/>
      <c r="AIY261" s="1864"/>
      <c r="AIZ261" s="1864"/>
      <c r="AJA261" s="1864"/>
      <c r="AJB261" s="1864"/>
      <c r="AJC261" s="1864"/>
      <c r="AJD261" s="1864"/>
      <c r="AJE261" s="1864"/>
      <c r="AJF261" s="1864"/>
      <c r="AJG261" s="1864"/>
      <c r="AJH261" s="1864"/>
      <c r="AJI261" s="1864"/>
      <c r="AJJ261" s="1864"/>
      <c r="AJK261" s="1864"/>
      <c r="AJL261" s="1864"/>
      <c r="AJM261" s="1864"/>
      <c r="AJN261" s="1864"/>
      <c r="AJO261" s="1864"/>
      <c r="AJP261" s="1864"/>
      <c r="AJQ261" s="1864"/>
      <c r="AJR261" s="1864"/>
      <c r="AJS261" s="1864"/>
      <c r="AJT261" s="1864"/>
      <c r="AJU261" s="1864"/>
      <c r="AJV261" s="1864"/>
      <c r="AJW261" s="1864"/>
      <c r="AJX261" s="1864"/>
      <c r="AJY261" s="1864"/>
      <c r="AJZ261" s="1864"/>
      <c r="AKA261" s="1864"/>
      <c r="AKB261" s="1864"/>
      <c r="AKC261" s="1864"/>
      <c r="AKD261" s="1864"/>
      <c r="AKE261" s="1864"/>
      <c r="AKF261" s="1864"/>
      <c r="AKG261" s="1864"/>
      <c r="AKH261" s="1864"/>
      <c r="AKI261" s="1864"/>
      <c r="AKJ261" s="1864"/>
      <c r="AKK261" s="1864"/>
      <c r="AKL261" s="1864"/>
      <c r="AKM261" s="1864"/>
      <c r="AKN261" s="1864"/>
      <c r="AKO261" s="1864"/>
      <c r="AKP261" s="1864"/>
      <c r="AKQ261" s="1864"/>
      <c r="AKR261" s="1864"/>
      <c r="AKS261" s="1864"/>
      <c r="AKT261" s="1864"/>
      <c r="AKU261" s="1864"/>
      <c r="AKV261" s="1864"/>
      <c r="AKW261" s="1864"/>
      <c r="AKX261" s="1864"/>
      <c r="AKY261" s="1864"/>
      <c r="AKZ261" s="1864"/>
      <c r="ALA261" s="1864"/>
      <c r="ALB261" s="1864"/>
      <c r="ALC261" s="1864"/>
      <c r="ALD261" s="1864"/>
      <c r="ALE261" s="1864"/>
      <c r="ALF261" s="1864"/>
      <c r="ALG261" s="1864"/>
      <c r="ALH261" s="1864"/>
      <c r="ALI261" s="1864"/>
      <c r="ALJ261" s="1864"/>
      <c r="ALK261" s="1864"/>
      <c r="ALL261" s="1864"/>
      <c r="ALM261" s="1864"/>
      <c r="ALN261" s="1864"/>
      <c r="ALO261" s="1864"/>
      <c r="ALP261" s="1864"/>
      <c r="ALQ261" s="1864"/>
      <c r="ALR261" s="1864"/>
      <c r="ALS261" s="1864"/>
      <c r="ALT261" s="1864"/>
      <c r="ALU261" s="1864"/>
      <c r="ALV261" s="1864"/>
      <c r="ALW261" s="1864"/>
      <c r="ALX261" s="1864"/>
      <c r="ALY261" s="1864"/>
      <c r="ALZ261" s="1864"/>
      <c r="AMA261" s="1864"/>
      <c r="AMB261" s="1864"/>
      <c r="AMC261" s="1864"/>
      <c r="AMD261" s="1864"/>
      <c r="AME261" s="1864"/>
      <c r="AMF261" s="1864"/>
      <c r="AMG261" s="1864"/>
      <c r="AMH261" s="1864"/>
      <c r="AMI261" s="1864"/>
      <c r="AMJ261" s="1864"/>
      <c r="AMK261" s="1864"/>
      <c r="AML261" s="1864"/>
      <c r="AMM261" s="1864"/>
      <c r="AMN261" s="1864"/>
      <c r="AMO261" s="1864"/>
      <c r="AMP261" s="1864"/>
      <c r="AMQ261" s="1864"/>
      <c r="AMR261" s="1864"/>
      <c r="AMS261" s="1864"/>
      <c r="AMT261" s="1864"/>
      <c r="AMU261" s="1864"/>
      <c r="AMV261" s="1864"/>
      <c r="AMW261" s="1864"/>
      <c r="AMX261" s="1864"/>
      <c r="AMY261" s="1864"/>
      <c r="AMZ261" s="1864"/>
      <c r="ANA261" s="1864"/>
      <c r="ANB261" s="1864"/>
      <c r="ANC261" s="1864"/>
      <c r="AND261" s="1864"/>
      <c r="ANE261" s="1864"/>
      <c r="ANF261" s="1864"/>
      <c r="ANG261" s="1864"/>
      <c r="ANH261" s="1864"/>
      <c r="ANI261" s="1864"/>
      <c r="ANJ261" s="1864"/>
      <c r="ANK261" s="1864"/>
      <c r="ANL261" s="1864"/>
      <c r="ANM261" s="1864"/>
      <c r="ANN261" s="1864"/>
      <c r="ANO261" s="1864"/>
      <c r="ANP261" s="1864"/>
      <c r="ANQ261" s="1864"/>
      <c r="ANR261" s="1864"/>
      <c r="ANS261" s="1864"/>
      <c r="ANT261" s="1864"/>
      <c r="ANU261" s="1864"/>
      <c r="ANV261" s="1864"/>
      <c r="ANW261" s="1864"/>
      <c r="ANX261" s="1864"/>
      <c r="ANY261" s="1864"/>
      <c r="ANZ261" s="1864"/>
      <c r="AOA261" s="1864"/>
      <c r="AOB261" s="1864"/>
      <c r="AOC261" s="1864"/>
      <c r="AOD261" s="1864"/>
      <c r="AOE261" s="1864"/>
      <c r="AOF261" s="1864"/>
      <c r="AOG261" s="1864"/>
      <c r="AOH261" s="1864"/>
      <c r="AOI261" s="1864"/>
      <c r="AOJ261" s="1864"/>
      <c r="AOK261" s="1864"/>
      <c r="AOL261" s="1864"/>
      <c r="AOM261" s="1864"/>
      <c r="AON261" s="1864"/>
      <c r="AOO261" s="1864"/>
      <c r="AOP261" s="1864"/>
      <c r="AOQ261" s="1864"/>
      <c r="AOR261" s="1864"/>
      <c r="AOS261" s="1864"/>
      <c r="AOT261" s="1864"/>
      <c r="AOU261" s="1864"/>
      <c r="AOV261" s="1864"/>
      <c r="AOW261" s="1864"/>
      <c r="AOX261" s="1864"/>
      <c r="AOY261" s="1864"/>
      <c r="AOZ261" s="1864"/>
      <c r="APA261" s="1864"/>
      <c r="APB261" s="1864"/>
      <c r="APC261" s="1864"/>
      <c r="APD261" s="1864"/>
      <c r="APE261" s="1864"/>
      <c r="APF261" s="1864"/>
      <c r="APG261" s="1864"/>
      <c r="APH261" s="1864"/>
      <c r="API261" s="1864"/>
      <c r="APJ261" s="1864"/>
      <c r="APK261" s="1864"/>
      <c r="APL261" s="1864"/>
      <c r="APM261" s="1864"/>
      <c r="APN261" s="1864"/>
      <c r="APO261" s="1864"/>
      <c r="APP261" s="1864"/>
      <c r="APQ261" s="1864"/>
      <c r="APR261" s="1864"/>
      <c r="APS261" s="1864"/>
      <c r="APT261" s="1864"/>
      <c r="APU261" s="1864"/>
      <c r="APV261" s="1864"/>
      <c r="APW261" s="1864"/>
      <c r="APX261" s="1864"/>
      <c r="APY261" s="1864"/>
      <c r="APZ261" s="1864"/>
      <c r="AQA261" s="1864"/>
      <c r="AQB261" s="1864"/>
      <c r="AQC261" s="1864"/>
      <c r="AQD261" s="1864"/>
      <c r="AQE261" s="1864"/>
      <c r="AQF261" s="1864"/>
      <c r="AQG261" s="1864"/>
      <c r="AQH261" s="1864"/>
      <c r="AQI261" s="1864"/>
      <c r="AQJ261" s="1864"/>
      <c r="AQK261" s="1864"/>
      <c r="AQL261" s="1864"/>
      <c r="AQM261" s="1864"/>
      <c r="AQN261" s="1864"/>
      <c r="AQO261" s="1864"/>
      <c r="AQP261" s="1864"/>
      <c r="AQQ261" s="1864"/>
      <c r="AQR261" s="1864"/>
      <c r="AQS261" s="1864"/>
      <c r="AQT261" s="1864"/>
      <c r="AQU261" s="1864"/>
      <c r="AQV261" s="1864"/>
      <c r="AQW261" s="1864"/>
      <c r="AQX261" s="1864"/>
      <c r="AQY261" s="1864"/>
      <c r="AQZ261" s="1864"/>
      <c r="ARA261" s="1864"/>
      <c r="ARB261" s="1864"/>
      <c r="ARC261" s="1864"/>
      <c r="ARD261" s="1864"/>
      <c r="ARE261" s="1864"/>
      <c r="ARF261" s="1864"/>
      <c r="ARG261" s="1864"/>
      <c r="ARH261" s="1864"/>
      <c r="ARI261" s="1864"/>
      <c r="ARJ261" s="1864"/>
      <c r="ARK261" s="1864"/>
      <c r="ARL261" s="1864"/>
      <c r="ARM261" s="1864"/>
      <c r="ARN261" s="1864"/>
      <c r="ARO261" s="1864"/>
      <c r="ARP261" s="1864"/>
      <c r="ARQ261" s="1864"/>
      <c r="ARR261" s="1864"/>
      <c r="ARS261" s="1864"/>
      <c r="ART261" s="1864"/>
      <c r="ARU261" s="1864"/>
      <c r="ARV261" s="1864"/>
      <c r="ARW261" s="1864"/>
      <c r="ARX261" s="1864"/>
      <c r="ARY261" s="1864"/>
      <c r="ARZ261" s="1864"/>
      <c r="ASA261" s="1864"/>
      <c r="ASB261" s="1864"/>
      <c r="ASC261" s="1864"/>
      <c r="ASD261" s="1864"/>
      <c r="ASE261" s="1864"/>
      <c r="ASF261" s="1864"/>
      <c r="ASG261" s="1864"/>
      <c r="ASH261" s="1864"/>
      <c r="ASI261" s="1864"/>
      <c r="ASJ261" s="1864"/>
      <c r="ASK261" s="1864"/>
      <c r="ASL261" s="1864"/>
      <c r="ASM261" s="1864"/>
      <c r="ASN261" s="1864"/>
      <c r="ASO261" s="1864"/>
      <c r="ASP261" s="1864"/>
      <c r="ASQ261" s="1864"/>
      <c r="ASR261" s="1864"/>
      <c r="ASS261" s="1864"/>
      <c r="AST261" s="1864"/>
      <c r="ASU261" s="1864"/>
      <c r="ASV261" s="1864"/>
      <c r="ASW261" s="1864"/>
      <c r="ASX261" s="1864"/>
      <c r="ASY261" s="1864"/>
      <c r="ASZ261" s="1864"/>
      <c r="ATA261" s="1864"/>
      <c r="ATB261" s="1864"/>
      <c r="ATC261" s="1864"/>
      <c r="ATD261" s="1864"/>
      <c r="ATE261" s="1864"/>
      <c r="ATF261" s="1864"/>
      <c r="ATG261" s="1864"/>
      <c r="ATH261" s="1864"/>
      <c r="ATI261" s="1864"/>
      <c r="ATJ261" s="1864"/>
      <c r="ATK261" s="1864"/>
      <c r="ATL261" s="1864"/>
      <c r="ATM261" s="1864"/>
      <c r="ATN261" s="1864"/>
      <c r="ATO261" s="1864"/>
      <c r="ATP261" s="1864"/>
      <c r="ATQ261" s="1864"/>
      <c r="ATR261" s="1864"/>
      <c r="ATS261" s="1864"/>
      <c r="ATT261" s="1864"/>
      <c r="ATU261" s="1864"/>
      <c r="ATV261" s="1864"/>
      <c r="ATW261" s="1864"/>
      <c r="ATX261" s="1864"/>
      <c r="ATY261" s="1864"/>
      <c r="ATZ261" s="1864"/>
      <c r="AUA261" s="1864"/>
      <c r="AUB261" s="1864"/>
      <c r="AUC261" s="1864"/>
      <c r="AUD261" s="1864"/>
      <c r="AUE261" s="1864"/>
      <c r="AUF261" s="1864"/>
      <c r="AUG261" s="1864"/>
      <c r="AUH261" s="1864"/>
      <c r="AUI261" s="1864"/>
      <c r="AUJ261" s="1864"/>
      <c r="AUK261" s="1864"/>
      <c r="AUL261" s="1864"/>
      <c r="AUM261" s="1864"/>
      <c r="AUN261" s="1864"/>
      <c r="AUO261" s="1864"/>
      <c r="AUP261" s="1864"/>
      <c r="AUQ261" s="1864"/>
      <c r="AUR261" s="1864"/>
      <c r="AUS261" s="1864"/>
      <c r="AUT261" s="1864"/>
      <c r="AUU261" s="1864"/>
      <c r="AUV261" s="1864"/>
      <c r="AUW261" s="1864"/>
      <c r="AUX261" s="1864"/>
      <c r="AUY261" s="1864"/>
      <c r="AUZ261" s="1864"/>
      <c r="AVA261" s="1864"/>
      <c r="AVB261" s="1864"/>
      <c r="AVC261" s="1864"/>
      <c r="AVD261" s="1864"/>
      <c r="AVE261" s="1864"/>
      <c r="AVF261" s="1864"/>
      <c r="AVG261" s="1864"/>
      <c r="AVH261" s="1864"/>
      <c r="AVI261" s="1864"/>
      <c r="AVJ261" s="1864"/>
      <c r="AVK261" s="1864"/>
      <c r="AVL261" s="1864"/>
      <c r="AVM261" s="1864"/>
      <c r="AVN261" s="1864"/>
      <c r="AVO261" s="1864"/>
      <c r="AVP261" s="1864"/>
      <c r="AVQ261" s="1864"/>
      <c r="AVR261" s="1864"/>
      <c r="AVS261" s="1864"/>
      <c r="AVT261" s="1864"/>
      <c r="AVU261" s="1864"/>
      <c r="AVV261" s="1864"/>
      <c r="AVW261" s="1864"/>
      <c r="AVX261" s="1864"/>
      <c r="AVY261" s="1864"/>
      <c r="AVZ261" s="1864"/>
      <c r="AWA261" s="1864"/>
      <c r="AWB261" s="1864"/>
      <c r="AWC261" s="1864"/>
      <c r="AWD261" s="1864"/>
      <c r="AWE261" s="1864"/>
      <c r="AWF261" s="1864"/>
      <c r="AWG261" s="1864"/>
      <c r="AWH261" s="1864"/>
      <c r="AWI261" s="1864"/>
      <c r="AWJ261" s="1864"/>
      <c r="AWK261" s="1864"/>
      <c r="AWL261" s="1864"/>
      <c r="AWM261" s="1864"/>
      <c r="AWN261" s="1864"/>
      <c r="AWO261" s="1864"/>
      <c r="AWP261" s="1864"/>
      <c r="AWQ261" s="1864"/>
    </row>
    <row r="262" spans="1:1291" s="1872" customFormat="1" ht="15" customHeight="1" x14ac:dyDescent="0.2">
      <c r="A262" s="1976"/>
      <c r="B262" s="2008"/>
      <c r="C262" s="1820" t="s">
        <v>788</v>
      </c>
      <c r="D262" s="1882"/>
      <c r="E262" s="1984"/>
      <c r="F262" s="1838">
        <v>0</v>
      </c>
      <c r="G262" s="1804">
        <v>0</v>
      </c>
      <c r="H262" s="1804">
        <v>0</v>
      </c>
      <c r="I262" s="1804">
        <v>0</v>
      </c>
      <c r="J262" s="1804">
        <v>0</v>
      </c>
      <c r="K262" s="1804">
        <v>0</v>
      </c>
      <c r="L262" s="1804">
        <v>0</v>
      </c>
      <c r="M262" s="1804">
        <v>0</v>
      </c>
      <c r="N262" s="1804">
        <v>0</v>
      </c>
      <c r="O262" s="1804">
        <v>0</v>
      </c>
      <c r="P262" s="1804">
        <v>0</v>
      </c>
      <c r="Q262" s="1804">
        <v>0</v>
      </c>
      <c r="R262" s="1804">
        <v>0</v>
      </c>
      <c r="S262" s="1804">
        <v>0</v>
      </c>
      <c r="T262" s="1804">
        <v>0</v>
      </c>
      <c r="U262" s="1804">
        <v>0</v>
      </c>
      <c r="V262" s="1804">
        <v>0</v>
      </c>
      <c r="W262" s="1804">
        <v>0</v>
      </c>
      <c r="X262" s="1804">
        <v>0</v>
      </c>
      <c r="Y262" s="1804">
        <v>0</v>
      </c>
      <c r="Z262" s="1804">
        <v>0</v>
      </c>
      <c r="AA262" s="1804">
        <v>0</v>
      </c>
      <c r="AB262" s="1804">
        <v>0</v>
      </c>
      <c r="AC262" s="1804">
        <v>0</v>
      </c>
      <c r="AD262" s="1804">
        <v>0</v>
      </c>
      <c r="AE262" s="1804">
        <v>0</v>
      </c>
      <c r="AF262" s="1804">
        <v>0</v>
      </c>
      <c r="AG262" s="1804">
        <v>0</v>
      </c>
      <c r="AH262" s="1804">
        <v>0</v>
      </c>
      <c r="AI262" s="1804">
        <v>0</v>
      </c>
      <c r="AJ262" s="1804">
        <v>0</v>
      </c>
      <c r="AK262" s="1804">
        <v>0</v>
      </c>
      <c r="AL262" s="1804">
        <v>0</v>
      </c>
      <c r="AM262" s="1804">
        <v>0</v>
      </c>
      <c r="AN262" s="1804">
        <v>0</v>
      </c>
      <c r="AO262" s="1804">
        <v>0</v>
      </c>
      <c r="AP262" s="1804">
        <v>0</v>
      </c>
      <c r="AQ262" s="1804">
        <v>0</v>
      </c>
      <c r="AR262" s="1804">
        <v>0</v>
      </c>
      <c r="AS262" s="1804">
        <v>0</v>
      </c>
      <c r="AT262" s="1804">
        <v>0</v>
      </c>
      <c r="AU262" s="1804">
        <v>0</v>
      </c>
      <c r="AV262" s="1804">
        <v>0</v>
      </c>
      <c r="AW262" s="1804">
        <v>0</v>
      </c>
      <c r="AX262" s="1804">
        <v>0</v>
      </c>
      <c r="AY262" s="1804">
        <v>0</v>
      </c>
      <c r="AZ262" s="1804">
        <v>0</v>
      </c>
      <c r="BA262" s="1804">
        <v>0</v>
      </c>
      <c r="BB262" s="1804">
        <v>0</v>
      </c>
      <c r="BC262" s="1804">
        <v>0</v>
      </c>
      <c r="BD262" s="1804">
        <v>0</v>
      </c>
      <c r="BE262" s="1804">
        <v>0</v>
      </c>
      <c r="BF262" s="1804">
        <v>0</v>
      </c>
      <c r="BG262" s="1804">
        <v>0</v>
      </c>
      <c r="BH262" s="1804">
        <v>0</v>
      </c>
      <c r="BI262" s="1804">
        <v>0</v>
      </c>
      <c r="BJ262" s="1804">
        <v>0</v>
      </c>
      <c r="BK262" s="1804">
        <v>0</v>
      </c>
      <c r="BL262" s="1804">
        <v>0</v>
      </c>
      <c r="BM262" s="1804">
        <v>0</v>
      </c>
      <c r="BN262" s="1804">
        <v>0</v>
      </c>
      <c r="BO262" s="1804">
        <v>0</v>
      </c>
      <c r="BP262" s="1804">
        <v>0</v>
      </c>
      <c r="BQ262" s="1804">
        <v>0</v>
      </c>
      <c r="BR262" s="1804">
        <v>0</v>
      </c>
      <c r="BS262" s="1804">
        <v>0</v>
      </c>
      <c r="BT262" s="1804">
        <v>0</v>
      </c>
      <c r="BU262" s="1804">
        <v>0</v>
      </c>
      <c r="BV262" s="1804">
        <v>0</v>
      </c>
      <c r="BW262" s="1804">
        <v>0</v>
      </c>
      <c r="BX262" s="1804">
        <v>0</v>
      </c>
      <c r="BY262" s="1804">
        <v>0</v>
      </c>
      <c r="BZ262" s="1804">
        <v>0</v>
      </c>
      <c r="CA262" s="1804">
        <v>0</v>
      </c>
      <c r="CB262" s="1804">
        <v>0</v>
      </c>
      <c r="CC262" s="1804">
        <v>0</v>
      </c>
      <c r="CD262" s="1804">
        <v>0</v>
      </c>
      <c r="CE262" s="1804">
        <v>0</v>
      </c>
      <c r="CF262" s="1804">
        <v>0</v>
      </c>
      <c r="CG262" s="1804">
        <v>0</v>
      </c>
      <c r="CH262" s="1804">
        <v>0</v>
      </c>
      <c r="CI262" s="1804">
        <v>0</v>
      </c>
      <c r="CJ262" s="1804">
        <v>0</v>
      </c>
      <c r="CK262" s="1804">
        <v>0</v>
      </c>
      <c r="CL262" s="1804">
        <v>0</v>
      </c>
      <c r="CM262" s="1804">
        <v>0</v>
      </c>
      <c r="CN262" s="1804">
        <v>0</v>
      </c>
      <c r="CO262" s="1804">
        <v>0</v>
      </c>
      <c r="CP262" s="1804">
        <v>0</v>
      </c>
      <c r="CQ262" s="1804">
        <v>0</v>
      </c>
      <c r="CR262" s="1804">
        <v>0</v>
      </c>
      <c r="CS262" s="1804">
        <v>0</v>
      </c>
      <c r="CT262" s="1804">
        <v>0</v>
      </c>
      <c r="CU262" s="1804">
        <v>0</v>
      </c>
      <c r="CV262" s="1804">
        <v>0</v>
      </c>
      <c r="CW262" s="1804">
        <v>0</v>
      </c>
      <c r="CX262" s="1804">
        <v>0</v>
      </c>
      <c r="CY262" s="1804">
        <v>0</v>
      </c>
      <c r="CZ262" s="1804">
        <v>0</v>
      </c>
      <c r="DA262" s="1804">
        <v>0</v>
      </c>
      <c r="DB262" s="1804">
        <v>0</v>
      </c>
      <c r="DC262" s="1804">
        <v>0</v>
      </c>
      <c r="DD262" s="1804">
        <v>0</v>
      </c>
      <c r="DE262" s="1804">
        <v>0</v>
      </c>
      <c r="DF262" s="1804">
        <v>0</v>
      </c>
      <c r="DG262" s="1804">
        <v>0</v>
      </c>
      <c r="DH262" s="1804">
        <v>0</v>
      </c>
      <c r="DI262" s="1804">
        <v>0</v>
      </c>
      <c r="DJ262" s="1804">
        <v>0</v>
      </c>
      <c r="DK262" s="1804">
        <v>0</v>
      </c>
      <c r="DL262" s="1804">
        <v>0</v>
      </c>
      <c r="DM262" s="1804">
        <v>0</v>
      </c>
      <c r="DN262" s="1804">
        <v>0</v>
      </c>
      <c r="DO262" s="1804">
        <v>0</v>
      </c>
      <c r="DP262" s="1804">
        <v>0</v>
      </c>
      <c r="DQ262" s="1804">
        <v>0</v>
      </c>
      <c r="DR262" s="1804">
        <v>0</v>
      </c>
      <c r="DS262" s="1804">
        <v>0</v>
      </c>
      <c r="DT262" s="1804">
        <v>0</v>
      </c>
      <c r="DU262" s="1804">
        <v>0</v>
      </c>
      <c r="DV262" s="1804">
        <v>0</v>
      </c>
      <c r="DW262" s="1804">
        <v>0</v>
      </c>
      <c r="DX262" s="1804">
        <v>0</v>
      </c>
      <c r="DY262" s="1804">
        <v>0</v>
      </c>
      <c r="DZ262" s="1804">
        <v>0</v>
      </c>
      <c r="EA262" s="1804">
        <v>0</v>
      </c>
      <c r="EB262" s="1804">
        <v>0</v>
      </c>
      <c r="EC262" s="1804">
        <v>0</v>
      </c>
      <c r="ED262" s="1804">
        <v>0</v>
      </c>
      <c r="EE262" s="1804">
        <v>0</v>
      </c>
      <c r="EF262" s="1804">
        <v>0</v>
      </c>
      <c r="EG262" s="1804">
        <v>0</v>
      </c>
      <c r="EH262" s="1804">
        <v>0</v>
      </c>
      <c r="EI262" s="1804">
        <v>0</v>
      </c>
      <c r="EJ262" s="1804">
        <v>0</v>
      </c>
      <c r="EK262" s="1804">
        <v>0</v>
      </c>
      <c r="EL262" s="1804">
        <v>0</v>
      </c>
      <c r="EM262" s="1804">
        <v>0</v>
      </c>
      <c r="EN262" s="1804">
        <v>0</v>
      </c>
      <c r="EO262" s="1804">
        <v>0</v>
      </c>
      <c r="EP262" s="1804">
        <v>0</v>
      </c>
      <c r="EQ262" s="1804">
        <v>0</v>
      </c>
      <c r="ER262" s="1804">
        <v>0</v>
      </c>
      <c r="ES262" s="1804">
        <v>0</v>
      </c>
      <c r="ET262" s="1804">
        <v>0</v>
      </c>
      <c r="EU262" s="1804">
        <v>0</v>
      </c>
      <c r="EV262" s="1804">
        <v>0</v>
      </c>
      <c r="EW262" s="1804">
        <v>0</v>
      </c>
      <c r="EX262" s="1804">
        <v>0</v>
      </c>
      <c r="EY262" s="1804">
        <v>0</v>
      </c>
      <c r="EZ262" s="1804">
        <v>0</v>
      </c>
      <c r="FA262" s="1804">
        <v>0</v>
      </c>
      <c r="FB262" s="1804">
        <v>0</v>
      </c>
      <c r="FC262" s="1804">
        <v>0</v>
      </c>
      <c r="FD262" s="1804">
        <v>0</v>
      </c>
      <c r="FE262" s="1804">
        <v>0</v>
      </c>
      <c r="FF262" s="1804">
        <v>0</v>
      </c>
      <c r="FG262" s="1804">
        <v>0</v>
      </c>
      <c r="FH262" s="1804">
        <v>0</v>
      </c>
      <c r="FI262" s="1804">
        <v>0</v>
      </c>
      <c r="FJ262" s="1804">
        <v>0</v>
      </c>
      <c r="FK262" s="1804">
        <v>0</v>
      </c>
      <c r="FL262" s="1804">
        <v>0</v>
      </c>
      <c r="FM262" s="1804">
        <v>0</v>
      </c>
      <c r="FN262" s="1804">
        <v>0</v>
      </c>
      <c r="FO262" s="1804">
        <v>0</v>
      </c>
      <c r="FP262" s="1804">
        <v>0</v>
      </c>
      <c r="FQ262" s="1804">
        <v>0</v>
      </c>
      <c r="FR262" s="1804">
        <v>0</v>
      </c>
      <c r="FS262" s="1804">
        <v>0</v>
      </c>
      <c r="FT262" s="1804">
        <v>0</v>
      </c>
      <c r="FU262" s="1804">
        <v>0</v>
      </c>
      <c r="FV262" s="1804">
        <v>0</v>
      </c>
      <c r="FW262" s="1804">
        <v>0</v>
      </c>
      <c r="FX262" s="1804">
        <v>0</v>
      </c>
      <c r="FY262" s="1804">
        <v>0</v>
      </c>
      <c r="FZ262" s="1804">
        <v>0</v>
      </c>
      <c r="GA262" s="1804">
        <v>0</v>
      </c>
      <c r="GB262" s="1804">
        <v>0</v>
      </c>
      <c r="GC262" s="1804">
        <v>0</v>
      </c>
      <c r="GD262" s="1804">
        <v>0</v>
      </c>
      <c r="GE262" s="1804">
        <v>0</v>
      </c>
      <c r="GF262" s="1804">
        <v>0</v>
      </c>
      <c r="GG262" s="1804">
        <v>0</v>
      </c>
      <c r="GH262" s="1804">
        <v>0</v>
      </c>
      <c r="GI262" s="1804">
        <v>0</v>
      </c>
      <c r="GJ262" s="1804">
        <v>0</v>
      </c>
      <c r="GK262" s="1804">
        <v>0</v>
      </c>
      <c r="GL262" s="1804">
        <v>0</v>
      </c>
      <c r="GM262" s="1804">
        <v>0</v>
      </c>
      <c r="GN262" s="1804">
        <v>0</v>
      </c>
      <c r="GO262" s="1804">
        <v>0</v>
      </c>
      <c r="GP262" s="1804">
        <v>0</v>
      </c>
      <c r="GQ262" s="1804">
        <v>0</v>
      </c>
      <c r="GR262" s="1804">
        <v>0</v>
      </c>
      <c r="GS262" s="1804">
        <v>0</v>
      </c>
      <c r="GT262" s="1804">
        <v>0</v>
      </c>
      <c r="GU262" s="1804">
        <v>0</v>
      </c>
      <c r="GV262" s="1804">
        <v>0</v>
      </c>
      <c r="GW262" s="1804">
        <v>0</v>
      </c>
      <c r="GX262" s="1804">
        <v>0</v>
      </c>
      <c r="GY262" s="1804">
        <v>0</v>
      </c>
      <c r="GZ262" s="1804">
        <v>0</v>
      </c>
      <c r="HA262" s="1804">
        <v>0</v>
      </c>
      <c r="HB262" s="1804">
        <v>0</v>
      </c>
      <c r="HC262" s="1804">
        <v>0</v>
      </c>
      <c r="HD262" s="1804">
        <v>0</v>
      </c>
      <c r="HE262" s="1804">
        <v>0</v>
      </c>
      <c r="HF262" s="1864"/>
      <c r="HG262" s="1864"/>
      <c r="HH262" s="1864"/>
      <c r="HI262" s="1864"/>
      <c r="HJ262" s="1864"/>
      <c r="HK262" s="1864"/>
      <c r="HL262" s="1864"/>
      <c r="HM262" s="1864"/>
      <c r="HN262" s="1864"/>
      <c r="HO262" s="1864"/>
      <c r="HP262" s="1864"/>
      <c r="HQ262" s="1864"/>
      <c r="HR262" s="1864"/>
      <c r="HS262" s="1864"/>
      <c r="HT262" s="1864"/>
      <c r="HU262" s="1864"/>
      <c r="HV262" s="1864"/>
      <c r="HW262" s="1864"/>
      <c r="HX262" s="1864"/>
      <c r="HY262" s="1864"/>
      <c r="HZ262" s="1864"/>
      <c r="IA262" s="1864"/>
      <c r="IB262" s="1864"/>
      <c r="IC262" s="1864"/>
      <c r="ID262" s="1864"/>
      <c r="IE262" s="1864"/>
      <c r="IF262" s="1864"/>
      <c r="IG262" s="1864"/>
      <c r="IH262" s="1864"/>
      <c r="II262" s="1864"/>
      <c r="IJ262" s="1864"/>
      <c r="IK262" s="1864"/>
      <c r="IL262" s="1864"/>
      <c r="IM262" s="1864"/>
      <c r="IN262" s="1864"/>
      <c r="IO262" s="1864"/>
      <c r="IP262" s="1864"/>
      <c r="IQ262" s="1864"/>
      <c r="IR262" s="1864"/>
      <c r="IS262" s="1864"/>
      <c r="IT262" s="1864"/>
      <c r="IU262" s="1864"/>
      <c r="IV262" s="1864"/>
      <c r="IW262" s="1864"/>
      <c r="IX262" s="1864"/>
      <c r="IY262" s="1864"/>
      <c r="IZ262" s="1864"/>
      <c r="JA262" s="1864"/>
      <c r="JB262" s="1864"/>
      <c r="JC262" s="1864"/>
      <c r="JD262" s="1864"/>
      <c r="JE262" s="1864"/>
      <c r="JF262" s="1864"/>
      <c r="JG262" s="1864"/>
      <c r="JH262" s="1864"/>
      <c r="JI262" s="1864"/>
      <c r="JJ262" s="1864"/>
      <c r="JK262" s="1864"/>
      <c r="JL262" s="1864"/>
      <c r="JM262" s="1864"/>
      <c r="JN262" s="1864"/>
      <c r="JO262" s="1864"/>
      <c r="JP262" s="1864"/>
      <c r="JQ262" s="1864"/>
      <c r="JR262" s="1864"/>
      <c r="JS262" s="1864"/>
      <c r="JT262" s="1864"/>
      <c r="JU262" s="1864"/>
      <c r="JV262" s="1864"/>
      <c r="JW262" s="1864"/>
      <c r="JX262" s="1864"/>
      <c r="JY262" s="1864"/>
      <c r="JZ262" s="1864"/>
      <c r="KA262" s="1864"/>
      <c r="KB262" s="1864"/>
      <c r="KC262" s="1864"/>
      <c r="KD262" s="1864"/>
      <c r="KE262" s="1864"/>
      <c r="KF262" s="1864"/>
      <c r="KG262" s="1864"/>
      <c r="KH262" s="1864"/>
      <c r="KI262" s="1864"/>
      <c r="KJ262" s="1864"/>
      <c r="KK262" s="1864"/>
      <c r="KL262" s="1864"/>
      <c r="KM262" s="1864"/>
      <c r="KN262" s="1864"/>
      <c r="KO262" s="1864"/>
      <c r="KP262" s="1864"/>
      <c r="KQ262" s="1864"/>
      <c r="KR262" s="1864"/>
      <c r="KS262" s="1864"/>
      <c r="KT262" s="1864"/>
      <c r="KU262" s="1864"/>
      <c r="KV262" s="1864"/>
      <c r="KW262" s="1864"/>
      <c r="KX262" s="1864"/>
      <c r="KY262" s="1864"/>
      <c r="KZ262" s="1864"/>
      <c r="LA262" s="1864"/>
      <c r="LB262" s="1864"/>
      <c r="LC262" s="1864"/>
      <c r="LD262" s="1864"/>
      <c r="LE262" s="1864"/>
      <c r="LF262" s="1864"/>
      <c r="LG262" s="1864"/>
      <c r="LH262" s="1864"/>
      <c r="LI262" s="1864"/>
      <c r="LJ262" s="1864"/>
      <c r="LK262" s="1864"/>
      <c r="LL262" s="1864"/>
      <c r="LM262" s="1864"/>
      <c r="LN262" s="1864"/>
      <c r="LO262" s="1864"/>
      <c r="LP262" s="1864"/>
      <c r="LQ262" s="1864"/>
      <c r="LR262" s="1864"/>
      <c r="LS262" s="1864"/>
      <c r="LT262" s="1864"/>
      <c r="LU262" s="1864"/>
      <c r="LV262" s="1864"/>
      <c r="LW262" s="1864"/>
      <c r="LX262" s="1864"/>
      <c r="LY262" s="1864"/>
      <c r="LZ262" s="1864"/>
      <c r="MA262" s="1864"/>
      <c r="MB262" s="1864"/>
      <c r="MC262" s="1864"/>
      <c r="MD262" s="1864"/>
      <c r="ME262" s="1864"/>
      <c r="MF262" s="1864"/>
      <c r="MG262" s="1864"/>
      <c r="MH262" s="1864"/>
      <c r="MI262" s="1864"/>
      <c r="MJ262" s="1864"/>
      <c r="MK262" s="1864"/>
      <c r="ML262" s="1864"/>
      <c r="MM262" s="1864"/>
      <c r="MN262" s="1864"/>
      <c r="MO262" s="1864"/>
      <c r="MP262" s="1864"/>
      <c r="MQ262" s="1864"/>
      <c r="MR262" s="1864"/>
      <c r="MS262" s="1864"/>
      <c r="MT262" s="1864"/>
      <c r="MU262" s="1864"/>
      <c r="MV262" s="1864"/>
      <c r="MW262" s="1864"/>
      <c r="MX262" s="1864"/>
      <c r="MY262" s="1864"/>
      <c r="MZ262" s="1864"/>
      <c r="NA262" s="1864"/>
      <c r="NB262" s="1864"/>
      <c r="NC262" s="1864"/>
      <c r="ND262" s="1864"/>
      <c r="NE262" s="1864"/>
      <c r="NF262" s="1864"/>
      <c r="NG262" s="1864"/>
      <c r="NH262" s="1864"/>
      <c r="NI262" s="1864"/>
      <c r="NJ262" s="1864"/>
      <c r="NK262" s="1864"/>
      <c r="NL262" s="1864"/>
      <c r="NM262" s="1864"/>
      <c r="NN262" s="1864"/>
      <c r="NO262" s="1864"/>
      <c r="NP262" s="1864"/>
      <c r="NQ262" s="1864"/>
      <c r="NR262" s="1864"/>
      <c r="NS262" s="1864"/>
      <c r="NT262" s="1864"/>
      <c r="NU262" s="1864"/>
      <c r="NV262" s="1864"/>
      <c r="NW262" s="1864"/>
      <c r="NX262" s="1864"/>
      <c r="NY262" s="1864"/>
      <c r="NZ262" s="1864"/>
      <c r="OA262" s="1864"/>
      <c r="OB262" s="1864"/>
      <c r="OC262" s="1864"/>
      <c r="OD262" s="1864"/>
      <c r="OE262" s="1864"/>
      <c r="OF262" s="1864"/>
      <c r="OG262" s="1864"/>
      <c r="OH262" s="1864"/>
      <c r="OI262" s="1864"/>
      <c r="OJ262" s="1864"/>
      <c r="OK262" s="1864"/>
      <c r="OL262" s="1864"/>
      <c r="OM262" s="1864"/>
      <c r="ON262" s="1864"/>
      <c r="OO262" s="1864"/>
      <c r="OP262" s="1864"/>
      <c r="OQ262" s="1864"/>
      <c r="OR262" s="1864"/>
      <c r="OS262" s="1864"/>
      <c r="OT262" s="1864"/>
      <c r="OU262" s="1864"/>
      <c r="OV262" s="1864"/>
      <c r="OW262" s="1864"/>
      <c r="OX262" s="1864"/>
      <c r="OY262" s="1864"/>
      <c r="OZ262" s="1864"/>
      <c r="PA262" s="1864"/>
      <c r="PB262" s="1864"/>
      <c r="PC262" s="1864"/>
      <c r="PD262" s="1864"/>
      <c r="PE262" s="1864"/>
      <c r="PF262" s="1864"/>
      <c r="PG262" s="1864"/>
      <c r="PH262" s="1864"/>
      <c r="PI262" s="1864"/>
      <c r="PJ262" s="1864"/>
      <c r="PK262" s="1864"/>
      <c r="PL262" s="1864"/>
      <c r="PM262" s="1864"/>
      <c r="PN262" s="1864"/>
      <c r="PO262" s="1864"/>
      <c r="PP262" s="1864"/>
      <c r="PQ262" s="1864"/>
      <c r="PR262" s="1864"/>
      <c r="PS262" s="1864"/>
      <c r="PT262" s="1864"/>
      <c r="PU262" s="1864"/>
      <c r="PV262" s="1864"/>
      <c r="PW262" s="1864"/>
      <c r="PX262" s="1864"/>
      <c r="PY262" s="1864"/>
      <c r="PZ262" s="1864"/>
      <c r="QA262" s="1864"/>
      <c r="QB262" s="1864"/>
      <c r="QC262" s="1864"/>
      <c r="QD262" s="1864"/>
      <c r="QE262" s="1864"/>
      <c r="QF262" s="1864"/>
      <c r="QG262" s="1864"/>
      <c r="QH262" s="1864"/>
      <c r="QI262" s="1864"/>
      <c r="QJ262" s="1864"/>
      <c r="QK262" s="1864"/>
      <c r="QL262" s="1864"/>
      <c r="QM262" s="1864"/>
      <c r="QN262" s="1864"/>
      <c r="QO262" s="1864"/>
      <c r="QP262" s="1864"/>
      <c r="QQ262" s="1864"/>
      <c r="QR262" s="1864"/>
      <c r="QS262" s="1864"/>
      <c r="QT262" s="1864"/>
      <c r="QU262" s="1864"/>
      <c r="QV262" s="1864"/>
      <c r="QW262" s="1864"/>
      <c r="QX262" s="1864"/>
      <c r="QY262" s="1864"/>
      <c r="QZ262" s="1864"/>
      <c r="RA262" s="1864"/>
      <c r="RB262" s="1864"/>
      <c r="RC262" s="1864"/>
      <c r="RD262" s="1864"/>
      <c r="RE262" s="1864"/>
      <c r="RF262" s="1864"/>
      <c r="RG262" s="1864"/>
      <c r="RH262" s="1864"/>
      <c r="RI262" s="1864"/>
      <c r="RJ262" s="1864"/>
      <c r="RK262" s="1864"/>
      <c r="RL262" s="1864"/>
      <c r="RM262" s="1864"/>
      <c r="RN262" s="1864"/>
      <c r="RO262" s="1864"/>
      <c r="RP262" s="1864"/>
      <c r="RQ262" s="1864"/>
      <c r="RR262" s="1864"/>
      <c r="RS262" s="1864"/>
      <c r="RT262" s="1864"/>
      <c r="RU262" s="1864"/>
      <c r="RV262" s="1864"/>
      <c r="RW262" s="1864"/>
      <c r="RX262" s="1864"/>
      <c r="RY262" s="1864"/>
      <c r="RZ262" s="1864"/>
      <c r="SA262" s="1864"/>
      <c r="SB262" s="1864"/>
      <c r="SC262" s="1864"/>
      <c r="SD262" s="1864"/>
      <c r="SE262" s="1864"/>
      <c r="SF262" s="1864"/>
      <c r="SG262" s="1864"/>
      <c r="SH262" s="1864"/>
      <c r="SI262" s="1864"/>
      <c r="SJ262" s="1864"/>
      <c r="SK262" s="1864"/>
      <c r="SL262" s="1864"/>
      <c r="SM262" s="1864"/>
      <c r="SN262" s="1864"/>
      <c r="SO262" s="1864"/>
      <c r="SP262" s="1864"/>
      <c r="SQ262" s="1864"/>
      <c r="SR262" s="1864"/>
      <c r="SS262" s="1864"/>
      <c r="ST262" s="1864"/>
      <c r="SU262" s="1864"/>
      <c r="SV262" s="1864"/>
      <c r="SW262" s="1864"/>
      <c r="SX262" s="1864"/>
      <c r="SY262" s="1864"/>
      <c r="SZ262" s="1864"/>
      <c r="TA262" s="1864"/>
      <c r="TB262" s="1864"/>
      <c r="TC262" s="1864"/>
      <c r="TD262" s="1864"/>
      <c r="TE262" s="1864"/>
      <c r="TF262" s="1864"/>
      <c r="TG262" s="1864"/>
      <c r="TH262" s="1864"/>
      <c r="TI262" s="1864"/>
      <c r="TJ262" s="1864"/>
      <c r="TK262" s="1864"/>
      <c r="TL262" s="1864"/>
      <c r="TM262" s="1864"/>
      <c r="TN262" s="1864"/>
      <c r="TO262" s="1864"/>
      <c r="TP262" s="1864"/>
      <c r="TQ262" s="1864"/>
      <c r="TR262" s="1864"/>
      <c r="TS262" s="1864"/>
      <c r="TT262" s="1864"/>
      <c r="TU262" s="1864"/>
      <c r="TV262" s="1864"/>
      <c r="TW262" s="1864"/>
      <c r="TX262" s="1864"/>
      <c r="TY262" s="1864"/>
      <c r="TZ262" s="1864"/>
      <c r="UA262" s="1864"/>
      <c r="UB262" s="1864"/>
      <c r="UC262" s="1864"/>
      <c r="UD262" s="1864"/>
      <c r="UE262" s="1864"/>
      <c r="UF262" s="1864"/>
      <c r="UG262" s="1864"/>
      <c r="UH262" s="1864"/>
      <c r="UI262" s="1864"/>
      <c r="UJ262" s="1864"/>
      <c r="UK262" s="1864"/>
      <c r="UL262" s="1864"/>
      <c r="UM262" s="1864"/>
      <c r="UN262" s="1864"/>
      <c r="UO262" s="1864"/>
      <c r="UP262" s="1864"/>
      <c r="UQ262" s="1864"/>
      <c r="UR262" s="1864"/>
      <c r="US262" s="1864"/>
      <c r="UT262" s="1864"/>
      <c r="UU262" s="1864"/>
      <c r="UV262" s="1864"/>
      <c r="UW262" s="1864"/>
      <c r="UX262" s="1864"/>
      <c r="UY262" s="1864"/>
      <c r="UZ262" s="1864"/>
      <c r="VA262" s="1864"/>
      <c r="VB262" s="1864"/>
      <c r="VC262" s="1864"/>
      <c r="VD262" s="1864"/>
      <c r="VE262" s="1864"/>
      <c r="VF262" s="1864"/>
      <c r="VG262" s="1864"/>
      <c r="VH262" s="1864"/>
      <c r="VI262" s="1864"/>
      <c r="VJ262" s="1864"/>
      <c r="VK262" s="1864"/>
      <c r="VL262" s="1864"/>
      <c r="VM262" s="1864"/>
      <c r="VN262" s="1864"/>
      <c r="VO262" s="1864"/>
      <c r="VP262" s="1864"/>
      <c r="VQ262" s="1864"/>
      <c r="VR262" s="1864"/>
      <c r="VS262" s="1864"/>
      <c r="VT262" s="1864"/>
      <c r="VU262" s="1864"/>
      <c r="VV262" s="1864"/>
      <c r="VW262" s="1864"/>
      <c r="VX262" s="1864"/>
      <c r="VY262" s="1864"/>
      <c r="VZ262" s="1864"/>
      <c r="WA262" s="1864"/>
      <c r="WB262" s="1864"/>
      <c r="WC262" s="1864"/>
      <c r="WD262" s="1864"/>
      <c r="WE262" s="1864"/>
      <c r="WF262" s="1864"/>
      <c r="WG262" s="1864"/>
      <c r="WH262" s="1864"/>
      <c r="WI262" s="1864"/>
      <c r="WJ262" s="1864"/>
      <c r="WK262" s="1864"/>
      <c r="WL262" s="1864"/>
      <c r="WM262" s="1864"/>
      <c r="WN262" s="1864"/>
      <c r="WO262" s="1864"/>
      <c r="WP262" s="1864"/>
      <c r="WQ262" s="1864"/>
      <c r="WR262" s="1864"/>
      <c r="WS262" s="1864"/>
      <c r="WT262" s="1864"/>
      <c r="WU262" s="1864"/>
      <c r="WV262" s="1864"/>
      <c r="WW262" s="1864"/>
      <c r="WX262" s="1864"/>
      <c r="WY262" s="1864"/>
      <c r="WZ262" s="1864"/>
      <c r="XA262" s="1864"/>
      <c r="XB262" s="1864"/>
      <c r="XC262" s="1864"/>
      <c r="XD262" s="1864"/>
      <c r="XE262" s="1864"/>
      <c r="XF262" s="1864"/>
      <c r="XG262" s="1864"/>
      <c r="XH262" s="1864"/>
      <c r="XI262" s="1864"/>
      <c r="XJ262" s="1864"/>
      <c r="XK262" s="1864"/>
      <c r="XL262" s="1864"/>
      <c r="XM262" s="1864"/>
      <c r="XN262" s="1864"/>
      <c r="XO262" s="1864"/>
      <c r="XP262" s="1864"/>
      <c r="XQ262" s="1864"/>
      <c r="XR262" s="1864"/>
      <c r="XS262" s="1864"/>
      <c r="XT262" s="1864"/>
      <c r="XU262" s="1864"/>
      <c r="XV262" s="1864"/>
      <c r="XW262" s="1864"/>
      <c r="XX262" s="1864"/>
      <c r="XY262" s="1864"/>
      <c r="XZ262" s="1864"/>
      <c r="YA262" s="1864"/>
      <c r="YB262" s="1864"/>
      <c r="YC262" s="1864"/>
      <c r="YD262" s="1864"/>
      <c r="YE262" s="1864"/>
      <c r="YF262" s="1864"/>
      <c r="YG262" s="1864"/>
      <c r="YH262" s="1864"/>
      <c r="YI262" s="1864"/>
      <c r="YJ262" s="1864"/>
      <c r="YK262" s="1864"/>
      <c r="YL262" s="1864"/>
      <c r="YM262" s="1864"/>
      <c r="YN262" s="1864"/>
      <c r="YO262" s="1864"/>
      <c r="YP262" s="1864"/>
      <c r="YQ262" s="1864"/>
      <c r="YR262" s="1864"/>
      <c r="YS262" s="1864"/>
      <c r="YT262" s="1864"/>
      <c r="YU262" s="1864"/>
      <c r="YV262" s="1864"/>
      <c r="YW262" s="1864"/>
      <c r="YX262" s="1864"/>
      <c r="YY262" s="1864"/>
      <c r="YZ262" s="1864"/>
      <c r="ZA262" s="1864"/>
      <c r="ZB262" s="1864"/>
      <c r="ZC262" s="1864"/>
      <c r="ZD262" s="1864"/>
      <c r="ZE262" s="1864"/>
      <c r="ZF262" s="1864"/>
      <c r="ZG262" s="1864"/>
      <c r="ZH262" s="1864"/>
      <c r="ZI262" s="1864"/>
      <c r="ZJ262" s="1864"/>
      <c r="ZK262" s="1864"/>
      <c r="ZL262" s="1864"/>
      <c r="ZM262" s="1864"/>
      <c r="ZN262" s="1864"/>
      <c r="ZO262" s="1864"/>
      <c r="ZP262" s="1864"/>
      <c r="ZQ262" s="1864"/>
      <c r="ZR262" s="1864"/>
      <c r="ZS262" s="1864"/>
      <c r="ZT262" s="1864"/>
      <c r="ZU262" s="1864"/>
      <c r="ZV262" s="1864"/>
      <c r="ZW262" s="1864"/>
      <c r="ZX262" s="1864"/>
      <c r="ZY262" s="1864"/>
      <c r="ZZ262" s="1864"/>
      <c r="AAA262" s="1864"/>
      <c r="AAB262" s="1864"/>
      <c r="AAC262" s="1864"/>
      <c r="AAD262" s="1864"/>
      <c r="AAE262" s="1864"/>
      <c r="AAF262" s="1864"/>
      <c r="AAG262" s="1864"/>
      <c r="AAH262" s="1864"/>
      <c r="AAI262" s="1864"/>
      <c r="AAJ262" s="1864"/>
      <c r="AAK262" s="1864"/>
      <c r="AAL262" s="1864"/>
      <c r="AAM262" s="1864"/>
      <c r="AAN262" s="1864"/>
      <c r="AAO262" s="1864"/>
      <c r="AAP262" s="1864"/>
      <c r="AAQ262" s="1864"/>
      <c r="AAR262" s="1864"/>
      <c r="AAS262" s="1864"/>
      <c r="AAT262" s="1864"/>
      <c r="AAU262" s="1864"/>
      <c r="AAV262" s="1864"/>
      <c r="AAW262" s="1864"/>
      <c r="AAX262" s="1864"/>
      <c r="AAY262" s="1864"/>
      <c r="AAZ262" s="1864"/>
      <c r="ABA262" s="1864"/>
      <c r="ABB262" s="1864"/>
      <c r="ABC262" s="1864"/>
      <c r="ABD262" s="1864"/>
      <c r="ABE262" s="1864"/>
      <c r="ABF262" s="1864"/>
      <c r="ABG262" s="1864"/>
      <c r="ABH262" s="1864"/>
      <c r="ABI262" s="1864"/>
      <c r="ABJ262" s="1864"/>
      <c r="ABK262" s="1864"/>
      <c r="ABL262" s="1864"/>
      <c r="ABM262" s="1864"/>
      <c r="ABN262" s="1864"/>
      <c r="ABO262" s="1864"/>
      <c r="ABP262" s="1864"/>
      <c r="ABQ262" s="1864"/>
      <c r="ABR262" s="1864"/>
      <c r="ABS262" s="1864"/>
      <c r="ABT262" s="1864"/>
      <c r="ABU262" s="1864"/>
      <c r="ABV262" s="1864"/>
      <c r="ABW262" s="1864"/>
      <c r="ABX262" s="1864"/>
      <c r="ABY262" s="1864"/>
      <c r="ABZ262" s="1864"/>
      <c r="ACA262" s="1864"/>
      <c r="ACB262" s="1864"/>
      <c r="ACC262" s="1864"/>
      <c r="ACD262" s="1864"/>
      <c r="ACE262" s="1864"/>
      <c r="ACF262" s="1864"/>
      <c r="ACG262" s="1864"/>
      <c r="ACH262" s="1864"/>
      <c r="ACI262" s="1864"/>
      <c r="ACJ262" s="1864"/>
      <c r="ACK262" s="1864"/>
      <c r="ACL262" s="1864"/>
      <c r="ACM262" s="1864"/>
      <c r="ACN262" s="1864"/>
      <c r="ACO262" s="1864"/>
      <c r="ACP262" s="1864"/>
      <c r="ACQ262" s="1864"/>
      <c r="ACR262" s="1864"/>
      <c r="ACS262" s="1864"/>
      <c r="ACT262" s="1864"/>
      <c r="ACU262" s="1864"/>
      <c r="ACV262" s="1864"/>
      <c r="ACW262" s="1864"/>
      <c r="ACX262" s="1864"/>
      <c r="ACY262" s="1864"/>
      <c r="ACZ262" s="1864"/>
      <c r="ADA262" s="1864"/>
      <c r="ADB262" s="1864"/>
      <c r="ADC262" s="1864"/>
      <c r="ADD262" s="1864"/>
      <c r="ADE262" s="1864"/>
      <c r="ADF262" s="1864"/>
      <c r="ADG262" s="1864"/>
      <c r="ADH262" s="1864"/>
      <c r="ADI262" s="1864"/>
      <c r="ADJ262" s="1864"/>
      <c r="ADK262" s="1864"/>
      <c r="ADL262" s="1864"/>
      <c r="ADM262" s="1864"/>
      <c r="ADN262" s="1864"/>
      <c r="ADO262" s="1864"/>
      <c r="ADP262" s="1864"/>
      <c r="ADQ262" s="1864"/>
      <c r="ADR262" s="1864"/>
      <c r="ADS262" s="1864"/>
      <c r="ADT262" s="1864"/>
      <c r="ADU262" s="1864"/>
      <c r="ADV262" s="1864"/>
      <c r="ADW262" s="1864"/>
      <c r="ADX262" s="1864"/>
      <c r="ADY262" s="1864"/>
      <c r="ADZ262" s="1864"/>
      <c r="AEA262" s="1864"/>
      <c r="AEB262" s="1864"/>
      <c r="AEC262" s="1864"/>
      <c r="AED262" s="1864"/>
      <c r="AEE262" s="1864"/>
      <c r="AEF262" s="1864"/>
      <c r="AEG262" s="1864"/>
      <c r="AEH262" s="1864"/>
      <c r="AEI262" s="1864"/>
      <c r="AEJ262" s="1864"/>
      <c r="AEK262" s="1864"/>
      <c r="AEL262" s="1864"/>
      <c r="AEM262" s="1864"/>
      <c r="AEN262" s="1864"/>
      <c r="AEO262" s="1864"/>
      <c r="AEP262" s="1864"/>
      <c r="AEQ262" s="1864"/>
      <c r="AER262" s="1864"/>
      <c r="AES262" s="1864"/>
      <c r="AET262" s="1864"/>
      <c r="AEU262" s="1864"/>
      <c r="AEV262" s="1864"/>
      <c r="AEW262" s="1864"/>
      <c r="AEX262" s="1864"/>
      <c r="AEY262" s="1864"/>
      <c r="AEZ262" s="1864"/>
      <c r="AFA262" s="1864"/>
      <c r="AFB262" s="1864"/>
      <c r="AFC262" s="1864"/>
      <c r="AFD262" s="1864"/>
      <c r="AFE262" s="1864"/>
      <c r="AFF262" s="1864"/>
      <c r="AFG262" s="1864"/>
      <c r="AFH262" s="1864"/>
      <c r="AFI262" s="1864"/>
      <c r="AFJ262" s="1864"/>
      <c r="AFK262" s="1864"/>
      <c r="AFL262" s="1864"/>
      <c r="AFM262" s="1864"/>
      <c r="AFN262" s="1864"/>
      <c r="AFO262" s="1864"/>
      <c r="AFP262" s="1864"/>
      <c r="AFQ262" s="1864"/>
      <c r="AFR262" s="1864"/>
      <c r="AFS262" s="1864"/>
      <c r="AFT262" s="1864"/>
      <c r="AFU262" s="1864"/>
      <c r="AFV262" s="1864"/>
      <c r="AFW262" s="1864"/>
      <c r="AFX262" s="1864"/>
      <c r="AFY262" s="1864"/>
      <c r="AFZ262" s="1864"/>
      <c r="AGA262" s="1864"/>
      <c r="AGB262" s="1864"/>
      <c r="AGC262" s="1864"/>
      <c r="AGD262" s="1864"/>
      <c r="AGE262" s="1864"/>
      <c r="AGF262" s="1864"/>
      <c r="AGG262" s="1864"/>
      <c r="AGH262" s="1864"/>
      <c r="AGI262" s="1864"/>
      <c r="AGJ262" s="1864"/>
      <c r="AGK262" s="1864"/>
      <c r="AGL262" s="1864"/>
      <c r="AGM262" s="1864"/>
      <c r="AGN262" s="1864"/>
      <c r="AGO262" s="1864"/>
      <c r="AGP262" s="1864"/>
      <c r="AGQ262" s="1864"/>
      <c r="AGR262" s="1864"/>
      <c r="AGS262" s="1864"/>
      <c r="AGT262" s="1864"/>
      <c r="AGU262" s="1864"/>
      <c r="AGV262" s="1864"/>
      <c r="AGW262" s="1864"/>
      <c r="AGX262" s="1864"/>
      <c r="AGY262" s="1864"/>
      <c r="AGZ262" s="1864"/>
      <c r="AHA262" s="1864"/>
      <c r="AHB262" s="1864"/>
      <c r="AHC262" s="1864"/>
      <c r="AHD262" s="1864"/>
      <c r="AHE262" s="1864"/>
      <c r="AHF262" s="1864"/>
      <c r="AHG262" s="1864"/>
      <c r="AHH262" s="1864"/>
      <c r="AHI262" s="1864"/>
      <c r="AHJ262" s="1864"/>
      <c r="AHK262" s="1864"/>
      <c r="AHL262" s="1864"/>
      <c r="AHM262" s="1864"/>
      <c r="AHN262" s="1864"/>
      <c r="AHO262" s="1864"/>
      <c r="AHP262" s="1864"/>
      <c r="AHQ262" s="1864"/>
      <c r="AHR262" s="1864"/>
      <c r="AHS262" s="1864"/>
      <c r="AHT262" s="1864"/>
      <c r="AHU262" s="1864"/>
      <c r="AHV262" s="1864"/>
      <c r="AHW262" s="1864"/>
      <c r="AHX262" s="1864"/>
      <c r="AHY262" s="1864"/>
      <c r="AHZ262" s="1864"/>
      <c r="AIA262" s="1864"/>
      <c r="AIB262" s="1864"/>
      <c r="AIC262" s="1864"/>
      <c r="AID262" s="1864"/>
      <c r="AIE262" s="1864"/>
      <c r="AIF262" s="1864"/>
      <c r="AIG262" s="1864"/>
      <c r="AIH262" s="1864"/>
      <c r="AII262" s="1864"/>
      <c r="AIJ262" s="1864"/>
      <c r="AIK262" s="1864"/>
      <c r="AIL262" s="1864"/>
      <c r="AIM262" s="1864"/>
      <c r="AIN262" s="1864"/>
      <c r="AIO262" s="1864"/>
      <c r="AIP262" s="1864"/>
      <c r="AIQ262" s="1864"/>
      <c r="AIR262" s="1864"/>
      <c r="AIS262" s="1864"/>
      <c r="AIT262" s="1864"/>
      <c r="AIU262" s="1864"/>
      <c r="AIV262" s="1864"/>
      <c r="AIW262" s="1864"/>
      <c r="AIX262" s="1864"/>
      <c r="AIY262" s="1864"/>
      <c r="AIZ262" s="1864"/>
      <c r="AJA262" s="1864"/>
      <c r="AJB262" s="1864"/>
      <c r="AJC262" s="1864"/>
      <c r="AJD262" s="1864"/>
      <c r="AJE262" s="1864"/>
      <c r="AJF262" s="1864"/>
      <c r="AJG262" s="1864"/>
      <c r="AJH262" s="1864"/>
      <c r="AJI262" s="1864"/>
      <c r="AJJ262" s="1864"/>
      <c r="AJK262" s="1864"/>
      <c r="AJL262" s="1864"/>
      <c r="AJM262" s="1864"/>
      <c r="AJN262" s="1864"/>
      <c r="AJO262" s="1864"/>
      <c r="AJP262" s="1864"/>
      <c r="AJQ262" s="1864"/>
      <c r="AJR262" s="1864"/>
      <c r="AJS262" s="1864"/>
      <c r="AJT262" s="1864"/>
      <c r="AJU262" s="1864"/>
      <c r="AJV262" s="1864"/>
      <c r="AJW262" s="1864"/>
      <c r="AJX262" s="1864"/>
      <c r="AJY262" s="1864"/>
      <c r="AJZ262" s="1864"/>
      <c r="AKA262" s="1864"/>
      <c r="AKB262" s="1864"/>
      <c r="AKC262" s="1864"/>
      <c r="AKD262" s="1864"/>
      <c r="AKE262" s="1864"/>
      <c r="AKF262" s="1864"/>
      <c r="AKG262" s="1864"/>
      <c r="AKH262" s="1864"/>
      <c r="AKI262" s="1864"/>
      <c r="AKJ262" s="1864"/>
      <c r="AKK262" s="1864"/>
      <c r="AKL262" s="1864"/>
      <c r="AKM262" s="1864"/>
      <c r="AKN262" s="1864"/>
      <c r="AKO262" s="1864"/>
      <c r="AKP262" s="1864"/>
      <c r="AKQ262" s="1864"/>
      <c r="AKR262" s="1864"/>
      <c r="AKS262" s="1864"/>
      <c r="AKT262" s="1864"/>
      <c r="AKU262" s="1864"/>
      <c r="AKV262" s="1864"/>
      <c r="AKW262" s="1864"/>
      <c r="AKX262" s="1864"/>
      <c r="AKY262" s="1864"/>
      <c r="AKZ262" s="1864"/>
      <c r="ALA262" s="1864"/>
      <c r="ALB262" s="1864"/>
      <c r="ALC262" s="1864"/>
      <c r="ALD262" s="1864"/>
      <c r="ALE262" s="1864"/>
      <c r="ALF262" s="1864"/>
      <c r="ALG262" s="1864"/>
      <c r="ALH262" s="1864"/>
      <c r="ALI262" s="1864"/>
      <c r="ALJ262" s="1864"/>
      <c r="ALK262" s="1864"/>
      <c r="ALL262" s="1864"/>
      <c r="ALM262" s="1864"/>
      <c r="ALN262" s="1864"/>
      <c r="ALO262" s="1864"/>
      <c r="ALP262" s="1864"/>
      <c r="ALQ262" s="1864"/>
      <c r="ALR262" s="1864"/>
      <c r="ALS262" s="1864"/>
      <c r="ALT262" s="1864"/>
      <c r="ALU262" s="1864"/>
      <c r="ALV262" s="1864"/>
      <c r="ALW262" s="1864"/>
      <c r="ALX262" s="1864"/>
      <c r="ALY262" s="1864"/>
      <c r="ALZ262" s="1864"/>
      <c r="AMA262" s="1864"/>
      <c r="AMB262" s="1864"/>
      <c r="AMC262" s="1864"/>
      <c r="AMD262" s="1864"/>
      <c r="AME262" s="1864"/>
      <c r="AMF262" s="1864"/>
      <c r="AMG262" s="1864"/>
      <c r="AMH262" s="1864"/>
      <c r="AMI262" s="1864"/>
      <c r="AMJ262" s="1864"/>
      <c r="AMK262" s="1864"/>
      <c r="AML262" s="1864"/>
      <c r="AMM262" s="1864"/>
      <c r="AMN262" s="1864"/>
      <c r="AMO262" s="1864"/>
      <c r="AMP262" s="1864"/>
      <c r="AMQ262" s="1864"/>
      <c r="AMR262" s="1864"/>
      <c r="AMS262" s="1864"/>
      <c r="AMT262" s="1864"/>
      <c r="AMU262" s="1864"/>
      <c r="AMV262" s="1864"/>
      <c r="AMW262" s="1864"/>
      <c r="AMX262" s="1864"/>
      <c r="AMY262" s="1864"/>
      <c r="AMZ262" s="1864"/>
      <c r="ANA262" s="1864"/>
      <c r="ANB262" s="1864"/>
      <c r="ANC262" s="1864"/>
      <c r="AND262" s="1864"/>
      <c r="ANE262" s="1864"/>
      <c r="ANF262" s="1864"/>
      <c r="ANG262" s="1864"/>
      <c r="ANH262" s="1864"/>
      <c r="ANI262" s="1864"/>
      <c r="ANJ262" s="1864"/>
      <c r="ANK262" s="1864"/>
      <c r="ANL262" s="1864"/>
      <c r="ANM262" s="1864"/>
      <c r="ANN262" s="1864"/>
      <c r="ANO262" s="1864"/>
      <c r="ANP262" s="1864"/>
      <c r="ANQ262" s="1864"/>
      <c r="ANR262" s="1864"/>
      <c r="ANS262" s="1864"/>
      <c r="ANT262" s="1864"/>
      <c r="ANU262" s="1864"/>
      <c r="ANV262" s="1864"/>
      <c r="ANW262" s="1864"/>
      <c r="ANX262" s="1864"/>
      <c r="ANY262" s="1864"/>
      <c r="ANZ262" s="1864"/>
      <c r="AOA262" s="1864"/>
      <c r="AOB262" s="1864"/>
      <c r="AOC262" s="1864"/>
      <c r="AOD262" s="1864"/>
      <c r="AOE262" s="1864"/>
      <c r="AOF262" s="1864"/>
      <c r="AOG262" s="1864"/>
      <c r="AOH262" s="1864"/>
      <c r="AOI262" s="1864"/>
      <c r="AOJ262" s="1864"/>
      <c r="AOK262" s="1864"/>
      <c r="AOL262" s="1864"/>
      <c r="AOM262" s="1864"/>
      <c r="AON262" s="1864"/>
      <c r="AOO262" s="1864"/>
      <c r="AOP262" s="1864"/>
      <c r="AOQ262" s="1864"/>
      <c r="AOR262" s="1864"/>
      <c r="AOS262" s="1864"/>
      <c r="AOT262" s="1864"/>
      <c r="AOU262" s="1864"/>
      <c r="AOV262" s="1864"/>
      <c r="AOW262" s="1864"/>
      <c r="AOX262" s="1864"/>
      <c r="AOY262" s="1864"/>
      <c r="AOZ262" s="1864"/>
      <c r="APA262" s="1864"/>
      <c r="APB262" s="1864"/>
      <c r="APC262" s="1864"/>
      <c r="APD262" s="1864"/>
      <c r="APE262" s="1864"/>
      <c r="APF262" s="1864"/>
      <c r="APG262" s="1864"/>
      <c r="APH262" s="1864"/>
      <c r="API262" s="1864"/>
      <c r="APJ262" s="1864"/>
      <c r="APK262" s="1864"/>
      <c r="APL262" s="1864"/>
      <c r="APM262" s="1864"/>
      <c r="APN262" s="1864"/>
      <c r="APO262" s="1864"/>
      <c r="APP262" s="1864"/>
      <c r="APQ262" s="1864"/>
      <c r="APR262" s="1864"/>
      <c r="APS262" s="1864"/>
      <c r="APT262" s="1864"/>
      <c r="APU262" s="1864"/>
      <c r="APV262" s="1864"/>
      <c r="APW262" s="1864"/>
      <c r="APX262" s="1864"/>
      <c r="APY262" s="1864"/>
      <c r="APZ262" s="1864"/>
      <c r="AQA262" s="1864"/>
      <c r="AQB262" s="1864"/>
      <c r="AQC262" s="1864"/>
      <c r="AQD262" s="1864"/>
      <c r="AQE262" s="1864"/>
      <c r="AQF262" s="1864"/>
      <c r="AQG262" s="1864"/>
      <c r="AQH262" s="1864"/>
      <c r="AQI262" s="1864"/>
      <c r="AQJ262" s="1864"/>
      <c r="AQK262" s="1864"/>
      <c r="AQL262" s="1864"/>
      <c r="AQM262" s="1864"/>
      <c r="AQN262" s="1864"/>
      <c r="AQO262" s="1864"/>
      <c r="AQP262" s="1864"/>
      <c r="AQQ262" s="1864"/>
      <c r="AQR262" s="1864"/>
      <c r="AQS262" s="1864"/>
      <c r="AQT262" s="1864"/>
      <c r="AQU262" s="1864"/>
      <c r="AQV262" s="1864"/>
      <c r="AQW262" s="1864"/>
      <c r="AQX262" s="1864"/>
      <c r="AQY262" s="1864"/>
      <c r="AQZ262" s="1864"/>
      <c r="ARA262" s="1864"/>
      <c r="ARB262" s="1864"/>
      <c r="ARC262" s="1864"/>
      <c r="ARD262" s="1864"/>
      <c r="ARE262" s="1864"/>
      <c r="ARF262" s="1864"/>
      <c r="ARG262" s="1864"/>
      <c r="ARH262" s="1864"/>
      <c r="ARI262" s="1864"/>
      <c r="ARJ262" s="1864"/>
      <c r="ARK262" s="1864"/>
      <c r="ARL262" s="1864"/>
      <c r="ARM262" s="1864"/>
      <c r="ARN262" s="1864"/>
      <c r="ARO262" s="1864"/>
      <c r="ARP262" s="1864"/>
      <c r="ARQ262" s="1864"/>
      <c r="ARR262" s="1864"/>
      <c r="ARS262" s="1864"/>
      <c r="ART262" s="1864"/>
      <c r="ARU262" s="1864"/>
      <c r="ARV262" s="1864"/>
      <c r="ARW262" s="1864"/>
      <c r="ARX262" s="1864"/>
      <c r="ARY262" s="1864"/>
      <c r="ARZ262" s="1864"/>
      <c r="ASA262" s="1864"/>
      <c r="ASB262" s="1864"/>
      <c r="ASC262" s="1864"/>
      <c r="ASD262" s="1864"/>
      <c r="ASE262" s="1864"/>
      <c r="ASF262" s="1864"/>
      <c r="ASG262" s="1864"/>
      <c r="ASH262" s="1864"/>
      <c r="ASI262" s="1864"/>
      <c r="ASJ262" s="1864"/>
      <c r="ASK262" s="1864"/>
      <c r="ASL262" s="1864"/>
      <c r="ASM262" s="1864"/>
      <c r="ASN262" s="1864"/>
      <c r="ASO262" s="1864"/>
      <c r="ASP262" s="1864"/>
      <c r="ASQ262" s="1864"/>
      <c r="ASR262" s="1864"/>
      <c r="ASS262" s="1864"/>
      <c r="AST262" s="1864"/>
      <c r="ASU262" s="1864"/>
      <c r="ASV262" s="1864"/>
      <c r="ASW262" s="1864"/>
      <c r="ASX262" s="1864"/>
      <c r="ASY262" s="1864"/>
      <c r="ASZ262" s="1864"/>
      <c r="ATA262" s="1864"/>
      <c r="ATB262" s="1864"/>
      <c r="ATC262" s="1864"/>
      <c r="ATD262" s="1864"/>
      <c r="ATE262" s="1864"/>
      <c r="ATF262" s="1864"/>
      <c r="ATG262" s="1864"/>
      <c r="ATH262" s="1864"/>
      <c r="ATI262" s="1864"/>
      <c r="ATJ262" s="1864"/>
      <c r="ATK262" s="1864"/>
      <c r="ATL262" s="1864"/>
      <c r="ATM262" s="1864"/>
      <c r="ATN262" s="1864"/>
      <c r="ATO262" s="1864"/>
      <c r="ATP262" s="1864"/>
      <c r="ATQ262" s="1864"/>
      <c r="ATR262" s="1864"/>
      <c r="ATS262" s="1864"/>
      <c r="ATT262" s="1864"/>
      <c r="ATU262" s="1864"/>
      <c r="ATV262" s="1864"/>
      <c r="ATW262" s="1864"/>
      <c r="ATX262" s="1864"/>
      <c r="ATY262" s="1864"/>
      <c r="ATZ262" s="1864"/>
      <c r="AUA262" s="1864"/>
      <c r="AUB262" s="1864"/>
      <c r="AUC262" s="1864"/>
      <c r="AUD262" s="1864"/>
      <c r="AUE262" s="1864"/>
      <c r="AUF262" s="1864"/>
      <c r="AUG262" s="1864"/>
      <c r="AUH262" s="1864"/>
      <c r="AUI262" s="1864"/>
      <c r="AUJ262" s="1864"/>
      <c r="AUK262" s="1864"/>
      <c r="AUL262" s="1864"/>
      <c r="AUM262" s="1864"/>
      <c r="AUN262" s="1864"/>
      <c r="AUO262" s="1864"/>
      <c r="AUP262" s="1864"/>
      <c r="AUQ262" s="1864"/>
      <c r="AUR262" s="1864"/>
      <c r="AUS262" s="1864"/>
      <c r="AUT262" s="1864"/>
      <c r="AUU262" s="1864"/>
      <c r="AUV262" s="1864"/>
      <c r="AUW262" s="1864"/>
      <c r="AUX262" s="1864"/>
      <c r="AUY262" s="1864"/>
      <c r="AUZ262" s="1864"/>
      <c r="AVA262" s="1864"/>
      <c r="AVB262" s="1864"/>
      <c r="AVC262" s="1864"/>
      <c r="AVD262" s="1864"/>
      <c r="AVE262" s="1864"/>
      <c r="AVF262" s="1864"/>
      <c r="AVG262" s="1864"/>
      <c r="AVH262" s="1864"/>
      <c r="AVI262" s="1864"/>
      <c r="AVJ262" s="1864"/>
      <c r="AVK262" s="1864"/>
      <c r="AVL262" s="1864"/>
      <c r="AVM262" s="1864"/>
      <c r="AVN262" s="1864"/>
      <c r="AVO262" s="1864"/>
      <c r="AVP262" s="1864"/>
      <c r="AVQ262" s="1864"/>
      <c r="AVR262" s="1864"/>
      <c r="AVS262" s="1864"/>
      <c r="AVT262" s="1864"/>
      <c r="AVU262" s="1864"/>
      <c r="AVV262" s="1864"/>
      <c r="AVW262" s="1864"/>
      <c r="AVX262" s="1864"/>
      <c r="AVY262" s="1864"/>
      <c r="AVZ262" s="1864"/>
      <c r="AWA262" s="1864"/>
      <c r="AWB262" s="1864"/>
      <c r="AWC262" s="1864"/>
      <c r="AWD262" s="1864"/>
      <c r="AWE262" s="1864"/>
      <c r="AWF262" s="1864"/>
      <c r="AWG262" s="1864"/>
      <c r="AWH262" s="1864"/>
      <c r="AWI262" s="1864"/>
      <c r="AWJ262" s="1864"/>
      <c r="AWK262" s="1864"/>
      <c r="AWL262" s="1864"/>
      <c r="AWM262" s="1864"/>
      <c r="AWN262" s="1864"/>
      <c r="AWO262" s="1864"/>
      <c r="AWP262" s="1864"/>
      <c r="AWQ262" s="1864"/>
    </row>
    <row r="263" spans="1:1291" s="1872" customFormat="1" ht="15" customHeight="1" x14ac:dyDescent="0.2">
      <c r="A263" s="1976"/>
      <c r="B263" s="2008"/>
      <c r="C263" s="1820" t="s">
        <v>789</v>
      </c>
      <c r="D263" s="1882"/>
      <c r="E263" s="1984"/>
      <c r="F263" s="1838">
        <v>0</v>
      </c>
      <c r="G263" s="1804">
        <v>0</v>
      </c>
      <c r="H263" s="1804">
        <v>0</v>
      </c>
      <c r="I263" s="1804">
        <v>0</v>
      </c>
      <c r="J263" s="1804">
        <v>0</v>
      </c>
      <c r="K263" s="1804">
        <v>0</v>
      </c>
      <c r="L263" s="1804">
        <v>0</v>
      </c>
      <c r="M263" s="1804">
        <v>0</v>
      </c>
      <c r="N263" s="1804">
        <v>0</v>
      </c>
      <c r="O263" s="1804">
        <v>0</v>
      </c>
      <c r="P263" s="1804">
        <v>0</v>
      </c>
      <c r="Q263" s="1804">
        <v>0</v>
      </c>
      <c r="R263" s="1804">
        <v>0</v>
      </c>
      <c r="S263" s="1804">
        <v>0</v>
      </c>
      <c r="T263" s="1804">
        <v>0</v>
      </c>
      <c r="U263" s="1804">
        <v>0</v>
      </c>
      <c r="V263" s="1804">
        <v>0</v>
      </c>
      <c r="W263" s="1804">
        <v>0</v>
      </c>
      <c r="X263" s="1804">
        <v>0</v>
      </c>
      <c r="Y263" s="1804">
        <v>0</v>
      </c>
      <c r="Z263" s="1804">
        <v>0</v>
      </c>
      <c r="AA263" s="1804">
        <v>0</v>
      </c>
      <c r="AB263" s="1804">
        <v>0</v>
      </c>
      <c r="AC263" s="1804">
        <v>0</v>
      </c>
      <c r="AD263" s="1804">
        <v>0</v>
      </c>
      <c r="AE263" s="1804">
        <v>0</v>
      </c>
      <c r="AF263" s="1804">
        <v>0</v>
      </c>
      <c r="AG263" s="1804">
        <v>0</v>
      </c>
      <c r="AH263" s="1804">
        <v>0</v>
      </c>
      <c r="AI263" s="1804">
        <v>0</v>
      </c>
      <c r="AJ263" s="1804">
        <v>0</v>
      </c>
      <c r="AK263" s="1804">
        <v>0</v>
      </c>
      <c r="AL263" s="1804">
        <v>0</v>
      </c>
      <c r="AM263" s="1804">
        <v>0</v>
      </c>
      <c r="AN263" s="1804">
        <v>0</v>
      </c>
      <c r="AO263" s="1804">
        <v>0</v>
      </c>
      <c r="AP263" s="1804">
        <v>0</v>
      </c>
      <c r="AQ263" s="1804">
        <v>0</v>
      </c>
      <c r="AR263" s="1804">
        <v>0</v>
      </c>
      <c r="AS263" s="1804">
        <v>0</v>
      </c>
      <c r="AT263" s="1804">
        <v>0</v>
      </c>
      <c r="AU263" s="1804">
        <v>0</v>
      </c>
      <c r="AV263" s="1804">
        <v>0</v>
      </c>
      <c r="AW263" s="1804">
        <v>0</v>
      </c>
      <c r="AX263" s="1804">
        <v>0</v>
      </c>
      <c r="AY263" s="1804">
        <v>0</v>
      </c>
      <c r="AZ263" s="1804">
        <v>0</v>
      </c>
      <c r="BA263" s="1804">
        <v>0</v>
      </c>
      <c r="BB263" s="1804">
        <v>0</v>
      </c>
      <c r="BC263" s="1804">
        <v>0</v>
      </c>
      <c r="BD263" s="1804">
        <v>0</v>
      </c>
      <c r="BE263" s="1804">
        <v>0</v>
      </c>
      <c r="BF263" s="1804">
        <v>0</v>
      </c>
      <c r="BG263" s="1804">
        <v>0</v>
      </c>
      <c r="BH263" s="1804">
        <v>0</v>
      </c>
      <c r="BI263" s="1804">
        <v>0</v>
      </c>
      <c r="BJ263" s="1804">
        <v>0</v>
      </c>
      <c r="BK263" s="1804">
        <v>0</v>
      </c>
      <c r="BL263" s="1804">
        <v>0</v>
      </c>
      <c r="BM263" s="1804">
        <v>0</v>
      </c>
      <c r="BN263" s="1804">
        <v>0</v>
      </c>
      <c r="BO263" s="1804">
        <v>0</v>
      </c>
      <c r="BP263" s="1804">
        <v>0</v>
      </c>
      <c r="BQ263" s="1804">
        <v>0</v>
      </c>
      <c r="BR263" s="1804">
        <v>0</v>
      </c>
      <c r="BS263" s="1804">
        <v>0</v>
      </c>
      <c r="BT263" s="1804">
        <v>0</v>
      </c>
      <c r="BU263" s="1804">
        <v>0</v>
      </c>
      <c r="BV263" s="1804">
        <v>0</v>
      </c>
      <c r="BW263" s="1804">
        <v>0</v>
      </c>
      <c r="BX263" s="1804">
        <v>0</v>
      </c>
      <c r="BY263" s="1804">
        <v>0</v>
      </c>
      <c r="BZ263" s="1804">
        <v>0</v>
      </c>
      <c r="CA263" s="1804">
        <v>0</v>
      </c>
      <c r="CB263" s="1804">
        <v>0</v>
      </c>
      <c r="CC263" s="1804">
        <v>0</v>
      </c>
      <c r="CD263" s="1804">
        <v>0</v>
      </c>
      <c r="CE263" s="1804">
        <v>0</v>
      </c>
      <c r="CF263" s="1804">
        <v>0</v>
      </c>
      <c r="CG263" s="1804">
        <v>0</v>
      </c>
      <c r="CH263" s="1804">
        <v>0</v>
      </c>
      <c r="CI263" s="1804">
        <v>0</v>
      </c>
      <c r="CJ263" s="1804">
        <v>0</v>
      </c>
      <c r="CK263" s="1804">
        <v>0</v>
      </c>
      <c r="CL263" s="1804">
        <v>0</v>
      </c>
      <c r="CM263" s="1804">
        <v>0</v>
      </c>
      <c r="CN263" s="1804">
        <v>0</v>
      </c>
      <c r="CO263" s="1804">
        <v>0</v>
      </c>
      <c r="CP263" s="1804">
        <v>0</v>
      </c>
      <c r="CQ263" s="1804">
        <v>0</v>
      </c>
      <c r="CR263" s="1804">
        <v>0</v>
      </c>
      <c r="CS263" s="1804">
        <v>0</v>
      </c>
      <c r="CT263" s="1804">
        <v>0</v>
      </c>
      <c r="CU263" s="1804">
        <v>0</v>
      </c>
      <c r="CV263" s="1804">
        <v>0</v>
      </c>
      <c r="CW263" s="1804">
        <v>0</v>
      </c>
      <c r="CX263" s="1804">
        <v>0</v>
      </c>
      <c r="CY263" s="1804">
        <v>0</v>
      </c>
      <c r="CZ263" s="1804">
        <v>0</v>
      </c>
      <c r="DA263" s="1804">
        <v>0</v>
      </c>
      <c r="DB263" s="1804">
        <v>0</v>
      </c>
      <c r="DC263" s="1804">
        <v>0</v>
      </c>
      <c r="DD263" s="1804">
        <v>0</v>
      </c>
      <c r="DE263" s="1804">
        <v>0</v>
      </c>
      <c r="DF263" s="1804">
        <v>0</v>
      </c>
      <c r="DG263" s="1804">
        <v>0</v>
      </c>
      <c r="DH263" s="1804">
        <v>0</v>
      </c>
      <c r="DI263" s="1804">
        <v>0</v>
      </c>
      <c r="DJ263" s="1804">
        <v>0</v>
      </c>
      <c r="DK263" s="1804">
        <v>0</v>
      </c>
      <c r="DL263" s="1804">
        <v>0</v>
      </c>
      <c r="DM263" s="1804">
        <v>0</v>
      </c>
      <c r="DN263" s="1804">
        <v>0</v>
      </c>
      <c r="DO263" s="1804">
        <v>0</v>
      </c>
      <c r="DP263" s="1804">
        <v>0</v>
      </c>
      <c r="DQ263" s="1804">
        <v>0</v>
      </c>
      <c r="DR263" s="1804">
        <v>0</v>
      </c>
      <c r="DS263" s="1804">
        <v>0</v>
      </c>
      <c r="DT263" s="1804">
        <v>0</v>
      </c>
      <c r="DU263" s="1804">
        <v>0</v>
      </c>
      <c r="DV263" s="1804">
        <v>0</v>
      </c>
      <c r="DW263" s="1804">
        <v>0</v>
      </c>
      <c r="DX263" s="1804">
        <v>0</v>
      </c>
      <c r="DY263" s="1804">
        <v>0</v>
      </c>
      <c r="DZ263" s="1804">
        <v>0</v>
      </c>
      <c r="EA263" s="1804">
        <v>0</v>
      </c>
      <c r="EB263" s="1804">
        <v>0</v>
      </c>
      <c r="EC263" s="1804">
        <v>0</v>
      </c>
      <c r="ED263" s="1804">
        <v>0</v>
      </c>
      <c r="EE263" s="1804">
        <v>0</v>
      </c>
      <c r="EF263" s="1804">
        <v>0</v>
      </c>
      <c r="EG263" s="1804">
        <v>0</v>
      </c>
      <c r="EH263" s="1804">
        <v>0</v>
      </c>
      <c r="EI263" s="1804">
        <v>0</v>
      </c>
      <c r="EJ263" s="1804">
        <v>0</v>
      </c>
      <c r="EK263" s="1804">
        <v>0</v>
      </c>
      <c r="EL263" s="1804">
        <v>0</v>
      </c>
      <c r="EM263" s="1804">
        <v>0</v>
      </c>
      <c r="EN263" s="1804">
        <v>0</v>
      </c>
      <c r="EO263" s="1804">
        <v>0</v>
      </c>
      <c r="EP263" s="1804">
        <v>0</v>
      </c>
      <c r="EQ263" s="1804">
        <v>0</v>
      </c>
      <c r="ER263" s="1804">
        <v>0</v>
      </c>
      <c r="ES263" s="1804">
        <v>0</v>
      </c>
      <c r="ET263" s="1804">
        <v>0</v>
      </c>
      <c r="EU263" s="1804">
        <v>0</v>
      </c>
      <c r="EV263" s="1804">
        <v>0</v>
      </c>
      <c r="EW263" s="1804">
        <v>0</v>
      </c>
      <c r="EX263" s="1804">
        <v>0</v>
      </c>
      <c r="EY263" s="1804">
        <v>0</v>
      </c>
      <c r="EZ263" s="1804">
        <v>0</v>
      </c>
      <c r="FA263" s="1804">
        <v>0</v>
      </c>
      <c r="FB263" s="1804">
        <v>0</v>
      </c>
      <c r="FC263" s="1804">
        <v>0</v>
      </c>
      <c r="FD263" s="1804">
        <v>0</v>
      </c>
      <c r="FE263" s="1804">
        <v>0</v>
      </c>
      <c r="FF263" s="1804">
        <v>0</v>
      </c>
      <c r="FG263" s="1804">
        <v>0</v>
      </c>
      <c r="FH263" s="1804">
        <v>0</v>
      </c>
      <c r="FI263" s="1804">
        <v>0</v>
      </c>
      <c r="FJ263" s="1804">
        <v>0</v>
      </c>
      <c r="FK263" s="1804">
        <v>0</v>
      </c>
      <c r="FL263" s="1804">
        <v>0</v>
      </c>
      <c r="FM263" s="1804">
        <v>0</v>
      </c>
      <c r="FN263" s="1804">
        <v>0</v>
      </c>
      <c r="FO263" s="1804">
        <v>0</v>
      </c>
      <c r="FP263" s="1804">
        <v>0</v>
      </c>
      <c r="FQ263" s="1804">
        <v>0</v>
      </c>
      <c r="FR263" s="1804">
        <v>0</v>
      </c>
      <c r="FS263" s="1804">
        <v>0</v>
      </c>
      <c r="FT263" s="1804">
        <v>0</v>
      </c>
      <c r="FU263" s="1804">
        <v>0</v>
      </c>
      <c r="FV263" s="1804">
        <v>0</v>
      </c>
      <c r="FW263" s="1804">
        <v>0</v>
      </c>
      <c r="FX263" s="1804">
        <v>0</v>
      </c>
      <c r="FY263" s="1804">
        <v>0</v>
      </c>
      <c r="FZ263" s="1804">
        <v>0</v>
      </c>
      <c r="GA263" s="1804">
        <v>0</v>
      </c>
      <c r="GB263" s="1804">
        <v>0</v>
      </c>
      <c r="GC263" s="1804">
        <v>0</v>
      </c>
      <c r="GD263" s="1804">
        <v>0</v>
      </c>
      <c r="GE263" s="1804">
        <v>0</v>
      </c>
      <c r="GF263" s="1804">
        <v>0</v>
      </c>
      <c r="GG263" s="1804">
        <v>0</v>
      </c>
      <c r="GH263" s="1804">
        <v>0</v>
      </c>
      <c r="GI263" s="1804">
        <v>0</v>
      </c>
      <c r="GJ263" s="1804">
        <v>0</v>
      </c>
      <c r="GK263" s="1804">
        <v>0</v>
      </c>
      <c r="GL263" s="1804">
        <v>0</v>
      </c>
      <c r="GM263" s="1804">
        <v>0</v>
      </c>
      <c r="GN263" s="1804">
        <v>0</v>
      </c>
      <c r="GO263" s="1804">
        <v>0</v>
      </c>
      <c r="GP263" s="1804">
        <v>0</v>
      </c>
      <c r="GQ263" s="1804">
        <v>0</v>
      </c>
      <c r="GR263" s="1804">
        <v>0</v>
      </c>
      <c r="GS263" s="1804">
        <v>0</v>
      </c>
      <c r="GT263" s="1804">
        <v>0</v>
      </c>
      <c r="GU263" s="1804">
        <v>0</v>
      </c>
      <c r="GV263" s="1804">
        <v>0</v>
      </c>
      <c r="GW263" s="1804">
        <v>0</v>
      </c>
      <c r="GX263" s="1804">
        <v>0</v>
      </c>
      <c r="GY263" s="1804">
        <v>0</v>
      </c>
      <c r="GZ263" s="1804">
        <v>0</v>
      </c>
      <c r="HA263" s="1804">
        <v>0</v>
      </c>
      <c r="HB263" s="1804">
        <v>0</v>
      </c>
      <c r="HC263" s="1804">
        <v>0</v>
      </c>
      <c r="HD263" s="1804">
        <v>0</v>
      </c>
      <c r="HE263" s="1804">
        <v>0</v>
      </c>
      <c r="HF263" s="1864"/>
      <c r="HG263" s="1864"/>
      <c r="HH263" s="1864"/>
      <c r="HI263" s="1864"/>
      <c r="HJ263" s="1864"/>
      <c r="HK263" s="1864"/>
      <c r="HL263" s="1864"/>
      <c r="HM263" s="1864"/>
      <c r="HN263" s="1864"/>
      <c r="HO263" s="1864"/>
      <c r="HP263" s="1864"/>
      <c r="HQ263" s="1864"/>
      <c r="HR263" s="1864"/>
      <c r="HS263" s="1864"/>
      <c r="HT263" s="1864"/>
      <c r="HU263" s="1864"/>
      <c r="HV263" s="1864"/>
      <c r="HW263" s="1864"/>
      <c r="HX263" s="1864"/>
      <c r="HY263" s="1864"/>
      <c r="HZ263" s="1864"/>
      <c r="IA263" s="1864"/>
      <c r="IB263" s="1864"/>
      <c r="IC263" s="1864"/>
      <c r="ID263" s="1864"/>
      <c r="IE263" s="1864"/>
      <c r="IF263" s="1864"/>
      <c r="IG263" s="1864"/>
      <c r="IH263" s="1864"/>
      <c r="II263" s="1864"/>
      <c r="IJ263" s="1864"/>
      <c r="IK263" s="1864"/>
      <c r="IL263" s="1864"/>
      <c r="IM263" s="1864"/>
      <c r="IN263" s="1864"/>
      <c r="IO263" s="1864"/>
      <c r="IP263" s="1864"/>
      <c r="IQ263" s="1864"/>
      <c r="IR263" s="1864"/>
      <c r="IS263" s="1864"/>
      <c r="IT263" s="1864"/>
      <c r="IU263" s="1864"/>
      <c r="IV263" s="1864"/>
      <c r="IW263" s="1864"/>
      <c r="IX263" s="1864"/>
      <c r="IY263" s="1864"/>
      <c r="IZ263" s="1864"/>
      <c r="JA263" s="1864"/>
      <c r="JB263" s="1864"/>
      <c r="JC263" s="1864"/>
      <c r="JD263" s="1864"/>
      <c r="JE263" s="1864"/>
      <c r="JF263" s="1864"/>
      <c r="JG263" s="1864"/>
      <c r="JH263" s="1864"/>
      <c r="JI263" s="1864"/>
      <c r="JJ263" s="1864"/>
      <c r="JK263" s="1864"/>
      <c r="JL263" s="1864"/>
      <c r="JM263" s="1864"/>
      <c r="JN263" s="1864"/>
      <c r="JO263" s="1864"/>
      <c r="JP263" s="1864"/>
      <c r="JQ263" s="1864"/>
      <c r="JR263" s="1864"/>
      <c r="JS263" s="1864"/>
      <c r="JT263" s="1864"/>
      <c r="JU263" s="1864"/>
      <c r="JV263" s="1864"/>
      <c r="JW263" s="1864"/>
      <c r="JX263" s="1864"/>
      <c r="JY263" s="1864"/>
      <c r="JZ263" s="1864"/>
      <c r="KA263" s="1864"/>
      <c r="KB263" s="1864"/>
      <c r="KC263" s="1864"/>
      <c r="KD263" s="1864"/>
      <c r="KE263" s="1864"/>
      <c r="KF263" s="1864"/>
      <c r="KG263" s="1864"/>
      <c r="KH263" s="1864"/>
      <c r="KI263" s="1864"/>
      <c r="KJ263" s="1864"/>
      <c r="KK263" s="1864"/>
      <c r="KL263" s="1864"/>
      <c r="KM263" s="1864"/>
      <c r="KN263" s="1864"/>
      <c r="KO263" s="1864"/>
      <c r="KP263" s="1864"/>
      <c r="KQ263" s="1864"/>
      <c r="KR263" s="1864"/>
      <c r="KS263" s="1864"/>
      <c r="KT263" s="1864"/>
      <c r="KU263" s="1864"/>
      <c r="KV263" s="1864"/>
      <c r="KW263" s="1864"/>
      <c r="KX263" s="1864"/>
      <c r="KY263" s="1864"/>
      <c r="KZ263" s="1864"/>
      <c r="LA263" s="1864"/>
      <c r="LB263" s="1864"/>
      <c r="LC263" s="1864"/>
      <c r="LD263" s="1864"/>
      <c r="LE263" s="1864"/>
      <c r="LF263" s="1864"/>
      <c r="LG263" s="1864"/>
      <c r="LH263" s="1864"/>
      <c r="LI263" s="1864"/>
      <c r="LJ263" s="1864"/>
      <c r="LK263" s="1864"/>
      <c r="LL263" s="1864"/>
      <c r="LM263" s="1864"/>
      <c r="LN263" s="1864"/>
      <c r="LO263" s="1864"/>
      <c r="LP263" s="1864"/>
      <c r="LQ263" s="1864"/>
      <c r="LR263" s="1864"/>
      <c r="LS263" s="1864"/>
      <c r="LT263" s="1864"/>
      <c r="LU263" s="1864"/>
      <c r="LV263" s="1864"/>
      <c r="LW263" s="1864"/>
      <c r="LX263" s="1864"/>
      <c r="LY263" s="1864"/>
      <c r="LZ263" s="1864"/>
      <c r="MA263" s="1864"/>
      <c r="MB263" s="1864"/>
      <c r="MC263" s="1864"/>
      <c r="MD263" s="1864"/>
      <c r="ME263" s="1864"/>
      <c r="MF263" s="1864"/>
      <c r="MG263" s="1864"/>
      <c r="MH263" s="1864"/>
      <c r="MI263" s="1864"/>
      <c r="MJ263" s="1864"/>
      <c r="MK263" s="1864"/>
      <c r="ML263" s="1864"/>
      <c r="MM263" s="1864"/>
      <c r="MN263" s="1864"/>
      <c r="MO263" s="1864"/>
      <c r="MP263" s="1864"/>
      <c r="MQ263" s="1864"/>
      <c r="MR263" s="1864"/>
      <c r="MS263" s="1864"/>
      <c r="MT263" s="1864"/>
      <c r="MU263" s="1864"/>
      <c r="MV263" s="1864"/>
      <c r="MW263" s="1864"/>
      <c r="MX263" s="1864"/>
      <c r="MY263" s="1864"/>
      <c r="MZ263" s="1864"/>
      <c r="NA263" s="1864"/>
      <c r="NB263" s="1864"/>
      <c r="NC263" s="1864"/>
      <c r="ND263" s="1864"/>
      <c r="NE263" s="1864"/>
      <c r="NF263" s="1864"/>
      <c r="NG263" s="1864"/>
      <c r="NH263" s="1864"/>
      <c r="NI263" s="1864"/>
      <c r="NJ263" s="1864"/>
      <c r="NK263" s="1864"/>
      <c r="NL263" s="1864"/>
      <c r="NM263" s="1864"/>
      <c r="NN263" s="1864"/>
      <c r="NO263" s="1864"/>
      <c r="NP263" s="1864"/>
      <c r="NQ263" s="1864"/>
      <c r="NR263" s="1864"/>
      <c r="NS263" s="1864"/>
      <c r="NT263" s="1864"/>
      <c r="NU263" s="1864"/>
      <c r="NV263" s="1864"/>
      <c r="NW263" s="1864"/>
      <c r="NX263" s="1864"/>
      <c r="NY263" s="1864"/>
      <c r="NZ263" s="1864"/>
      <c r="OA263" s="1864"/>
      <c r="OB263" s="1864"/>
      <c r="OC263" s="1864"/>
      <c r="OD263" s="1864"/>
      <c r="OE263" s="1864"/>
      <c r="OF263" s="1864"/>
      <c r="OG263" s="1864"/>
      <c r="OH263" s="1864"/>
      <c r="OI263" s="1864"/>
      <c r="OJ263" s="1864"/>
      <c r="OK263" s="1864"/>
      <c r="OL263" s="1864"/>
      <c r="OM263" s="1864"/>
      <c r="ON263" s="1864"/>
      <c r="OO263" s="1864"/>
      <c r="OP263" s="1864"/>
      <c r="OQ263" s="1864"/>
      <c r="OR263" s="1864"/>
      <c r="OS263" s="1864"/>
      <c r="OT263" s="1864"/>
      <c r="OU263" s="1864"/>
      <c r="OV263" s="1864"/>
      <c r="OW263" s="1864"/>
      <c r="OX263" s="1864"/>
      <c r="OY263" s="1864"/>
      <c r="OZ263" s="1864"/>
      <c r="PA263" s="1864"/>
      <c r="PB263" s="1864"/>
      <c r="PC263" s="1864"/>
      <c r="PD263" s="1864"/>
      <c r="PE263" s="1864"/>
      <c r="PF263" s="1864"/>
      <c r="PG263" s="1864"/>
      <c r="PH263" s="1864"/>
      <c r="PI263" s="1864"/>
      <c r="PJ263" s="1864"/>
      <c r="PK263" s="1864"/>
      <c r="PL263" s="1864"/>
      <c r="PM263" s="1864"/>
      <c r="PN263" s="1864"/>
      <c r="PO263" s="1864"/>
      <c r="PP263" s="1864"/>
      <c r="PQ263" s="1864"/>
      <c r="PR263" s="1864"/>
      <c r="PS263" s="1864"/>
      <c r="PT263" s="1864"/>
      <c r="PU263" s="1864"/>
      <c r="PV263" s="1864"/>
      <c r="PW263" s="1864"/>
      <c r="PX263" s="1864"/>
      <c r="PY263" s="1864"/>
      <c r="PZ263" s="1864"/>
      <c r="QA263" s="1864"/>
      <c r="QB263" s="1864"/>
      <c r="QC263" s="1864"/>
      <c r="QD263" s="1864"/>
      <c r="QE263" s="1864"/>
      <c r="QF263" s="1864"/>
      <c r="QG263" s="1864"/>
      <c r="QH263" s="1864"/>
      <c r="QI263" s="1864"/>
      <c r="QJ263" s="1864"/>
      <c r="QK263" s="1864"/>
      <c r="QL263" s="1864"/>
      <c r="QM263" s="1864"/>
      <c r="QN263" s="1864"/>
      <c r="QO263" s="1864"/>
      <c r="QP263" s="1864"/>
      <c r="QQ263" s="1864"/>
      <c r="QR263" s="1864"/>
      <c r="QS263" s="1864"/>
      <c r="QT263" s="1864"/>
      <c r="QU263" s="1864"/>
      <c r="QV263" s="1864"/>
      <c r="QW263" s="1864"/>
      <c r="QX263" s="1864"/>
      <c r="QY263" s="1864"/>
      <c r="QZ263" s="1864"/>
      <c r="RA263" s="1864"/>
      <c r="RB263" s="1864"/>
      <c r="RC263" s="1864"/>
      <c r="RD263" s="1864"/>
      <c r="RE263" s="1864"/>
      <c r="RF263" s="1864"/>
      <c r="RG263" s="1864"/>
      <c r="RH263" s="1864"/>
      <c r="RI263" s="1864"/>
      <c r="RJ263" s="1864"/>
      <c r="RK263" s="1864"/>
      <c r="RL263" s="1864"/>
      <c r="RM263" s="1864"/>
      <c r="RN263" s="1864"/>
      <c r="RO263" s="1864"/>
      <c r="RP263" s="1864"/>
      <c r="RQ263" s="1864"/>
      <c r="RR263" s="1864"/>
      <c r="RS263" s="1864"/>
      <c r="RT263" s="1864"/>
      <c r="RU263" s="1864"/>
      <c r="RV263" s="1864"/>
      <c r="RW263" s="1864"/>
      <c r="RX263" s="1864"/>
      <c r="RY263" s="1864"/>
      <c r="RZ263" s="1864"/>
      <c r="SA263" s="1864"/>
      <c r="SB263" s="1864"/>
      <c r="SC263" s="1864"/>
      <c r="SD263" s="1864"/>
      <c r="SE263" s="1864"/>
      <c r="SF263" s="1864"/>
      <c r="SG263" s="1864"/>
      <c r="SH263" s="1864"/>
      <c r="SI263" s="1864"/>
      <c r="SJ263" s="1864"/>
      <c r="SK263" s="1864"/>
      <c r="SL263" s="1864"/>
      <c r="SM263" s="1864"/>
      <c r="SN263" s="1864"/>
      <c r="SO263" s="1864"/>
      <c r="SP263" s="1864"/>
      <c r="SQ263" s="1864"/>
      <c r="SR263" s="1864"/>
      <c r="SS263" s="1864"/>
      <c r="ST263" s="1864"/>
      <c r="SU263" s="1864"/>
      <c r="SV263" s="1864"/>
      <c r="SW263" s="1864"/>
      <c r="SX263" s="1864"/>
      <c r="SY263" s="1864"/>
      <c r="SZ263" s="1864"/>
      <c r="TA263" s="1864"/>
      <c r="TB263" s="1864"/>
      <c r="TC263" s="1864"/>
      <c r="TD263" s="1864"/>
      <c r="TE263" s="1864"/>
      <c r="TF263" s="1864"/>
      <c r="TG263" s="1864"/>
      <c r="TH263" s="1864"/>
      <c r="TI263" s="1864"/>
      <c r="TJ263" s="1864"/>
      <c r="TK263" s="1864"/>
      <c r="TL263" s="1864"/>
      <c r="TM263" s="1864"/>
      <c r="TN263" s="1864"/>
      <c r="TO263" s="1864"/>
      <c r="TP263" s="1864"/>
      <c r="TQ263" s="1864"/>
      <c r="TR263" s="1864"/>
      <c r="TS263" s="1864"/>
      <c r="TT263" s="1864"/>
      <c r="TU263" s="1864"/>
      <c r="TV263" s="1864"/>
      <c r="TW263" s="1864"/>
      <c r="TX263" s="1864"/>
      <c r="TY263" s="1864"/>
      <c r="TZ263" s="1864"/>
      <c r="UA263" s="1864"/>
      <c r="UB263" s="1864"/>
      <c r="UC263" s="1864"/>
      <c r="UD263" s="1864"/>
      <c r="UE263" s="1864"/>
      <c r="UF263" s="1864"/>
      <c r="UG263" s="1864"/>
      <c r="UH263" s="1864"/>
      <c r="UI263" s="1864"/>
      <c r="UJ263" s="1864"/>
      <c r="UK263" s="1864"/>
      <c r="UL263" s="1864"/>
      <c r="UM263" s="1864"/>
      <c r="UN263" s="1864"/>
      <c r="UO263" s="1864"/>
      <c r="UP263" s="1864"/>
      <c r="UQ263" s="1864"/>
      <c r="UR263" s="1864"/>
      <c r="US263" s="1864"/>
      <c r="UT263" s="1864"/>
      <c r="UU263" s="1864"/>
      <c r="UV263" s="1864"/>
      <c r="UW263" s="1864"/>
      <c r="UX263" s="1864"/>
      <c r="UY263" s="1864"/>
      <c r="UZ263" s="1864"/>
      <c r="VA263" s="1864"/>
      <c r="VB263" s="1864"/>
      <c r="VC263" s="1864"/>
      <c r="VD263" s="1864"/>
      <c r="VE263" s="1864"/>
      <c r="VF263" s="1864"/>
      <c r="VG263" s="1864"/>
      <c r="VH263" s="1864"/>
      <c r="VI263" s="1864"/>
      <c r="VJ263" s="1864"/>
      <c r="VK263" s="1864"/>
      <c r="VL263" s="1864"/>
      <c r="VM263" s="1864"/>
      <c r="VN263" s="1864"/>
      <c r="VO263" s="1864"/>
      <c r="VP263" s="1864"/>
      <c r="VQ263" s="1864"/>
      <c r="VR263" s="1864"/>
      <c r="VS263" s="1864"/>
      <c r="VT263" s="1864"/>
      <c r="VU263" s="1864"/>
      <c r="VV263" s="1864"/>
      <c r="VW263" s="1864"/>
      <c r="VX263" s="1864"/>
      <c r="VY263" s="1864"/>
      <c r="VZ263" s="1864"/>
      <c r="WA263" s="1864"/>
      <c r="WB263" s="1864"/>
      <c r="WC263" s="1864"/>
      <c r="WD263" s="1864"/>
      <c r="WE263" s="1864"/>
      <c r="WF263" s="1864"/>
      <c r="WG263" s="1864"/>
      <c r="WH263" s="1864"/>
      <c r="WI263" s="1864"/>
      <c r="WJ263" s="1864"/>
      <c r="WK263" s="1864"/>
      <c r="WL263" s="1864"/>
      <c r="WM263" s="1864"/>
      <c r="WN263" s="1864"/>
      <c r="WO263" s="1864"/>
      <c r="WP263" s="1864"/>
      <c r="WQ263" s="1864"/>
      <c r="WR263" s="1864"/>
      <c r="WS263" s="1864"/>
      <c r="WT263" s="1864"/>
      <c r="WU263" s="1864"/>
      <c r="WV263" s="1864"/>
      <c r="WW263" s="1864"/>
      <c r="WX263" s="1864"/>
      <c r="WY263" s="1864"/>
      <c r="WZ263" s="1864"/>
      <c r="XA263" s="1864"/>
      <c r="XB263" s="1864"/>
      <c r="XC263" s="1864"/>
      <c r="XD263" s="1864"/>
      <c r="XE263" s="1864"/>
      <c r="XF263" s="1864"/>
      <c r="XG263" s="1864"/>
      <c r="XH263" s="1864"/>
      <c r="XI263" s="1864"/>
      <c r="XJ263" s="1864"/>
      <c r="XK263" s="1864"/>
      <c r="XL263" s="1864"/>
      <c r="XM263" s="1864"/>
      <c r="XN263" s="1864"/>
      <c r="XO263" s="1864"/>
      <c r="XP263" s="1864"/>
      <c r="XQ263" s="1864"/>
      <c r="XR263" s="1864"/>
      <c r="XS263" s="1864"/>
      <c r="XT263" s="1864"/>
      <c r="XU263" s="1864"/>
      <c r="XV263" s="1864"/>
      <c r="XW263" s="1864"/>
      <c r="XX263" s="1864"/>
      <c r="XY263" s="1864"/>
      <c r="XZ263" s="1864"/>
      <c r="YA263" s="1864"/>
      <c r="YB263" s="1864"/>
      <c r="YC263" s="1864"/>
      <c r="YD263" s="1864"/>
      <c r="YE263" s="1864"/>
      <c r="YF263" s="1864"/>
      <c r="YG263" s="1864"/>
      <c r="YH263" s="1864"/>
      <c r="YI263" s="1864"/>
      <c r="YJ263" s="1864"/>
      <c r="YK263" s="1864"/>
      <c r="YL263" s="1864"/>
      <c r="YM263" s="1864"/>
      <c r="YN263" s="1864"/>
      <c r="YO263" s="1864"/>
      <c r="YP263" s="1864"/>
      <c r="YQ263" s="1864"/>
      <c r="YR263" s="1864"/>
      <c r="YS263" s="1864"/>
      <c r="YT263" s="1864"/>
      <c r="YU263" s="1864"/>
      <c r="YV263" s="1864"/>
      <c r="YW263" s="1864"/>
      <c r="YX263" s="1864"/>
      <c r="YY263" s="1864"/>
      <c r="YZ263" s="1864"/>
      <c r="ZA263" s="1864"/>
      <c r="ZB263" s="1864"/>
      <c r="ZC263" s="1864"/>
      <c r="ZD263" s="1864"/>
      <c r="ZE263" s="1864"/>
      <c r="ZF263" s="1864"/>
      <c r="ZG263" s="1864"/>
      <c r="ZH263" s="1864"/>
      <c r="ZI263" s="1864"/>
      <c r="ZJ263" s="1864"/>
      <c r="ZK263" s="1864"/>
      <c r="ZL263" s="1864"/>
      <c r="ZM263" s="1864"/>
      <c r="ZN263" s="1864"/>
      <c r="ZO263" s="1864"/>
      <c r="ZP263" s="1864"/>
      <c r="ZQ263" s="1864"/>
      <c r="ZR263" s="1864"/>
      <c r="ZS263" s="1864"/>
      <c r="ZT263" s="1864"/>
      <c r="ZU263" s="1864"/>
      <c r="ZV263" s="1864"/>
      <c r="ZW263" s="1864"/>
      <c r="ZX263" s="1864"/>
      <c r="ZY263" s="1864"/>
      <c r="ZZ263" s="1864"/>
      <c r="AAA263" s="1864"/>
      <c r="AAB263" s="1864"/>
      <c r="AAC263" s="1864"/>
      <c r="AAD263" s="1864"/>
      <c r="AAE263" s="1864"/>
      <c r="AAF263" s="1864"/>
      <c r="AAG263" s="1864"/>
      <c r="AAH263" s="1864"/>
      <c r="AAI263" s="1864"/>
      <c r="AAJ263" s="1864"/>
      <c r="AAK263" s="1864"/>
      <c r="AAL263" s="1864"/>
      <c r="AAM263" s="1864"/>
      <c r="AAN263" s="1864"/>
      <c r="AAO263" s="1864"/>
      <c r="AAP263" s="1864"/>
      <c r="AAQ263" s="1864"/>
      <c r="AAR263" s="1864"/>
      <c r="AAS263" s="1864"/>
      <c r="AAT263" s="1864"/>
      <c r="AAU263" s="1864"/>
      <c r="AAV263" s="1864"/>
      <c r="AAW263" s="1864"/>
      <c r="AAX263" s="1864"/>
      <c r="AAY263" s="1864"/>
      <c r="AAZ263" s="1864"/>
      <c r="ABA263" s="1864"/>
      <c r="ABB263" s="1864"/>
      <c r="ABC263" s="1864"/>
      <c r="ABD263" s="1864"/>
      <c r="ABE263" s="1864"/>
      <c r="ABF263" s="1864"/>
      <c r="ABG263" s="1864"/>
      <c r="ABH263" s="1864"/>
      <c r="ABI263" s="1864"/>
      <c r="ABJ263" s="1864"/>
      <c r="ABK263" s="1864"/>
      <c r="ABL263" s="1864"/>
      <c r="ABM263" s="1864"/>
      <c r="ABN263" s="1864"/>
      <c r="ABO263" s="1864"/>
      <c r="ABP263" s="1864"/>
      <c r="ABQ263" s="1864"/>
      <c r="ABR263" s="1864"/>
      <c r="ABS263" s="1864"/>
      <c r="ABT263" s="1864"/>
      <c r="ABU263" s="1864"/>
      <c r="ABV263" s="1864"/>
      <c r="ABW263" s="1864"/>
      <c r="ABX263" s="1864"/>
      <c r="ABY263" s="1864"/>
      <c r="ABZ263" s="1864"/>
      <c r="ACA263" s="1864"/>
      <c r="ACB263" s="1864"/>
      <c r="ACC263" s="1864"/>
      <c r="ACD263" s="1864"/>
      <c r="ACE263" s="1864"/>
      <c r="ACF263" s="1864"/>
      <c r="ACG263" s="1864"/>
      <c r="ACH263" s="1864"/>
      <c r="ACI263" s="1864"/>
      <c r="ACJ263" s="1864"/>
      <c r="ACK263" s="1864"/>
      <c r="ACL263" s="1864"/>
      <c r="ACM263" s="1864"/>
      <c r="ACN263" s="1864"/>
      <c r="ACO263" s="1864"/>
      <c r="ACP263" s="1864"/>
      <c r="ACQ263" s="1864"/>
      <c r="ACR263" s="1864"/>
      <c r="ACS263" s="1864"/>
      <c r="ACT263" s="1864"/>
      <c r="ACU263" s="1864"/>
      <c r="ACV263" s="1864"/>
      <c r="ACW263" s="1864"/>
      <c r="ACX263" s="1864"/>
      <c r="ACY263" s="1864"/>
      <c r="ACZ263" s="1864"/>
      <c r="ADA263" s="1864"/>
      <c r="ADB263" s="1864"/>
      <c r="ADC263" s="1864"/>
      <c r="ADD263" s="1864"/>
      <c r="ADE263" s="1864"/>
      <c r="ADF263" s="1864"/>
      <c r="ADG263" s="1864"/>
      <c r="ADH263" s="1864"/>
      <c r="ADI263" s="1864"/>
      <c r="ADJ263" s="1864"/>
      <c r="ADK263" s="1864"/>
      <c r="ADL263" s="1864"/>
      <c r="ADM263" s="1864"/>
      <c r="ADN263" s="1864"/>
      <c r="ADO263" s="1864"/>
      <c r="ADP263" s="1864"/>
      <c r="ADQ263" s="1864"/>
      <c r="ADR263" s="1864"/>
      <c r="ADS263" s="1864"/>
      <c r="ADT263" s="1864"/>
      <c r="ADU263" s="1864"/>
      <c r="ADV263" s="1864"/>
      <c r="ADW263" s="1864"/>
      <c r="ADX263" s="1864"/>
      <c r="ADY263" s="1864"/>
      <c r="ADZ263" s="1864"/>
      <c r="AEA263" s="1864"/>
      <c r="AEB263" s="1864"/>
      <c r="AEC263" s="1864"/>
      <c r="AED263" s="1864"/>
      <c r="AEE263" s="1864"/>
      <c r="AEF263" s="1864"/>
      <c r="AEG263" s="1864"/>
      <c r="AEH263" s="1864"/>
      <c r="AEI263" s="1864"/>
      <c r="AEJ263" s="1864"/>
      <c r="AEK263" s="1864"/>
      <c r="AEL263" s="1864"/>
      <c r="AEM263" s="1864"/>
      <c r="AEN263" s="1864"/>
      <c r="AEO263" s="1864"/>
      <c r="AEP263" s="1864"/>
      <c r="AEQ263" s="1864"/>
      <c r="AER263" s="1864"/>
      <c r="AES263" s="1864"/>
      <c r="AET263" s="1864"/>
      <c r="AEU263" s="1864"/>
      <c r="AEV263" s="1864"/>
      <c r="AEW263" s="1864"/>
      <c r="AEX263" s="1864"/>
      <c r="AEY263" s="1864"/>
      <c r="AEZ263" s="1864"/>
      <c r="AFA263" s="1864"/>
      <c r="AFB263" s="1864"/>
      <c r="AFC263" s="1864"/>
      <c r="AFD263" s="1864"/>
      <c r="AFE263" s="1864"/>
      <c r="AFF263" s="1864"/>
      <c r="AFG263" s="1864"/>
      <c r="AFH263" s="1864"/>
      <c r="AFI263" s="1864"/>
      <c r="AFJ263" s="1864"/>
      <c r="AFK263" s="1864"/>
      <c r="AFL263" s="1864"/>
      <c r="AFM263" s="1864"/>
      <c r="AFN263" s="1864"/>
      <c r="AFO263" s="1864"/>
      <c r="AFP263" s="1864"/>
      <c r="AFQ263" s="1864"/>
      <c r="AFR263" s="1864"/>
      <c r="AFS263" s="1864"/>
      <c r="AFT263" s="1864"/>
      <c r="AFU263" s="1864"/>
      <c r="AFV263" s="1864"/>
      <c r="AFW263" s="1864"/>
      <c r="AFX263" s="1864"/>
      <c r="AFY263" s="1864"/>
      <c r="AFZ263" s="1864"/>
      <c r="AGA263" s="1864"/>
      <c r="AGB263" s="1864"/>
      <c r="AGC263" s="1864"/>
      <c r="AGD263" s="1864"/>
      <c r="AGE263" s="1864"/>
      <c r="AGF263" s="1864"/>
      <c r="AGG263" s="1864"/>
      <c r="AGH263" s="1864"/>
      <c r="AGI263" s="1864"/>
      <c r="AGJ263" s="1864"/>
      <c r="AGK263" s="1864"/>
      <c r="AGL263" s="1864"/>
      <c r="AGM263" s="1864"/>
      <c r="AGN263" s="1864"/>
      <c r="AGO263" s="1864"/>
      <c r="AGP263" s="1864"/>
      <c r="AGQ263" s="1864"/>
      <c r="AGR263" s="1864"/>
      <c r="AGS263" s="1864"/>
      <c r="AGT263" s="1864"/>
      <c r="AGU263" s="1864"/>
      <c r="AGV263" s="1864"/>
      <c r="AGW263" s="1864"/>
      <c r="AGX263" s="1864"/>
      <c r="AGY263" s="1864"/>
      <c r="AGZ263" s="1864"/>
      <c r="AHA263" s="1864"/>
      <c r="AHB263" s="1864"/>
      <c r="AHC263" s="1864"/>
      <c r="AHD263" s="1864"/>
      <c r="AHE263" s="1864"/>
      <c r="AHF263" s="1864"/>
      <c r="AHG263" s="1864"/>
      <c r="AHH263" s="1864"/>
      <c r="AHI263" s="1864"/>
      <c r="AHJ263" s="1864"/>
      <c r="AHK263" s="1864"/>
      <c r="AHL263" s="1864"/>
      <c r="AHM263" s="1864"/>
      <c r="AHN263" s="1864"/>
      <c r="AHO263" s="1864"/>
      <c r="AHP263" s="1864"/>
      <c r="AHQ263" s="1864"/>
      <c r="AHR263" s="1864"/>
      <c r="AHS263" s="1864"/>
      <c r="AHT263" s="1864"/>
      <c r="AHU263" s="1864"/>
      <c r="AHV263" s="1864"/>
      <c r="AHW263" s="1864"/>
      <c r="AHX263" s="1864"/>
      <c r="AHY263" s="1864"/>
      <c r="AHZ263" s="1864"/>
      <c r="AIA263" s="1864"/>
      <c r="AIB263" s="1864"/>
      <c r="AIC263" s="1864"/>
      <c r="AID263" s="1864"/>
      <c r="AIE263" s="1864"/>
      <c r="AIF263" s="1864"/>
      <c r="AIG263" s="1864"/>
      <c r="AIH263" s="1864"/>
      <c r="AII263" s="1864"/>
      <c r="AIJ263" s="1864"/>
      <c r="AIK263" s="1864"/>
      <c r="AIL263" s="1864"/>
      <c r="AIM263" s="1864"/>
      <c r="AIN263" s="1864"/>
      <c r="AIO263" s="1864"/>
      <c r="AIP263" s="1864"/>
      <c r="AIQ263" s="1864"/>
      <c r="AIR263" s="1864"/>
      <c r="AIS263" s="1864"/>
      <c r="AIT263" s="1864"/>
      <c r="AIU263" s="1864"/>
      <c r="AIV263" s="1864"/>
      <c r="AIW263" s="1864"/>
      <c r="AIX263" s="1864"/>
      <c r="AIY263" s="1864"/>
      <c r="AIZ263" s="1864"/>
      <c r="AJA263" s="1864"/>
      <c r="AJB263" s="1864"/>
      <c r="AJC263" s="1864"/>
      <c r="AJD263" s="1864"/>
      <c r="AJE263" s="1864"/>
      <c r="AJF263" s="1864"/>
      <c r="AJG263" s="1864"/>
      <c r="AJH263" s="1864"/>
      <c r="AJI263" s="1864"/>
      <c r="AJJ263" s="1864"/>
      <c r="AJK263" s="1864"/>
      <c r="AJL263" s="1864"/>
      <c r="AJM263" s="1864"/>
      <c r="AJN263" s="1864"/>
      <c r="AJO263" s="1864"/>
      <c r="AJP263" s="1864"/>
      <c r="AJQ263" s="1864"/>
      <c r="AJR263" s="1864"/>
      <c r="AJS263" s="1864"/>
      <c r="AJT263" s="1864"/>
      <c r="AJU263" s="1864"/>
      <c r="AJV263" s="1864"/>
      <c r="AJW263" s="1864"/>
      <c r="AJX263" s="1864"/>
      <c r="AJY263" s="1864"/>
      <c r="AJZ263" s="1864"/>
      <c r="AKA263" s="1864"/>
      <c r="AKB263" s="1864"/>
      <c r="AKC263" s="1864"/>
      <c r="AKD263" s="1864"/>
      <c r="AKE263" s="1864"/>
      <c r="AKF263" s="1864"/>
      <c r="AKG263" s="1864"/>
      <c r="AKH263" s="1864"/>
      <c r="AKI263" s="1864"/>
      <c r="AKJ263" s="1864"/>
      <c r="AKK263" s="1864"/>
      <c r="AKL263" s="1864"/>
      <c r="AKM263" s="1864"/>
      <c r="AKN263" s="1864"/>
      <c r="AKO263" s="1864"/>
      <c r="AKP263" s="1864"/>
      <c r="AKQ263" s="1864"/>
      <c r="AKR263" s="1864"/>
      <c r="AKS263" s="1864"/>
      <c r="AKT263" s="1864"/>
      <c r="AKU263" s="1864"/>
      <c r="AKV263" s="1864"/>
      <c r="AKW263" s="1864"/>
      <c r="AKX263" s="1864"/>
      <c r="AKY263" s="1864"/>
      <c r="AKZ263" s="1864"/>
      <c r="ALA263" s="1864"/>
      <c r="ALB263" s="1864"/>
      <c r="ALC263" s="1864"/>
      <c r="ALD263" s="1864"/>
      <c r="ALE263" s="1864"/>
      <c r="ALF263" s="1864"/>
      <c r="ALG263" s="1864"/>
      <c r="ALH263" s="1864"/>
      <c r="ALI263" s="1864"/>
      <c r="ALJ263" s="1864"/>
      <c r="ALK263" s="1864"/>
      <c r="ALL263" s="1864"/>
      <c r="ALM263" s="1864"/>
      <c r="ALN263" s="1864"/>
      <c r="ALO263" s="1864"/>
      <c r="ALP263" s="1864"/>
      <c r="ALQ263" s="1864"/>
      <c r="ALR263" s="1864"/>
      <c r="ALS263" s="1864"/>
      <c r="ALT263" s="1864"/>
      <c r="ALU263" s="1864"/>
      <c r="ALV263" s="1864"/>
      <c r="ALW263" s="1864"/>
      <c r="ALX263" s="1864"/>
      <c r="ALY263" s="1864"/>
      <c r="ALZ263" s="1864"/>
      <c r="AMA263" s="1864"/>
      <c r="AMB263" s="1864"/>
      <c r="AMC263" s="1864"/>
      <c r="AMD263" s="1864"/>
      <c r="AME263" s="1864"/>
      <c r="AMF263" s="1864"/>
      <c r="AMG263" s="1864"/>
      <c r="AMH263" s="1864"/>
      <c r="AMI263" s="1864"/>
      <c r="AMJ263" s="1864"/>
      <c r="AMK263" s="1864"/>
      <c r="AML263" s="1864"/>
      <c r="AMM263" s="1864"/>
      <c r="AMN263" s="1864"/>
      <c r="AMO263" s="1864"/>
      <c r="AMP263" s="1864"/>
      <c r="AMQ263" s="1864"/>
      <c r="AMR263" s="1864"/>
      <c r="AMS263" s="1864"/>
      <c r="AMT263" s="1864"/>
      <c r="AMU263" s="1864"/>
      <c r="AMV263" s="1864"/>
      <c r="AMW263" s="1864"/>
      <c r="AMX263" s="1864"/>
      <c r="AMY263" s="1864"/>
      <c r="AMZ263" s="1864"/>
      <c r="ANA263" s="1864"/>
      <c r="ANB263" s="1864"/>
      <c r="ANC263" s="1864"/>
      <c r="AND263" s="1864"/>
      <c r="ANE263" s="1864"/>
      <c r="ANF263" s="1864"/>
      <c r="ANG263" s="1864"/>
      <c r="ANH263" s="1864"/>
      <c r="ANI263" s="1864"/>
      <c r="ANJ263" s="1864"/>
      <c r="ANK263" s="1864"/>
      <c r="ANL263" s="1864"/>
      <c r="ANM263" s="1864"/>
      <c r="ANN263" s="1864"/>
      <c r="ANO263" s="1864"/>
      <c r="ANP263" s="1864"/>
      <c r="ANQ263" s="1864"/>
      <c r="ANR263" s="1864"/>
      <c r="ANS263" s="1864"/>
      <c r="ANT263" s="1864"/>
      <c r="ANU263" s="1864"/>
      <c r="ANV263" s="1864"/>
      <c r="ANW263" s="1864"/>
      <c r="ANX263" s="1864"/>
      <c r="ANY263" s="1864"/>
      <c r="ANZ263" s="1864"/>
      <c r="AOA263" s="1864"/>
      <c r="AOB263" s="1864"/>
      <c r="AOC263" s="1864"/>
      <c r="AOD263" s="1864"/>
      <c r="AOE263" s="1864"/>
      <c r="AOF263" s="1864"/>
      <c r="AOG263" s="1864"/>
      <c r="AOH263" s="1864"/>
      <c r="AOI263" s="1864"/>
      <c r="AOJ263" s="1864"/>
      <c r="AOK263" s="1864"/>
      <c r="AOL263" s="1864"/>
      <c r="AOM263" s="1864"/>
      <c r="AON263" s="1864"/>
      <c r="AOO263" s="1864"/>
      <c r="AOP263" s="1864"/>
      <c r="AOQ263" s="1864"/>
      <c r="AOR263" s="1864"/>
      <c r="AOS263" s="1864"/>
      <c r="AOT263" s="1864"/>
      <c r="AOU263" s="1864"/>
      <c r="AOV263" s="1864"/>
      <c r="AOW263" s="1864"/>
      <c r="AOX263" s="1864"/>
      <c r="AOY263" s="1864"/>
      <c r="AOZ263" s="1864"/>
      <c r="APA263" s="1864"/>
      <c r="APB263" s="1864"/>
      <c r="APC263" s="1864"/>
      <c r="APD263" s="1864"/>
      <c r="APE263" s="1864"/>
      <c r="APF263" s="1864"/>
      <c r="APG263" s="1864"/>
      <c r="APH263" s="1864"/>
      <c r="API263" s="1864"/>
      <c r="APJ263" s="1864"/>
      <c r="APK263" s="1864"/>
      <c r="APL263" s="1864"/>
      <c r="APM263" s="1864"/>
      <c r="APN263" s="1864"/>
      <c r="APO263" s="1864"/>
      <c r="APP263" s="1864"/>
      <c r="APQ263" s="1864"/>
      <c r="APR263" s="1864"/>
      <c r="APS263" s="1864"/>
      <c r="APT263" s="1864"/>
      <c r="APU263" s="1864"/>
      <c r="APV263" s="1864"/>
      <c r="APW263" s="1864"/>
      <c r="APX263" s="1864"/>
      <c r="APY263" s="1864"/>
      <c r="APZ263" s="1864"/>
      <c r="AQA263" s="1864"/>
      <c r="AQB263" s="1864"/>
      <c r="AQC263" s="1864"/>
      <c r="AQD263" s="1864"/>
      <c r="AQE263" s="1864"/>
      <c r="AQF263" s="1864"/>
      <c r="AQG263" s="1864"/>
      <c r="AQH263" s="1864"/>
      <c r="AQI263" s="1864"/>
      <c r="AQJ263" s="1864"/>
      <c r="AQK263" s="1864"/>
      <c r="AQL263" s="1864"/>
      <c r="AQM263" s="1864"/>
      <c r="AQN263" s="1864"/>
      <c r="AQO263" s="1864"/>
      <c r="AQP263" s="1864"/>
      <c r="AQQ263" s="1864"/>
      <c r="AQR263" s="1864"/>
      <c r="AQS263" s="1864"/>
      <c r="AQT263" s="1864"/>
      <c r="AQU263" s="1864"/>
      <c r="AQV263" s="1864"/>
      <c r="AQW263" s="1864"/>
      <c r="AQX263" s="1864"/>
      <c r="AQY263" s="1864"/>
      <c r="AQZ263" s="1864"/>
      <c r="ARA263" s="1864"/>
      <c r="ARB263" s="1864"/>
      <c r="ARC263" s="1864"/>
      <c r="ARD263" s="1864"/>
      <c r="ARE263" s="1864"/>
      <c r="ARF263" s="1864"/>
      <c r="ARG263" s="1864"/>
      <c r="ARH263" s="1864"/>
      <c r="ARI263" s="1864"/>
      <c r="ARJ263" s="1864"/>
      <c r="ARK263" s="1864"/>
      <c r="ARL263" s="1864"/>
      <c r="ARM263" s="1864"/>
      <c r="ARN263" s="1864"/>
      <c r="ARO263" s="1864"/>
      <c r="ARP263" s="1864"/>
      <c r="ARQ263" s="1864"/>
      <c r="ARR263" s="1864"/>
      <c r="ARS263" s="1864"/>
      <c r="ART263" s="1864"/>
      <c r="ARU263" s="1864"/>
      <c r="ARV263" s="1864"/>
      <c r="ARW263" s="1864"/>
      <c r="ARX263" s="1864"/>
      <c r="ARY263" s="1864"/>
      <c r="ARZ263" s="1864"/>
      <c r="ASA263" s="1864"/>
      <c r="ASB263" s="1864"/>
      <c r="ASC263" s="1864"/>
      <c r="ASD263" s="1864"/>
      <c r="ASE263" s="1864"/>
      <c r="ASF263" s="1864"/>
      <c r="ASG263" s="1864"/>
      <c r="ASH263" s="1864"/>
      <c r="ASI263" s="1864"/>
      <c r="ASJ263" s="1864"/>
      <c r="ASK263" s="1864"/>
      <c r="ASL263" s="1864"/>
      <c r="ASM263" s="1864"/>
      <c r="ASN263" s="1864"/>
      <c r="ASO263" s="1864"/>
      <c r="ASP263" s="1864"/>
      <c r="ASQ263" s="1864"/>
      <c r="ASR263" s="1864"/>
      <c r="ASS263" s="1864"/>
      <c r="AST263" s="1864"/>
      <c r="ASU263" s="1864"/>
      <c r="ASV263" s="1864"/>
      <c r="ASW263" s="1864"/>
      <c r="ASX263" s="1864"/>
      <c r="ASY263" s="1864"/>
      <c r="ASZ263" s="1864"/>
      <c r="ATA263" s="1864"/>
      <c r="ATB263" s="1864"/>
      <c r="ATC263" s="1864"/>
      <c r="ATD263" s="1864"/>
      <c r="ATE263" s="1864"/>
      <c r="ATF263" s="1864"/>
      <c r="ATG263" s="1864"/>
      <c r="ATH263" s="1864"/>
      <c r="ATI263" s="1864"/>
      <c r="ATJ263" s="1864"/>
      <c r="ATK263" s="1864"/>
      <c r="ATL263" s="1864"/>
      <c r="ATM263" s="1864"/>
      <c r="ATN263" s="1864"/>
      <c r="ATO263" s="1864"/>
      <c r="ATP263" s="1864"/>
      <c r="ATQ263" s="1864"/>
      <c r="ATR263" s="1864"/>
      <c r="ATS263" s="1864"/>
      <c r="ATT263" s="1864"/>
      <c r="ATU263" s="1864"/>
      <c r="ATV263" s="1864"/>
      <c r="ATW263" s="1864"/>
      <c r="ATX263" s="1864"/>
      <c r="ATY263" s="1864"/>
      <c r="ATZ263" s="1864"/>
      <c r="AUA263" s="1864"/>
      <c r="AUB263" s="1864"/>
      <c r="AUC263" s="1864"/>
      <c r="AUD263" s="1864"/>
      <c r="AUE263" s="1864"/>
      <c r="AUF263" s="1864"/>
      <c r="AUG263" s="1864"/>
      <c r="AUH263" s="1864"/>
      <c r="AUI263" s="1864"/>
      <c r="AUJ263" s="1864"/>
      <c r="AUK263" s="1864"/>
      <c r="AUL263" s="1864"/>
      <c r="AUM263" s="1864"/>
      <c r="AUN263" s="1864"/>
      <c r="AUO263" s="1864"/>
      <c r="AUP263" s="1864"/>
      <c r="AUQ263" s="1864"/>
      <c r="AUR263" s="1864"/>
      <c r="AUS263" s="1864"/>
      <c r="AUT263" s="1864"/>
      <c r="AUU263" s="1864"/>
      <c r="AUV263" s="1864"/>
      <c r="AUW263" s="1864"/>
      <c r="AUX263" s="1864"/>
      <c r="AUY263" s="1864"/>
      <c r="AUZ263" s="1864"/>
      <c r="AVA263" s="1864"/>
      <c r="AVB263" s="1864"/>
      <c r="AVC263" s="1864"/>
      <c r="AVD263" s="1864"/>
      <c r="AVE263" s="1864"/>
      <c r="AVF263" s="1864"/>
      <c r="AVG263" s="1864"/>
      <c r="AVH263" s="1864"/>
      <c r="AVI263" s="1864"/>
      <c r="AVJ263" s="1864"/>
      <c r="AVK263" s="1864"/>
      <c r="AVL263" s="1864"/>
      <c r="AVM263" s="1864"/>
      <c r="AVN263" s="1864"/>
      <c r="AVO263" s="1864"/>
      <c r="AVP263" s="1864"/>
      <c r="AVQ263" s="1864"/>
      <c r="AVR263" s="1864"/>
      <c r="AVS263" s="1864"/>
      <c r="AVT263" s="1864"/>
      <c r="AVU263" s="1864"/>
      <c r="AVV263" s="1864"/>
      <c r="AVW263" s="1864"/>
      <c r="AVX263" s="1864"/>
      <c r="AVY263" s="1864"/>
      <c r="AVZ263" s="1864"/>
      <c r="AWA263" s="1864"/>
      <c r="AWB263" s="1864"/>
      <c r="AWC263" s="1864"/>
      <c r="AWD263" s="1864"/>
      <c r="AWE263" s="1864"/>
      <c r="AWF263" s="1864"/>
      <c r="AWG263" s="1864"/>
      <c r="AWH263" s="1864"/>
      <c r="AWI263" s="1864"/>
      <c r="AWJ263" s="1864"/>
      <c r="AWK263" s="1864"/>
      <c r="AWL263" s="1864"/>
      <c r="AWM263" s="1864"/>
      <c r="AWN263" s="1864"/>
      <c r="AWO263" s="1864"/>
      <c r="AWP263" s="1864"/>
      <c r="AWQ263" s="1864"/>
    </row>
    <row r="264" spans="1:1291" s="1872" customFormat="1" ht="15" customHeight="1" x14ac:dyDescent="0.2">
      <c r="A264" s="1976"/>
      <c r="B264" s="2008"/>
      <c r="C264" s="1827" t="s">
        <v>94</v>
      </c>
      <c r="D264" s="1882"/>
      <c r="E264" s="1984"/>
      <c r="F264" s="1838">
        <v>0</v>
      </c>
      <c r="G264" s="1804">
        <v>0</v>
      </c>
      <c r="H264" s="1804">
        <v>0</v>
      </c>
      <c r="I264" s="1804">
        <v>0</v>
      </c>
      <c r="J264" s="1804">
        <v>0</v>
      </c>
      <c r="K264" s="1804">
        <v>0</v>
      </c>
      <c r="L264" s="1804">
        <v>0</v>
      </c>
      <c r="M264" s="1804">
        <v>0</v>
      </c>
      <c r="N264" s="1804">
        <v>0</v>
      </c>
      <c r="O264" s="1804">
        <v>0</v>
      </c>
      <c r="P264" s="1804">
        <v>0</v>
      </c>
      <c r="Q264" s="1804">
        <v>0</v>
      </c>
      <c r="R264" s="1804">
        <v>0</v>
      </c>
      <c r="S264" s="1804">
        <v>0</v>
      </c>
      <c r="T264" s="1804">
        <v>0</v>
      </c>
      <c r="U264" s="1804">
        <v>0</v>
      </c>
      <c r="V264" s="1804">
        <v>0</v>
      </c>
      <c r="W264" s="1804">
        <v>0</v>
      </c>
      <c r="X264" s="1804">
        <v>0</v>
      </c>
      <c r="Y264" s="1804">
        <v>0</v>
      </c>
      <c r="Z264" s="1804">
        <v>0</v>
      </c>
      <c r="AA264" s="1804">
        <v>0</v>
      </c>
      <c r="AB264" s="1804">
        <v>0</v>
      </c>
      <c r="AC264" s="1804">
        <v>0</v>
      </c>
      <c r="AD264" s="1804">
        <v>0</v>
      </c>
      <c r="AE264" s="1804">
        <v>0</v>
      </c>
      <c r="AF264" s="1804">
        <v>0</v>
      </c>
      <c r="AG264" s="1804">
        <v>0</v>
      </c>
      <c r="AH264" s="1804">
        <v>0</v>
      </c>
      <c r="AI264" s="1804">
        <v>0</v>
      </c>
      <c r="AJ264" s="1804">
        <v>0</v>
      </c>
      <c r="AK264" s="1804">
        <v>0</v>
      </c>
      <c r="AL264" s="1804">
        <v>0</v>
      </c>
      <c r="AM264" s="1804">
        <v>0</v>
      </c>
      <c r="AN264" s="1804">
        <v>0</v>
      </c>
      <c r="AO264" s="1804">
        <v>0</v>
      </c>
      <c r="AP264" s="1804">
        <v>0</v>
      </c>
      <c r="AQ264" s="1804">
        <v>0</v>
      </c>
      <c r="AR264" s="1804">
        <v>0</v>
      </c>
      <c r="AS264" s="1804">
        <v>0</v>
      </c>
      <c r="AT264" s="1804">
        <v>0</v>
      </c>
      <c r="AU264" s="1804">
        <v>0</v>
      </c>
      <c r="AV264" s="1804">
        <v>0</v>
      </c>
      <c r="AW264" s="1804">
        <v>0</v>
      </c>
      <c r="AX264" s="1804">
        <v>0</v>
      </c>
      <c r="AY264" s="1804">
        <v>0</v>
      </c>
      <c r="AZ264" s="1804">
        <v>0</v>
      </c>
      <c r="BA264" s="1804">
        <v>0</v>
      </c>
      <c r="BB264" s="1804">
        <v>0</v>
      </c>
      <c r="BC264" s="1804">
        <v>0</v>
      </c>
      <c r="BD264" s="1804">
        <v>0</v>
      </c>
      <c r="BE264" s="1804">
        <v>0</v>
      </c>
      <c r="BF264" s="1804">
        <v>0</v>
      </c>
      <c r="BG264" s="1804">
        <v>0</v>
      </c>
      <c r="BH264" s="1804">
        <v>0</v>
      </c>
      <c r="BI264" s="1804">
        <v>0</v>
      </c>
      <c r="BJ264" s="1804">
        <v>0</v>
      </c>
      <c r="BK264" s="1804">
        <v>0</v>
      </c>
      <c r="BL264" s="1804">
        <v>0</v>
      </c>
      <c r="BM264" s="1804">
        <v>0</v>
      </c>
      <c r="BN264" s="1804">
        <v>0</v>
      </c>
      <c r="BO264" s="1804">
        <v>0</v>
      </c>
      <c r="BP264" s="1804">
        <v>0</v>
      </c>
      <c r="BQ264" s="1804">
        <v>0</v>
      </c>
      <c r="BR264" s="1804">
        <v>0</v>
      </c>
      <c r="BS264" s="1804">
        <v>0</v>
      </c>
      <c r="BT264" s="1804">
        <v>0</v>
      </c>
      <c r="BU264" s="1804">
        <v>0</v>
      </c>
      <c r="BV264" s="1804">
        <v>0</v>
      </c>
      <c r="BW264" s="1804">
        <v>0</v>
      </c>
      <c r="BX264" s="1804">
        <v>0</v>
      </c>
      <c r="BY264" s="1804">
        <v>0</v>
      </c>
      <c r="BZ264" s="1804">
        <v>0</v>
      </c>
      <c r="CA264" s="1804">
        <v>0</v>
      </c>
      <c r="CB264" s="1804">
        <v>0</v>
      </c>
      <c r="CC264" s="1804">
        <v>0</v>
      </c>
      <c r="CD264" s="1804">
        <v>0</v>
      </c>
      <c r="CE264" s="1804">
        <v>0</v>
      </c>
      <c r="CF264" s="1804">
        <v>0</v>
      </c>
      <c r="CG264" s="1804">
        <v>0</v>
      </c>
      <c r="CH264" s="1804">
        <v>0</v>
      </c>
      <c r="CI264" s="1804">
        <v>0</v>
      </c>
      <c r="CJ264" s="1804">
        <v>0</v>
      </c>
      <c r="CK264" s="1804">
        <v>0</v>
      </c>
      <c r="CL264" s="1804">
        <v>0</v>
      </c>
      <c r="CM264" s="1804">
        <v>0</v>
      </c>
      <c r="CN264" s="1804">
        <v>0</v>
      </c>
      <c r="CO264" s="1804">
        <v>0</v>
      </c>
      <c r="CP264" s="1804">
        <v>0</v>
      </c>
      <c r="CQ264" s="1804">
        <v>0</v>
      </c>
      <c r="CR264" s="1804">
        <v>0</v>
      </c>
      <c r="CS264" s="1804">
        <v>0</v>
      </c>
      <c r="CT264" s="1804">
        <v>0</v>
      </c>
      <c r="CU264" s="1804">
        <v>0</v>
      </c>
      <c r="CV264" s="1804">
        <v>0</v>
      </c>
      <c r="CW264" s="1804">
        <v>0</v>
      </c>
      <c r="CX264" s="1804">
        <v>0</v>
      </c>
      <c r="CY264" s="1804">
        <v>0</v>
      </c>
      <c r="CZ264" s="1804">
        <v>0</v>
      </c>
      <c r="DA264" s="1804">
        <v>0</v>
      </c>
      <c r="DB264" s="1804">
        <v>0</v>
      </c>
      <c r="DC264" s="1804">
        <v>0</v>
      </c>
      <c r="DD264" s="1804">
        <v>0</v>
      </c>
      <c r="DE264" s="1804">
        <v>0</v>
      </c>
      <c r="DF264" s="1804">
        <v>0</v>
      </c>
      <c r="DG264" s="1804">
        <v>0</v>
      </c>
      <c r="DH264" s="1804">
        <v>0</v>
      </c>
      <c r="DI264" s="1804">
        <v>0</v>
      </c>
      <c r="DJ264" s="1804">
        <v>0</v>
      </c>
      <c r="DK264" s="1804">
        <v>0</v>
      </c>
      <c r="DL264" s="1804">
        <v>0</v>
      </c>
      <c r="DM264" s="1804">
        <v>0</v>
      </c>
      <c r="DN264" s="1804">
        <v>0</v>
      </c>
      <c r="DO264" s="1804">
        <v>0</v>
      </c>
      <c r="DP264" s="1804">
        <v>0</v>
      </c>
      <c r="DQ264" s="1804">
        <v>0</v>
      </c>
      <c r="DR264" s="1804">
        <v>0</v>
      </c>
      <c r="DS264" s="1804">
        <v>0</v>
      </c>
      <c r="DT264" s="1804">
        <v>0</v>
      </c>
      <c r="DU264" s="1804">
        <v>0</v>
      </c>
      <c r="DV264" s="1804">
        <v>0</v>
      </c>
      <c r="DW264" s="1804">
        <v>0</v>
      </c>
      <c r="DX264" s="1804">
        <v>0</v>
      </c>
      <c r="DY264" s="1804">
        <v>0</v>
      </c>
      <c r="DZ264" s="1804">
        <v>0</v>
      </c>
      <c r="EA264" s="1804">
        <v>0</v>
      </c>
      <c r="EB264" s="1804">
        <v>0</v>
      </c>
      <c r="EC264" s="1804">
        <v>0</v>
      </c>
      <c r="ED264" s="1804">
        <v>0</v>
      </c>
      <c r="EE264" s="1804">
        <v>0</v>
      </c>
      <c r="EF264" s="1804">
        <v>0</v>
      </c>
      <c r="EG264" s="1804">
        <v>0</v>
      </c>
      <c r="EH264" s="1804">
        <v>0</v>
      </c>
      <c r="EI264" s="1804">
        <v>0</v>
      </c>
      <c r="EJ264" s="1804">
        <v>0</v>
      </c>
      <c r="EK264" s="1804">
        <v>0</v>
      </c>
      <c r="EL264" s="1804">
        <v>0</v>
      </c>
      <c r="EM264" s="1804">
        <v>0</v>
      </c>
      <c r="EN264" s="1804">
        <v>0</v>
      </c>
      <c r="EO264" s="1804">
        <v>0</v>
      </c>
      <c r="EP264" s="1804">
        <v>0</v>
      </c>
      <c r="EQ264" s="1804">
        <v>0</v>
      </c>
      <c r="ER264" s="1804">
        <v>0</v>
      </c>
      <c r="ES264" s="1804">
        <v>0</v>
      </c>
      <c r="ET264" s="1804">
        <v>0</v>
      </c>
      <c r="EU264" s="1804">
        <v>0</v>
      </c>
      <c r="EV264" s="1804">
        <v>0</v>
      </c>
      <c r="EW264" s="1804">
        <v>0</v>
      </c>
      <c r="EX264" s="1804">
        <v>0</v>
      </c>
      <c r="EY264" s="1804">
        <v>0</v>
      </c>
      <c r="EZ264" s="1804">
        <v>0</v>
      </c>
      <c r="FA264" s="1804">
        <v>0</v>
      </c>
      <c r="FB264" s="1804">
        <v>0</v>
      </c>
      <c r="FC264" s="1804">
        <v>0</v>
      </c>
      <c r="FD264" s="1804">
        <v>0</v>
      </c>
      <c r="FE264" s="1804">
        <v>0</v>
      </c>
      <c r="FF264" s="1804">
        <v>0</v>
      </c>
      <c r="FG264" s="1804">
        <v>0</v>
      </c>
      <c r="FH264" s="1804">
        <v>0</v>
      </c>
      <c r="FI264" s="1804">
        <v>0</v>
      </c>
      <c r="FJ264" s="1804">
        <v>0</v>
      </c>
      <c r="FK264" s="1804">
        <v>0</v>
      </c>
      <c r="FL264" s="1804">
        <v>0</v>
      </c>
      <c r="FM264" s="1804">
        <v>0</v>
      </c>
      <c r="FN264" s="1804">
        <v>0</v>
      </c>
      <c r="FO264" s="1804">
        <v>0</v>
      </c>
      <c r="FP264" s="1804">
        <v>0</v>
      </c>
      <c r="FQ264" s="1804">
        <v>0</v>
      </c>
      <c r="FR264" s="1804">
        <v>0</v>
      </c>
      <c r="FS264" s="1804">
        <v>0</v>
      </c>
      <c r="FT264" s="1804">
        <v>0</v>
      </c>
      <c r="FU264" s="1804">
        <v>0</v>
      </c>
      <c r="FV264" s="1804">
        <v>0</v>
      </c>
      <c r="FW264" s="1804">
        <v>0</v>
      </c>
      <c r="FX264" s="1804">
        <v>0</v>
      </c>
      <c r="FY264" s="1804">
        <v>0</v>
      </c>
      <c r="FZ264" s="1804">
        <v>0</v>
      </c>
      <c r="GA264" s="1804">
        <v>0</v>
      </c>
      <c r="GB264" s="1804">
        <v>0</v>
      </c>
      <c r="GC264" s="1804">
        <v>0</v>
      </c>
      <c r="GD264" s="1804">
        <v>0</v>
      </c>
      <c r="GE264" s="1804">
        <v>0</v>
      </c>
      <c r="GF264" s="1804">
        <v>0</v>
      </c>
      <c r="GG264" s="1804">
        <v>0</v>
      </c>
      <c r="GH264" s="1804">
        <v>0</v>
      </c>
      <c r="GI264" s="1804">
        <v>0</v>
      </c>
      <c r="GJ264" s="1804">
        <v>0</v>
      </c>
      <c r="GK264" s="1804">
        <v>0</v>
      </c>
      <c r="GL264" s="1804">
        <v>0</v>
      </c>
      <c r="GM264" s="1804">
        <v>0</v>
      </c>
      <c r="GN264" s="1804">
        <v>0</v>
      </c>
      <c r="GO264" s="1804">
        <v>0</v>
      </c>
      <c r="GP264" s="1804">
        <v>0</v>
      </c>
      <c r="GQ264" s="1804">
        <v>0</v>
      </c>
      <c r="GR264" s="1804">
        <v>0</v>
      </c>
      <c r="GS264" s="1804">
        <v>0</v>
      </c>
      <c r="GT264" s="1804">
        <v>0</v>
      </c>
      <c r="GU264" s="1804">
        <v>0</v>
      </c>
      <c r="GV264" s="1804">
        <v>0</v>
      </c>
      <c r="GW264" s="1804">
        <v>0</v>
      </c>
      <c r="GX264" s="1804">
        <v>0</v>
      </c>
      <c r="GY264" s="1804">
        <v>0</v>
      </c>
      <c r="GZ264" s="1804">
        <v>0</v>
      </c>
      <c r="HA264" s="1804">
        <v>0</v>
      </c>
      <c r="HB264" s="1804">
        <v>0</v>
      </c>
      <c r="HC264" s="1804">
        <v>0</v>
      </c>
      <c r="HD264" s="1804">
        <v>0</v>
      </c>
      <c r="HE264" s="1804">
        <v>0</v>
      </c>
      <c r="HF264" s="1864"/>
      <c r="HG264" s="1864"/>
      <c r="HH264" s="1864"/>
      <c r="HI264" s="1864"/>
      <c r="HJ264" s="1864"/>
      <c r="HK264" s="1864"/>
      <c r="HL264" s="1864"/>
      <c r="HM264" s="1864"/>
      <c r="HN264" s="1864"/>
      <c r="HO264" s="1864"/>
      <c r="HP264" s="1864"/>
      <c r="HQ264" s="1864"/>
      <c r="HR264" s="1864"/>
      <c r="HS264" s="1864"/>
      <c r="HT264" s="1864"/>
      <c r="HU264" s="1864"/>
      <c r="HV264" s="1864"/>
      <c r="HW264" s="1864"/>
      <c r="HX264" s="1864"/>
      <c r="HY264" s="1864"/>
      <c r="HZ264" s="1864"/>
      <c r="IA264" s="1864"/>
      <c r="IB264" s="1864"/>
      <c r="IC264" s="1864"/>
      <c r="ID264" s="1864"/>
      <c r="IE264" s="1864"/>
      <c r="IF264" s="1864"/>
      <c r="IG264" s="1864"/>
      <c r="IH264" s="1864"/>
      <c r="II264" s="1864"/>
      <c r="IJ264" s="1864"/>
      <c r="IK264" s="1864"/>
      <c r="IL264" s="1864"/>
      <c r="IM264" s="1864"/>
      <c r="IN264" s="1864"/>
      <c r="IO264" s="1864"/>
      <c r="IP264" s="1864"/>
      <c r="IQ264" s="1864"/>
      <c r="IR264" s="1864"/>
      <c r="IS264" s="1864"/>
      <c r="IT264" s="1864"/>
      <c r="IU264" s="1864"/>
      <c r="IV264" s="1864"/>
      <c r="IW264" s="1864"/>
      <c r="IX264" s="1864"/>
      <c r="IY264" s="1864"/>
      <c r="IZ264" s="1864"/>
      <c r="JA264" s="1864"/>
      <c r="JB264" s="1864"/>
      <c r="JC264" s="1864"/>
      <c r="JD264" s="1864"/>
      <c r="JE264" s="1864"/>
      <c r="JF264" s="1864"/>
      <c r="JG264" s="1864"/>
      <c r="JH264" s="1864"/>
      <c r="JI264" s="1864"/>
      <c r="JJ264" s="1864"/>
      <c r="JK264" s="1864"/>
      <c r="JL264" s="1864"/>
      <c r="JM264" s="1864"/>
      <c r="JN264" s="1864"/>
      <c r="JO264" s="1864"/>
      <c r="JP264" s="1864"/>
      <c r="JQ264" s="1864"/>
      <c r="JR264" s="1864"/>
      <c r="JS264" s="1864"/>
      <c r="JT264" s="1864"/>
      <c r="JU264" s="1864"/>
      <c r="JV264" s="1864"/>
      <c r="JW264" s="1864"/>
      <c r="JX264" s="1864"/>
      <c r="JY264" s="1864"/>
      <c r="JZ264" s="1864"/>
      <c r="KA264" s="1864"/>
      <c r="KB264" s="1864"/>
      <c r="KC264" s="1864"/>
      <c r="KD264" s="1864"/>
      <c r="KE264" s="1864"/>
      <c r="KF264" s="1864"/>
      <c r="KG264" s="1864"/>
      <c r="KH264" s="1864"/>
      <c r="KI264" s="1864"/>
      <c r="KJ264" s="1864"/>
      <c r="KK264" s="1864"/>
      <c r="KL264" s="1864"/>
      <c r="KM264" s="1864"/>
      <c r="KN264" s="1864"/>
      <c r="KO264" s="1864"/>
      <c r="KP264" s="1864"/>
      <c r="KQ264" s="1864"/>
      <c r="KR264" s="1864"/>
      <c r="KS264" s="1864"/>
      <c r="KT264" s="1864"/>
      <c r="KU264" s="1864"/>
      <c r="KV264" s="1864"/>
      <c r="KW264" s="1864"/>
      <c r="KX264" s="1864"/>
      <c r="KY264" s="1864"/>
      <c r="KZ264" s="1864"/>
      <c r="LA264" s="1864"/>
      <c r="LB264" s="1864"/>
      <c r="LC264" s="1864"/>
      <c r="LD264" s="1864"/>
      <c r="LE264" s="1864"/>
      <c r="LF264" s="1864"/>
      <c r="LG264" s="1864"/>
      <c r="LH264" s="1864"/>
      <c r="LI264" s="1864"/>
      <c r="LJ264" s="1864"/>
      <c r="LK264" s="1864"/>
      <c r="LL264" s="1864"/>
      <c r="LM264" s="1864"/>
      <c r="LN264" s="1864"/>
      <c r="LO264" s="1864"/>
      <c r="LP264" s="1864"/>
      <c r="LQ264" s="1864"/>
      <c r="LR264" s="1864"/>
      <c r="LS264" s="1864"/>
      <c r="LT264" s="1864"/>
      <c r="LU264" s="1864"/>
      <c r="LV264" s="1864"/>
      <c r="LW264" s="1864"/>
      <c r="LX264" s="1864"/>
      <c r="LY264" s="1864"/>
      <c r="LZ264" s="1864"/>
      <c r="MA264" s="1864"/>
      <c r="MB264" s="1864"/>
      <c r="MC264" s="1864"/>
      <c r="MD264" s="1864"/>
      <c r="ME264" s="1864"/>
      <c r="MF264" s="1864"/>
      <c r="MG264" s="1864"/>
      <c r="MH264" s="1864"/>
      <c r="MI264" s="1864"/>
      <c r="MJ264" s="1864"/>
      <c r="MK264" s="1864"/>
      <c r="ML264" s="1864"/>
      <c r="MM264" s="1864"/>
      <c r="MN264" s="1864"/>
      <c r="MO264" s="1864"/>
      <c r="MP264" s="1864"/>
      <c r="MQ264" s="1864"/>
      <c r="MR264" s="1864"/>
      <c r="MS264" s="1864"/>
      <c r="MT264" s="1864"/>
      <c r="MU264" s="1864"/>
      <c r="MV264" s="1864"/>
      <c r="MW264" s="1864"/>
      <c r="MX264" s="1864"/>
      <c r="MY264" s="1864"/>
      <c r="MZ264" s="1864"/>
      <c r="NA264" s="1864"/>
      <c r="NB264" s="1864"/>
      <c r="NC264" s="1864"/>
      <c r="ND264" s="1864"/>
      <c r="NE264" s="1864"/>
      <c r="NF264" s="1864"/>
      <c r="NG264" s="1864"/>
      <c r="NH264" s="1864"/>
      <c r="NI264" s="1864"/>
      <c r="NJ264" s="1864"/>
      <c r="NK264" s="1864"/>
      <c r="NL264" s="1864"/>
      <c r="NM264" s="1864"/>
      <c r="NN264" s="1864"/>
      <c r="NO264" s="1864"/>
      <c r="NP264" s="1864"/>
      <c r="NQ264" s="1864"/>
      <c r="NR264" s="1864"/>
      <c r="NS264" s="1864"/>
      <c r="NT264" s="1864"/>
      <c r="NU264" s="1864"/>
      <c r="NV264" s="1864"/>
      <c r="NW264" s="1864"/>
      <c r="NX264" s="1864"/>
      <c r="NY264" s="1864"/>
      <c r="NZ264" s="1864"/>
      <c r="OA264" s="1864"/>
      <c r="OB264" s="1864"/>
      <c r="OC264" s="1864"/>
      <c r="OD264" s="1864"/>
      <c r="OE264" s="1864"/>
      <c r="OF264" s="1864"/>
      <c r="OG264" s="1864"/>
      <c r="OH264" s="1864"/>
      <c r="OI264" s="1864"/>
      <c r="OJ264" s="1864"/>
      <c r="OK264" s="1864"/>
      <c r="OL264" s="1864"/>
      <c r="OM264" s="1864"/>
      <c r="ON264" s="1864"/>
      <c r="OO264" s="1864"/>
      <c r="OP264" s="1864"/>
      <c r="OQ264" s="1864"/>
      <c r="OR264" s="1864"/>
      <c r="OS264" s="1864"/>
      <c r="OT264" s="1864"/>
      <c r="OU264" s="1864"/>
      <c r="OV264" s="1864"/>
      <c r="OW264" s="1864"/>
      <c r="OX264" s="1864"/>
      <c r="OY264" s="1864"/>
      <c r="OZ264" s="1864"/>
      <c r="PA264" s="1864"/>
      <c r="PB264" s="1864"/>
      <c r="PC264" s="1864"/>
      <c r="PD264" s="1864"/>
      <c r="PE264" s="1864"/>
      <c r="PF264" s="1864"/>
      <c r="PG264" s="1864"/>
      <c r="PH264" s="1864"/>
      <c r="PI264" s="1864"/>
      <c r="PJ264" s="1864"/>
      <c r="PK264" s="1864"/>
      <c r="PL264" s="1864"/>
      <c r="PM264" s="1864"/>
      <c r="PN264" s="1864"/>
      <c r="PO264" s="1864"/>
      <c r="PP264" s="1864"/>
      <c r="PQ264" s="1864"/>
      <c r="PR264" s="1864"/>
      <c r="PS264" s="1864"/>
      <c r="PT264" s="1864"/>
      <c r="PU264" s="1864"/>
      <c r="PV264" s="1864"/>
      <c r="PW264" s="1864"/>
      <c r="PX264" s="1864"/>
      <c r="PY264" s="1864"/>
      <c r="PZ264" s="1864"/>
      <c r="QA264" s="1864"/>
      <c r="QB264" s="1864"/>
      <c r="QC264" s="1864"/>
      <c r="QD264" s="1864"/>
      <c r="QE264" s="1864"/>
      <c r="QF264" s="1864"/>
      <c r="QG264" s="1864"/>
      <c r="QH264" s="1864"/>
      <c r="QI264" s="1864"/>
      <c r="QJ264" s="1864"/>
      <c r="QK264" s="1864"/>
      <c r="QL264" s="1864"/>
      <c r="QM264" s="1864"/>
      <c r="QN264" s="1864"/>
      <c r="QO264" s="1864"/>
      <c r="QP264" s="1864"/>
      <c r="QQ264" s="1864"/>
      <c r="QR264" s="1864"/>
      <c r="QS264" s="1864"/>
      <c r="QT264" s="1864"/>
      <c r="QU264" s="1864"/>
      <c r="QV264" s="1864"/>
      <c r="QW264" s="1864"/>
      <c r="QX264" s="1864"/>
      <c r="QY264" s="1864"/>
      <c r="QZ264" s="1864"/>
      <c r="RA264" s="1864"/>
      <c r="RB264" s="1864"/>
      <c r="RC264" s="1864"/>
      <c r="RD264" s="1864"/>
      <c r="RE264" s="1864"/>
      <c r="RF264" s="1864"/>
      <c r="RG264" s="1864"/>
      <c r="RH264" s="1864"/>
      <c r="RI264" s="1864"/>
      <c r="RJ264" s="1864"/>
      <c r="RK264" s="1864"/>
      <c r="RL264" s="1864"/>
      <c r="RM264" s="1864"/>
      <c r="RN264" s="1864"/>
      <c r="RO264" s="1864"/>
      <c r="RP264" s="1864"/>
      <c r="RQ264" s="1864"/>
      <c r="RR264" s="1864"/>
      <c r="RS264" s="1864"/>
      <c r="RT264" s="1864"/>
      <c r="RU264" s="1864"/>
      <c r="RV264" s="1864"/>
      <c r="RW264" s="1864"/>
      <c r="RX264" s="1864"/>
      <c r="RY264" s="1864"/>
      <c r="RZ264" s="1864"/>
      <c r="SA264" s="1864"/>
      <c r="SB264" s="1864"/>
      <c r="SC264" s="1864"/>
      <c r="SD264" s="1864"/>
      <c r="SE264" s="1864"/>
      <c r="SF264" s="1864"/>
      <c r="SG264" s="1864"/>
      <c r="SH264" s="1864"/>
      <c r="SI264" s="1864"/>
      <c r="SJ264" s="1864"/>
      <c r="SK264" s="1864"/>
      <c r="SL264" s="1864"/>
      <c r="SM264" s="1864"/>
      <c r="SN264" s="1864"/>
      <c r="SO264" s="1864"/>
      <c r="SP264" s="1864"/>
      <c r="SQ264" s="1864"/>
      <c r="SR264" s="1864"/>
      <c r="SS264" s="1864"/>
      <c r="ST264" s="1864"/>
      <c r="SU264" s="1864"/>
      <c r="SV264" s="1864"/>
      <c r="SW264" s="1864"/>
      <c r="SX264" s="1864"/>
      <c r="SY264" s="1864"/>
      <c r="SZ264" s="1864"/>
      <c r="TA264" s="1864"/>
      <c r="TB264" s="1864"/>
      <c r="TC264" s="1864"/>
      <c r="TD264" s="1864"/>
      <c r="TE264" s="1864"/>
      <c r="TF264" s="1864"/>
      <c r="TG264" s="1864"/>
      <c r="TH264" s="1864"/>
      <c r="TI264" s="1864"/>
      <c r="TJ264" s="1864"/>
      <c r="TK264" s="1864"/>
      <c r="TL264" s="1864"/>
      <c r="TM264" s="1864"/>
      <c r="TN264" s="1864"/>
      <c r="TO264" s="1864"/>
      <c r="TP264" s="1864"/>
      <c r="TQ264" s="1864"/>
      <c r="TR264" s="1864"/>
      <c r="TS264" s="1864"/>
      <c r="TT264" s="1864"/>
      <c r="TU264" s="1864"/>
      <c r="TV264" s="1864"/>
      <c r="TW264" s="1864"/>
      <c r="TX264" s="1864"/>
      <c r="TY264" s="1864"/>
      <c r="TZ264" s="1864"/>
      <c r="UA264" s="1864"/>
      <c r="UB264" s="1864"/>
      <c r="UC264" s="1864"/>
      <c r="UD264" s="1864"/>
      <c r="UE264" s="1864"/>
      <c r="UF264" s="1864"/>
      <c r="UG264" s="1864"/>
      <c r="UH264" s="1864"/>
      <c r="UI264" s="1864"/>
      <c r="UJ264" s="1864"/>
      <c r="UK264" s="1864"/>
      <c r="UL264" s="1864"/>
      <c r="UM264" s="1864"/>
      <c r="UN264" s="1864"/>
      <c r="UO264" s="1864"/>
      <c r="UP264" s="1864"/>
      <c r="UQ264" s="1864"/>
      <c r="UR264" s="1864"/>
      <c r="US264" s="1864"/>
      <c r="UT264" s="1864"/>
      <c r="UU264" s="1864"/>
      <c r="UV264" s="1864"/>
      <c r="UW264" s="1864"/>
      <c r="UX264" s="1864"/>
      <c r="UY264" s="1864"/>
      <c r="UZ264" s="1864"/>
      <c r="VA264" s="1864"/>
      <c r="VB264" s="1864"/>
      <c r="VC264" s="1864"/>
      <c r="VD264" s="1864"/>
      <c r="VE264" s="1864"/>
      <c r="VF264" s="1864"/>
      <c r="VG264" s="1864"/>
      <c r="VH264" s="1864"/>
      <c r="VI264" s="1864"/>
      <c r="VJ264" s="1864"/>
      <c r="VK264" s="1864"/>
      <c r="VL264" s="1864"/>
      <c r="VM264" s="1864"/>
      <c r="VN264" s="1864"/>
      <c r="VO264" s="1864"/>
      <c r="VP264" s="1864"/>
      <c r="VQ264" s="1864"/>
      <c r="VR264" s="1864"/>
      <c r="VS264" s="1864"/>
      <c r="VT264" s="1864"/>
      <c r="VU264" s="1864"/>
      <c r="VV264" s="1864"/>
      <c r="VW264" s="1864"/>
      <c r="VX264" s="1864"/>
      <c r="VY264" s="1864"/>
      <c r="VZ264" s="1864"/>
      <c r="WA264" s="1864"/>
      <c r="WB264" s="1864"/>
      <c r="WC264" s="1864"/>
      <c r="WD264" s="1864"/>
      <c r="WE264" s="1864"/>
      <c r="WF264" s="1864"/>
      <c r="WG264" s="1864"/>
      <c r="WH264" s="1864"/>
      <c r="WI264" s="1864"/>
      <c r="WJ264" s="1864"/>
      <c r="WK264" s="1864"/>
      <c r="WL264" s="1864"/>
      <c r="WM264" s="1864"/>
      <c r="WN264" s="1864"/>
      <c r="WO264" s="1864"/>
      <c r="WP264" s="1864"/>
      <c r="WQ264" s="1864"/>
      <c r="WR264" s="1864"/>
      <c r="WS264" s="1864"/>
      <c r="WT264" s="1864"/>
      <c r="WU264" s="1864"/>
      <c r="WV264" s="1864"/>
      <c r="WW264" s="1864"/>
      <c r="WX264" s="1864"/>
      <c r="WY264" s="1864"/>
      <c r="WZ264" s="1864"/>
      <c r="XA264" s="1864"/>
      <c r="XB264" s="1864"/>
      <c r="XC264" s="1864"/>
      <c r="XD264" s="1864"/>
      <c r="XE264" s="1864"/>
      <c r="XF264" s="1864"/>
      <c r="XG264" s="1864"/>
      <c r="XH264" s="1864"/>
      <c r="XI264" s="1864"/>
      <c r="XJ264" s="1864"/>
      <c r="XK264" s="1864"/>
      <c r="XL264" s="1864"/>
      <c r="XM264" s="1864"/>
      <c r="XN264" s="1864"/>
      <c r="XO264" s="1864"/>
      <c r="XP264" s="1864"/>
      <c r="XQ264" s="1864"/>
      <c r="XR264" s="1864"/>
      <c r="XS264" s="1864"/>
      <c r="XT264" s="1864"/>
      <c r="XU264" s="1864"/>
      <c r="XV264" s="1864"/>
      <c r="XW264" s="1864"/>
      <c r="XX264" s="1864"/>
      <c r="XY264" s="1864"/>
      <c r="XZ264" s="1864"/>
      <c r="YA264" s="1864"/>
      <c r="YB264" s="1864"/>
      <c r="YC264" s="1864"/>
      <c r="YD264" s="1864"/>
      <c r="YE264" s="1864"/>
      <c r="YF264" s="1864"/>
      <c r="YG264" s="1864"/>
      <c r="YH264" s="1864"/>
      <c r="YI264" s="1864"/>
      <c r="YJ264" s="1864"/>
      <c r="YK264" s="1864"/>
      <c r="YL264" s="1864"/>
      <c r="YM264" s="1864"/>
      <c r="YN264" s="1864"/>
      <c r="YO264" s="1864"/>
      <c r="YP264" s="1864"/>
      <c r="YQ264" s="1864"/>
      <c r="YR264" s="1864"/>
      <c r="YS264" s="1864"/>
      <c r="YT264" s="1864"/>
      <c r="YU264" s="1864"/>
      <c r="YV264" s="1864"/>
      <c r="YW264" s="1864"/>
      <c r="YX264" s="1864"/>
      <c r="YY264" s="1864"/>
      <c r="YZ264" s="1864"/>
      <c r="ZA264" s="1864"/>
      <c r="ZB264" s="1864"/>
      <c r="ZC264" s="1864"/>
      <c r="ZD264" s="1864"/>
      <c r="ZE264" s="1864"/>
      <c r="ZF264" s="1864"/>
      <c r="ZG264" s="1864"/>
      <c r="ZH264" s="1864"/>
      <c r="ZI264" s="1864"/>
      <c r="ZJ264" s="1864"/>
      <c r="ZK264" s="1864"/>
      <c r="ZL264" s="1864"/>
      <c r="ZM264" s="1864"/>
      <c r="ZN264" s="1864"/>
      <c r="ZO264" s="1864"/>
      <c r="ZP264" s="1864"/>
      <c r="ZQ264" s="1864"/>
      <c r="ZR264" s="1864"/>
      <c r="ZS264" s="1864"/>
      <c r="ZT264" s="1864"/>
      <c r="ZU264" s="1864"/>
      <c r="ZV264" s="1864"/>
      <c r="ZW264" s="1864"/>
      <c r="ZX264" s="1864"/>
      <c r="ZY264" s="1864"/>
      <c r="ZZ264" s="1864"/>
      <c r="AAA264" s="1864"/>
      <c r="AAB264" s="1864"/>
      <c r="AAC264" s="1864"/>
      <c r="AAD264" s="1864"/>
      <c r="AAE264" s="1864"/>
      <c r="AAF264" s="1864"/>
      <c r="AAG264" s="1864"/>
      <c r="AAH264" s="1864"/>
      <c r="AAI264" s="1864"/>
      <c r="AAJ264" s="1864"/>
      <c r="AAK264" s="1864"/>
      <c r="AAL264" s="1864"/>
      <c r="AAM264" s="1864"/>
      <c r="AAN264" s="1864"/>
      <c r="AAO264" s="1864"/>
      <c r="AAP264" s="1864"/>
      <c r="AAQ264" s="1864"/>
      <c r="AAR264" s="1864"/>
      <c r="AAS264" s="1864"/>
      <c r="AAT264" s="1864"/>
      <c r="AAU264" s="1864"/>
      <c r="AAV264" s="1864"/>
      <c r="AAW264" s="1864"/>
      <c r="AAX264" s="1864"/>
      <c r="AAY264" s="1864"/>
      <c r="AAZ264" s="1864"/>
      <c r="ABA264" s="1864"/>
      <c r="ABB264" s="1864"/>
      <c r="ABC264" s="1864"/>
      <c r="ABD264" s="1864"/>
      <c r="ABE264" s="1864"/>
      <c r="ABF264" s="1864"/>
      <c r="ABG264" s="1864"/>
      <c r="ABH264" s="1864"/>
      <c r="ABI264" s="1864"/>
      <c r="ABJ264" s="1864"/>
      <c r="ABK264" s="1864"/>
      <c r="ABL264" s="1864"/>
      <c r="ABM264" s="1864"/>
      <c r="ABN264" s="1864"/>
      <c r="ABO264" s="1864"/>
      <c r="ABP264" s="1864"/>
      <c r="ABQ264" s="1864"/>
      <c r="ABR264" s="1864"/>
      <c r="ABS264" s="1864"/>
      <c r="ABT264" s="1864"/>
      <c r="ABU264" s="1864"/>
      <c r="ABV264" s="1864"/>
      <c r="ABW264" s="1864"/>
      <c r="ABX264" s="1864"/>
      <c r="ABY264" s="1864"/>
      <c r="ABZ264" s="1864"/>
      <c r="ACA264" s="1864"/>
      <c r="ACB264" s="1864"/>
      <c r="ACC264" s="1864"/>
      <c r="ACD264" s="1864"/>
      <c r="ACE264" s="1864"/>
      <c r="ACF264" s="1864"/>
      <c r="ACG264" s="1864"/>
      <c r="ACH264" s="1864"/>
      <c r="ACI264" s="1864"/>
      <c r="ACJ264" s="1864"/>
      <c r="ACK264" s="1864"/>
      <c r="ACL264" s="1864"/>
      <c r="ACM264" s="1864"/>
      <c r="ACN264" s="1864"/>
      <c r="ACO264" s="1864"/>
      <c r="ACP264" s="1864"/>
      <c r="ACQ264" s="1864"/>
      <c r="ACR264" s="1864"/>
      <c r="ACS264" s="1864"/>
      <c r="ACT264" s="1864"/>
      <c r="ACU264" s="1864"/>
      <c r="ACV264" s="1864"/>
      <c r="ACW264" s="1864"/>
      <c r="ACX264" s="1864"/>
      <c r="ACY264" s="1864"/>
      <c r="ACZ264" s="1864"/>
      <c r="ADA264" s="1864"/>
      <c r="ADB264" s="1864"/>
      <c r="ADC264" s="1864"/>
      <c r="ADD264" s="1864"/>
      <c r="ADE264" s="1864"/>
      <c r="ADF264" s="1864"/>
      <c r="ADG264" s="1864"/>
      <c r="ADH264" s="1864"/>
      <c r="ADI264" s="1864"/>
      <c r="ADJ264" s="1864"/>
      <c r="ADK264" s="1864"/>
      <c r="ADL264" s="1864"/>
      <c r="ADM264" s="1864"/>
      <c r="ADN264" s="1864"/>
      <c r="ADO264" s="1864"/>
      <c r="ADP264" s="1864"/>
      <c r="ADQ264" s="1864"/>
      <c r="ADR264" s="1864"/>
      <c r="ADS264" s="1864"/>
      <c r="ADT264" s="1864"/>
      <c r="ADU264" s="1864"/>
      <c r="ADV264" s="1864"/>
      <c r="ADW264" s="1864"/>
      <c r="ADX264" s="1864"/>
      <c r="ADY264" s="1864"/>
      <c r="ADZ264" s="1864"/>
      <c r="AEA264" s="1864"/>
      <c r="AEB264" s="1864"/>
      <c r="AEC264" s="1864"/>
      <c r="AED264" s="1864"/>
      <c r="AEE264" s="1864"/>
      <c r="AEF264" s="1864"/>
      <c r="AEG264" s="1864"/>
      <c r="AEH264" s="1864"/>
      <c r="AEI264" s="1864"/>
      <c r="AEJ264" s="1864"/>
      <c r="AEK264" s="1864"/>
      <c r="AEL264" s="1864"/>
      <c r="AEM264" s="1864"/>
      <c r="AEN264" s="1864"/>
      <c r="AEO264" s="1864"/>
      <c r="AEP264" s="1864"/>
      <c r="AEQ264" s="1864"/>
      <c r="AER264" s="1864"/>
      <c r="AES264" s="1864"/>
      <c r="AET264" s="1864"/>
      <c r="AEU264" s="1864"/>
      <c r="AEV264" s="1864"/>
      <c r="AEW264" s="1864"/>
      <c r="AEX264" s="1864"/>
      <c r="AEY264" s="1864"/>
      <c r="AEZ264" s="1864"/>
      <c r="AFA264" s="1864"/>
      <c r="AFB264" s="1864"/>
      <c r="AFC264" s="1864"/>
      <c r="AFD264" s="1864"/>
      <c r="AFE264" s="1864"/>
      <c r="AFF264" s="1864"/>
      <c r="AFG264" s="1864"/>
      <c r="AFH264" s="1864"/>
      <c r="AFI264" s="1864"/>
      <c r="AFJ264" s="1864"/>
      <c r="AFK264" s="1864"/>
      <c r="AFL264" s="1864"/>
      <c r="AFM264" s="1864"/>
      <c r="AFN264" s="1864"/>
      <c r="AFO264" s="1864"/>
      <c r="AFP264" s="1864"/>
      <c r="AFQ264" s="1864"/>
      <c r="AFR264" s="1864"/>
      <c r="AFS264" s="1864"/>
      <c r="AFT264" s="1864"/>
      <c r="AFU264" s="1864"/>
      <c r="AFV264" s="1864"/>
      <c r="AFW264" s="1864"/>
      <c r="AFX264" s="1864"/>
      <c r="AFY264" s="1864"/>
      <c r="AFZ264" s="1864"/>
      <c r="AGA264" s="1864"/>
      <c r="AGB264" s="1864"/>
      <c r="AGC264" s="1864"/>
      <c r="AGD264" s="1864"/>
      <c r="AGE264" s="1864"/>
      <c r="AGF264" s="1864"/>
      <c r="AGG264" s="1864"/>
      <c r="AGH264" s="1864"/>
      <c r="AGI264" s="1864"/>
      <c r="AGJ264" s="1864"/>
      <c r="AGK264" s="1864"/>
      <c r="AGL264" s="1864"/>
      <c r="AGM264" s="1864"/>
      <c r="AGN264" s="1864"/>
      <c r="AGO264" s="1864"/>
      <c r="AGP264" s="1864"/>
      <c r="AGQ264" s="1864"/>
      <c r="AGR264" s="1864"/>
      <c r="AGS264" s="1864"/>
      <c r="AGT264" s="1864"/>
      <c r="AGU264" s="1864"/>
      <c r="AGV264" s="1864"/>
      <c r="AGW264" s="1864"/>
      <c r="AGX264" s="1864"/>
      <c r="AGY264" s="1864"/>
      <c r="AGZ264" s="1864"/>
      <c r="AHA264" s="1864"/>
      <c r="AHB264" s="1864"/>
      <c r="AHC264" s="1864"/>
      <c r="AHD264" s="1864"/>
      <c r="AHE264" s="1864"/>
      <c r="AHF264" s="1864"/>
      <c r="AHG264" s="1864"/>
      <c r="AHH264" s="1864"/>
      <c r="AHI264" s="1864"/>
      <c r="AHJ264" s="1864"/>
      <c r="AHK264" s="1864"/>
      <c r="AHL264" s="1864"/>
      <c r="AHM264" s="1864"/>
      <c r="AHN264" s="1864"/>
      <c r="AHO264" s="1864"/>
      <c r="AHP264" s="1864"/>
      <c r="AHQ264" s="1864"/>
      <c r="AHR264" s="1864"/>
      <c r="AHS264" s="1864"/>
      <c r="AHT264" s="1864"/>
      <c r="AHU264" s="1864"/>
      <c r="AHV264" s="1864"/>
      <c r="AHW264" s="1864"/>
      <c r="AHX264" s="1864"/>
      <c r="AHY264" s="1864"/>
      <c r="AHZ264" s="1864"/>
      <c r="AIA264" s="1864"/>
      <c r="AIB264" s="1864"/>
      <c r="AIC264" s="1864"/>
      <c r="AID264" s="1864"/>
      <c r="AIE264" s="1864"/>
      <c r="AIF264" s="1864"/>
      <c r="AIG264" s="1864"/>
      <c r="AIH264" s="1864"/>
      <c r="AII264" s="1864"/>
      <c r="AIJ264" s="1864"/>
      <c r="AIK264" s="1864"/>
      <c r="AIL264" s="1864"/>
      <c r="AIM264" s="1864"/>
      <c r="AIN264" s="1864"/>
      <c r="AIO264" s="1864"/>
      <c r="AIP264" s="1864"/>
      <c r="AIQ264" s="1864"/>
      <c r="AIR264" s="1864"/>
      <c r="AIS264" s="1864"/>
      <c r="AIT264" s="1864"/>
      <c r="AIU264" s="1864"/>
      <c r="AIV264" s="1864"/>
      <c r="AIW264" s="1864"/>
      <c r="AIX264" s="1864"/>
      <c r="AIY264" s="1864"/>
      <c r="AIZ264" s="1864"/>
      <c r="AJA264" s="1864"/>
      <c r="AJB264" s="1864"/>
      <c r="AJC264" s="1864"/>
      <c r="AJD264" s="1864"/>
      <c r="AJE264" s="1864"/>
      <c r="AJF264" s="1864"/>
      <c r="AJG264" s="1864"/>
      <c r="AJH264" s="1864"/>
      <c r="AJI264" s="1864"/>
      <c r="AJJ264" s="1864"/>
      <c r="AJK264" s="1864"/>
      <c r="AJL264" s="1864"/>
      <c r="AJM264" s="1864"/>
      <c r="AJN264" s="1864"/>
      <c r="AJO264" s="1864"/>
      <c r="AJP264" s="1864"/>
      <c r="AJQ264" s="1864"/>
      <c r="AJR264" s="1864"/>
      <c r="AJS264" s="1864"/>
      <c r="AJT264" s="1864"/>
      <c r="AJU264" s="1864"/>
      <c r="AJV264" s="1864"/>
      <c r="AJW264" s="1864"/>
      <c r="AJX264" s="1864"/>
      <c r="AJY264" s="1864"/>
      <c r="AJZ264" s="1864"/>
      <c r="AKA264" s="1864"/>
      <c r="AKB264" s="1864"/>
      <c r="AKC264" s="1864"/>
      <c r="AKD264" s="1864"/>
      <c r="AKE264" s="1864"/>
      <c r="AKF264" s="1864"/>
      <c r="AKG264" s="1864"/>
      <c r="AKH264" s="1864"/>
      <c r="AKI264" s="1864"/>
      <c r="AKJ264" s="1864"/>
      <c r="AKK264" s="1864"/>
      <c r="AKL264" s="1864"/>
      <c r="AKM264" s="1864"/>
      <c r="AKN264" s="1864"/>
      <c r="AKO264" s="1864"/>
      <c r="AKP264" s="1864"/>
      <c r="AKQ264" s="1864"/>
      <c r="AKR264" s="1864"/>
      <c r="AKS264" s="1864"/>
      <c r="AKT264" s="1864"/>
      <c r="AKU264" s="1864"/>
      <c r="AKV264" s="1864"/>
      <c r="AKW264" s="1864"/>
      <c r="AKX264" s="1864"/>
      <c r="AKY264" s="1864"/>
      <c r="AKZ264" s="1864"/>
      <c r="ALA264" s="1864"/>
      <c r="ALB264" s="1864"/>
      <c r="ALC264" s="1864"/>
      <c r="ALD264" s="1864"/>
      <c r="ALE264" s="1864"/>
      <c r="ALF264" s="1864"/>
      <c r="ALG264" s="1864"/>
      <c r="ALH264" s="1864"/>
      <c r="ALI264" s="1864"/>
      <c r="ALJ264" s="1864"/>
      <c r="ALK264" s="1864"/>
      <c r="ALL264" s="1864"/>
      <c r="ALM264" s="1864"/>
      <c r="ALN264" s="1864"/>
      <c r="ALO264" s="1864"/>
      <c r="ALP264" s="1864"/>
      <c r="ALQ264" s="1864"/>
      <c r="ALR264" s="1864"/>
      <c r="ALS264" s="1864"/>
      <c r="ALT264" s="1864"/>
      <c r="ALU264" s="1864"/>
      <c r="ALV264" s="1864"/>
      <c r="ALW264" s="1864"/>
      <c r="ALX264" s="1864"/>
      <c r="ALY264" s="1864"/>
      <c r="ALZ264" s="1864"/>
      <c r="AMA264" s="1864"/>
      <c r="AMB264" s="1864"/>
      <c r="AMC264" s="1864"/>
      <c r="AMD264" s="1864"/>
      <c r="AME264" s="1864"/>
      <c r="AMF264" s="1864"/>
      <c r="AMG264" s="1864"/>
      <c r="AMH264" s="1864"/>
      <c r="AMI264" s="1864"/>
      <c r="AMJ264" s="1864"/>
      <c r="AMK264" s="1864"/>
      <c r="AML264" s="1864"/>
      <c r="AMM264" s="1864"/>
      <c r="AMN264" s="1864"/>
      <c r="AMO264" s="1864"/>
      <c r="AMP264" s="1864"/>
      <c r="AMQ264" s="1864"/>
      <c r="AMR264" s="1864"/>
      <c r="AMS264" s="1864"/>
      <c r="AMT264" s="1864"/>
      <c r="AMU264" s="1864"/>
      <c r="AMV264" s="1864"/>
      <c r="AMW264" s="1864"/>
      <c r="AMX264" s="1864"/>
      <c r="AMY264" s="1864"/>
      <c r="AMZ264" s="1864"/>
      <c r="ANA264" s="1864"/>
      <c r="ANB264" s="1864"/>
      <c r="ANC264" s="1864"/>
      <c r="AND264" s="1864"/>
      <c r="ANE264" s="1864"/>
      <c r="ANF264" s="1864"/>
      <c r="ANG264" s="1864"/>
      <c r="ANH264" s="1864"/>
      <c r="ANI264" s="1864"/>
      <c r="ANJ264" s="1864"/>
      <c r="ANK264" s="1864"/>
      <c r="ANL264" s="1864"/>
      <c r="ANM264" s="1864"/>
      <c r="ANN264" s="1864"/>
      <c r="ANO264" s="1864"/>
      <c r="ANP264" s="1864"/>
      <c r="ANQ264" s="1864"/>
      <c r="ANR264" s="1864"/>
      <c r="ANS264" s="1864"/>
      <c r="ANT264" s="1864"/>
      <c r="ANU264" s="1864"/>
      <c r="ANV264" s="1864"/>
      <c r="ANW264" s="1864"/>
      <c r="ANX264" s="1864"/>
      <c r="ANY264" s="1864"/>
      <c r="ANZ264" s="1864"/>
      <c r="AOA264" s="1864"/>
      <c r="AOB264" s="1864"/>
      <c r="AOC264" s="1864"/>
      <c r="AOD264" s="1864"/>
      <c r="AOE264" s="1864"/>
      <c r="AOF264" s="1864"/>
      <c r="AOG264" s="1864"/>
      <c r="AOH264" s="1864"/>
      <c r="AOI264" s="1864"/>
      <c r="AOJ264" s="1864"/>
      <c r="AOK264" s="1864"/>
      <c r="AOL264" s="1864"/>
      <c r="AOM264" s="1864"/>
      <c r="AON264" s="1864"/>
      <c r="AOO264" s="1864"/>
      <c r="AOP264" s="1864"/>
      <c r="AOQ264" s="1864"/>
      <c r="AOR264" s="1864"/>
      <c r="AOS264" s="1864"/>
      <c r="AOT264" s="1864"/>
      <c r="AOU264" s="1864"/>
      <c r="AOV264" s="1864"/>
      <c r="AOW264" s="1864"/>
      <c r="AOX264" s="1864"/>
      <c r="AOY264" s="1864"/>
      <c r="AOZ264" s="1864"/>
      <c r="APA264" s="1864"/>
      <c r="APB264" s="1864"/>
      <c r="APC264" s="1864"/>
      <c r="APD264" s="1864"/>
      <c r="APE264" s="1864"/>
      <c r="APF264" s="1864"/>
      <c r="APG264" s="1864"/>
      <c r="APH264" s="1864"/>
      <c r="API264" s="1864"/>
      <c r="APJ264" s="1864"/>
      <c r="APK264" s="1864"/>
      <c r="APL264" s="1864"/>
      <c r="APM264" s="1864"/>
      <c r="APN264" s="1864"/>
      <c r="APO264" s="1864"/>
      <c r="APP264" s="1864"/>
      <c r="APQ264" s="1864"/>
      <c r="APR264" s="1864"/>
      <c r="APS264" s="1864"/>
      <c r="APT264" s="1864"/>
      <c r="APU264" s="1864"/>
      <c r="APV264" s="1864"/>
      <c r="APW264" s="1864"/>
      <c r="APX264" s="1864"/>
      <c r="APY264" s="1864"/>
      <c r="APZ264" s="1864"/>
      <c r="AQA264" s="1864"/>
      <c r="AQB264" s="1864"/>
      <c r="AQC264" s="1864"/>
      <c r="AQD264" s="1864"/>
      <c r="AQE264" s="1864"/>
      <c r="AQF264" s="1864"/>
      <c r="AQG264" s="1864"/>
      <c r="AQH264" s="1864"/>
      <c r="AQI264" s="1864"/>
      <c r="AQJ264" s="1864"/>
      <c r="AQK264" s="1864"/>
      <c r="AQL264" s="1864"/>
      <c r="AQM264" s="1864"/>
      <c r="AQN264" s="1864"/>
      <c r="AQO264" s="1864"/>
      <c r="AQP264" s="1864"/>
      <c r="AQQ264" s="1864"/>
      <c r="AQR264" s="1864"/>
      <c r="AQS264" s="1864"/>
      <c r="AQT264" s="1864"/>
      <c r="AQU264" s="1864"/>
      <c r="AQV264" s="1864"/>
      <c r="AQW264" s="1864"/>
      <c r="AQX264" s="1864"/>
      <c r="AQY264" s="1864"/>
      <c r="AQZ264" s="1864"/>
      <c r="ARA264" s="1864"/>
      <c r="ARB264" s="1864"/>
      <c r="ARC264" s="1864"/>
      <c r="ARD264" s="1864"/>
      <c r="ARE264" s="1864"/>
      <c r="ARF264" s="1864"/>
      <c r="ARG264" s="1864"/>
      <c r="ARH264" s="1864"/>
      <c r="ARI264" s="1864"/>
      <c r="ARJ264" s="1864"/>
      <c r="ARK264" s="1864"/>
      <c r="ARL264" s="1864"/>
      <c r="ARM264" s="1864"/>
      <c r="ARN264" s="1864"/>
      <c r="ARO264" s="1864"/>
      <c r="ARP264" s="1864"/>
      <c r="ARQ264" s="1864"/>
      <c r="ARR264" s="1864"/>
      <c r="ARS264" s="1864"/>
      <c r="ART264" s="1864"/>
      <c r="ARU264" s="1864"/>
      <c r="ARV264" s="1864"/>
      <c r="ARW264" s="1864"/>
      <c r="ARX264" s="1864"/>
      <c r="ARY264" s="1864"/>
      <c r="ARZ264" s="1864"/>
      <c r="ASA264" s="1864"/>
      <c r="ASB264" s="1864"/>
      <c r="ASC264" s="1864"/>
      <c r="ASD264" s="1864"/>
      <c r="ASE264" s="1864"/>
      <c r="ASF264" s="1864"/>
      <c r="ASG264" s="1864"/>
      <c r="ASH264" s="1864"/>
      <c r="ASI264" s="1864"/>
      <c r="ASJ264" s="1864"/>
      <c r="ASK264" s="1864"/>
      <c r="ASL264" s="1864"/>
      <c r="ASM264" s="1864"/>
      <c r="ASN264" s="1864"/>
      <c r="ASO264" s="1864"/>
      <c r="ASP264" s="1864"/>
      <c r="ASQ264" s="1864"/>
      <c r="ASR264" s="1864"/>
      <c r="ASS264" s="1864"/>
      <c r="AST264" s="1864"/>
      <c r="ASU264" s="1864"/>
      <c r="ASV264" s="1864"/>
      <c r="ASW264" s="1864"/>
      <c r="ASX264" s="1864"/>
      <c r="ASY264" s="1864"/>
      <c r="ASZ264" s="1864"/>
      <c r="ATA264" s="1864"/>
      <c r="ATB264" s="1864"/>
      <c r="ATC264" s="1864"/>
      <c r="ATD264" s="1864"/>
      <c r="ATE264" s="1864"/>
      <c r="ATF264" s="1864"/>
      <c r="ATG264" s="1864"/>
      <c r="ATH264" s="1864"/>
      <c r="ATI264" s="1864"/>
      <c r="ATJ264" s="1864"/>
      <c r="ATK264" s="1864"/>
      <c r="ATL264" s="1864"/>
      <c r="ATM264" s="1864"/>
      <c r="ATN264" s="1864"/>
      <c r="ATO264" s="1864"/>
      <c r="ATP264" s="1864"/>
      <c r="ATQ264" s="1864"/>
      <c r="ATR264" s="1864"/>
      <c r="ATS264" s="1864"/>
      <c r="ATT264" s="1864"/>
      <c r="ATU264" s="1864"/>
      <c r="ATV264" s="1864"/>
      <c r="ATW264" s="1864"/>
      <c r="ATX264" s="1864"/>
      <c r="ATY264" s="1864"/>
      <c r="ATZ264" s="1864"/>
      <c r="AUA264" s="1864"/>
      <c r="AUB264" s="1864"/>
      <c r="AUC264" s="1864"/>
      <c r="AUD264" s="1864"/>
      <c r="AUE264" s="1864"/>
      <c r="AUF264" s="1864"/>
      <c r="AUG264" s="1864"/>
      <c r="AUH264" s="1864"/>
      <c r="AUI264" s="1864"/>
      <c r="AUJ264" s="1864"/>
      <c r="AUK264" s="1864"/>
      <c r="AUL264" s="1864"/>
      <c r="AUM264" s="1864"/>
      <c r="AUN264" s="1864"/>
      <c r="AUO264" s="1864"/>
      <c r="AUP264" s="1864"/>
      <c r="AUQ264" s="1864"/>
      <c r="AUR264" s="1864"/>
      <c r="AUS264" s="1864"/>
      <c r="AUT264" s="1864"/>
      <c r="AUU264" s="1864"/>
      <c r="AUV264" s="1864"/>
      <c r="AUW264" s="1864"/>
      <c r="AUX264" s="1864"/>
      <c r="AUY264" s="1864"/>
      <c r="AUZ264" s="1864"/>
      <c r="AVA264" s="1864"/>
      <c r="AVB264" s="1864"/>
      <c r="AVC264" s="1864"/>
      <c r="AVD264" s="1864"/>
      <c r="AVE264" s="1864"/>
      <c r="AVF264" s="1864"/>
      <c r="AVG264" s="1864"/>
      <c r="AVH264" s="1864"/>
      <c r="AVI264" s="1864"/>
      <c r="AVJ264" s="1864"/>
      <c r="AVK264" s="1864"/>
      <c r="AVL264" s="1864"/>
      <c r="AVM264" s="1864"/>
      <c r="AVN264" s="1864"/>
      <c r="AVO264" s="1864"/>
      <c r="AVP264" s="1864"/>
      <c r="AVQ264" s="1864"/>
      <c r="AVR264" s="1864"/>
      <c r="AVS264" s="1864"/>
      <c r="AVT264" s="1864"/>
      <c r="AVU264" s="1864"/>
      <c r="AVV264" s="1864"/>
      <c r="AVW264" s="1864"/>
      <c r="AVX264" s="1864"/>
      <c r="AVY264" s="1864"/>
      <c r="AVZ264" s="1864"/>
      <c r="AWA264" s="1864"/>
      <c r="AWB264" s="1864"/>
      <c r="AWC264" s="1864"/>
      <c r="AWD264" s="1864"/>
      <c r="AWE264" s="1864"/>
      <c r="AWF264" s="1864"/>
      <c r="AWG264" s="1864"/>
      <c r="AWH264" s="1864"/>
      <c r="AWI264" s="1864"/>
      <c r="AWJ264" s="1864"/>
      <c r="AWK264" s="1864"/>
      <c r="AWL264" s="1864"/>
      <c r="AWM264" s="1864"/>
      <c r="AWN264" s="1864"/>
      <c r="AWO264" s="1864"/>
      <c r="AWP264" s="1864"/>
      <c r="AWQ264" s="1864"/>
    </row>
    <row r="265" spans="1:1291" s="1872" customFormat="1" ht="15" customHeight="1" thickBot="1" x14ac:dyDescent="0.25">
      <c r="A265" s="1977"/>
      <c r="B265" s="2008"/>
      <c r="C265" s="1828" t="s">
        <v>95</v>
      </c>
      <c r="D265" s="1882"/>
      <c r="E265" s="1984"/>
      <c r="F265" s="1838">
        <v>0</v>
      </c>
      <c r="G265" s="1804">
        <v>0</v>
      </c>
      <c r="H265" s="1804">
        <v>0</v>
      </c>
      <c r="I265" s="1804">
        <v>0</v>
      </c>
      <c r="J265" s="1804">
        <v>0</v>
      </c>
      <c r="K265" s="1804">
        <v>0</v>
      </c>
      <c r="L265" s="1804">
        <v>0</v>
      </c>
      <c r="M265" s="1804">
        <v>0</v>
      </c>
      <c r="N265" s="1804">
        <v>0</v>
      </c>
      <c r="O265" s="1804">
        <v>0</v>
      </c>
      <c r="P265" s="1804">
        <v>0</v>
      </c>
      <c r="Q265" s="1804">
        <v>0</v>
      </c>
      <c r="R265" s="1804">
        <v>0</v>
      </c>
      <c r="S265" s="1804">
        <v>0</v>
      </c>
      <c r="T265" s="1804">
        <v>0</v>
      </c>
      <c r="U265" s="1804">
        <v>0</v>
      </c>
      <c r="V265" s="1804">
        <v>0</v>
      </c>
      <c r="W265" s="1804">
        <v>0</v>
      </c>
      <c r="X265" s="1804">
        <v>0</v>
      </c>
      <c r="Y265" s="1804">
        <v>0</v>
      </c>
      <c r="Z265" s="1804">
        <v>0</v>
      </c>
      <c r="AA265" s="1804">
        <v>0</v>
      </c>
      <c r="AB265" s="1804">
        <v>0</v>
      </c>
      <c r="AC265" s="1804">
        <v>0</v>
      </c>
      <c r="AD265" s="1804">
        <v>0</v>
      </c>
      <c r="AE265" s="1804">
        <v>0</v>
      </c>
      <c r="AF265" s="1804">
        <v>0</v>
      </c>
      <c r="AG265" s="1804">
        <v>0</v>
      </c>
      <c r="AH265" s="1804">
        <v>0</v>
      </c>
      <c r="AI265" s="1804">
        <v>0</v>
      </c>
      <c r="AJ265" s="1804">
        <v>0</v>
      </c>
      <c r="AK265" s="1804">
        <v>0</v>
      </c>
      <c r="AL265" s="1804">
        <v>0</v>
      </c>
      <c r="AM265" s="1804">
        <v>0</v>
      </c>
      <c r="AN265" s="1804">
        <v>0</v>
      </c>
      <c r="AO265" s="1804">
        <v>0</v>
      </c>
      <c r="AP265" s="1804">
        <v>0</v>
      </c>
      <c r="AQ265" s="1804">
        <v>0</v>
      </c>
      <c r="AR265" s="1804">
        <v>0</v>
      </c>
      <c r="AS265" s="1804">
        <v>0</v>
      </c>
      <c r="AT265" s="1804">
        <v>0</v>
      </c>
      <c r="AU265" s="1804">
        <v>0</v>
      </c>
      <c r="AV265" s="1804">
        <v>0</v>
      </c>
      <c r="AW265" s="1804">
        <v>0</v>
      </c>
      <c r="AX265" s="1804">
        <v>0</v>
      </c>
      <c r="AY265" s="1804">
        <v>0</v>
      </c>
      <c r="AZ265" s="1804">
        <v>0</v>
      </c>
      <c r="BA265" s="1804">
        <v>0</v>
      </c>
      <c r="BB265" s="1804">
        <v>0</v>
      </c>
      <c r="BC265" s="1804">
        <v>0</v>
      </c>
      <c r="BD265" s="1804">
        <v>0</v>
      </c>
      <c r="BE265" s="1804">
        <v>0</v>
      </c>
      <c r="BF265" s="1804">
        <v>0</v>
      </c>
      <c r="BG265" s="1804">
        <v>0</v>
      </c>
      <c r="BH265" s="1804">
        <v>0</v>
      </c>
      <c r="BI265" s="1804">
        <v>0</v>
      </c>
      <c r="BJ265" s="1804">
        <v>0</v>
      </c>
      <c r="BK265" s="1804">
        <v>0</v>
      </c>
      <c r="BL265" s="1804">
        <v>0</v>
      </c>
      <c r="BM265" s="1804">
        <v>0</v>
      </c>
      <c r="BN265" s="1804">
        <v>0</v>
      </c>
      <c r="BO265" s="1804">
        <v>0</v>
      </c>
      <c r="BP265" s="1804">
        <v>0</v>
      </c>
      <c r="BQ265" s="1804">
        <v>0</v>
      </c>
      <c r="BR265" s="1804">
        <v>0</v>
      </c>
      <c r="BS265" s="1804">
        <v>0</v>
      </c>
      <c r="BT265" s="1804">
        <v>0</v>
      </c>
      <c r="BU265" s="1804">
        <v>0</v>
      </c>
      <c r="BV265" s="1804">
        <v>0</v>
      </c>
      <c r="BW265" s="1804">
        <v>0</v>
      </c>
      <c r="BX265" s="1804">
        <v>0</v>
      </c>
      <c r="BY265" s="1804">
        <v>0</v>
      </c>
      <c r="BZ265" s="1804">
        <v>0</v>
      </c>
      <c r="CA265" s="1804">
        <v>0</v>
      </c>
      <c r="CB265" s="1804">
        <v>0</v>
      </c>
      <c r="CC265" s="1804">
        <v>0</v>
      </c>
      <c r="CD265" s="1804">
        <v>0</v>
      </c>
      <c r="CE265" s="1804">
        <v>0</v>
      </c>
      <c r="CF265" s="1804">
        <v>0</v>
      </c>
      <c r="CG265" s="1804">
        <v>0</v>
      </c>
      <c r="CH265" s="1804">
        <v>0</v>
      </c>
      <c r="CI265" s="1804">
        <v>0</v>
      </c>
      <c r="CJ265" s="1804">
        <v>0</v>
      </c>
      <c r="CK265" s="1804">
        <v>0</v>
      </c>
      <c r="CL265" s="1804">
        <v>0</v>
      </c>
      <c r="CM265" s="1804">
        <v>0</v>
      </c>
      <c r="CN265" s="1804">
        <v>0</v>
      </c>
      <c r="CO265" s="1804">
        <v>0</v>
      </c>
      <c r="CP265" s="1804">
        <v>0</v>
      </c>
      <c r="CQ265" s="1804">
        <v>0</v>
      </c>
      <c r="CR265" s="1804">
        <v>0</v>
      </c>
      <c r="CS265" s="1804">
        <v>0</v>
      </c>
      <c r="CT265" s="1804">
        <v>0</v>
      </c>
      <c r="CU265" s="1804">
        <v>0</v>
      </c>
      <c r="CV265" s="1804">
        <v>0</v>
      </c>
      <c r="CW265" s="1804">
        <v>0</v>
      </c>
      <c r="CX265" s="1804">
        <v>0</v>
      </c>
      <c r="CY265" s="1804">
        <v>0</v>
      </c>
      <c r="CZ265" s="1804">
        <v>0</v>
      </c>
      <c r="DA265" s="1804">
        <v>0</v>
      </c>
      <c r="DB265" s="1804">
        <v>0</v>
      </c>
      <c r="DC265" s="1804">
        <v>0</v>
      </c>
      <c r="DD265" s="1804">
        <v>0</v>
      </c>
      <c r="DE265" s="1804">
        <v>0</v>
      </c>
      <c r="DF265" s="1804">
        <v>0</v>
      </c>
      <c r="DG265" s="1804">
        <v>0</v>
      </c>
      <c r="DH265" s="1804">
        <v>0</v>
      </c>
      <c r="DI265" s="1804">
        <v>0</v>
      </c>
      <c r="DJ265" s="1804">
        <v>0</v>
      </c>
      <c r="DK265" s="1804">
        <v>0</v>
      </c>
      <c r="DL265" s="1804">
        <v>0</v>
      </c>
      <c r="DM265" s="1804">
        <v>0</v>
      </c>
      <c r="DN265" s="1804">
        <v>0</v>
      </c>
      <c r="DO265" s="1804">
        <v>0</v>
      </c>
      <c r="DP265" s="1804">
        <v>0</v>
      </c>
      <c r="DQ265" s="1804">
        <v>0</v>
      </c>
      <c r="DR265" s="1804">
        <v>0</v>
      </c>
      <c r="DS265" s="1804">
        <v>0</v>
      </c>
      <c r="DT265" s="1804">
        <v>0</v>
      </c>
      <c r="DU265" s="1804">
        <v>0</v>
      </c>
      <c r="DV265" s="1804">
        <v>0</v>
      </c>
      <c r="DW265" s="1804">
        <v>0</v>
      </c>
      <c r="DX265" s="1804">
        <v>0</v>
      </c>
      <c r="DY265" s="1804">
        <v>0</v>
      </c>
      <c r="DZ265" s="1804">
        <v>0</v>
      </c>
      <c r="EA265" s="1804">
        <v>0</v>
      </c>
      <c r="EB265" s="1804">
        <v>0</v>
      </c>
      <c r="EC265" s="1804">
        <v>0</v>
      </c>
      <c r="ED265" s="1804">
        <v>0</v>
      </c>
      <c r="EE265" s="1804">
        <v>0</v>
      </c>
      <c r="EF265" s="1804">
        <v>0</v>
      </c>
      <c r="EG265" s="1804">
        <v>0</v>
      </c>
      <c r="EH265" s="1804">
        <v>0</v>
      </c>
      <c r="EI265" s="1804">
        <v>0</v>
      </c>
      <c r="EJ265" s="1804">
        <v>0</v>
      </c>
      <c r="EK265" s="1804">
        <v>0</v>
      </c>
      <c r="EL265" s="1804">
        <v>0</v>
      </c>
      <c r="EM265" s="1804">
        <v>0</v>
      </c>
      <c r="EN265" s="1804">
        <v>0</v>
      </c>
      <c r="EO265" s="1804">
        <v>0</v>
      </c>
      <c r="EP265" s="1804">
        <v>0</v>
      </c>
      <c r="EQ265" s="1804">
        <v>0</v>
      </c>
      <c r="ER265" s="1804">
        <v>0</v>
      </c>
      <c r="ES265" s="1804">
        <v>0</v>
      </c>
      <c r="ET265" s="1804">
        <v>0</v>
      </c>
      <c r="EU265" s="1804">
        <v>0</v>
      </c>
      <c r="EV265" s="1804">
        <v>0</v>
      </c>
      <c r="EW265" s="1804">
        <v>0</v>
      </c>
      <c r="EX265" s="1804">
        <v>0</v>
      </c>
      <c r="EY265" s="1804">
        <v>0</v>
      </c>
      <c r="EZ265" s="1804">
        <v>0</v>
      </c>
      <c r="FA265" s="1804">
        <v>0</v>
      </c>
      <c r="FB265" s="1804">
        <v>0</v>
      </c>
      <c r="FC265" s="1804">
        <v>0</v>
      </c>
      <c r="FD265" s="1804">
        <v>0</v>
      </c>
      <c r="FE265" s="1804">
        <v>0</v>
      </c>
      <c r="FF265" s="1804">
        <v>0</v>
      </c>
      <c r="FG265" s="1804">
        <v>0</v>
      </c>
      <c r="FH265" s="1804">
        <v>0</v>
      </c>
      <c r="FI265" s="1804">
        <v>0</v>
      </c>
      <c r="FJ265" s="1804">
        <v>0</v>
      </c>
      <c r="FK265" s="1804">
        <v>0</v>
      </c>
      <c r="FL265" s="1804">
        <v>0</v>
      </c>
      <c r="FM265" s="1804">
        <v>0</v>
      </c>
      <c r="FN265" s="1804">
        <v>0</v>
      </c>
      <c r="FO265" s="1804">
        <v>0</v>
      </c>
      <c r="FP265" s="1804">
        <v>0</v>
      </c>
      <c r="FQ265" s="1804">
        <v>0</v>
      </c>
      <c r="FR265" s="1804">
        <v>0</v>
      </c>
      <c r="FS265" s="1804">
        <v>0</v>
      </c>
      <c r="FT265" s="1804">
        <v>0</v>
      </c>
      <c r="FU265" s="1804">
        <v>0</v>
      </c>
      <c r="FV265" s="1804">
        <v>0</v>
      </c>
      <c r="FW265" s="1804">
        <v>0</v>
      </c>
      <c r="FX265" s="1804">
        <v>0</v>
      </c>
      <c r="FY265" s="1804">
        <v>0</v>
      </c>
      <c r="FZ265" s="1804">
        <v>0</v>
      </c>
      <c r="GA265" s="1804">
        <v>0</v>
      </c>
      <c r="GB265" s="1804">
        <v>0</v>
      </c>
      <c r="GC265" s="1804">
        <v>0</v>
      </c>
      <c r="GD265" s="1804">
        <v>0</v>
      </c>
      <c r="GE265" s="1804">
        <v>0</v>
      </c>
      <c r="GF265" s="1804">
        <v>0</v>
      </c>
      <c r="GG265" s="1804">
        <v>0</v>
      </c>
      <c r="GH265" s="1804">
        <v>0</v>
      </c>
      <c r="GI265" s="1804">
        <v>0</v>
      </c>
      <c r="GJ265" s="1804">
        <v>0</v>
      </c>
      <c r="GK265" s="1804">
        <v>0</v>
      </c>
      <c r="GL265" s="1804">
        <v>0</v>
      </c>
      <c r="GM265" s="1804">
        <v>0</v>
      </c>
      <c r="GN265" s="1804">
        <v>0</v>
      </c>
      <c r="GO265" s="1804">
        <v>0</v>
      </c>
      <c r="GP265" s="1804">
        <v>0</v>
      </c>
      <c r="GQ265" s="1804">
        <v>0</v>
      </c>
      <c r="GR265" s="1804">
        <v>0</v>
      </c>
      <c r="GS265" s="1804">
        <v>0</v>
      </c>
      <c r="GT265" s="1804">
        <v>0</v>
      </c>
      <c r="GU265" s="1804">
        <v>0</v>
      </c>
      <c r="GV265" s="1804">
        <v>0</v>
      </c>
      <c r="GW265" s="1804">
        <v>0</v>
      </c>
      <c r="GX265" s="1804">
        <v>0</v>
      </c>
      <c r="GY265" s="1804">
        <v>0</v>
      </c>
      <c r="GZ265" s="1804">
        <v>0</v>
      </c>
      <c r="HA265" s="1804">
        <v>0</v>
      </c>
      <c r="HB265" s="1804">
        <v>0</v>
      </c>
      <c r="HC265" s="1804">
        <v>0</v>
      </c>
      <c r="HD265" s="1804">
        <v>0</v>
      </c>
      <c r="HE265" s="1804">
        <v>0</v>
      </c>
      <c r="HF265" s="1864"/>
      <c r="HG265" s="1864"/>
      <c r="HH265" s="1864"/>
      <c r="HI265" s="1864"/>
      <c r="HJ265" s="1864"/>
      <c r="HK265" s="1864"/>
      <c r="HL265" s="1864"/>
      <c r="HM265" s="1864"/>
      <c r="HN265" s="1864"/>
      <c r="HO265" s="1864"/>
      <c r="HP265" s="1864"/>
      <c r="HQ265" s="1864"/>
      <c r="HR265" s="1864"/>
      <c r="HS265" s="1864"/>
      <c r="HT265" s="1864"/>
      <c r="HU265" s="1864"/>
      <c r="HV265" s="1864"/>
      <c r="HW265" s="1864"/>
      <c r="HX265" s="1864"/>
      <c r="HY265" s="1864"/>
      <c r="HZ265" s="1864"/>
      <c r="IA265" s="1864"/>
      <c r="IB265" s="1864"/>
      <c r="IC265" s="1864"/>
      <c r="ID265" s="1864"/>
      <c r="IE265" s="1864"/>
      <c r="IF265" s="1864"/>
      <c r="IG265" s="1864"/>
      <c r="IH265" s="1864"/>
      <c r="II265" s="1864"/>
      <c r="IJ265" s="1864"/>
      <c r="IK265" s="1864"/>
      <c r="IL265" s="1864"/>
      <c r="IM265" s="1864"/>
      <c r="IN265" s="1864"/>
      <c r="IO265" s="1864"/>
      <c r="IP265" s="1864"/>
      <c r="IQ265" s="1864"/>
      <c r="IR265" s="1864"/>
      <c r="IS265" s="1864"/>
      <c r="IT265" s="1864"/>
      <c r="IU265" s="1864"/>
      <c r="IV265" s="1864"/>
      <c r="IW265" s="1864"/>
      <c r="IX265" s="1864"/>
      <c r="IY265" s="1864"/>
      <c r="IZ265" s="1864"/>
      <c r="JA265" s="1864"/>
      <c r="JB265" s="1864"/>
      <c r="JC265" s="1864"/>
      <c r="JD265" s="1864"/>
      <c r="JE265" s="1864"/>
      <c r="JF265" s="1864"/>
      <c r="JG265" s="1864"/>
      <c r="JH265" s="1864"/>
      <c r="JI265" s="1864"/>
      <c r="JJ265" s="1864"/>
      <c r="JK265" s="1864"/>
      <c r="JL265" s="1864"/>
      <c r="JM265" s="1864"/>
      <c r="JN265" s="1864"/>
      <c r="JO265" s="1864"/>
      <c r="JP265" s="1864"/>
      <c r="JQ265" s="1864"/>
      <c r="JR265" s="1864"/>
      <c r="JS265" s="1864"/>
      <c r="JT265" s="1864"/>
      <c r="JU265" s="1864"/>
      <c r="JV265" s="1864"/>
      <c r="JW265" s="1864"/>
      <c r="JX265" s="1864"/>
      <c r="JY265" s="1864"/>
      <c r="JZ265" s="1864"/>
      <c r="KA265" s="1864"/>
      <c r="KB265" s="1864"/>
      <c r="KC265" s="1864"/>
      <c r="KD265" s="1864"/>
      <c r="KE265" s="1864"/>
      <c r="KF265" s="1864"/>
      <c r="KG265" s="1864"/>
      <c r="KH265" s="1864"/>
      <c r="KI265" s="1864"/>
      <c r="KJ265" s="1864"/>
      <c r="KK265" s="1864"/>
      <c r="KL265" s="1864"/>
      <c r="KM265" s="1864"/>
      <c r="KN265" s="1864"/>
      <c r="KO265" s="1864"/>
      <c r="KP265" s="1864"/>
      <c r="KQ265" s="1864"/>
      <c r="KR265" s="1864"/>
      <c r="KS265" s="1864"/>
      <c r="KT265" s="1864"/>
      <c r="KU265" s="1864"/>
      <c r="KV265" s="1864"/>
      <c r="KW265" s="1864"/>
      <c r="KX265" s="1864"/>
      <c r="KY265" s="1864"/>
      <c r="KZ265" s="1864"/>
      <c r="LA265" s="1864"/>
      <c r="LB265" s="1864"/>
      <c r="LC265" s="1864"/>
      <c r="LD265" s="1864"/>
      <c r="LE265" s="1864"/>
      <c r="LF265" s="1864"/>
      <c r="LG265" s="1864"/>
      <c r="LH265" s="1864"/>
      <c r="LI265" s="1864"/>
      <c r="LJ265" s="1864"/>
      <c r="LK265" s="1864"/>
      <c r="LL265" s="1864"/>
      <c r="LM265" s="1864"/>
      <c r="LN265" s="1864"/>
      <c r="LO265" s="1864"/>
      <c r="LP265" s="1864"/>
      <c r="LQ265" s="1864"/>
      <c r="LR265" s="1864"/>
      <c r="LS265" s="1864"/>
      <c r="LT265" s="1864"/>
      <c r="LU265" s="1864"/>
      <c r="LV265" s="1864"/>
      <c r="LW265" s="1864"/>
      <c r="LX265" s="1864"/>
      <c r="LY265" s="1864"/>
      <c r="LZ265" s="1864"/>
      <c r="MA265" s="1864"/>
      <c r="MB265" s="1864"/>
      <c r="MC265" s="1864"/>
      <c r="MD265" s="1864"/>
      <c r="ME265" s="1864"/>
      <c r="MF265" s="1864"/>
      <c r="MG265" s="1864"/>
      <c r="MH265" s="1864"/>
      <c r="MI265" s="1864"/>
      <c r="MJ265" s="1864"/>
      <c r="MK265" s="1864"/>
      <c r="ML265" s="1864"/>
      <c r="MM265" s="1864"/>
      <c r="MN265" s="1864"/>
      <c r="MO265" s="1864"/>
      <c r="MP265" s="1864"/>
      <c r="MQ265" s="1864"/>
      <c r="MR265" s="1864"/>
      <c r="MS265" s="1864"/>
      <c r="MT265" s="1864"/>
      <c r="MU265" s="1864"/>
      <c r="MV265" s="1864"/>
      <c r="MW265" s="1864"/>
      <c r="MX265" s="1864"/>
      <c r="MY265" s="1864"/>
      <c r="MZ265" s="1864"/>
      <c r="NA265" s="1864"/>
      <c r="NB265" s="1864"/>
      <c r="NC265" s="1864"/>
      <c r="ND265" s="1864"/>
      <c r="NE265" s="1864"/>
      <c r="NF265" s="1864"/>
      <c r="NG265" s="1864"/>
      <c r="NH265" s="1864"/>
      <c r="NI265" s="1864"/>
      <c r="NJ265" s="1864"/>
      <c r="NK265" s="1864"/>
      <c r="NL265" s="1864"/>
      <c r="NM265" s="1864"/>
      <c r="NN265" s="1864"/>
      <c r="NO265" s="1864"/>
      <c r="NP265" s="1864"/>
      <c r="NQ265" s="1864"/>
      <c r="NR265" s="1864"/>
      <c r="NS265" s="1864"/>
      <c r="NT265" s="1864"/>
      <c r="NU265" s="1864"/>
      <c r="NV265" s="1864"/>
      <c r="NW265" s="1864"/>
      <c r="NX265" s="1864"/>
      <c r="NY265" s="1864"/>
      <c r="NZ265" s="1864"/>
      <c r="OA265" s="1864"/>
      <c r="OB265" s="1864"/>
      <c r="OC265" s="1864"/>
      <c r="OD265" s="1864"/>
      <c r="OE265" s="1864"/>
      <c r="OF265" s="1864"/>
      <c r="OG265" s="1864"/>
      <c r="OH265" s="1864"/>
      <c r="OI265" s="1864"/>
      <c r="OJ265" s="1864"/>
      <c r="OK265" s="1864"/>
      <c r="OL265" s="1864"/>
      <c r="OM265" s="1864"/>
      <c r="ON265" s="1864"/>
      <c r="OO265" s="1864"/>
      <c r="OP265" s="1864"/>
      <c r="OQ265" s="1864"/>
      <c r="OR265" s="1864"/>
      <c r="OS265" s="1864"/>
      <c r="OT265" s="1864"/>
      <c r="OU265" s="1864"/>
      <c r="OV265" s="1864"/>
      <c r="OW265" s="1864"/>
      <c r="OX265" s="1864"/>
      <c r="OY265" s="1864"/>
      <c r="OZ265" s="1864"/>
      <c r="PA265" s="1864"/>
      <c r="PB265" s="1864"/>
      <c r="PC265" s="1864"/>
      <c r="PD265" s="1864"/>
      <c r="PE265" s="1864"/>
      <c r="PF265" s="1864"/>
      <c r="PG265" s="1864"/>
      <c r="PH265" s="1864"/>
      <c r="PI265" s="1864"/>
      <c r="PJ265" s="1864"/>
      <c r="PK265" s="1864"/>
      <c r="PL265" s="1864"/>
      <c r="PM265" s="1864"/>
      <c r="PN265" s="1864"/>
      <c r="PO265" s="1864"/>
      <c r="PP265" s="1864"/>
      <c r="PQ265" s="1864"/>
      <c r="PR265" s="1864"/>
      <c r="PS265" s="1864"/>
      <c r="PT265" s="1864"/>
      <c r="PU265" s="1864"/>
      <c r="PV265" s="1864"/>
      <c r="PW265" s="1864"/>
      <c r="PX265" s="1864"/>
      <c r="PY265" s="1864"/>
      <c r="PZ265" s="1864"/>
      <c r="QA265" s="1864"/>
      <c r="QB265" s="1864"/>
      <c r="QC265" s="1864"/>
      <c r="QD265" s="1864"/>
      <c r="QE265" s="1864"/>
      <c r="QF265" s="1864"/>
      <c r="QG265" s="1864"/>
      <c r="QH265" s="1864"/>
      <c r="QI265" s="1864"/>
      <c r="QJ265" s="1864"/>
      <c r="QK265" s="1864"/>
      <c r="QL265" s="1864"/>
      <c r="QM265" s="1864"/>
      <c r="QN265" s="1864"/>
      <c r="QO265" s="1864"/>
      <c r="QP265" s="1864"/>
      <c r="QQ265" s="1864"/>
      <c r="QR265" s="1864"/>
      <c r="QS265" s="1864"/>
      <c r="QT265" s="1864"/>
      <c r="QU265" s="1864"/>
      <c r="QV265" s="1864"/>
      <c r="QW265" s="1864"/>
      <c r="QX265" s="1864"/>
      <c r="QY265" s="1864"/>
      <c r="QZ265" s="1864"/>
      <c r="RA265" s="1864"/>
      <c r="RB265" s="1864"/>
      <c r="RC265" s="1864"/>
      <c r="RD265" s="1864"/>
      <c r="RE265" s="1864"/>
      <c r="RF265" s="1864"/>
      <c r="RG265" s="1864"/>
      <c r="RH265" s="1864"/>
      <c r="RI265" s="1864"/>
      <c r="RJ265" s="1864"/>
      <c r="RK265" s="1864"/>
      <c r="RL265" s="1864"/>
      <c r="RM265" s="1864"/>
      <c r="RN265" s="1864"/>
      <c r="RO265" s="1864"/>
      <c r="RP265" s="1864"/>
      <c r="RQ265" s="1864"/>
      <c r="RR265" s="1864"/>
      <c r="RS265" s="1864"/>
      <c r="RT265" s="1864"/>
      <c r="RU265" s="1864"/>
      <c r="RV265" s="1864"/>
      <c r="RW265" s="1864"/>
      <c r="RX265" s="1864"/>
      <c r="RY265" s="1864"/>
      <c r="RZ265" s="1864"/>
      <c r="SA265" s="1864"/>
      <c r="SB265" s="1864"/>
      <c r="SC265" s="1864"/>
      <c r="SD265" s="1864"/>
      <c r="SE265" s="1864"/>
      <c r="SF265" s="1864"/>
      <c r="SG265" s="1864"/>
      <c r="SH265" s="1864"/>
      <c r="SI265" s="1864"/>
      <c r="SJ265" s="1864"/>
      <c r="SK265" s="1864"/>
      <c r="SL265" s="1864"/>
      <c r="SM265" s="1864"/>
      <c r="SN265" s="1864"/>
      <c r="SO265" s="1864"/>
      <c r="SP265" s="1864"/>
      <c r="SQ265" s="1864"/>
      <c r="SR265" s="1864"/>
      <c r="SS265" s="1864"/>
      <c r="ST265" s="1864"/>
      <c r="SU265" s="1864"/>
      <c r="SV265" s="1864"/>
      <c r="SW265" s="1864"/>
      <c r="SX265" s="1864"/>
      <c r="SY265" s="1864"/>
      <c r="SZ265" s="1864"/>
      <c r="TA265" s="1864"/>
      <c r="TB265" s="1864"/>
      <c r="TC265" s="1864"/>
      <c r="TD265" s="1864"/>
      <c r="TE265" s="1864"/>
      <c r="TF265" s="1864"/>
      <c r="TG265" s="1864"/>
      <c r="TH265" s="1864"/>
      <c r="TI265" s="1864"/>
      <c r="TJ265" s="1864"/>
      <c r="TK265" s="1864"/>
      <c r="TL265" s="1864"/>
      <c r="TM265" s="1864"/>
      <c r="TN265" s="1864"/>
      <c r="TO265" s="1864"/>
      <c r="TP265" s="1864"/>
      <c r="TQ265" s="1864"/>
      <c r="TR265" s="1864"/>
      <c r="TS265" s="1864"/>
      <c r="TT265" s="1864"/>
      <c r="TU265" s="1864"/>
      <c r="TV265" s="1864"/>
      <c r="TW265" s="1864"/>
      <c r="TX265" s="1864"/>
      <c r="TY265" s="1864"/>
      <c r="TZ265" s="1864"/>
      <c r="UA265" s="1864"/>
      <c r="UB265" s="1864"/>
      <c r="UC265" s="1864"/>
      <c r="UD265" s="1864"/>
      <c r="UE265" s="1864"/>
      <c r="UF265" s="1864"/>
      <c r="UG265" s="1864"/>
      <c r="UH265" s="1864"/>
      <c r="UI265" s="1864"/>
      <c r="UJ265" s="1864"/>
      <c r="UK265" s="1864"/>
      <c r="UL265" s="1864"/>
      <c r="UM265" s="1864"/>
      <c r="UN265" s="1864"/>
      <c r="UO265" s="1864"/>
      <c r="UP265" s="1864"/>
      <c r="UQ265" s="1864"/>
      <c r="UR265" s="1864"/>
      <c r="US265" s="1864"/>
      <c r="UT265" s="1864"/>
      <c r="UU265" s="1864"/>
      <c r="UV265" s="1864"/>
      <c r="UW265" s="1864"/>
      <c r="UX265" s="1864"/>
      <c r="UY265" s="1864"/>
      <c r="UZ265" s="1864"/>
      <c r="VA265" s="1864"/>
      <c r="VB265" s="1864"/>
      <c r="VC265" s="1864"/>
      <c r="VD265" s="1864"/>
      <c r="VE265" s="1864"/>
      <c r="VF265" s="1864"/>
      <c r="VG265" s="1864"/>
      <c r="VH265" s="1864"/>
      <c r="VI265" s="1864"/>
      <c r="VJ265" s="1864"/>
      <c r="VK265" s="1864"/>
      <c r="VL265" s="1864"/>
      <c r="VM265" s="1864"/>
      <c r="VN265" s="1864"/>
      <c r="VO265" s="1864"/>
      <c r="VP265" s="1864"/>
      <c r="VQ265" s="1864"/>
      <c r="VR265" s="1864"/>
      <c r="VS265" s="1864"/>
      <c r="VT265" s="1864"/>
      <c r="VU265" s="1864"/>
      <c r="VV265" s="1864"/>
      <c r="VW265" s="1864"/>
      <c r="VX265" s="1864"/>
      <c r="VY265" s="1864"/>
      <c r="VZ265" s="1864"/>
      <c r="WA265" s="1864"/>
      <c r="WB265" s="1864"/>
      <c r="WC265" s="1864"/>
      <c r="WD265" s="1864"/>
      <c r="WE265" s="1864"/>
      <c r="WF265" s="1864"/>
      <c r="WG265" s="1864"/>
      <c r="WH265" s="1864"/>
      <c r="WI265" s="1864"/>
      <c r="WJ265" s="1864"/>
      <c r="WK265" s="1864"/>
      <c r="WL265" s="1864"/>
      <c r="WM265" s="1864"/>
      <c r="WN265" s="1864"/>
      <c r="WO265" s="1864"/>
      <c r="WP265" s="1864"/>
      <c r="WQ265" s="1864"/>
      <c r="WR265" s="1864"/>
      <c r="WS265" s="1864"/>
      <c r="WT265" s="1864"/>
      <c r="WU265" s="1864"/>
      <c r="WV265" s="1864"/>
      <c r="WW265" s="1864"/>
      <c r="WX265" s="1864"/>
      <c r="WY265" s="1864"/>
      <c r="WZ265" s="1864"/>
      <c r="XA265" s="1864"/>
      <c r="XB265" s="1864"/>
      <c r="XC265" s="1864"/>
      <c r="XD265" s="1864"/>
      <c r="XE265" s="1864"/>
      <c r="XF265" s="1864"/>
      <c r="XG265" s="1864"/>
      <c r="XH265" s="1864"/>
      <c r="XI265" s="1864"/>
      <c r="XJ265" s="1864"/>
      <c r="XK265" s="1864"/>
      <c r="XL265" s="1864"/>
      <c r="XM265" s="1864"/>
      <c r="XN265" s="1864"/>
      <c r="XO265" s="1864"/>
      <c r="XP265" s="1864"/>
      <c r="XQ265" s="1864"/>
      <c r="XR265" s="1864"/>
      <c r="XS265" s="1864"/>
      <c r="XT265" s="1864"/>
      <c r="XU265" s="1864"/>
      <c r="XV265" s="1864"/>
      <c r="XW265" s="1864"/>
      <c r="XX265" s="1864"/>
      <c r="XY265" s="1864"/>
      <c r="XZ265" s="1864"/>
      <c r="YA265" s="1864"/>
      <c r="YB265" s="1864"/>
      <c r="YC265" s="1864"/>
      <c r="YD265" s="1864"/>
      <c r="YE265" s="1864"/>
      <c r="YF265" s="1864"/>
      <c r="YG265" s="1864"/>
      <c r="YH265" s="1864"/>
      <c r="YI265" s="1864"/>
      <c r="YJ265" s="1864"/>
      <c r="YK265" s="1864"/>
      <c r="YL265" s="1864"/>
      <c r="YM265" s="1864"/>
      <c r="YN265" s="1864"/>
      <c r="YO265" s="1864"/>
      <c r="YP265" s="1864"/>
      <c r="YQ265" s="1864"/>
      <c r="YR265" s="1864"/>
      <c r="YS265" s="1864"/>
      <c r="YT265" s="1864"/>
      <c r="YU265" s="1864"/>
      <c r="YV265" s="1864"/>
      <c r="YW265" s="1864"/>
      <c r="YX265" s="1864"/>
      <c r="YY265" s="1864"/>
      <c r="YZ265" s="1864"/>
      <c r="ZA265" s="1864"/>
      <c r="ZB265" s="1864"/>
      <c r="ZC265" s="1864"/>
      <c r="ZD265" s="1864"/>
      <c r="ZE265" s="1864"/>
      <c r="ZF265" s="1864"/>
      <c r="ZG265" s="1864"/>
      <c r="ZH265" s="1864"/>
      <c r="ZI265" s="1864"/>
      <c r="ZJ265" s="1864"/>
      <c r="ZK265" s="1864"/>
      <c r="ZL265" s="1864"/>
      <c r="ZM265" s="1864"/>
      <c r="ZN265" s="1864"/>
      <c r="ZO265" s="1864"/>
      <c r="ZP265" s="1864"/>
      <c r="ZQ265" s="1864"/>
      <c r="ZR265" s="1864"/>
      <c r="ZS265" s="1864"/>
      <c r="ZT265" s="1864"/>
      <c r="ZU265" s="1864"/>
      <c r="ZV265" s="1864"/>
      <c r="ZW265" s="1864"/>
      <c r="ZX265" s="1864"/>
      <c r="ZY265" s="1864"/>
      <c r="ZZ265" s="1864"/>
      <c r="AAA265" s="1864"/>
      <c r="AAB265" s="1864"/>
      <c r="AAC265" s="1864"/>
      <c r="AAD265" s="1864"/>
      <c r="AAE265" s="1864"/>
      <c r="AAF265" s="1864"/>
      <c r="AAG265" s="1864"/>
      <c r="AAH265" s="1864"/>
      <c r="AAI265" s="1864"/>
      <c r="AAJ265" s="1864"/>
      <c r="AAK265" s="1864"/>
      <c r="AAL265" s="1864"/>
      <c r="AAM265" s="1864"/>
      <c r="AAN265" s="1864"/>
      <c r="AAO265" s="1864"/>
      <c r="AAP265" s="1864"/>
      <c r="AAQ265" s="1864"/>
      <c r="AAR265" s="1864"/>
      <c r="AAS265" s="1864"/>
      <c r="AAT265" s="1864"/>
      <c r="AAU265" s="1864"/>
      <c r="AAV265" s="1864"/>
      <c r="AAW265" s="1864"/>
      <c r="AAX265" s="1864"/>
      <c r="AAY265" s="1864"/>
      <c r="AAZ265" s="1864"/>
      <c r="ABA265" s="1864"/>
      <c r="ABB265" s="1864"/>
      <c r="ABC265" s="1864"/>
      <c r="ABD265" s="1864"/>
      <c r="ABE265" s="1864"/>
      <c r="ABF265" s="1864"/>
      <c r="ABG265" s="1864"/>
      <c r="ABH265" s="1864"/>
      <c r="ABI265" s="1864"/>
      <c r="ABJ265" s="1864"/>
      <c r="ABK265" s="1864"/>
      <c r="ABL265" s="1864"/>
      <c r="ABM265" s="1864"/>
      <c r="ABN265" s="1864"/>
      <c r="ABO265" s="1864"/>
      <c r="ABP265" s="1864"/>
      <c r="ABQ265" s="1864"/>
      <c r="ABR265" s="1864"/>
      <c r="ABS265" s="1864"/>
      <c r="ABT265" s="1864"/>
      <c r="ABU265" s="1864"/>
      <c r="ABV265" s="1864"/>
      <c r="ABW265" s="1864"/>
      <c r="ABX265" s="1864"/>
      <c r="ABY265" s="1864"/>
      <c r="ABZ265" s="1864"/>
      <c r="ACA265" s="1864"/>
      <c r="ACB265" s="1864"/>
      <c r="ACC265" s="1864"/>
      <c r="ACD265" s="1864"/>
      <c r="ACE265" s="1864"/>
      <c r="ACF265" s="1864"/>
      <c r="ACG265" s="1864"/>
      <c r="ACH265" s="1864"/>
      <c r="ACI265" s="1864"/>
      <c r="ACJ265" s="1864"/>
      <c r="ACK265" s="1864"/>
      <c r="ACL265" s="1864"/>
      <c r="ACM265" s="1864"/>
      <c r="ACN265" s="1864"/>
      <c r="ACO265" s="1864"/>
      <c r="ACP265" s="1864"/>
      <c r="ACQ265" s="1864"/>
      <c r="ACR265" s="1864"/>
      <c r="ACS265" s="1864"/>
      <c r="ACT265" s="1864"/>
      <c r="ACU265" s="1864"/>
      <c r="ACV265" s="1864"/>
      <c r="ACW265" s="1864"/>
      <c r="ACX265" s="1864"/>
      <c r="ACY265" s="1864"/>
      <c r="ACZ265" s="1864"/>
      <c r="ADA265" s="1864"/>
      <c r="ADB265" s="1864"/>
      <c r="ADC265" s="1864"/>
      <c r="ADD265" s="1864"/>
      <c r="ADE265" s="1864"/>
      <c r="ADF265" s="1864"/>
      <c r="ADG265" s="1864"/>
      <c r="ADH265" s="1864"/>
      <c r="ADI265" s="1864"/>
      <c r="ADJ265" s="1864"/>
      <c r="ADK265" s="1864"/>
      <c r="ADL265" s="1864"/>
      <c r="ADM265" s="1864"/>
      <c r="ADN265" s="1864"/>
      <c r="ADO265" s="1864"/>
      <c r="ADP265" s="1864"/>
      <c r="ADQ265" s="1864"/>
      <c r="ADR265" s="1864"/>
      <c r="ADS265" s="1864"/>
      <c r="ADT265" s="1864"/>
      <c r="ADU265" s="1864"/>
      <c r="ADV265" s="1864"/>
      <c r="ADW265" s="1864"/>
      <c r="ADX265" s="1864"/>
      <c r="ADY265" s="1864"/>
      <c r="ADZ265" s="1864"/>
      <c r="AEA265" s="1864"/>
      <c r="AEB265" s="1864"/>
      <c r="AEC265" s="1864"/>
      <c r="AED265" s="1864"/>
      <c r="AEE265" s="1864"/>
      <c r="AEF265" s="1864"/>
      <c r="AEG265" s="1864"/>
      <c r="AEH265" s="1864"/>
      <c r="AEI265" s="1864"/>
      <c r="AEJ265" s="1864"/>
      <c r="AEK265" s="1864"/>
      <c r="AEL265" s="1864"/>
      <c r="AEM265" s="1864"/>
      <c r="AEN265" s="1864"/>
      <c r="AEO265" s="1864"/>
      <c r="AEP265" s="1864"/>
      <c r="AEQ265" s="1864"/>
      <c r="AER265" s="1864"/>
      <c r="AES265" s="1864"/>
      <c r="AET265" s="1864"/>
      <c r="AEU265" s="1864"/>
      <c r="AEV265" s="1864"/>
      <c r="AEW265" s="1864"/>
      <c r="AEX265" s="1864"/>
      <c r="AEY265" s="1864"/>
      <c r="AEZ265" s="1864"/>
      <c r="AFA265" s="1864"/>
      <c r="AFB265" s="1864"/>
      <c r="AFC265" s="1864"/>
      <c r="AFD265" s="1864"/>
      <c r="AFE265" s="1864"/>
      <c r="AFF265" s="1864"/>
      <c r="AFG265" s="1864"/>
      <c r="AFH265" s="1864"/>
      <c r="AFI265" s="1864"/>
      <c r="AFJ265" s="1864"/>
      <c r="AFK265" s="1864"/>
      <c r="AFL265" s="1864"/>
      <c r="AFM265" s="1864"/>
      <c r="AFN265" s="1864"/>
      <c r="AFO265" s="1864"/>
      <c r="AFP265" s="1864"/>
      <c r="AFQ265" s="1864"/>
      <c r="AFR265" s="1864"/>
      <c r="AFS265" s="1864"/>
      <c r="AFT265" s="1864"/>
      <c r="AFU265" s="1864"/>
      <c r="AFV265" s="1864"/>
      <c r="AFW265" s="1864"/>
      <c r="AFX265" s="1864"/>
      <c r="AFY265" s="1864"/>
      <c r="AFZ265" s="1864"/>
      <c r="AGA265" s="1864"/>
      <c r="AGB265" s="1864"/>
      <c r="AGC265" s="1864"/>
      <c r="AGD265" s="1864"/>
      <c r="AGE265" s="1864"/>
      <c r="AGF265" s="1864"/>
      <c r="AGG265" s="1864"/>
      <c r="AGH265" s="1864"/>
      <c r="AGI265" s="1864"/>
      <c r="AGJ265" s="1864"/>
      <c r="AGK265" s="1864"/>
      <c r="AGL265" s="1864"/>
      <c r="AGM265" s="1864"/>
      <c r="AGN265" s="1864"/>
      <c r="AGO265" s="1864"/>
      <c r="AGP265" s="1864"/>
      <c r="AGQ265" s="1864"/>
      <c r="AGR265" s="1864"/>
      <c r="AGS265" s="1864"/>
      <c r="AGT265" s="1864"/>
      <c r="AGU265" s="1864"/>
      <c r="AGV265" s="1864"/>
      <c r="AGW265" s="1864"/>
      <c r="AGX265" s="1864"/>
      <c r="AGY265" s="1864"/>
      <c r="AGZ265" s="1864"/>
      <c r="AHA265" s="1864"/>
      <c r="AHB265" s="1864"/>
      <c r="AHC265" s="1864"/>
      <c r="AHD265" s="1864"/>
      <c r="AHE265" s="1864"/>
      <c r="AHF265" s="1864"/>
      <c r="AHG265" s="1864"/>
      <c r="AHH265" s="1864"/>
      <c r="AHI265" s="1864"/>
      <c r="AHJ265" s="1864"/>
      <c r="AHK265" s="1864"/>
      <c r="AHL265" s="1864"/>
      <c r="AHM265" s="1864"/>
      <c r="AHN265" s="1864"/>
      <c r="AHO265" s="1864"/>
      <c r="AHP265" s="1864"/>
      <c r="AHQ265" s="1864"/>
      <c r="AHR265" s="1864"/>
      <c r="AHS265" s="1864"/>
      <c r="AHT265" s="1864"/>
      <c r="AHU265" s="1864"/>
      <c r="AHV265" s="1864"/>
      <c r="AHW265" s="1864"/>
      <c r="AHX265" s="1864"/>
      <c r="AHY265" s="1864"/>
      <c r="AHZ265" s="1864"/>
      <c r="AIA265" s="1864"/>
      <c r="AIB265" s="1864"/>
      <c r="AIC265" s="1864"/>
      <c r="AID265" s="1864"/>
      <c r="AIE265" s="1864"/>
      <c r="AIF265" s="1864"/>
      <c r="AIG265" s="1864"/>
      <c r="AIH265" s="1864"/>
      <c r="AII265" s="1864"/>
      <c r="AIJ265" s="1864"/>
      <c r="AIK265" s="1864"/>
      <c r="AIL265" s="1864"/>
      <c r="AIM265" s="1864"/>
      <c r="AIN265" s="1864"/>
      <c r="AIO265" s="1864"/>
      <c r="AIP265" s="1864"/>
      <c r="AIQ265" s="1864"/>
      <c r="AIR265" s="1864"/>
      <c r="AIS265" s="1864"/>
      <c r="AIT265" s="1864"/>
      <c r="AIU265" s="1864"/>
      <c r="AIV265" s="1864"/>
      <c r="AIW265" s="1864"/>
      <c r="AIX265" s="1864"/>
      <c r="AIY265" s="1864"/>
      <c r="AIZ265" s="1864"/>
      <c r="AJA265" s="1864"/>
      <c r="AJB265" s="1864"/>
      <c r="AJC265" s="1864"/>
      <c r="AJD265" s="1864"/>
      <c r="AJE265" s="1864"/>
      <c r="AJF265" s="1864"/>
      <c r="AJG265" s="1864"/>
      <c r="AJH265" s="1864"/>
      <c r="AJI265" s="1864"/>
      <c r="AJJ265" s="1864"/>
      <c r="AJK265" s="1864"/>
      <c r="AJL265" s="1864"/>
      <c r="AJM265" s="1864"/>
      <c r="AJN265" s="1864"/>
      <c r="AJO265" s="1864"/>
      <c r="AJP265" s="1864"/>
      <c r="AJQ265" s="1864"/>
      <c r="AJR265" s="1864"/>
      <c r="AJS265" s="1864"/>
      <c r="AJT265" s="1864"/>
      <c r="AJU265" s="1864"/>
      <c r="AJV265" s="1864"/>
      <c r="AJW265" s="1864"/>
      <c r="AJX265" s="1864"/>
      <c r="AJY265" s="1864"/>
      <c r="AJZ265" s="1864"/>
      <c r="AKA265" s="1864"/>
      <c r="AKB265" s="1864"/>
      <c r="AKC265" s="1864"/>
      <c r="AKD265" s="1864"/>
      <c r="AKE265" s="1864"/>
      <c r="AKF265" s="1864"/>
      <c r="AKG265" s="1864"/>
      <c r="AKH265" s="1864"/>
      <c r="AKI265" s="1864"/>
      <c r="AKJ265" s="1864"/>
      <c r="AKK265" s="1864"/>
      <c r="AKL265" s="1864"/>
      <c r="AKM265" s="1864"/>
      <c r="AKN265" s="1864"/>
      <c r="AKO265" s="1864"/>
      <c r="AKP265" s="1864"/>
      <c r="AKQ265" s="1864"/>
      <c r="AKR265" s="1864"/>
      <c r="AKS265" s="1864"/>
      <c r="AKT265" s="1864"/>
      <c r="AKU265" s="1864"/>
      <c r="AKV265" s="1864"/>
      <c r="AKW265" s="1864"/>
      <c r="AKX265" s="1864"/>
      <c r="AKY265" s="1864"/>
      <c r="AKZ265" s="1864"/>
      <c r="ALA265" s="1864"/>
      <c r="ALB265" s="1864"/>
      <c r="ALC265" s="1864"/>
      <c r="ALD265" s="1864"/>
      <c r="ALE265" s="1864"/>
      <c r="ALF265" s="1864"/>
      <c r="ALG265" s="1864"/>
      <c r="ALH265" s="1864"/>
      <c r="ALI265" s="1864"/>
      <c r="ALJ265" s="1864"/>
      <c r="ALK265" s="1864"/>
      <c r="ALL265" s="1864"/>
      <c r="ALM265" s="1864"/>
      <c r="ALN265" s="1864"/>
      <c r="ALO265" s="1864"/>
      <c r="ALP265" s="1864"/>
      <c r="ALQ265" s="1864"/>
      <c r="ALR265" s="1864"/>
      <c r="ALS265" s="1864"/>
      <c r="ALT265" s="1864"/>
      <c r="ALU265" s="1864"/>
      <c r="ALV265" s="1864"/>
      <c r="ALW265" s="1864"/>
      <c r="ALX265" s="1864"/>
      <c r="ALY265" s="1864"/>
      <c r="ALZ265" s="1864"/>
      <c r="AMA265" s="1864"/>
      <c r="AMB265" s="1864"/>
      <c r="AMC265" s="1864"/>
      <c r="AMD265" s="1864"/>
      <c r="AME265" s="1864"/>
      <c r="AMF265" s="1864"/>
      <c r="AMG265" s="1864"/>
      <c r="AMH265" s="1864"/>
      <c r="AMI265" s="1864"/>
      <c r="AMJ265" s="1864"/>
      <c r="AMK265" s="1864"/>
      <c r="AML265" s="1864"/>
      <c r="AMM265" s="1864"/>
      <c r="AMN265" s="1864"/>
      <c r="AMO265" s="1864"/>
      <c r="AMP265" s="1864"/>
      <c r="AMQ265" s="1864"/>
      <c r="AMR265" s="1864"/>
      <c r="AMS265" s="1864"/>
      <c r="AMT265" s="1864"/>
      <c r="AMU265" s="1864"/>
      <c r="AMV265" s="1864"/>
      <c r="AMW265" s="1864"/>
      <c r="AMX265" s="1864"/>
      <c r="AMY265" s="1864"/>
      <c r="AMZ265" s="1864"/>
      <c r="ANA265" s="1864"/>
      <c r="ANB265" s="1864"/>
      <c r="ANC265" s="1864"/>
      <c r="AND265" s="1864"/>
      <c r="ANE265" s="1864"/>
      <c r="ANF265" s="1864"/>
      <c r="ANG265" s="1864"/>
      <c r="ANH265" s="1864"/>
      <c r="ANI265" s="1864"/>
      <c r="ANJ265" s="1864"/>
      <c r="ANK265" s="1864"/>
      <c r="ANL265" s="1864"/>
      <c r="ANM265" s="1864"/>
      <c r="ANN265" s="1864"/>
      <c r="ANO265" s="1864"/>
      <c r="ANP265" s="1864"/>
      <c r="ANQ265" s="1864"/>
      <c r="ANR265" s="1864"/>
      <c r="ANS265" s="1864"/>
      <c r="ANT265" s="1864"/>
      <c r="ANU265" s="1864"/>
      <c r="ANV265" s="1864"/>
      <c r="ANW265" s="1864"/>
      <c r="ANX265" s="1864"/>
      <c r="ANY265" s="1864"/>
      <c r="ANZ265" s="1864"/>
      <c r="AOA265" s="1864"/>
      <c r="AOB265" s="1864"/>
      <c r="AOC265" s="1864"/>
      <c r="AOD265" s="1864"/>
      <c r="AOE265" s="1864"/>
      <c r="AOF265" s="1864"/>
      <c r="AOG265" s="1864"/>
      <c r="AOH265" s="1864"/>
      <c r="AOI265" s="1864"/>
      <c r="AOJ265" s="1864"/>
      <c r="AOK265" s="1864"/>
      <c r="AOL265" s="1864"/>
      <c r="AOM265" s="1864"/>
      <c r="AON265" s="1864"/>
      <c r="AOO265" s="1864"/>
      <c r="AOP265" s="1864"/>
      <c r="AOQ265" s="1864"/>
      <c r="AOR265" s="1864"/>
      <c r="AOS265" s="1864"/>
      <c r="AOT265" s="1864"/>
      <c r="AOU265" s="1864"/>
      <c r="AOV265" s="1864"/>
      <c r="AOW265" s="1864"/>
      <c r="AOX265" s="1864"/>
      <c r="AOY265" s="1864"/>
      <c r="AOZ265" s="1864"/>
      <c r="APA265" s="1864"/>
      <c r="APB265" s="1864"/>
      <c r="APC265" s="1864"/>
      <c r="APD265" s="1864"/>
      <c r="APE265" s="1864"/>
      <c r="APF265" s="1864"/>
      <c r="APG265" s="1864"/>
      <c r="APH265" s="1864"/>
      <c r="API265" s="1864"/>
      <c r="APJ265" s="1864"/>
      <c r="APK265" s="1864"/>
      <c r="APL265" s="1864"/>
      <c r="APM265" s="1864"/>
      <c r="APN265" s="1864"/>
      <c r="APO265" s="1864"/>
      <c r="APP265" s="1864"/>
      <c r="APQ265" s="1864"/>
      <c r="APR265" s="1864"/>
      <c r="APS265" s="1864"/>
      <c r="APT265" s="1864"/>
      <c r="APU265" s="1864"/>
      <c r="APV265" s="1864"/>
      <c r="APW265" s="1864"/>
      <c r="APX265" s="1864"/>
      <c r="APY265" s="1864"/>
      <c r="APZ265" s="1864"/>
      <c r="AQA265" s="1864"/>
      <c r="AQB265" s="1864"/>
      <c r="AQC265" s="1864"/>
      <c r="AQD265" s="1864"/>
      <c r="AQE265" s="1864"/>
      <c r="AQF265" s="1864"/>
      <c r="AQG265" s="1864"/>
      <c r="AQH265" s="1864"/>
      <c r="AQI265" s="1864"/>
      <c r="AQJ265" s="1864"/>
      <c r="AQK265" s="1864"/>
      <c r="AQL265" s="1864"/>
      <c r="AQM265" s="1864"/>
      <c r="AQN265" s="1864"/>
      <c r="AQO265" s="1864"/>
      <c r="AQP265" s="1864"/>
      <c r="AQQ265" s="1864"/>
      <c r="AQR265" s="1864"/>
      <c r="AQS265" s="1864"/>
      <c r="AQT265" s="1864"/>
      <c r="AQU265" s="1864"/>
      <c r="AQV265" s="1864"/>
      <c r="AQW265" s="1864"/>
      <c r="AQX265" s="1864"/>
      <c r="AQY265" s="1864"/>
      <c r="AQZ265" s="1864"/>
      <c r="ARA265" s="1864"/>
      <c r="ARB265" s="1864"/>
      <c r="ARC265" s="1864"/>
      <c r="ARD265" s="1864"/>
      <c r="ARE265" s="1864"/>
      <c r="ARF265" s="1864"/>
      <c r="ARG265" s="1864"/>
      <c r="ARH265" s="1864"/>
      <c r="ARI265" s="1864"/>
      <c r="ARJ265" s="1864"/>
      <c r="ARK265" s="1864"/>
      <c r="ARL265" s="1864"/>
      <c r="ARM265" s="1864"/>
      <c r="ARN265" s="1864"/>
      <c r="ARO265" s="1864"/>
      <c r="ARP265" s="1864"/>
      <c r="ARQ265" s="1864"/>
      <c r="ARR265" s="1864"/>
      <c r="ARS265" s="1864"/>
      <c r="ART265" s="1864"/>
      <c r="ARU265" s="1864"/>
      <c r="ARV265" s="1864"/>
      <c r="ARW265" s="1864"/>
      <c r="ARX265" s="1864"/>
      <c r="ARY265" s="1864"/>
      <c r="ARZ265" s="1864"/>
      <c r="ASA265" s="1864"/>
      <c r="ASB265" s="1864"/>
      <c r="ASC265" s="1864"/>
      <c r="ASD265" s="1864"/>
      <c r="ASE265" s="1864"/>
      <c r="ASF265" s="1864"/>
      <c r="ASG265" s="1864"/>
      <c r="ASH265" s="1864"/>
      <c r="ASI265" s="1864"/>
      <c r="ASJ265" s="1864"/>
      <c r="ASK265" s="1864"/>
      <c r="ASL265" s="1864"/>
      <c r="ASM265" s="1864"/>
      <c r="ASN265" s="1864"/>
      <c r="ASO265" s="1864"/>
      <c r="ASP265" s="1864"/>
      <c r="ASQ265" s="1864"/>
      <c r="ASR265" s="1864"/>
      <c r="ASS265" s="1864"/>
      <c r="AST265" s="1864"/>
      <c r="ASU265" s="1864"/>
      <c r="ASV265" s="1864"/>
      <c r="ASW265" s="1864"/>
      <c r="ASX265" s="1864"/>
      <c r="ASY265" s="1864"/>
      <c r="ASZ265" s="1864"/>
      <c r="ATA265" s="1864"/>
      <c r="ATB265" s="1864"/>
      <c r="ATC265" s="1864"/>
      <c r="ATD265" s="1864"/>
      <c r="ATE265" s="1864"/>
      <c r="ATF265" s="1864"/>
      <c r="ATG265" s="1864"/>
      <c r="ATH265" s="1864"/>
      <c r="ATI265" s="1864"/>
      <c r="ATJ265" s="1864"/>
      <c r="ATK265" s="1864"/>
      <c r="ATL265" s="1864"/>
      <c r="ATM265" s="1864"/>
      <c r="ATN265" s="1864"/>
      <c r="ATO265" s="1864"/>
      <c r="ATP265" s="1864"/>
      <c r="ATQ265" s="1864"/>
      <c r="ATR265" s="1864"/>
      <c r="ATS265" s="1864"/>
      <c r="ATT265" s="1864"/>
      <c r="ATU265" s="1864"/>
      <c r="ATV265" s="1864"/>
      <c r="ATW265" s="1864"/>
      <c r="ATX265" s="1864"/>
      <c r="ATY265" s="1864"/>
      <c r="ATZ265" s="1864"/>
      <c r="AUA265" s="1864"/>
      <c r="AUB265" s="1864"/>
      <c r="AUC265" s="1864"/>
      <c r="AUD265" s="1864"/>
      <c r="AUE265" s="1864"/>
      <c r="AUF265" s="1864"/>
      <c r="AUG265" s="1864"/>
      <c r="AUH265" s="1864"/>
      <c r="AUI265" s="1864"/>
      <c r="AUJ265" s="1864"/>
      <c r="AUK265" s="1864"/>
      <c r="AUL265" s="1864"/>
      <c r="AUM265" s="1864"/>
      <c r="AUN265" s="1864"/>
      <c r="AUO265" s="1864"/>
      <c r="AUP265" s="1864"/>
      <c r="AUQ265" s="1864"/>
      <c r="AUR265" s="1864"/>
      <c r="AUS265" s="1864"/>
      <c r="AUT265" s="1864"/>
      <c r="AUU265" s="1864"/>
      <c r="AUV265" s="1864"/>
      <c r="AUW265" s="1864"/>
      <c r="AUX265" s="1864"/>
      <c r="AUY265" s="1864"/>
      <c r="AUZ265" s="1864"/>
      <c r="AVA265" s="1864"/>
      <c r="AVB265" s="1864"/>
      <c r="AVC265" s="1864"/>
      <c r="AVD265" s="1864"/>
      <c r="AVE265" s="1864"/>
      <c r="AVF265" s="1864"/>
      <c r="AVG265" s="1864"/>
      <c r="AVH265" s="1864"/>
      <c r="AVI265" s="1864"/>
      <c r="AVJ265" s="1864"/>
      <c r="AVK265" s="1864"/>
      <c r="AVL265" s="1864"/>
      <c r="AVM265" s="1864"/>
      <c r="AVN265" s="1864"/>
      <c r="AVO265" s="1864"/>
      <c r="AVP265" s="1864"/>
      <c r="AVQ265" s="1864"/>
      <c r="AVR265" s="1864"/>
      <c r="AVS265" s="1864"/>
      <c r="AVT265" s="1864"/>
      <c r="AVU265" s="1864"/>
      <c r="AVV265" s="1864"/>
      <c r="AVW265" s="1864"/>
      <c r="AVX265" s="1864"/>
      <c r="AVY265" s="1864"/>
      <c r="AVZ265" s="1864"/>
      <c r="AWA265" s="1864"/>
      <c r="AWB265" s="1864"/>
      <c r="AWC265" s="1864"/>
      <c r="AWD265" s="1864"/>
      <c r="AWE265" s="1864"/>
      <c r="AWF265" s="1864"/>
      <c r="AWG265" s="1864"/>
      <c r="AWH265" s="1864"/>
      <c r="AWI265" s="1864"/>
      <c r="AWJ265" s="1864"/>
      <c r="AWK265" s="1864"/>
      <c r="AWL265" s="1864"/>
      <c r="AWM265" s="1864"/>
      <c r="AWN265" s="1864"/>
      <c r="AWO265" s="1864"/>
      <c r="AWP265" s="1864"/>
      <c r="AWQ265" s="1864"/>
    </row>
    <row r="266" spans="1:1291" ht="29.25" customHeight="1" thickBot="1" x14ac:dyDescent="0.25">
      <c r="A266" s="1963" t="s">
        <v>46</v>
      </c>
      <c r="B266" s="1988" t="s">
        <v>296</v>
      </c>
      <c r="C266" s="1829" t="s">
        <v>974</v>
      </c>
      <c r="D266" s="1880"/>
      <c r="E266" s="1984"/>
      <c r="F266" s="1865"/>
      <c r="G266" s="1866"/>
      <c r="H266" s="1866"/>
      <c r="I266" s="1866"/>
      <c r="J266" s="1866"/>
      <c r="K266" s="1866"/>
      <c r="L266" s="1866"/>
      <c r="M266" s="1866"/>
      <c r="N266" s="1866"/>
      <c r="O266" s="1866"/>
      <c r="P266" s="1866"/>
      <c r="Q266" s="1866"/>
      <c r="R266" s="1866"/>
      <c r="S266" s="1866"/>
      <c r="T266" s="1866"/>
      <c r="U266" s="1866"/>
      <c r="V266" s="1866"/>
      <c r="W266" s="1866"/>
      <c r="X266" s="1866"/>
      <c r="Y266" s="1866"/>
      <c r="Z266" s="1866"/>
      <c r="AA266" s="1866"/>
      <c r="AB266" s="1866"/>
      <c r="AC266" s="1866"/>
      <c r="AD266" s="1866"/>
      <c r="AE266" s="1866"/>
      <c r="AF266" s="1866"/>
      <c r="AG266" s="1866"/>
      <c r="AH266" s="1866"/>
      <c r="AI266" s="1866"/>
      <c r="AJ266" s="1866"/>
      <c r="AK266" s="1866"/>
      <c r="AL266" s="1866"/>
      <c r="AM266" s="1866"/>
      <c r="AN266" s="1866"/>
      <c r="AO266" s="1866"/>
      <c r="AP266" s="1866"/>
      <c r="AQ266" s="1866"/>
      <c r="AR266" s="1866"/>
      <c r="AS266" s="1866"/>
      <c r="AT266" s="1866"/>
      <c r="AU266" s="1866"/>
      <c r="AV266" s="1866"/>
      <c r="AW266" s="1866"/>
      <c r="AX266" s="1866"/>
      <c r="AY266" s="1866"/>
      <c r="AZ266" s="1866"/>
      <c r="BA266" s="1866"/>
      <c r="BB266" s="1866"/>
      <c r="BC266" s="1866"/>
      <c r="BD266" s="1866"/>
      <c r="BE266" s="1866"/>
      <c r="BF266" s="1866"/>
      <c r="BG266" s="1866"/>
      <c r="BH266" s="1866"/>
      <c r="BI266" s="1866"/>
      <c r="BJ266" s="1866"/>
      <c r="BK266" s="1866"/>
      <c r="BL266" s="1866"/>
      <c r="BM266" s="1866"/>
      <c r="BN266" s="1866"/>
      <c r="BO266" s="1866"/>
      <c r="BP266" s="1866"/>
      <c r="BQ266" s="1866"/>
      <c r="BR266" s="1866"/>
      <c r="BS266" s="1866"/>
      <c r="BT266" s="1866"/>
      <c r="BU266" s="1866"/>
      <c r="BV266" s="1866"/>
      <c r="BW266" s="1866"/>
      <c r="BX266" s="1866"/>
      <c r="BY266" s="1866"/>
      <c r="BZ266" s="1866"/>
      <c r="CA266" s="1866"/>
      <c r="CB266" s="1866"/>
      <c r="CC266" s="1866"/>
      <c r="CD266" s="1866"/>
      <c r="CE266" s="1866"/>
      <c r="CF266" s="1866"/>
      <c r="CG266" s="1866"/>
      <c r="CH266" s="1866"/>
      <c r="CI266" s="1866"/>
      <c r="CJ266" s="1866"/>
      <c r="CK266" s="1866"/>
      <c r="CL266" s="1866"/>
      <c r="CM266" s="1866"/>
      <c r="CN266" s="1866"/>
      <c r="CO266" s="1866"/>
      <c r="CP266" s="1866"/>
      <c r="CQ266" s="1866"/>
      <c r="CR266" s="1866"/>
      <c r="CS266" s="1866"/>
      <c r="CT266" s="1866"/>
      <c r="CU266" s="1866"/>
      <c r="CV266" s="1866"/>
      <c r="CW266" s="1866"/>
      <c r="CX266" s="1866"/>
      <c r="CY266" s="1866"/>
      <c r="CZ266" s="1866"/>
      <c r="DA266" s="1866"/>
      <c r="DB266" s="1866"/>
      <c r="DC266" s="1866"/>
      <c r="DD266" s="1866"/>
      <c r="DE266" s="1866"/>
      <c r="DF266" s="1866"/>
      <c r="DG266" s="1866"/>
      <c r="DH266" s="1866"/>
      <c r="DI266" s="1866"/>
      <c r="DJ266" s="1866"/>
      <c r="DK266" s="1866"/>
      <c r="DL266" s="1866"/>
      <c r="DM266" s="1866"/>
      <c r="DN266" s="1866"/>
      <c r="DO266" s="1866"/>
      <c r="DP266" s="1866"/>
      <c r="DQ266" s="1866"/>
      <c r="DR266" s="1866"/>
      <c r="DS266" s="1866"/>
      <c r="DT266" s="1866"/>
      <c r="DU266" s="1866"/>
      <c r="DV266" s="1866"/>
      <c r="DW266" s="1866"/>
      <c r="DX266" s="1866"/>
      <c r="DY266" s="1866"/>
      <c r="DZ266" s="1866"/>
      <c r="EA266" s="1866"/>
      <c r="EB266" s="1866"/>
      <c r="EC266" s="1866"/>
      <c r="ED266" s="1866"/>
      <c r="EE266" s="1866"/>
      <c r="EF266" s="1866"/>
      <c r="EG266" s="1866"/>
      <c r="EH266" s="1866"/>
      <c r="EI266" s="1866"/>
      <c r="EJ266" s="1866"/>
      <c r="EK266" s="1866"/>
      <c r="EL266" s="1866"/>
      <c r="EM266" s="1866"/>
      <c r="EN266" s="1866"/>
      <c r="EO266" s="1866"/>
      <c r="EP266" s="1866"/>
      <c r="EQ266" s="1866"/>
      <c r="ER266" s="1866"/>
      <c r="ES266" s="1866"/>
      <c r="ET266" s="1866"/>
      <c r="EU266" s="1866"/>
      <c r="EV266" s="1866"/>
      <c r="EW266" s="1866"/>
      <c r="EX266" s="1866"/>
      <c r="EY266" s="1866"/>
      <c r="EZ266" s="1866"/>
      <c r="FA266" s="1866"/>
      <c r="FB266" s="1866"/>
      <c r="FC266" s="1866"/>
      <c r="FD266" s="1866"/>
      <c r="FE266" s="1866"/>
      <c r="FF266" s="1866"/>
      <c r="FG266" s="1866"/>
      <c r="FH266" s="1866"/>
      <c r="FI266" s="1866"/>
      <c r="FJ266" s="1866"/>
      <c r="FK266" s="1866"/>
      <c r="FL266" s="1866"/>
      <c r="FM266" s="1866"/>
      <c r="FN266" s="1866"/>
      <c r="FO266" s="1866"/>
      <c r="FP266" s="1866"/>
      <c r="FQ266" s="1866"/>
      <c r="FR266" s="1866"/>
      <c r="FS266" s="1866"/>
      <c r="FT266" s="1866"/>
      <c r="FU266" s="1866"/>
      <c r="FV266" s="1866"/>
      <c r="FW266" s="1866"/>
      <c r="FX266" s="1866"/>
      <c r="FY266" s="1866"/>
      <c r="FZ266" s="1866"/>
      <c r="GA266" s="1866"/>
      <c r="GB266" s="1866"/>
      <c r="GC266" s="1866"/>
      <c r="GD266" s="1866"/>
      <c r="GE266" s="1866"/>
      <c r="GF266" s="1866"/>
      <c r="GG266" s="1866"/>
      <c r="GH266" s="1866"/>
      <c r="GI266" s="1866"/>
      <c r="GJ266" s="1866"/>
      <c r="GK266" s="1866"/>
      <c r="GL266" s="1866"/>
      <c r="GM266" s="1866"/>
      <c r="GN266" s="1866"/>
      <c r="GO266" s="1866"/>
      <c r="GP266" s="1866"/>
      <c r="GQ266" s="1866"/>
      <c r="GR266" s="1866"/>
      <c r="GS266" s="1866"/>
      <c r="GT266" s="1866"/>
      <c r="GU266" s="1866"/>
      <c r="GV266" s="1866"/>
      <c r="GW266" s="1866"/>
      <c r="GX266" s="1866"/>
      <c r="GY266" s="1866"/>
      <c r="GZ266" s="1866"/>
      <c r="HA266" s="1866"/>
      <c r="HB266" s="1866"/>
      <c r="HC266" s="1866"/>
      <c r="HD266" s="1866"/>
      <c r="HE266" s="1866"/>
    </row>
    <row r="267" spans="1:1291" ht="15" customHeight="1" x14ac:dyDescent="0.2">
      <c r="A267" s="1964"/>
      <c r="B267" s="2003"/>
      <c r="C267" s="1705" t="s">
        <v>909</v>
      </c>
      <c r="D267" s="1883"/>
      <c r="E267" s="2007"/>
      <c r="F267" s="1838">
        <v>0</v>
      </c>
      <c r="G267" s="1804">
        <v>0</v>
      </c>
      <c r="H267" s="1804">
        <v>0</v>
      </c>
      <c r="I267" s="1804">
        <v>0</v>
      </c>
      <c r="J267" s="1804">
        <v>0</v>
      </c>
      <c r="K267" s="1804">
        <v>0</v>
      </c>
      <c r="L267" s="1804">
        <v>0</v>
      </c>
      <c r="M267" s="1804">
        <v>0</v>
      </c>
      <c r="N267" s="1804">
        <v>0</v>
      </c>
      <c r="O267" s="1804">
        <v>0</v>
      </c>
      <c r="P267" s="1804">
        <v>0</v>
      </c>
      <c r="Q267" s="1804">
        <v>0</v>
      </c>
      <c r="R267" s="1804">
        <v>0</v>
      </c>
      <c r="S267" s="1804">
        <v>0</v>
      </c>
      <c r="T267" s="1804">
        <v>0</v>
      </c>
      <c r="U267" s="1804">
        <v>0</v>
      </c>
      <c r="V267" s="1804">
        <v>0</v>
      </c>
      <c r="W267" s="1804">
        <v>0</v>
      </c>
      <c r="X267" s="1804">
        <v>0</v>
      </c>
      <c r="Y267" s="1804">
        <v>0</v>
      </c>
      <c r="Z267" s="1804">
        <v>0</v>
      </c>
      <c r="AA267" s="1804">
        <v>0</v>
      </c>
      <c r="AB267" s="1804">
        <v>0</v>
      </c>
      <c r="AC267" s="1804">
        <v>0</v>
      </c>
      <c r="AD267" s="1804">
        <v>0</v>
      </c>
      <c r="AE267" s="1804">
        <v>0</v>
      </c>
      <c r="AF267" s="1804">
        <v>0</v>
      </c>
      <c r="AG267" s="1804">
        <v>0</v>
      </c>
      <c r="AH267" s="1804">
        <v>0</v>
      </c>
      <c r="AI267" s="1804">
        <v>0</v>
      </c>
      <c r="AJ267" s="1804">
        <v>0</v>
      </c>
      <c r="AK267" s="1804">
        <v>0</v>
      </c>
      <c r="AL267" s="1804">
        <v>0</v>
      </c>
      <c r="AM267" s="1804">
        <v>0</v>
      </c>
      <c r="AN267" s="1804">
        <v>0</v>
      </c>
      <c r="AO267" s="1804">
        <v>0</v>
      </c>
      <c r="AP267" s="1804">
        <v>0</v>
      </c>
      <c r="AQ267" s="1804">
        <v>0</v>
      </c>
      <c r="AR267" s="1804">
        <v>0</v>
      </c>
      <c r="AS267" s="1804">
        <v>0</v>
      </c>
      <c r="AT267" s="1804">
        <v>0</v>
      </c>
      <c r="AU267" s="1804">
        <v>0</v>
      </c>
      <c r="AV267" s="1804">
        <v>0</v>
      </c>
      <c r="AW267" s="1804">
        <v>0</v>
      </c>
      <c r="AX267" s="1804">
        <v>0</v>
      </c>
      <c r="AY267" s="1804">
        <v>0</v>
      </c>
      <c r="AZ267" s="1804">
        <v>0</v>
      </c>
      <c r="BA267" s="1804">
        <v>0</v>
      </c>
      <c r="BB267" s="1804">
        <v>0</v>
      </c>
      <c r="BC267" s="1804">
        <v>0</v>
      </c>
      <c r="BD267" s="1804">
        <v>0</v>
      </c>
      <c r="BE267" s="1804">
        <v>0</v>
      </c>
      <c r="BF267" s="1804">
        <v>0</v>
      </c>
      <c r="BG267" s="1804">
        <v>0</v>
      </c>
      <c r="BH267" s="1804">
        <v>0</v>
      </c>
      <c r="BI267" s="1804">
        <v>0</v>
      </c>
      <c r="BJ267" s="1804">
        <v>0</v>
      </c>
      <c r="BK267" s="1804">
        <v>0</v>
      </c>
      <c r="BL267" s="1804">
        <v>0</v>
      </c>
      <c r="BM267" s="1804">
        <v>0</v>
      </c>
      <c r="BN267" s="1804">
        <v>0</v>
      </c>
      <c r="BO267" s="1804">
        <v>0</v>
      </c>
      <c r="BP267" s="1804">
        <v>0</v>
      </c>
      <c r="BQ267" s="1804">
        <v>0</v>
      </c>
      <c r="BR267" s="1804">
        <v>0</v>
      </c>
      <c r="BS267" s="1804">
        <v>0</v>
      </c>
      <c r="BT267" s="1804">
        <v>0</v>
      </c>
      <c r="BU267" s="1804">
        <v>0</v>
      </c>
      <c r="BV267" s="1804">
        <v>0</v>
      </c>
      <c r="BW267" s="1804">
        <v>0</v>
      </c>
      <c r="BX267" s="1804">
        <v>0</v>
      </c>
      <c r="BY267" s="1804">
        <v>0</v>
      </c>
      <c r="BZ267" s="1804">
        <v>0</v>
      </c>
      <c r="CA267" s="1804">
        <v>0</v>
      </c>
      <c r="CB267" s="1804">
        <v>0</v>
      </c>
      <c r="CC267" s="1804">
        <v>0</v>
      </c>
      <c r="CD267" s="1804">
        <v>0</v>
      </c>
      <c r="CE267" s="1804">
        <v>0</v>
      </c>
      <c r="CF267" s="1804">
        <v>0</v>
      </c>
      <c r="CG267" s="1804">
        <v>0</v>
      </c>
      <c r="CH267" s="1804">
        <v>0</v>
      </c>
      <c r="CI267" s="1804">
        <v>0</v>
      </c>
      <c r="CJ267" s="1804">
        <v>0</v>
      </c>
      <c r="CK267" s="1804">
        <v>0</v>
      </c>
      <c r="CL267" s="1804">
        <v>0</v>
      </c>
      <c r="CM267" s="1804">
        <v>0</v>
      </c>
      <c r="CN267" s="1804">
        <v>0</v>
      </c>
      <c r="CO267" s="1804">
        <v>0</v>
      </c>
      <c r="CP267" s="1804">
        <v>0</v>
      </c>
      <c r="CQ267" s="1804">
        <v>0</v>
      </c>
      <c r="CR267" s="1804">
        <v>0</v>
      </c>
      <c r="CS267" s="1804">
        <v>0</v>
      </c>
      <c r="CT267" s="1804">
        <v>0</v>
      </c>
      <c r="CU267" s="1804">
        <v>0</v>
      </c>
      <c r="CV267" s="1804">
        <v>0</v>
      </c>
      <c r="CW267" s="1804">
        <v>0</v>
      </c>
      <c r="CX267" s="1804">
        <v>0</v>
      </c>
      <c r="CY267" s="1804">
        <v>0</v>
      </c>
      <c r="CZ267" s="1804">
        <v>0</v>
      </c>
      <c r="DA267" s="1804">
        <v>0</v>
      </c>
      <c r="DB267" s="1804">
        <v>0</v>
      </c>
      <c r="DC267" s="1804">
        <v>0</v>
      </c>
      <c r="DD267" s="1804">
        <v>0</v>
      </c>
      <c r="DE267" s="1804">
        <v>0</v>
      </c>
      <c r="DF267" s="1804">
        <v>0</v>
      </c>
      <c r="DG267" s="1804">
        <v>0</v>
      </c>
      <c r="DH267" s="1804">
        <v>0</v>
      </c>
      <c r="DI267" s="1804">
        <v>0</v>
      </c>
      <c r="DJ267" s="1804">
        <v>0</v>
      </c>
      <c r="DK267" s="1804">
        <v>0</v>
      </c>
      <c r="DL267" s="1804">
        <v>0</v>
      </c>
      <c r="DM267" s="1804">
        <v>0</v>
      </c>
      <c r="DN267" s="1804">
        <v>0</v>
      </c>
      <c r="DO267" s="1804">
        <v>0</v>
      </c>
      <c r="DP267" s="1804">
        <v>0</v>
      </c>
      <c r="DQ267" s="1804">
        <v>0</v>
      </c>
      <c r="DR267" s="1804">
        <v>0</v>
      </c>
      <c r="DS267" s="1804">
        <v>0</v>
      </c>
      <c r="DT267" s="1804">
        <v>0</v>
      </c>
      <c r="DU267" s="1804">
        <v>0</v>
      </c>
      <c r="DV267" s="1804">
        <v>0</v>
      </c>
      <c r="DW267" s="1804">
        <v>0</v>
      </c>
      <c r="DX267" s="1804">
        <v>0</v>
      </c>
      <c r="DY267" s="1804">
        <v>0</v>
      </c>
      <c r="DZ267" s="1804">
        <v>0</v>
      </c>
      <c r="EA267" s="1804">
        <v>0</v>
      </c>
      <c r="EB267" s="1804">
        <v>0</v>
      </c>
      <c r="EC267" s="1804">
        <v>0</v>
      </c>
      <c r="ED267" s="1804">
        <v>0</v>
      </c>
      <c r="EE267" s="1804">
        <v>0</v>
      </c>
      <c r="EF267" s="1804">
        <v>0</v>
      </c>
      <c r="EG267" s="1804">
        <v>0</v>
      </c>
      <c r="EH267" s="1804">
        <v>0</v>
      </c>
      <c r="EI267" s="1804">
        <v>0</v>
      </c>
      <c r="EJ267" s="1804">
        <v>0</v>
      </c>
      <c r="EK267" s="1804">
        <v>0</v>
      </c>
      <c r="EL267" s="1804">
        <v>0</v>
      </c>
      <c r="EM267" s="1804">
        <v>0</v>
      </c>
      <c r="EN267" s="1804">
        <v>0</v>
      </c>
      <c r="EO267" s="1804">
        <v>0</v>
      </c>
      <c r="EP267" s="1804">
        <v>0</v>
      </c>
      <c r="EQ267" s="1804">
        <v>0</v>
      </c>
      <c r="ER267" s="1804">
        <v>0</v>
      </c>
      <c r="ES267" s="1804">
        <v>0</v>
      </c>
      <c r="ET267" s="1804">
        <v>0</v>
      </c>
      <c r="EU267" s="1804">
        <v>0</v>
      </c>
      <c r="EV267" s="1804">
        <v>0</v>
      </c>
      <c r="EW267" s="1804">
        <v>0</v>
      </c>
      <c r="EX267" s="1804">
        <v>0</v>
      </c>
      <c r="EY267" s="1804">
        <v>0</v>
      </c>
      <c r="EZ267" s="1804">
        <v>0</v>
      </c>
      <c r="FA267" s="1804">
        <v>0</v>
      </c>
      <c r="FB267" s="1804">
        <v>0</v>
      </c>
      <c r="FC267" s="1804">
        <v>0</v>
      </c>
      <c r="FD267" s="1804">
        <v>0</v>
      </c>
      <c r="FE267" s="1804">
        <v>0</v>
      </c>
      <c r="FF267" s="1804">
        <v>0</v>
      </c>
      <c r="FG267" s="1804">
        <v>0</v>
      </c>
      <c r="FH267" s="1804">
        <v>0</v>
      </c>
      <c r="FI267" s="1804">
        <v>0</v>
      </c>
      <c r="FJ267" s="1804">
        <v>0</v>
      </c>
      <c r="FK267" s="1804">
        <v>0</v>
      </c>
      <c r="FL267" s="1804">
        <v>0</v>
      </c>
      <c r="FM267" s="1804">
        <v>0</v>
      </c>
      <c r="FN267" s="1804">
        <v>0</v>
      </c>
      <c r="FO267" s="1804">
        <v>0</v>
      </c>
      <c r="FP267" s="1804">
        <v>0</v>
      </c>
      <c r="FQ267" s="1804">
        <v>0</v>
      </c>
      <c r="FR267" s="1804">
        <v>0</v>
      </c>
      <c r="FS267" s="1804">
        <v>0</v>
      </c>
      <c r="FT267" s="1804">
        <v>0</v>
      </c>
      <c r="FU267" s="1804">
        <v>0</v>
      </c>
      <c r="FV267" s="1804">
        <v>0</v>
      </c>
      <c r="FW267" s="1804">
        <v>0</v>
      </c>
      <c r="FX267" s="1804">
        <v>0</v>
      </c>
      <c r="FY267" s="1804">
        <v>0</v>
      </c>
      <c r="FZ267" s="1804">
        <v>0</v>
      </c>
      <c r="GA267" s="1804">
        <v>0</v>
      </c>
      <c r="GB267" s="1804">
        <v>0</v>
      </c>
      <c r="GC267" s="1804">
        <v>0</v>
      </c>
      <c r="GD267" s="1804">
        <v>0</v>
      </c>
      <c r="GE267" s="1804">
        <v>0</v>
      </c>
      <c r="GF267" s="1804">
        <v>0</v>
      </c>
      <c r="GG267" s="1804">
        <v>0</v>
      </c>
      <c r="GH267" s="1804">
        <v>0</v>
      </c>
      <c r="GI267" s="1804">
        <v>0</v>
      </c>
      <c r="GJ267" s="1804">
        <v>0</v>
      </c>
      <c r="GK267" s="1804">
        <v>0</v>
      </c>
      <c r="GL267" s="1804">
        <v>0</v>
      </c>
      <c r="GM267" s="1804">
        <v>0</v>
      </c>
      <c r="GN267" s="1804">
        <v>0</v>
      </c>
      <c r="GO267" s="1804">
        <v>0</v>
      </c>
      <c r="GP267" s="1804">
        <v>0</v>
      </c>
      <c r="GQ267" s="1804">
        <v>0</v>
      </c>
      <c r="GR267" s="1804">
        <v>0</v>
      </c>
      <c r="GS267" s="1804">
        <v>0</v>
      </c>
      <c r="GT267" s="1804">
        <v>0</v>
      </c>
      <c r="GU267" s="1804">
        <v>0</v>
      </c>
      <c r="GV267" s="1804">
        <v>0</v>
      </c>
      <c r="GW267" s="1804">
        <v>0</v>
      </c>
      <c r="GX267" s="1804">
        <v>0</v>
      </c>
      <c r="GY267" s="1804">
        <v>0</v>
      </c>
      <c r="GZ267" s="1804">
        <v>0</v>
      </c>
      <c r="HA267" s="1804">
        <v>0</v>
      </c>
      <c r="HB267" s="1804">
        <v>0</v>
      </c>
      <c r="HC267" s="1804">
        <v>0</v>
      </c>
      <c r="HD267" s="1804">
        <v>0</v>
      </c>
      <c r="HE267" s="1804">
        <v>0</v>
      </c>
    </row>
    <row r="268" spans="1:1291" ht="15" customHeight="1" x14ac:dyDescent="0.2">
      <c r="A268" s="1964"/>
      <c r="B268" s="2003"/>
      <c r="C268" s="1818" t="s">
        <v>908</v>
      </c>
      <c r="D268" s="1883"/>
      <c r="E268" s="2007"/>
      <c r="F268" s="1838">
        <v>0</v>
      </c>
      <c r="G268" s="1804">
        <v>0</v>
      </c>
      <c r="H268" s="1804">
        <v>0</v>
      </c>
      <c r="I268" s="1804">
        <v>0</v>
      </c>
      <c r="J268" s="1804">
        <v>0</v>
      </c>
      <c r="K268" s="1804">
        <v>0</v>
      </c>
      <c r="L268" s="1804">
        <v>0</v>
      </c>
      <c r="M268" s="1804">
        <v>0</v>
      </c>
      <c r="N268" s="1804">
        <v>0</v>
      </c>
      <c r="O268" s="1804">
        <v>0</v>
      </c>
      <c r="P268" s="1804">
        <v>0</v>
      </c>
      <c r="Q268" s="1804">
        <v>0</v>
      </c>
      <c r="R268" s="1804">
        <v>0</v>
      </c>
      <c r="S268" s="1804">
        <v>0</v>
      </c>
      <c r="T268" s="1804">
        <v>0</v>
      </c>
      <c r="U268" s="1804">
        <v>0</v>
      </c>
      <c r="V268" s="1804">
        <v>0</v>
      </c>
      <c r="W268" s="1804">
        <v>0</v>
      </c>
      <c r="X268" s="1804">
        <v>0</v>
      </c>
      <c r="Y268" s="1804">
        <v>0</v>
      </c>
      <c r="Z268" s="1804">
        <v>0</v>
      </c>
      <c r="AA268" s="1804">
        <v>0</v>
      </c>
      <c r="AB268" s="1804">
        <v>0</v>
      </c>
      <c r="AC268" s="1804">
        <v>0</v>
      </c>
      <c r="AD268" s="1804">
        <v>0</v>
      </c>
      <c r="AE268" s="1804">
        <v>0</v>
      </c>
      <c r="AF268" s="1804">
        <v>0</v>
      </c>
      <c r="AG268" s="1804">
        <v>0</v>
      </c>
      <c r="AH268" s="1804">
        <v>0</v>
      </c>
      <c r="AI268" s="1804">
        <v>0</v>
      </c>
      <c r="AJ268" s="1804">
        <v>0</v>
      </c>
      <c r="AK268" s="1804">
        <v>0</v>
      </c>
      <c r="AL268" s="1804">
        <v>0</v>
      </c>
      <c r="AM268" s="1804">
        <v>0</v>
      </c>
      <c r="AN268" s="1804">
        <v>0</v>
      </c>
      <c r="AO268" s="1804">
        <v>0</v>
      </c>
      <c r="AP268" s="1804">
        <v>0</v>
      </c>
      <c r="AQ268" s="1804">
        <v>0</v>
      </c>
      <c r="AR268" s="1804">
        <v>0</v>
      </c>
      <c r="AS268" s="1804">
        <v>0</v>
      </c>
      <c r="AT268" s="1804">
        <v>0</v>
      </c>
      <c r="AU268" s="1804">
        <v>0</v>
      </c>
      <c r="AV268" s="1804">
        <v>0</v>
      </c>
      <c r="AW268" s="1804">
        <v>0</v>
      </c>
      <c r="AX268" s="1804">
        <v>0</v>
      </c>
      <c r="AY268" s="1804">
        <v>0</v>
      </c>
      <c r="AZ268" s="1804">
        <v>0</v>
      </c>
      <c r="BA268" s="1804">
        <v>0</v>
      </c>
      <c r="BB268" s="1804">
        <v>0</v>
      </c>
      <c r="BC268" s="1804">
        <v>0</v>
      </c>
      <c r="BD268" s="1804">
        <v>0</v>
      </c>
      <c r="BE268" s="1804">
        <v>0</v>
      </c>
      <c r="BF268" s="1804">
        <v>0</v>
      </c>
      <c r="BG268" s="1804">
        <v>0</v>
      </c>
      <c r="BH268" s="1804">
        <v>0</v>
      </c>
      <c r="BI268" s="1804">
        <v>0</v>
      </c>
      <c r="BJ268" s="1804">
        <v>0</v>
      </c>
      <c r="BK268" s="1804">
        <v>0</v>
      </c>
      <c r="BL268" s="1804">
        <v>0</v>
      </c>
      <c r="BM268" s="1804">
        <v>0</v>
      </c>
      <c r="BN268" s="1804">
        <v>0</v>
      </c>
      <c r="BO268" s="1804">
        <v>0</v>
      </c>
      <c r="BP268" s="1804">
        <v>0</v>
      </c>
      <c r="BQ268" s="1804">
        <v>0</v>
      </c>
      <c r="BR268" s="1804">
        <v>0</v>
      </c>
      <c r="BS268" s="1804">
        <v>0</v>
      </c>
      <c r="BT268" s="1804">
        <v>0</v>
      </c>
      <c r="BU268" s="1804">
        <v>0</v>
      </c>
      <c r="BV268" s="1804">
        <v>0</v>
      </c>
      <c r="BW268" s="1804">
        <v>0</v>
      </c>
      <c r="BX268" s="1804">
        <v>0</v>
      </c>
      <c r="BY268" s="1804">
        <v>0</v>
      </c>
      <c r="BZ268" s="1804">
        <v>0</v>
      </c>
      <c r="CA268" s="1804">
        <v>0</v>
      </c>
      <c r="CB268" s="1804">
        <v>0</v>
      </c>
      <c r="CC268" s="1804">
        <v>0</v>
      </c>
      <c r="CD268" s="1804">
        <v>0</v>
      </c>
      <c r="CE268" s="1804">
        <v>0</v>
      </c>
      <c r="CF268" s="1804">
        <v>0</v>
      </c>
      <c r="CG268" s="1804">
        <v>0</v>
      </c>
      <c r="CH268" s="1804">
        <v>0</v>
      </c>
      <c r="CI268" s="1804">
        <v>0</v>
      </c>
      <c r="CJ268" s="1804">
        <v>0</v>
      </c>
      <c r="CK268" s="1804">
        <v>0</v>
      </c>
      <c r="CL268" s="1804">
        <v>0</v>
      </c>
      <c r="CM268" s="1804">
        <v>0</v>
      </c>
      <c r="CN268" s="1804">
        <v>0</v>
      </c>
      <c r="CO268" s="1804">
        <v>0</v>
      </c>
      <c r="CP268" s="1804">
        <v>0</v>
      </c>
      <c r="CQ268" s="1804">
        <v>0</v>
      </c>
      <c r="CR268" s="1804">
        <v>0</v>
      </c>
      <c r="CS268" s="1804">
        <v>0</v>
      </c>
      <c r="CT268" s="1804">
        <v>0</v>
      </c>
      <c r="CU268" s="1804">
        <v>0</v>
      </c>
      <c r="CV268" s="1804">
        <v>0</v>
      </c>
      <c r="CW268" s="1804">
        <v>0</v>
      </c>
      <c r="CX268" s="1804">
        <v>0</v>
      </c>
      <c r="CY268" s="1804">
        <v>0</v>
      </c>
      <c r="CZ268" s="1804">
        <v>0</v>
      </c>
      <c r="DA268" s="1804">
        <v>0</v>
      </c>
      <c r="DB268" s="1804">
        <v>0</v>
      </c>
      <c r="DC268" s="1804">
        <v>0</v>
      </c>
      <c r="DD268" s="1804">
        <v>0</v>
      </c>
      <c r="DE268" s="1804">
        <v>0</v>
      </c>
      <c r="DF268" s="1804">
        <v>0</v>
      </c>
      <c r="DG268" s="1804">
        <v>0</v>
      </c>
      <c r="DH268" s="1804">
        <v>0</v>
      </c>
      <c r="DI268" s="1804">
        <v>0</v>
      </c>
      <c r="DJ268" s="1804">
        <v>0</v>
      </c>
      <c r="DK268" s="1804">
        <v>0</v>
      </c>
      <c r="DL268" s="1804">
        <v>0</v>
      </c>
      <c r="DM268" s="1804">
        <v>0</v>
      </c>
      <c r="DN268" s="1804">
        <v>0</v>
      </c>
      <c r="DO268" s="1804">
        <v>0</v>
      </c>
      <c r="DP268" s="1804">
        <v>0</v>
      </c>
      <c r="DQ268" s="1804">
        <v>0</v>
      </c>
      <c r="DR268" s="1804">
        <v>0</v>
      </c>
      <c r="DS268" s="1804">
        <v>0</v>
      </c>
      <c r="DT268" s="1804">
        <v>0</v>
      </c>
      <c r="DU268" s="1804">
        <v>0</v>
      </c>
      <c r="DV268" s="1804">
        <v>0</v>
      </c>
      <c r="DW268" s="1804">
        <v>0</v>
      </c>
      <c r="DX268" s="1804">
        <v>0</v>
      </c>
      <c r="DY268" s="1804">
        <v>0</v>
      </c>
      <c r="DZ268" s="1804">
        <v>0</v>
      </c>
      <c r="EA268" s="1804">
        <v>0</v>
      </c>
      <c r="EB268" s="1804">
        <v>0</v>
      </c>
      <c r="EC268" s="1804">
        <v>0</v>
      </c>
      <c r="ED268" s="1804">
        <v>0</v>
      </c>
      <c r="EE268" s="1804">
        <v>0</v>
      </c>
      <c r="EF268" s="1804">
        <v>0</v>
      </c>
      <c r="EG268" s="1804">
        <v>0</v>
      </c>
      <c r="EH268" s="1804">
        <v>0</v>
      </c>
      <c r="EI268" s="1804">
        <v>0</v>
      </c>
      <c r="EJ268" s="1804">
        <v>0</v>
      </c>
      <c r="EK268" s="1804">
        <v>0</v>
      </c>
      <c r="EL268" s="1804">
        <v>0</v>
      </c>
      <c r="EM268" s="1804">
        <v>0</v>
      </c>
      <c r="EN268" s="1804">
        <v>0</v>
      </c>
      <c r="EO268" s="1804">
        <v>0</v>
      </c>
      <c r="EP268" s="1804">
        <v>0</v>
      </c>
      <c r="EQ268" s="1804">
        <v>0</v>
      </c>
      <c r="ER268" s="1804">
        <v>0</v>
      </c>
      <c r="ES268" s="1804">
        <v>0</v>
      </c>
      <c r="ET268" s="1804">
        <v>0</v>
      </c>
      <c r="EU268" s="1804">
        <v>0</v>
      </c>
      <c r="EV268" s="1804">
        <v>0</v>
      </c>
      <c r="EW268" s="1804">
        <v>0</v>
      </c>
      <c r="EX268" s="1804">
        <v>0</v>
      </c>
      <c r="EY268" s="1804">
        <v>0</v>
      </c>
      <c r="EZ268" s="1804">
        <v>0</v>
      </c>
      <c r="FA268" s="1804">
        <v>0</v>
      </c>
      <c r="FB268" s="1804">
        <v>0</v>
      </c>
      <c r="FC268" s="1804">
        <v>0</v>
      </c>
      <c r="FD268" s="1804">
        <v>0</v>
      </c>
      <c r="FE268" s="1804">
        <v>0</v>
      </c>
      <c r="FF268" s="1804">
        <v>0</v>
      </c>
      <c r="FG268" s="1804">
        <v>0</v>
      </c>
      <c r="FH268" s="1804">
        <v>0</v>
      </c>
      <c r="FI268" s="1804">
        <v>0</v>
      </c>
      <c r="FJ268" s="1804">
        <v>0</v>
      </c>
      <c r="FK268" s="1804">
        <v>0</v>
      </c>
      <c r="FL268" s="1804">
        <v>0</v>
      </c>
      <c r="FM268" s="1804">
        <v>0</v>
      </c>
      <c r="FN268" s="1804">
        <v>0</v>
      </c>
      <c r="FO268" s="1804">
        <v>0</v>
      </c>
      <c r="FP268" s="1804">
        <v>0</v>
      </c>
      <c r="FQ268" s="1804">
        <v>0</v>
      </c>
      <c r="FR268" s="1804">
        <v>0</v>
      </c>
      <c r="FS268" s="1804">
        <v>0</v>
      </c>
      <c r="FT268" s="1804">
        <v>0</v>
      </c>
      <c r="FU268" s="1804">
        <v>0</v>
      </c>
      <c r="FV268" s="1804">
        <v>0</v>
      </c>
      <c r="FW268" s="1804">
        <v>0</v>
      </c>
      <c r="FX268" s="1804">
        <v>0</v>
      </c>
      <c r="FY268" s="1804">
        <v>0</v>
      </c>
      <c r="FZ268" s="1804">
        <v>0</v>
      </c>
      <c r="GA268" s="1804">
        <v>0</v>
      </c>
      <c r="GB268" s="1804">
        <v>0</v>
      </c>
      <c r="GC268" s="1804">
        <v>0</v>
      </c>
      <c r="GD268" s="1804">
        <v>0</v>
      </c>
      <c r="GE268" s="1804">
        <v>0</v>
      </c>
      <c r="GF268" s="1804">
        <v>0</v>
      </c>
      <c r="GG268" s="1804">
        <v>0</v>
      </c>
      <c r="GH268" s="1804">
        <v>0</v>
      </c>
      <c r="GI268" s="1804">
        <v>0</v>
      </c>
      <c r="GJ268" s="1804">
        <v>0</v>
      </c>
      <c r="GK268" s="1804">
        <v>0</v>
      </c>
      <c r="GL268" s="1804">
        <v>0</v>
      </c>
      <c r="GM268" s="1804">
        <v>0</v>
      </c>
      <c r="GN268" s="1804">
        <v>0</v>
      </c>
      <c r="GO268" s="1804">
        <v>0</v>
      </c>
      <c r="GP268" s="1804">
        <v>0</v>
      </c>
      <c r="GQ268" s="1804">
        <v>0</v>
      </c>
      <c r="GR268" s="1804">
        <v>0</v>
      </c>
      <c r="GS268" s="1804">
        <v>0</v>
      </c>
      <c r="GT268" s="1804">
        <v>0</v>
      </c>
      <c r="GU268" s="1804">
        <v>0</v>
      </c>
      <c r="GV268" s="1804">
        <v>0</v>
      </c>
      <c r="GW268" s="1804">
        <v>0</v>
      </c>
      <c r="GX268" s="1804">
        <v>0</v>
      </c>
      <c r="GY268" s="1804">
        <v>0</v>
      </c>
      <c r="GZ268" s="1804">
        <v>0</v>
      </c>
      <c r="HA268" s="1804">
        <v>0</v>
      </c>
      <c r="HB268" s="1804">
        <v>0</v>
      </c>
      <c r="HC268" s="1804">
        <v>0</v>
      </c>
      <c r="HD268" s="1804">
        <v>0</v>
      </c>
      <c r="HE268" s="1804">
        <v>0</v>
      </c>
    </row>
    <row r="269" spans="1:1291" ht="15" customHeight="1" thickBot="1" x14ac:dyDescent="0.25">
      <c r="A269" s="1965"/>
      <c r="B269" s="2004"/>
      <c r="C269" s="1697" t="s">
        <v>910</v>
      </c>
      <c r="D269" s="1883"/>
      <c r="E269" s="2007"/>
      <c r="F269" s="1838">
        <v>0</v>
      </c>
      <c r="G269" s="1804">
        <v>0</v>
      </c>
      <c r="H269" s="1804">
        <v>0</v>
      </c>
      <c r="I269" s="1804">
        <v>0</v>
      </c>
      <c r="J269" s="1804">
        <v>0</v>
      </c>
      <c r="K269" s="1804">
        <v>0</v>
      </c>
      <c r="L269" s="1804">
        <v>0</v>
      </c>
      <c r="M269" s="1804">
        <v>0</v>
      </c>
      <c r="N269" s="1804">
        <v>0</v>
      </c>
      <c r="O269" s="1804">
        <v>0</v>
      </c>
      <c r="P269" s="1804">
        <v>0</v>
      </c>
      <c r="Q269" s="1804">
        <v>0</v>
      </c>
      <c r="R269" s="1804">
        <v>0</v>
      </c>
      <c r="S269" s="1804">
        <v>0</v>
      </c>
      <c r="T269" s="1804">
        <v>0</v>
      </c>
      <c r="U269" s="1804">
        <v>0</v>
      </c>
      <c r="V269" s="1804">
        <v>0</v>
      </c>
      <c r="W269" s="1804">
        <v>0</v>
      </c>
      <c r="X269" s="1804">
        <v>0</v>
      </c>
      <c r="Y269" s="1804">
        <v>0</v>
      </c>
      <c r="Z269" s="1804">
        <v>0</v>
      </c>
      <c r="AA269" s="1804">
        <v>0</v>
      </c>
      <c r="AB269" s="1804">
        <v>0</v>
      </c>
      <c r="AC269" s="1804">
        <v>0</v>
      </c>
      <c r="AD269" s="1804">
        <v>0</v>
      </c>
      <c r="AE269" s="1804">
        <v>0</v>
      </c>
      <c r="AF269" s="1804">
        <v>0</v>
      </c>
      <c r="AG269" s="1804">
        <v>0</v>
      </c>
      <c r="AH269" s="1804">
        <v>0</v>
      </c>
      <c r="AI269" s="1804">
        <v>0</v>
      </c>
      <c r="AJ269" s="1804">
        <v>0</v>
      </c>
      <c r="AK269" s="1804">
        <v>0</v>
      </c>
      <c r="AL269" s="1804">
        <v>0</v>
      </c>
      <c r="AM269" s="1804">
        <v>0</v>
      </c>
      <c r="AN269" s="1804">
        <v>0</v>
      </c>
      <c r="AO269" s="1804">
        <v>0</v>
      </c>
      <c r="AP269" s="1804">
        <v>0</v>
      </c>
      <c r="AQ269" s="1804">
        <v>0</v>
      </c>
      <c r="AR269" s="1804">
        <v>0</v>
      </c>
      <c r="AS269" s="1804">
        <v>0</v>
      </c>
      <c r="AT269" s="1804">
        <v>0</v>
      </c>
      <c r="AU269" s="1804">
        <v>0</v>
      </c>
      <c r="AV269" s="1804">
        <v>0</v>
      </c>
      <c r="AW269" s="1804">
        <v>0</v>
      </c>
      <c r="AX269" s="1804">
        <v>0</v>
      </c>
      <c r="AY269" s="1804">
        <v>0</v>
      </c>
      <c r="AZ269" s="1804">
        <v>0</v>
      </c>
      <c r="BA269" s="1804">
        <v>0</v>
      </c>
      <c r="BB269" s="1804">
        <v>0</v>
      </c>
      <c r="BC269" s="1804">
        <v>0</v>
      </c>
      <c r="BD269" s="1804">
        <v>0</v>
      </c>
      <c r="BE269" s="1804">
        <v>0</v>
      </c>
      <c r="BF269" s="1804">
        <v>0</v>
      </c>
      <c r="BG269" s="1804">
        <v>0</v>
      </c>
      <c r="BH269" s="1804">
        <v>0</v>
      </c>
      <c r="BI269" s="1804">
        <v>0</v>
      </c>
      <c r="BJ269" s="1804">
        <v>0</v>
      </c>
      <c r="BK269" s="1804">
        <v>0</v>
      </c>
      <c r="BL269" s="1804">
        <v>0</v>
      </c>
      <c r="BM269" s="1804">
        <v>0</v>
      </c>
      <c r="BN269" s="1804">
        <v>0</v>
      </c>
      <c r="BO269" s="1804">
        <v>0</v>
      </c>
      <c r="BP269" s="1804">
        <v>0</v>
      </c>
      <c r="BQ269" s="1804">
        <v>0</v>
      </c>
      <c r="BR269" s="1804">
        <v>0</v>
      </c>
      <c r="BS269" s="1804">
        <v>0</v>
      </c>
      <c r="BT269" s="1804">
        <v>0</v>
      </c>
      <c r="BU269" s="1804">
        <v>0</v>
      </c>
      <c r="BV269" s="1804">
        <v>0</v>
      </c>
      <c r="BW269" s="1804">
        <v>0</v>
      </c>
      <c r="BX269" s="1804">
        <v>0</v>
      </c>
      <c r="BY269" s="1804">
        <v>0</v>
      </c>
      <c r="BZ269" s="1804">
        <v>0</v>
      </c>
      <c r="CA269" s="1804">
        <v>0</v>
      </c>
      <c r="CB269" s="1804">
        <v>0</v>
      </c>
      <c r="CC269" s="1804">
        <v>0</v>
      </c>
      <c r="CD269" s="1804">
        <v>0</v>
      </c>
      <c r="CE269" s="1804">
        <v>0</v>
      </c>
      <c r="CF269" s="1804">
        <v>0</v>
      </c>
      <c r="CG269" s="1804">
        <v>0</v>
      </c>
      <c r="CH269" s="1804">
        <v>0</v>
      </c>
      <c r="CI269" s="1804">
        <v>0</v>
      </c>
      <c r="CJ269" s="1804">
        <v>0</v>
      </c>
      <c r="CK269" s="1804">
        <v>0</v>
      </c>
      <c r="CL269" s="1804">
        <v>0</v>
      </c>
      <c r="CM269" s="1804">
        <v>0</v>
      </c>
      <c r="CN269" s="1804">
        <v>0</v>
      </c>
      <c r="CO269" s="1804">
        <v>0</v>
      </c>
      <c r="CP269" s="1804">
        <v>0</v>
      </c>
      <c r="CQ269" s="1804">
        <v>0</v>
      </c>
      <c r="CR269" s="1804">
        <v>0</v>
      </c>
      <c r="CS269" s="1804">
        <v>0</v>
      </c>
      <c r="CT269" s="1804">
        <v>0</v>
      </c>
      <c r="CU269" s="1804">
        <v>0</v>
      </c>
      <c r="CV269" s="1804">
        <v>0</v>
      </c>
      <c r="CW269" s="1804">
        <v>0</v>
      </c>
      <c r="CX269" s="1804">
        <v>0</v>
      </c>
      <c r="CY269" s="1804">
        <v>0</v>
      </c>
      <c r="CZ269" s="1804">
        <v>0</v>
      </c>
      <c r="DA269" s="1804">
        <v>0</v>
      </c>
      <c r="DB269" s="1804">
        <v>0</v>
      </c>
      <c r="DC269" s="1804">
        <v>0</v>
      </c>
      <c r="DD269" s="1804">
        <v>0</v>
      </c>
      <c r="DE269" s="1804">
        <v>0</v>
      </c>
      <c r="DF269" s="1804">
        <v>0</v>
      </c>
      <c r="DG269" s="1804">
        <v>0</v>
      </c>
      <c r="DH269" s="1804">
        <v>0</v>
      </c>
      <c r="DI269" s="1804">
        <v>0</v>
      </c>
      <c r="DJ269" s="1804">
        <v>0</v>
      </c>
      <c r="DK269" s="1804">
        <v>0</v>
      </c>
      <c r="DL269" s="1804">
        <v>0</v>
      </c>
      <c r="DM269" s="1804">
        <v>0</v>
      </c>
      <c r="DN269" s="1804">
        <v>0</v>
      </c>
      <c r="DO269" s="1804">
        <v>0</v>
      </c>
      <c r="DP269" s="1804">
        <v>0</v>
      </c>
      <c r="DQ269" s="1804">
        <v>0</v>
      </c>
      <c r="DR269" s="1804">
        <v>0</v>
      </c>
      <c r="DS269" s="1804">
        <v>0</v>
      </c>
      <c r="DT269" s="1804">
        <v>0</v>
      </c>
      <c r="DU269" s="1804">
        <v>0</v>
      </c>
      <c r="DV269" s="1804">
        <v>0</v>
      </c>
      <c r="DW269" s="1804">
        <v>0</v>
      </c>
      <c r="DX269" s="1804">
        <v>0</v>
      </c>
      <c r="DY269" s="1804">
        <v>0</v>
      </c>
      <c r="DZ269" s="1804">
        <v>0</v>
      </c>
      <c r="EA269" s="1804">
        <v>0</v>
      </c>
      <c r="EB269" s="1804">
        <v>0</v>
      </c>
      <c r="EC269" s="1804">
        <v>0</v>
      </c>
      <c r="ED269" s="1804">
        <v>0</v>
      </c>
      <c r="EE269" s="1804">
        <v>0</v>
      </c>
      <c r="EF269" s="1804">
        <v>0</v>
      </c>
      <c r="EG269" s="1804">
        <v>0</v>
      </c>
      <c r="EH269" s="1804">
        <v>0</v>
      </c>
      <c r="EI269" s="1804">
        <v>0</v>
      </c>
      <c r="EJ269" s="1804">
        <v>0</v>
      </c>
      <c r="EK269" s="1804">
        <v>0</v>
      </c>
      <c r="EL269" s="1804">
        <v>0</v>
      </c>
      <c r="EM269" s="1804">
        <v>0</v>
      </c>
      <c r="EN269" s="1804">
        <v>0</v>
      </c>
      <c r="EO269" s="1804">
        <v>0</v>
      </c>
      <c r="EP269" s="1804">
        <v>0</v>
      </c>
      <c r="EQ269" s="1804">
        <v>0</v>
      </c>
      <c r="ER269" s="1804">
        <v>0</v>
      </c>
      <c r="ES269" s="1804">
        <v>0</v>
      </c>
      <c r="ET269" s="1804">
        <v>0</v>
      </c>
      <c r="EU269" s="1804">
        <v>0</v>
      </c>
      <c r="EV269" s="1804">
        <v>0</v>
      </c>
      <c r="EW269" s="1804">
        <v>0</v>
      </c>
      <c r="EX269" s="1804">
        <v>0</v>
      </c>
      <c r="EY269" s="1804">
        <v>0</v>
      </c>
      <c r="EZ269" s="1804">
        <v>0</v>
      </c>
      <c r="FA269" s="1804">
        <v>0</v>
      </c>
      <c r="FB269" s="1804">
        <v>0</v>
      </c>
      <c r="FC269" s="1804">
        <v>0</v>
      </c>
      <c r="FD269" s="1804">
        <v>0</v>
      </c>
      <c r="FE269" s="1804">
        <v>0</v>
      </c>
      <c r="FF269" s="1804">
        <v>0</v>
      </c>
      <c r="FG269" s="1804">
        <v>0</v>
      </c>
      <c r="FH269" s="1804">
        <v>0</v>
      </c>
      <c r="FI269" s="1804">
        <v>0</v>
      </c>
      <c r="FJ269" s="1804">
        <v>0</v>
      </c>
      <c r="FK269" s="1804">
        <v>0</v>
      </c>
      <c r="FL269" s="1804">
        <v>0</v>
      </c>
      <c r="FM269" s="1804">
        <v>0</v>
      </c>
      <c r="FN269" s="1804">
        <v>0</v>
      </c>
      <c r="FO269" s="1804">
        <v>0</v>
      </c>
      <c r="FP269" s="1804">
        <v>0</v>
      </c>
      <c r="FQ269" s="1804">
        <v>0</v>
      </c>
      <c r="FR269" s="1804">
        <v>0</v>
      </c>
      <c r="FS269" s="1804">
        <v>0</v>
      </c>
      <c r="FT269" s="1804">
        <v>0</v>
      </c>
      <c r="FU269" s="1804">
        <v>0</v>
      </c>
      <c r="FV269" s="1804">
        <v>0</v>
      </c>
      <c r="FW269" s="1804">
        <v>0</v>
      </c>
      <c r="FX269" s="1804">
        <v>0</v>
      </c>
      <c r="FY269" s="1804">
        <v>0</v>
      </c>
      <c r="FZ269" s="1804">
        <v>0</v>
      </c>
      <c r="GA269" s="1804">
        <v>0</v>
      </c>
      <c r="GB269" s="1804">
        <v>0</v>
      </c>
      <c r="GC269" s="1804">
        <v>0</v>
      </c>
      <c r="GD269" s="1804">
        <v>0</v>
      </c>
      <c r="GE269" s="1804">
        <v>0</v>
      </c>
      <c r="GF269" s="1804">
        <v>0</v>
      </c>
      <c r="GG269" s="1804">
        <v>0</v>
      </c>
      <c r="GH269" s="1804">
        <v>0</v>
      </c>
      <c r="GI269" s="1804">
        <v>0</v>
      </c>
      <c r="GJ269" s="1804">
        <v>0</v>
      </c>
      <c r="GK269" s="1804">
        <v>0</v>
      </c>
      <c r="GL269" s="1804">
        <v>0</v>
      </c>
      <c r="GM269" s="1804">
        <v>0</v>
      </c>
      <c r="GN269" s="1804">
        <v>0</v>
      </c>
      <c r="GO269" s="1804">
        <v>0</v>
      </c>
      <c r="GP269" s="1804">
        <v>0</v>
      </c>
      <c r="GQ269" s="1804">
        <v>0</v>
      </c>
      <c r="GR269" s="1804">
        <v>0</v>
      </c>
      <c r="GS269" s="1804">
        <v>0</v>
      </c>
      <c r="GT269" s="1804">
        <v>0</v>
      </c>
      <c r="GU269" s="1804">
        <v>0</v>
      </c>
      <c r="GV269" s="1804">
        <v>0</v>
      </c>
      <c r="GW269" s="1804">
        <v>0</v>
      </c>
      <c r="GX269" s="1804">
        <v>0</v>
      </c>
      <c r="GY269" s="1804">
        <v>0</v>
      </c>
      <c r="GZ269" s="1804">
        <v>0</v>
      </c>
      <c r="HA269" s="1804">
        <v>0</v>
      </c>
      <c r="HB269" s="1804">
        <v>0</v>
      </c>
      <c r="HC269" s="1804">
        <v>0</v>
      </c>
      <c r="HD269" s="1804">
        <v>0</v>
      </c>
      <c r="HE269" s="1804">
        <v>0</v>
      </c>
    </row>
    <row r="270" spans="1:1291" ht="21" customHeight="1" thickBot="1" x14ac:dyDescent="0.25">
      <c r="A270" s="1964" t="s">
        <v>285</v>
      </c>
      <c r="B270" s="1998" t="s">
        <v>291</v>
      </c>
      <c r="C270" s="1699" t="s">
        <v>634</v>
      </c>
      <c r="D270" s="1880"/>
      <c r="E270" s="1984"/>
      <c r="F270" s="1865"/>
      <c r="G270" s="1866"/>
      <c r="H270" s="1866"/>
      <c r="I270" s="1866"/>
      <c r="J270" s="1866"/>
      <c r="K270" s="1866"/>
      <c r="L270" s="1866"/>
      <c r="M270" s="1866"/>
      <c r="N270" s="1866"/>
      <c r="O270" s="1866"/>
      <c r="P270" s="1866"/>
      <c r="Q270" s="1866"/>
      <c r="R270" s="1866"/>
      <c r="S270" s="1866"/>
      <c r="T270" s="1866"/>
      <c r="U270" s="1866"/>
      <c r="V270" s="1866"/>
      <c r="W270" s="1866"/>
      <c r="X270" s="1866"/>
      <c r="Y270" s="1866"/>
      <c r="Z270" s="1866"/>
      <c r="AA270" s="1866"/>
      <c r="AB270" s="1866"/>
      <c r="AC270" s="1866"/>
      <c r="AD270" s="1866"/>
      <c r="AE270" s="1866"/>
      <c r="AF270" s="1866"/>
      <c r="AG270" s="1866"/>
      <c r="AH270" s="1866"/>
      <c r="AI270" s="1866"/>
      <c r="AJ270" s="1866"/>
      <c r="AK270" s="1866"/>
      <c r="AL270" s="1866"/>
      <c r="AM270" s="1866"/>
      <c r="AN270" s="1866"/>
      <c r="AO270" s="1866"/>
      <c r="AP270" s="1866"/>
      <c r="AQ270" s="1866"/>
      <c r="AR270" s="1866"/>
      <c r="AS270" s="1866"/>
      <c r="AT270" s="1866"/>
      <c r="AU270" s="1866"/>
      <c r="AV270" s="1866"/>
      <c r="AW270" s="1866"/>
      <c r="AX270" s="1866"/>
      <c r="AY270" s="1866"/>
      <c r="AZ270" s="1866"/>
      <c r="BA270" s="1866"/>
      <c r="BB270" s="1866"/>
      <c r="BC270" s="1866"/>
      <c r="BD270" s="1866"/>
      <c r="BE270" s="1866"/>
      <c r="BF270" s="1866"/>
      <c r="BG270" s="1866"/>
      <c r="BH270" s="1866"/>
      <c r="BI270" s="1866"/>
      <c r="BJ270" s="1866"/>
      <c r="BK270" s="1866"/>
      <c r="BL270" s="1866"/>
      <c r="BM270" s="1866"/>
      <c r="BN270" s="1866"/>
      <c r="BO270" s="1866"/>
      <c r="BP270" s="1866"/>
      <c r="BQ270" s="1866"/>
      <c r="BR270" s="1866"/>
      <c r="BS270" s="1866"/>
      <c r="BT270" s="1866"/>
      <c r="BU270" s="1866"/>
      <c r="BV270" s="1866"/>
      <c r="BW270" s="1866"/>
      <c r="BX270" s="1866"/>
      <c r="BY270" s="1866"/>
      <c r="BZ270" s="1866"/>
      <c r="CA270" s="1866"/>
      <c r="CB270" s="1866"/>
      <c r="CC270" s="1866"/>
      <c r="CD270" s="1866"/>
      <c r="CE270" s="1866"/>
      <c r="CF270" s="1866"/>
      <c r="CG270" s="1866"/>
      <c r="CH270" s="1866"/>
      <c r="CI270" s="1866"/>
      <c r="CJ270" s="1866"/>
      <c r="CK270" s="1866"/>
      <c r="CL270" s="1866"/>
      <c r="CM270" s="1866"/>
      <c r="CN270" s="1866"/>
      <c r="CO270" s="1866"/>
      <c r="CP270" s="1866"/>
      <c r="CQ270" s="1866"/>
      <c r="CR270" s="1866"/>
      <c r="CS270" s="1866"/>
      <c r="CT270" s="1866"/>
      <c r="CU270" s="1866"/>
      <c r="CV270" s="1866"/>
      <c r="CW270" s="1866"/>
      <c r="CX270" s="1866"/>
      <c r="CY270" s="1866"/>
      <c r="CZ270" s="1866"/>
      <c r="DA270" s="1866"/>
      <c r="DB270" s="1866"/>
      <c r="DC270" s="1866"/>
      <c r="DD270" s="1866"/>
      <c r="DE270" s="1866"/>
      <c r="DF270" s="1866"/>
      <c r="DG270" s="1866"/>
      <c r="DH270" s="1866"/>
      <c r="DI270" s="1866"/>
      <c r="DJ270" s="1866"/>
      <c r="DK270" s="1866"/>
      <c r="DL270" s="1866"/>
      <c r="DM270" s="1866"/>
      <c r="DN270" s="1866"/>
      <c r="DO270" s="1866"/>
      <c r="DP270" s="1866"/>
      <c r="DQ270" s="1866"/>
      <c r="DR270" s="1866"/>
      <c r="DS270" s="1866"/>
      <c r="DT270" s="1866"/>
      <c r="DU270" s="1866"/>
      <c r="DV270" s="1866"/>
      <c r="DW270" s="1866"/>
      <c r="DX270" s="1866"/>
      <c r="DY270" s="1866"/>
      <c r="DZ270" s="1866"/>
      <c r="EA270" s="1866"/>
      <c r="EB270" s="1866"/>
      <c r="EC270" s="1866"/>
      <c r="ED270" s="1866"/>
      <c r="EE270" s="1866"/>
      <c r="EF270" s="1866"/>
      <c r="EG270" s="1866"/>
      <c r="EH270" s="1866"/>
      <c r="EI270" s="1866"/>
      <c r="EJ270" s="1866"/>
      <c r="EK270" s="1866"/>
      <c r="EL270" s="1866"/>
      <c r="EM270" s="1866"/>
      <c r="EN270" s="1866"/>
      <c r="EO270" s="1866"/>
      <c r="EP270" s="1866"/>
      <c r="EQ270" s="1866"/>
      <c r="ER270" s="1866"/>
      <c r="ES270" s="1866"/>
      <c r="ET270" s="1866"/>
      <c r="EU270" s="1866"/>
      <c r="EV270" s="1866"/>
      <c r="EW270" s="1866"/>
      <c r="EX270" s="1866"/>
      <c r="EY270" s="1866"/>
      <c r="EZ270" s="1866"/>
      <c r="FA270" s="1866"/>
      <c r="FB270" s="1866"/>
      <c r="FC270" s="1866"/>
      <c r="FD270" s="1866"/>
      <c r="FE270" s="1866"/>
      <c r="FF270" s="1866"/>
      <c r="FG270" s="1866"/>
      <c r="FH270" s="1866"/>
      <c r="FI270" s="1866"/>
      <c r="FJ270" s="1866"/>
      <c r="FK270" s="1866"/>
      <c r="FL270" s="1866"/>
      <c r="FM270" s="1866"/>
      <c r="FN270" s="1866"/>
      <c r="FO270" s="1866"/>
      <c r="FP270" s="1866"/>
      <c r="FQ270" s="1866"/>
      <c r="FR270" s="1866"/>
      <c r="FS270" s="1866"/>
      <c r="FT270" s="1866"/>
      <c r="FU270" s="1866"/>
      <c r="FV270" s="1866"/>
      <c r="FW270" s="1866"/>
      <c r="FX270" s="1866"/>
      <c r="FY270" s="1866"/>
      <c r="FZ270" s="1866"/>
      <c r="GA270" s="1866"/>
      <c r="GB270" s="1866"/>
      <c r="GC270" s="1866"/>
      <c r="GD270" s="1866"/>
      <c r="GE270" s="1866"/>
      <c r="GF270" s="1866"/>
      <c r="GG270" s="1866"/>
      <c r="GH270" s="1866"/>
      <c r="GI270" s="1866"/>
      <c r="GJ270" s="1866"/>
      <c r="GK270" s="1866"/>
      <c r="GL270" s="1866"/>
      <c r="GM270" s="1866"/>
      <c r="GN270" s="1866"/>
      <c r="GO270" s="1866"/>
      <c r="GP270" s="1866"/>
      <c r="GQ270" s="1866"/>
      <c r="GR270" s="1866"/>
      <c r="GS270" s="1866"/>
      <c r="GT270" s="1866"/>
      <c r="GU270" s="1866"/>
      <c r="GV270" s="1866"/>
      <c r="GW270" s="1866"/>
      <c r="GX270" s="1866"/>
      <c r="GY270" s="1866"/>
      <c r="GZ270" s="1866"/>
      <c r="HA270" s="1866"/>
      <c r="HB270" s="1866"/>
      <c r="HC270" s="1866"/>
      <c r="HD270" s="1866"/>
      <c r="HE270" s="1866"/>
    </row>
    <row r="271" spans="1:1291" ht="15" customHeight="1" x14ac:dyDescent="0.2">
      <c r="A271" s="1964"/>
      <c r="B271" s="2005"/>
      <c r="C271" s="1707" t="s">
        <v>975</v>
      </c>
      <c r="D271" s="1882"/>
      <c r="E271" s="1997"/>
      <c r="F271" s="1838">
        <v>0</v>
      </c>
      <c r="G271" s="1804">
        <v>0</v>
      </c>
      <c r="H271" s="1804">
        <v>0</v>
      </c>
      <c r="I271" s="1804">
        <v>0</v>
      </c>
      <c r="J271" s="1804">
        <v>0</v>
      </c>
      <c r="K271" s="1804">
        <v>0</v>
      </c>
      <c r="L271" s="1804">
        <v>0</v>
      </c>
      <c r="M271" s="1804">
        <v>0</v>
      </c>
      <c r="N271" s="1804">
        <v>0</v>
      </c>
      <c r="O271" s="1804">
        <v>0</v>
      </c>
      <c r="P271" s="1804">
        <v>0</v>
      </c>
      <c r="Q271" s="1804">
        <v>0</v>
      </c>
      <c r="R271" s="1804">
        <v>0</v>
      </c>
      <c r="S271" s="1804">
        <v>0</v>
      </c>
      <c r="T271" s="1804">
        <v>0</v>
      </c>
      <c r="U271" s="1804">
        <v>0</v>
      </c>
      <c r="V271" s="1804">
        <v>0</v>
      </c>
      <c r="W271" s="1804">
        <v>0</v>
      </c>
      <c r="X271" s="1804">
        <v>0</v>
      </c>
      <c r="Y271" s="1804">
        <v>0</v>
      </c>
      <c r="Z271" s="1804">
        <v>0</v>
      </c>
      <c r="AA271" s="1804">
        <v>0</v>
      </c>
      <c r="AB271" s="1804">
        <v>0</v>
      </c>
      <c r="AC271" s="1804">
        <v>0</v>
      </c>
      <c r="AD271" s="1804">
        <v>0</v>
      </c>
      <c r="AE271" s="1804">
        <v>0</v>
      </c>
      <c r="AF271" s="1804">
        <v>0</v>
      </c>
      <c r="AG271" s="1804">
        <v>0</v>
      </c>
      <c r="AH271" s="1804">
        <v>0</v>
      </c>
      <c r="AI271" s="1804">
        <v>0</v>
      </c>
      <c r="AJ271" s="1804">
        <v>0</v>
      </c>
      <c r="AK271" s="1804">
        <v>0</v>
      </c>
      <c r="AL271" s="1804">
        <v>0</v>
      </c>
      <c r="AM271" s="1804">
        <v>0</v>
      </c>
      <c r="AN271" s="1804">
        <v>0</v>
      </c>
      <c r="AO271" s="1804">
        <v>0</v>
      </c>
      <c r="AP271" s="1804">
        <v>0</v>
      </c>
      <c r="AQ271" s="1804">
        <v>0</v>
      </c>
      <c r="AR271" s="1804">
        <v>0</v>
      </c>
      <c r="AS271" s="1804">
        <v>0</v>
      </c>
      <c r="AT271" s="1804">
        <v>0</v>
      </c>
      <c r="AU271" s="1804">
        <v>0</v>
      </c>
      <c r="AV271" s="1804">
        <v>0</v>
      </c>
      <c r="AW271" s="1804">
        <v>0</v>
      </c>
      <c r="AX271" s="1804">
        <v>0</v>
      </c>
      <c r="AY271" s="1804">
        <v>0</v>
      </c>
      <c r="AZ271" s="1804">
        <v>0</v>
      </c>
      <c r="BA271" s="1804">
        <v>0</v>
      </c>
      <c r="BB271" s="1804">
        <v>0</v>
      </c>
      <c r="BC271" s="1804">
        <v>0</v>
      </c>
      <c r="BD271" s="1804">
        <v>0</v>
      </c>
      <c r="BE271" s="1804">
        <v>0</v>
      </c>
      <c r="BF271" s="1804">
        <v>0</v>
      </c>
      <c r="BG271" s="1804">
        <v>0</v>
      </c>
      <c r="BH271" s="1804">
        <v>0</v>
      </c>
      <c r="BI271" s="1804">
        <v>0</v>
      </c>
      <c r="BJ271" s="1804">
        <v>0</v>
      </c>
      <c r="BK271" s="1804">
        <v>0</v>
      </c>
      <c r="BL271" s="1804">
        <v>0</v>
      </c>
      <c r="BM271" s="1804">
        <v>0</v>
      </c>
      <c r="BN271" s="1804">
        <v>0</v>
      </c>
      <c r="BO271" s="1804">
        <v>0</v>
      </c>
      <c r="BP271" s="1804">
        <v>0</v>
      </c>
      <c r="BQ271" s="1804">
        <v>0</v>
      </c>
      <c r="BR271" s="1804">
        <v>0</v>
      </c>
      <c r="BS271" s="1804">
        <v>0</v>
      </c>
      <c r="BT271" s="1804">
        <v>0</v>
      </c>
      <c r="BU271" s="1804">
        <v>0</v>
      </c>
      <c r="BV271" s="1804">
        <v>0</v>
      </c>
      <c r="BW271" s="1804">
        <v>0</v>
      </c>
      <c r="BX271" s="1804">
        <v>0</v>
      </c>
      <c r="BY271" s="1804">
        <v>0</v>
      </c>
      <c r="BZ271" s="1804">
        <v>0</v>
      </c>
      <c r="CA271" s="1804">
        <v>0</v>
      </c>
      <c r="CB271" s="1804">
        <v>0</v>
      </c>
      <c r="CC271" s="1804">
        <v>0</v>
      </c>
      <c r="CD271" s="1804">
        <v>0</v>
      </c>
      <c r="CE271" s="1804">
        <v>0</v>
      </c>
      <c r="CF271" s="1804">
        <v>0</v>
      </c>
      <c r="CG271" s="1804">
        <v>0</v>
      </c>
      <c r="CH271" s="1804">
        <v>0</v>
      </c>
      <c r="CI271" s="1804">
        <v>0</v>
      </c>
      <c r="CJ271" s="1804">
        <v>0</v>
      </c>
      <c r="CK271" s="1804">
        <v>0</v>
      </c>
      <c r="CL271" s="1804">
        <v>0</v>
      </c>
      <c r="CM271" s="1804">
        <v>0</v>
      </c>
      <c r="CN271" s="1804">
        <v>0</v>
      </c>
      <c r="CO271" s="1804">
        <v>0</v>
      </c>
      <c r="CP271" s="1804">
        <v>0</v>
      </c>
      <c r="CQ271" s="1804">
        <v>0</v>
      </c>
      <c r="CR271" s="1804">
        <v>0</v>
      </c>
      <c r="CS271" s="1804">
        <v>0</v>
      </c>
      <c r="CT271" s="1804">
        <v>0</v>
      </c>
      <c r="CU271" s="1804">
        <v>0</v>
      </c>
      <c r="CV271" s="1804">
        <v>0</v>
      </c>
      <c r="CW271" s="1804">
        <v>0</v>
      </c>
      <c r="CX271" s="1804">
        <v>0</v>
      </c>
      <c r="CY271" s="1804">
        <v>0</v>
      </c>
      <c r="CZ271" s="1804">
        <v>0</v>
      </c>
      <c r="DA271" s="1804">
        <v>0</v>
      </c>
      <c r="DB271" s="1804">
        <v>0</v>
      </c>
      <c r="DC271" s="1804">
        <v>0</v>
      </c>
      <c r="DD271" s="1804">
        <v>0</v>
      </c>
      <c r="DE271" s="1804">
        <v>0</v>
      </c>
      <c r="DF271" s="1804">
        <v>0</v>
      </c>
      <c r="DG271" s="1804">
        <v>0</v>
      </c>
      <c r="DH271" s="1804">
        <v>0</v>
      </c>
      <c r="DI271" s="1804">
        <v>0</v>
      </c>
      <c r="DJ271" s="1804">
        <v>0</v>
      </c>
      <c r="DK271" s="1804">
        <v>0</v>
      </c>
      <c r="DL271" s="1804">
        <v>0</v>
      </c>
      <c r="DM271" s="1804">
        <v>0</v>
      </c>
      <c r="DN271" s="1804">
        <v>0</v>
      </c>
      <c r="DO271" s="1804">
        <v>0</v>
      </c>
      <c r="DP271" s="1804">
        <v>0</v>
      </c>
      <c r="DQ271" s="1804">
        <v>0</v>
      </c>
      <c r="DR271" s="1804">
        <v>0</v>
      </c>
      <c r="DS271" s="1804">
        <v>0</v>
      </c>
      <c r="DT271" s="1804">
        <v>0</v>
      </c>
      <c r="DU271" s="1804">
        <v>0</v>
      </c>
      <c r="DV271" s="1804">
        <v>0</v>
      </c>
      <c r="DW271" s="1804">
        <v>0</v>
      </c>
      <c r="DX271" s="1804">
        <v>0</v>
      </c>
      <c r="DY271" s="1804">
        <v>0</v>
      </c>
      <c r="DZ271" s="1804">
        <v>0</v>
      </c>
      <c r="EA271" s="1804">
        <v>0</v>
      </c>
      <c r="EB271" s="1804">
        <v>0</v>
      </c>
      <c r="EC271" s="1804">
        <v>0</v>
      </c>
      <c r="ED271" s="1804">
        <v>0</v>
      </c>
      <c r="EE271" s="1804">
        <v>0</v>
      </c>
      <c r="EF271" s="1804">
        <v>0</v>
      </c>
      <c r="EG271" s="1804">
        <v>0</v>
      </c>
      <c r="EH271" s="1804">
        <v>0</v>
      </c>
      <c r="EI271" s="1804">
        <v>0</v>
      </c>
      <c r="EJ271" s="1804">
        <v>0</v>
      </c>
      <c r="EK271" s="1804">
        <v>0</v>
      </c>
      <c r="EL271" s="1804">
        <v>0</v>
      </c>
      <c r="EM271" s="1804">
        <v>0</v>
      </c>
      <c r="EN271" s="1804">
        <v>0</v>
      </c>
      <c r="EO271" s="1804">
        <v>0</v>
      </c>
      <c r="EP271" s="1804">
        <v>0</v>
      </c>
      <c r="EQ271" s="1804">
        <v>0</v>
      </c>
      <c r="ER271" s="1804">
        <v>0</v>
      </c>
      <c r="ES271" s="1804">
        <v>0</v>
      </c>
      <c r="ET271" s="1804">
        <v>0</v>
      </c>
      <c r="EU271" s="1804">
        <v>0</v>
      </c>
      <c r="EV271" s="1804">
        <v>0</v>
      </c>
      <c r="EW271" s="1804">
        <v>0</v>
      </c>
      <c r="EX271" s="1804">
        <v>0</v>
      </c>
      <c r="EY271" s="1804">
        <v>0</v>
      </c>
      <c r="EZ271" s="1804">
        <v>0</v>
      </c>
      <c r="FA271" s="1804">
        <v>0</v>
      </c>
      <c r="FB271" s="1804">
        <v>0</v>
      </c>
      <c r="FC271" s="1804">
        <v>0</v>
      </c>
      <c r="FD271" s="1804">
        <v>0</v>
      </c>
      <c r="FE271" s="1804">
        <v>0</v>
      </c>
      <c r="FF271" s="1804">
        <v>0</v>
      </c>
      <c r="FG271" s="1804">
        <v>0</v>
      </c>
      <c r="FH271" s="1804">
        <v>0</v>
      </c>
      <c r="FI271" s="1804">
        <v>0</v>
      </c>
      <c r="FJ271" s="1804">
        <v>0</v>
      </c>
      <c r="FK271" s="1804">
        <v>0</v>
      </c>
      <c r="FL271" s="1804">
        <v>0</v>
      </c>
      <c r="FM271" s="1804">
        <v>0</v>
      </c>
      <c r="FN271" s="1804">
        <v>0</v>
      </c>
      <c r="FO271" s="1804">
        <v>0</v>
      </c>
      <c r="FP271" s="1804">
        <v>0</v>
      </c>
      <c r="FQ271" s="1804">
        <v>0</v>
      </c>
      <c r="FR271" s="1804">
        <v>0</v>
      </c>
      <c r="FS271" s="1804">
        <v>0</v>
      </c>
      <c r="FT271" s="1804">
        <v>0</v>
      </c>
      <c r="FU271" s="1804">
        <v>0</v>
      </c>
      <c r="FV271" s="1804">
        <v>0</v>
      </c>
      <c r="FW271" s="1804">
        <v>0</v>
      </c>
      <c r="FX271" s="1804">
        <v>0</v>
      </c>
      <c r="FY271" s="1804">
        <v>0</v>
      </c>
      <c r="FZ271" s="1804">
        <v>0</v>
      </c>
      <c r="GA271" s="1804">
        <v>0</v>
      </c>
      <c r="GB271" s="1804">
        <v>0</v>
      </c>
      <c r="GC271" s="1804">
        <v>0</v>
      </c>
      <c r="GD271" s="1804">
        <v>0</v>
      </c>
      <c r="GE271" s="1804">
        <v>0</v>
      </c>
      <c r="GF271" s="1804">
        <v>0</v>
      </c>
      <c r="GG271" s="1804">
        <v>0</v>
      </c>
      <c r="GH271" s="1804">
        <v>0</v>
      </c>
      <c r="GI271" s="1804">
        <v>0</v>
      </c>
      <c r="GJ271" s="1804">
        <v>0</v>
      </c>
      <c r="GK271" s="1804">
        <v>0</v>
      </c>
      <c r="GL271" s="1804">
        <v>0</v>
      </c>
      <c r="GM271" s="1804">
        <v>0</v>
      </c>
      <c r="GN271" s="1804">
        <v>0</v>
      </c>
      <c r="GO271" s="1804">
        <v>0</v>
      </c>
      <c r="GP271" s="1804">
        <v>0</v>
      </c>
      <c r="GQ271" s="1804">
        <v>0</v>
      </c>
      <c r="GR271" s="1804">
        <v>0</v>
      </c>
      <c r="GS271" s="1804">
        <v>0</v>
      </c>
      <c r="GT271" s="1804">
        <v>0</v>
      </c>
      <c r="GU271" s="1804">
        <v>0</v>
      </c>
      <c r="GV271" s="1804">
        <v>0</v>
      </c>
      <c r="GW271" s="1804">
        <v>0</v>
      </c>
      <c r="GX271" s="1804">
        <v>0</v>
      </c>
      <c r="GY271" s="1804">
        <v>0</v>
      </c>
      <c r="GZ271" s="1804">
        <v>0</v>
      </c>
      <c r="HA271" s="1804">
        <v>0</v>
      </c>
      <c r="HB271" s="1804">
        <v>0</v>
      </c>
      <c r="HC271" s="1804">
        <v>0</v>
      </c>
      <c r="HD271" s="1804">
        <v>0</v>
      </c>
      <c r="HE271" s="1804">
        <v>0</v>
      </c>
    </row>
    <row r="272" spans="1:1291" ht="15" customHeight="1" x14ac:dyDescent="0.2">
      <c r="A272" s="1964"/>
      <c r="B272" s="2005"/>
      <c r="C272" s="1816" t="s">
        <v>976</v>
      </c>
      <c r="D272" s="1882"/>
      <c r="E272" s="1997"/>
      <c r="F272" s="1838">
        <v>0</v>
      </c>
      <c r="G272" s="1804">
        <v>0</v>
      </c>
      <c r="H272" s="1804">
        <v>0</v>
      </c>
      <c r="I272" s="1804">
        <v>0</v>
      </c>
      <c r="J272" s="1804">
        <v>0</v>
      </c>
      <c r="K272" s="1804">
        <v>0</v>
      </c>
      <c r="L272" s="1804">
        <v>0</v>
      </c>
      <c r="M272" s="1804">
        <v>0</v>
      </c>
      <c r="N272" s="1804">
        <v>0</v>
      </c>
      <c r="O272" s="1804">
        <v>0</v>
      </c>
      <c r="P272" s="1804">
        <v>0</v>
      </c>
      <c r="Q272" s="1804">
        <v>0</v>
      </c>
      <c r="R272" s="1804">
        <v>0</v>
      </c>
      <c r="S272" s="1804">
        <v>0</v>
      </c>
      <c r="T272" s="1804">
        <v>0</v>
      </c>
      <c r="U272" s="1804">
        <v>0</v>
      </c>
      <c r="V272" s="1804">
        <v>0</v>
      </c>
      <c r="W272" s="1804">
        <v>0</v>
      </c>
      <c r="X272" s="1804">
        <v>0</v>
      </c>
      <c r="Y272" s="1804">
        <v>0</v>
      </c>
      <c r="Z272" s="1804">
        <v>0</v>
      </c>
      <c r="AA272" s="1804">
        <v>0</v>
      </c>
      <c r="AB272" s="1804">
        <v>0</v>
      </c>
      <c r="AC272" s="1804">
        <v>0</v>
      </c>
      <c r="AD272" s="1804">
        <v>0</v>
      </c>
      <c r="AE272" s="1804">
        <v>0</v>
      </c>
      <c r="AF272" s="1804">
        <v>0</v>
      </c>
      <c r="AG272" s="1804">
        <v>0</v>
      </c>
      <c r="AH272" s="1804">
        <v>0</v>
      </c>
      <c r="AI272" s="1804">
        <v>0</v>
      </c>
      <c r="AJ272" s="1804">
        <v>0</v>
      </c>
      <c r="AK272" s="1804">
        <v>0</v>
      </c>
      <c r="AL272" s="1804">
        <v>0</v>
      </c>
      <c r="AM272" s="1804">
        <v>0</v>
      </c>
      <c r="AN272" s="1804">
        <v>0</v>
      </c>
      <c r="AO272" s="1804">
        <v>0</v>
      </c>
      <c r="AP272" s="1804">
        <v>0</v>
      </c>
      <c r="AQ272" s="1804">
        <v>0</v>
      </c>
      <c r="AR272" s="1804">
        <v>0</v>
      </c>
      <c r="AS272" s="1804">
        <v>0</v>
      </c>
      <c r="AT272" s="1804">
        <v>0</v>
      </c>
      <c r="AU272" s="1804">
        <v>0</v>
      </c>
      <c r="AV272" s="1804">
        <v>0</v>
      </c>
      <c r="AW272" s="1804">
        <v>0</v>
      </c>
      <c r="AX272" s="1804">
        <v>0</v>
      </c>
      <c r="AY272" s="1804">
        <v>0</v>
      </c>
      <c r="AZ272" s="1804">
        <v>0</v>
      </c>
      <c r="BA272" s="1804">
        <v>0</v>
      </c>
      <c r="BB272" s="1804">
        <v>0</v>
      </c>
      <c r="BC272" s="1804">
        <v>0</v>
      </c>
      <c r="BD272" s="1804">
        <v>0</v>
      </c>
      <c r="BE272" s="1804">
        <v>0</v>
      </c>
      <c r="BF272" s="1804">
        <v>0</v>
      </c>
      <c r="BG272" s="1804">
        <v>0</v>
      </c>
      <c r="BH272" s="1804">
        <v>0</v>
      </c>
      <c r="BI272" s="1804">
        <v>0</v>
      </c>
      <c r="BJ272" s="1804">
        <v>0</v>
      </c>
      <c r="BK272" s="1804">
        <v>0</v>
      </c>
      <c r="BL272" s="1804">
        <v>0</v>
      </c>
      <c r="BM272" s="1804">
        <v>0</v>
      </c>
      <c r="BN272" s="1804">
        <v>0</v>
      </c>
      <c r="BO272" s="1804">
        <v>0</v>
      </c>
      <c r="BP272" s="1804">
        <v>0</v>
      </c>
      <c r="BQ272" s="1804">
        <v>0</v>
      </c>
      <c r="BR272" s="1804">
        <v>0</v>
      </c>
      <c r="BS272" s="1804">
        <v>0</v>
      </c>
      <c r="BT272" s="1804">
        <v>0</v>
      </c>
      <c r="BU272" s="1804">
        <v>0</v>
      </c>
      <c r="BV272" s="1804">
        <v>0</v>
      </c>
      <c r="BW272" s="1804">
        <v>0</v>
      </c>
      <c r="BX272" s="1804">
        <v>0</v>
      </c>
      <c r="BY272" s="1804">
        <v>0</v>
      </c>
      <c r="BZ272" s="1804">
        <v>0</v>
      </c>
      <c r="CA272" s="1804">
        <v>0</v>
      </c>
      <c r="CB272" s="1804">
        <v>0</v>
      </c>
      <c r="CC272" s="1804">
        <v>0</v>
      </c>
      <c r="CD272" s="1804">
        <v>0</v>
      </c>
      <c r="CE272" s="1804">
        <v>0</v>
      </c>
      <c r="CF272" s="1804">
        <v>0</v>
      </c>
      <c r="CG272" s="1804">
        <v>0</v>
      </c>
      <c r="CH272" s="1804">
        <v>0</v>
      </c>
      <c r="CI272" s="1804">
        <v>0</v>
      </c>
      <c r="CJ272" s="1804">
        <v>0</v>
      </c>
      <c r="CK272" s="1804">
        <v>0</v>
      </c>
      <c r="CL272" s="1804">
        <v>0</v>
      </c>
      <c r="CM272" s="1804">
        <v>0</v>
      </c>
      <c r="CN272" s="1804">
        <v>0</v>
      </c>
      <c r="CO272" s="1804">
        <v>0</v>
      </c>
      <c r="CP272" s="1804">
        <v>0</v>
      </c>
      <c r="CQ272" s="1804">
        <v>0</v>
      </c>
      <c r="CR272" s="1804">
        <v>0</v>
      </c>
      <c r="CS272" s="1804">
        <v>0</v>
      </c>
      <c r="CT272" s="1804">
        <v>0</v>
      </c>
      <c r="CU272" s="1804">
        <v>0</v>
      </c>
      <c r="CV272" s="1804">
        <v>0</v>
      </c>
      <c r="CW272" s="1804">
        <v>0</v>
      </c>
      <c r="CX272" s="1804">
        <v>0</v>
      </c>
      <c r="CY272" s="1804">
        <v>0</v>
      </c>
      <c r="CZ272" s="1804">
        <v>0</v>
      </c>
      <c r="DA272" s="1804">
        <v>0</v>
      </c>
      <c r="DB272" s="1804">
        <v>0</v>
      </c>
      <c r="DC272" s="1804">
        <v>0</v>
      </c>
      <c r="DD272" s="1804">
        <v>0</v>
      </c>
      <c r="DE272" s="1804">
        <v>0</v>
      </c>
      <c r="DF272" s="1804">
        <v>0</v>
      </c>
      <c r="DG272" s="1804">
        <v>0</v>
      </c>
      <c r="DH272" s="1804">
        <v>0</v>
      </c>
      <c r="DI272" s="1804">
        <v>0</v>
      </c>
      <c r="DJ272" s="1804">
        <v>0</v>
      </c>
      <c r="DK272" s="1804">
        <v>0</v>
      </c>
      <c r="DL272" s="1804">
        <v>0</v>
      </c>
      <c r="DM272" s="1804">
        <v>0</v>
      </c>
      <c r="DN272" s="1804">
        <v>0</v>
      </c>
      <c r="DO272" s="1804">
        <v>0</v>
      </c>
      <c r="DP272" s="1804">
        <v>0</v>
      </c>
      <c r="DQ272" s="1804">
        <v>0</v>
      </c>
      <c r="DR272" s="1804">
        <v>0</v>
      </c>
      <c r="DS272" s="1804">
        <v>0</v>
      </c>
      <c r="DT272" s="1804">
        <v>0</v>
      </c>
      <c r="DU272" s="1804">
        <v>0</v>
      </c>
      <c r="DV272" s="1804">
        <v>0</v>
      </c>
      <c r="DW272" s="1804">
        <v>0</v>
      </c>
      <c r="DX272" s="1804">
        <v>0</v>
      </c>
      <c r="DY272" s="1804">
        <v>0</v>
      </c>
      <c r="DZ272" s="1804">
        <v>0</v>
      </c>
      <c r="EA272" s="1804">
        <v>0</v>
      </c>
      <c r="EB272" s="1804">
        <v>0</v>
      </c>
      <c r="EC272" s="1804">
        <v>0</v>
      </c>
      <c r="ED272" s="1804">
        <v>0</v>
      </c>
      <c r="EE272" s="1804">
        <v>0</v>
      </c>
      <c r="EF272" s="1804">
        <v>0</v>
      </c>
      <c r="EG272" s="1804">
        <v>0</v>
      </c>
      <c r="EH272" s="1804">
        <v>0</v>
      </c>
      <c r="EI272" s="1804">
        <v>0</v>
      </c>
      <c r="EJ272" s="1804">
        <v>0</v>
      </c>
      <c r="EK272" s="1804">
        <v>0</v>
      </c>
      <c r="EL272" s="1804">
        <v>0</v>
      </c>
      <c r="EM272" s="1804">
        <v>0</v>
      </c>
      <c r="EN272" s="1804">
        <v>0</v>
      </c>
      <c r="EO272" s="1804">
        <v>0</v>
      </c>
      <c r="EP272" s="1804">
        <v>0</v>
      </c>
      <c r="EQ272" s="1804">
        <v>0</v>
      </c>
      <c r="ER272" s="1804">
        <v>0</v>
      </c>
      <c r="ES272" s="1804">
        <v>0</v>
      </c>
      <c r="ET272" s="1804">
        <v>0</v>
      </c>
      <c r="EU272" s="1804">
        <v>0</v>
      </c>
      <c r="EV272" s="1804">
        <v>0</v>
      </c>
      <c r="EW272" s="1804">
        <v>0</v>
      </c>
      <c r="EX272" s="1804">
        <v>0</v>
      </c>
      <c r="EY272" s="1804">
        <v>0</v>
      </c>
      <c r="EZ272" s="1804">
        <v>0</v>
      </c>
      <c r="FA272" s="1804">
        <v>0</v>
      </c>
      <c r="FB272" s="1804">
        <v>0</v>
      </c>
      <c r="FC272" s="1804">
        <v>0</v>
      </c>
      <c r="FD272" s="1804">
        <v>0</v>
      </c>
      <c r="FE272" s="1804">
        <v>0</v>
      </c>
      <c r="FF272" s="1804">
        <v>0</v>
      </c>
      <c r="FG272" s="1804">
        <v>0</v>
      </c>
      <c r="FH272" s="1804">
        <v>0</v>
      </c>
      <c r="FI272" s="1804">
        <v>0</v>
      </c>
      <c r="FJ272" s="1804">
        <v>0</v>
      </c>
      <c r="FK272" s="1804">
        <v>0</v>
      </c>
      <c r="FL272" s="1804">
        <v>0</v>
      </c>
      <c r="FM272" s="1804">
        <v>0</v>
      </c>
      <c r="FN272" s="1804">
        <v>0</v>
      </c>
      <c r="FO272" s="1804">
        <v>0</v>
      </c>
      <c r="FP272" s="1804">
        <v>0</v>
      </c>
      <c r="FQ272" s="1804">
        <v>0</v>
      </c>
      <c r="FR272" s="1804">
        <v>0</v>
      </c>
      <c r="FS272" s="1804">
        <v>0</v>
      </c>
      <c r="FT272" s="1804">
        <v>0</v>
      </c>
      <c r="FU272" s="1804">
        <v>0</v>
      </c>
      <c r="FV272" s="1804">
        <v>0</v>
      </c>
      <c r="FW272" s="1804">
        <v>0</v>
      </c>
      <c r="FX272" s="1804">
        <v>0</v>
      </c>
      <c r="FY272" s="1804">
        <v>0</v>
      </c>
      <c r="FZ272" s="1804">
        <v>0</v>
      </c>
      <c r="GA272" s="1804">
        <v>0</v>
      </c>
      <c r="GB272" s="1804">
        <v>0</v>
      </c>
      <c r="GC272" s="1804">
        <v>0</v>
      </c>
      <c r="GD272" s="1804">
        <v>0</v>
      </c>
      <c r="GE272" s="1804">
        <v>0</v>
      </c>
      <c r="GF272" s="1804">
        <v>0</v>
      </c>
      <c r="GG272" s="1804">
        <v>0</v>
      </c>
      <c r="GH272" s="1804">
        <v>0</v>
      </c>
      <c r="GI272" s="1804">
        <v>0</v>
      </c>
      <c r="GJ272" s="1804">
        <v>0</v>
      </c>
      <c r="GK272" s="1804">
        <v>0</v>
      </c>
      <c r="GL272" s="1804">
        <v>0</v>
      </c>
      <c r="GM272" s="1804">
        <v>0</v>
      </c>
      <c r="GN272" s="1804">
        <v>0</v>
      </c>
      <c r="GO272" s="1804">
        <v>0</v>
      </c>
      <c r="GP272" s="1804">
        <v>0</v>
      </c>
      <c r="GQ272" s="1804">
        <v>0</v>
      </c>
      <c r="GR272" s="1804">
        <v>0</v>
      </c>
      <c r="GS272" s="1804">
        <v>0</v>
      </c>
      <c r="GT272" s="1804">
        <v>0</v>
      </c>
      <c r="GU272" s="1804">
        <v>0</v>
      </c>
      <c r="GV272" s="1804">
        <v>0</v>
      </c>
      <c r="GW272" s="1804">
        <v>0</v>
      </c>
      <c r="GX272" s="1804">
        <v>0</v>
      </c>
      <c r="GY272" s="1804">
        <v>0</v>
      </c>
      <c r="GZ272" s="1804">
        <v>0</v>
      </c>
      <c r="HA272" s="1804">
        <v>0</v>
      </c>
      <c r="HB272" s="1804">
        <v>0</v>
      </c>
      <c r="HC272" s="1804">
        <v>0</v>
      </c>
      <c r="HD272" s="1804">
        <v>0</v>
      </c>
      <c r="HE272" s="1804">
        <v>0</v>
      </c>
    </row>
    <row r="273" spans="1:213" ht="15" customHeight="1" x14ac:dyDescent="0.2">
      <c r="A273" s="1964"/>
      <c r="B273" s="2005"/>
      <c r="C273" s="1818" t="s">
        <v>762</v>
      </c>
      <c r="D273" s="1882"/>
      <c r="E273" s="1997"/>
      <c r="F273" s="1838">
        <v>0</v>
      </c>
      <c r="G273" s="1804">
        <v>0</v>
      </c>
      <c r="H273" s="1804">
        <v>0</v>
      </c>
      <c r="I273" s="1804">
        <v>0</v>
      </c>
      <c r="J273" s="1804">
        <v>0</v>
      </c>
      <c r="K273" s="1804">
        <v>0</v>
      </c>
      <c r="L273" s="1804">
        <v>0</v>
      </c>
      <c r="M273" s="1804">
        <v>0</v>
      </c>
      <c r="N273" s="1804">
        <v>0</v>
      </c>
      <c r="O273" s="1804">
        <v>0</v>
      </c>
      <c r="P273" s="1804">
        <v>0</v>
      </c>
      <c r="Q273" s="1804">
        <v>0</v>
      </c>
      <c r="R273" s="1804">
        <v>0</v>
      </c>
      <c r="S273" s="1804">
        <v>0</v>
      </c>
      <c r="T273" s="1804">
        <v>0</v>
      </c>
      <c r="U273" s="1804">
        <v>0</v>
      </c>
      <c r="V273" s="1804">
        <v>0</v>
      </c>
      <c r="W273" s="1804">
        <v>0</v>
      </c>
      <c r="X273" s="1804">
        <v>0</v>
      </c>
      <c r="Y273" s="1804">
        <v>0</v>
      </c>
      <c r="Z273" s="1804">
        <v>0</v>
      </c>
      <c r="AA273" s="1804">
        <v>0</v>
      </c>
      <c r="AB273" s="1804">
        <v>0</v>
      </c>
      <c r="AC273" s="1804">
        <v>0</v>
      </c>
      <c r="AD273" s="1804">
        <v>0</v>
      </c>
      <c r="AE273" s="1804">
        <v>0</v>
      </c>
      <c r="AF273" s="1804">
        <v>0</v>
      </c>
      <c r="AG273" s="1804">
        <v>0</v>
      </c>
      <c r="AH273" s="1804">
        <v>0</v>
      </c>
      <c r="AI273" s="1804">
        <v>0</v>
      </c>
      <c r="AJ273" s="1804">
        <v>0</v>
      </c>
      <c r="AK273" s="1804">
        <v>0</v>
      </c>
      <c r="AL273" s="1804">
        <v>0</v>
      </c>
      <c r="AM273" s="1804">
        <v>0</v>
      </c>
      <c r="AN273" s="1804">
        <v>0</v>
      </c>
      <c r="AO273" s="1804">
        <v>0</v>
      </c>
      <c r="AP273" s="1804">
        <v>0</v>
      </c>
      <c r="AQ273" s="1804">
        <v>0</v>
      </c>
      <c r="AR273" s="1804">
        <v>0</v>
      </c>
      <c r="AS273" s="1804">
        <v>0</v>
      </c>
      <c r="AT273" s="1804">
        <v>0</v>
      </c>
      <c r="AU273" s="1804">
        <v>0</v>
      </c>
      <c r="AV273" s="1804">
        <v>0</v>
      </c>
      <c r="AW273" s="1804">
        <v>0</v>
      </c>
      <c r="AX273" s="1804">
        <v>0</v>
      </c>
      <c r="AY273" s="1804">
        <v>0</v>
      </c>
      <c r="AZ273" s="1804">
        <v>0</v>
      </c>
      <c r="BA273" s="1804">
        <v>0</v>
      </c>
      <c r="BB273" s="1804">
        <v>0</v>
      </c>
      <c r="BC273" s="1804">
        <v>0</v>
      </c>
      <c r="BD273" s="1804">
        <v>0</v>
      </c>
      <c r="BE273" s="1804">
        <v>0</v>
      </c>
      <c r="BF273" s="1804">
        <v>0</v>
      </c>
      <c r="BG273" s="1804">
        <v>0</v>
      </c>
      <c r="BH273" s="1804">
        <v>0</v>
      </c>
      <c r="BI273" s="1804">
        <v>0</v>
      </c>
      <c r="BJ273" s="1804">
        <v>0</v>
      </c>
      <c r="BK273" s="1804">
        <v>0</v>
      </c>
      <c r="BL273" s="1804">
        <v>0</v>
      </c>
      <c r="BM273" s="1804">
        <v>0</v>
      </c>
      <c r="BN273" s="1804">
        <v>0</v>
      </c>
      <c r="BO273" s="1804">
        <v>0</v>
      </c>
      <c r="BP273" s="1804">
        <v>0</v>
      </c>
      <c r="BQ273" s="1804">
        <v>0</v>
      </c>
      <c r="BR273" s="1804">
        <v>0</v>
      </c>
      <c r="BS273" s="1804">
        <v>0</v>
      </c>
      <c r="BT273" s="1804">
        <v>0</v>
      </c>
      <c r="BU273" s="1804">
        <v>0</v>
      </c>
      <c r="BV273" s="1804">
        <v>0</v>
      </c>
      <c r="BW273" s="1804">
        <v>0</v>
      </c>
      <c r="BX273" s="1804">
        <v>0</v>
      </c>
      <c r="BY273" s="1804">
        <v>0</v>
      </c>
      <c r="BZ273" s="1804">
        <v>0</v>
      </c>
      <c r="CA273" s="1804">
        <v>0</v>
      </c>
      <c r="CB273" s="1804">
        <v>0</v>
      </c>
      <c r="CC273" s="1804">
        <v>0</v>
      </c>
      <c r="CD273" s="1804">
        <v>0</v>
      </c>
      <c r="CE273" s="1804">
        <v>0</v>
      </c>
      <c r="CF273" s="1804">
        <v>0</v>
      </c>
      <c r="CG273" s="1804">
        <v>0</v>
      </c>
      <c r="CH273" s="1804">
        <v>0</v>
      </c>
      <c r="CI273" s="1804">
        <v>0</v>
      </c>
      <c r="CJ273" s="1804">
        <v>0</v>
      </c>
      <c r="CK273" s="1804">
        <v>0</v>
      </c>
      <c r="CL273" s="1804">
        <v>0</v>
      </c>
      <c r="CM273" s="1804">
        <v>0</v>
      </c>
      <c r="CN273" s="1804">
        <v>0</v>
      </c>
      <c r="CO273" s="1804">
        <v>0</v>
      </c>
      <c r="CP273" s="1804">
        <v>0</v>
      </c>
      <c r="CQ273" s="1804">
        <v>0</v>
      </c>
      <c r="CR273" s="1804">
        <v>0</v>
      </c>
      <c r="CS273" s="1804">
        <v>0</v>
      </c>
      <c r="CT273" s="1804">
        <v>0</v>
      </c>
      <c r="CU273" s="1804">
        <v>0</v>
      </c>
      <c r="CV273" s="1804">
        <v>0</v>
      </c>
      <c r="CW273" s="1804">
        <v>0</v>
      </c>
      <c r="CX273" s="1804">
        <v>0</v>
      </c>
      <c r="CY273" s="1804">
        <v>0</v>
      </c>
      <c r="CZ273" s="1804">
        <v>0</v>
      </c>
      <c r="DA273" s="1804">
        <v>0</v>
      </c>
      <c r="DB273" s="1804">
        <v>0</v>
      </c>
      <c r="DC273" s="1804">
        <v>0</v>
      </c>
      <c r="DD273" s="1804">
        <v>0</v>
      </c>
      <c r="DE273" s="1804">
        <v>0</v>
      </c>
      <c r="DF273" s="1804">
        <v>0</v>
      </c>
      <c r="DG273" s="1804">
        <v>0</v>
      </c>
      <c r="DH273" s="1804">
        <v>0</v>
      </c>
      <c r="DI273" s="1804">
        <v>0</v>
      </c>
      <c r="DJ273" s="1804">
        <v>0</v>
      </c>
      <c r="DK273" s="1804">
        <v>0</v>
      </c>
      <c r="DL273" s="1804">
        <v>0</v>
      </c>
      <c r="DM273" s="1804">
        <v>0</v>
      </c>
      <c r="DN273" s="1804">
        <v>0</v>
      </c>
      <c r="DO273" s="1804">
        <v>0</v>
      </c>
      <c r="DP273" s="1804">
        <v>0</v>
      </c>
      <c r="DQ273" s="1804">
        <v>0</v>
      </c>
      <c r="DR273" s="1804">
        <v>0</v>
      </c>
      <c r="DS273" s="1804">
        <v>0</v>
      </c>
      <c r="DT273" s="1804">
        <v>0</v>
      </c>
      <c r="DU273" s="1804">
        <v>0</v>
      </c>
      <c r="DV273" s="1804">
        <v>0</v>
      </c>
      <c r="DW273" s="1804">
        <v>0</v>
      </c>
      <c r="DX273" s="1804">
        <v>0</v>
      </c>
      <c r="DY273" s="1804">
        <v>0</v>
      </c>
      <c r="DZ273" s="1804">
        <v>0</v>
      </c>
      <c r="EA273" s="1804">
        <v>0</v>
      </c>
      <c r="EB273" s="1804">
        <v>0</v>
      </c>
      <c r="EC273" s="1804">
        <v>0</v>
      </c>
      <c r="ED273" s="1804">
        <v>0</v>
      </c>
      <c r="EE273" s="1804">
        <v>0</v>
      </c>
      <c r="EF273" s="1804">
        <v>0</v>
      </c>
      <c r="EG273" s="1804">
        <v>0</v>
      </c>
      <c r="EH273" s="1804">
        <v>0</v>
      </c>
      <c r="EI273" s="1804">
        <v>0</v>
      </c>
      <c r="EJ273" s="1804">
        <v>0</v>
      </c>
      <c r="EK273" s="1804">
        <v>0</v>
      </c>
      <c r="EL273" s="1804">
        <v>0</v>
      </c>
      <c r="EM273" s="1804">
        <v>0</v>
      </c>
      <c r="EN273" s="1804">
        <v>0</v>
      </c>
      <c r="EO273" s="1804">
        <v>0</v>
      </c>
      <c r="EP273" s="1804">
        <v>0</v>
      </c>
      <c r="EQ273" s="1804">
        <v>0</v>
      </c>
      <c r="ER273" s="1804">
        <v>0</v>
      </c>
      <c r="ES273" s="1804">
        <v>0</v>
      </c>
      <c r="ET273" s="1804">
        <v>0</v>
      </c>
      <c r="EU273" s="1804">
        <v>0</v>
      </c>
      <c r="EV273" s="1804">
        <v>0</v>
      </c>
      <c r="EW273" s="1804">
        <v>0</v>
      </c>
      <c r="EX273" s="1804">
        <v>0</v>
      </c>
      <c r="EY273" s="1804">
        <v>0</v>
      </c>
      <c r="EZ273" s="1804">
        <v>0</v>
      </c>
      <c r="FA273" s="1804">
        <v>0</v>
      </c>
      <c r="FB273" s="1804">
        <v>0</v>
      </c>
      <c r="FC273" s="1804">
        <v>0</v>
      </c>
      <c r="FD273" s="1804">
        <v>0</v>
      </c>
      <c r="FE273" s="1804">
        <v>0</v>
      </c>
      <c r="FF273" s="1804">
        <v>0</v>
      </c>
      <c r="FG273" s="1804">
        <v>0</v>
      </c>
      <c r="FH273" s="1804">
        <v>0</v>
      </c>
      <c r="FI273" s="1804">
        <v>0</v>
      </c>
      <c r="FJ273" s="1804">
        <v>0</v>
      </c>
      <c r="FK273" s="1804">
        <v>0</v>
      </c>
      <c r="FL273" s="1804">
        <v>0</v>
      </c>
      <c r="FM273" s="1804">
        <v>0</v>
      </c>
      <c r="FN273" s="1804">
        <v>0</v>
      </c>
      <c r="FO273" s="1804">
        <v>0</v>
      </c>
      <c r="FP273" s="1804">
        <v>0</v>
      </c>
      <c r="FQ273" s="1804">
        <v>0</v>
      </c>
      <c r="FR273" s="1804">
        <v>0</v>
      </c>
      <c r="FS273" s="1804">
        <v>0</v>
      </c>
      <c r="FT273" s="1804">
        <v>0</v>
      </c>
      <c r="FU273" s="1804">
        <v>0</v>
      </c>
      <c r="FV273" s="1804">
        <v>0</v>
      </c>
      <c r="FW273" s="1804">
        <v>0</v>
      </c>
      <c r="FX273" s="1804">
        <v>0</v>
      </c>
      <c r="FY273" s="1804">
        <v>0</v>
      </c>
      <c r="FZ273" s="1804">
        <v>0</v>
      </c>
      <c r="GA273" s="1804">
        <v>0</v>
      </c>
      <c r="GB273" s="1804">
        <v>0</v>
      </c>
      <c r="GC273" s="1804">
        <v>0</v>
      </c>
      <c r="GD273" s="1804">
        <v>0</v>
      </c>
      <c r="GE273" s="1804">
        <v>0</v>
      </c>
      <c r="GF273" s="1804">
        <v>0</v>
      </c>
      <c r="GG273" s="1804">
        <v>0</v>
      </c>
      <c r="GH273" s="1804">
        <v>0</v>
      </c>
      <c r="GI273" s="1804">
        <v>0</v>
      </c>
      <c r="GJ273" s="1804">
        <v>0</v>
      </c>
      <c r="GK273" s="1804">
        <v>0</v>
      </c>
      <c r="GL273" s="1804">
        <v>0</v>
      </c>
      <c r="GM273" s="1804">
        <v>0</v>
      </c>
      <c r="GN273" s="1804">
        <v>0</v>
      </c>
      <c r="GO273" s="1804">
        <v>0</v>
      </c>
      <c r="GP273" s="1804">
        <v>0</v>
      </c>
      <c r="GQ273" s="1804">
        <v>0</v>
      </c>
      <c r="GR273" s="1804">
        <v>0</v>
      </c>
      <c r="GS273" s="1804">
        <v>0</v>
      </c>
      <c r="GT273" s="1804">
        <v>0</v>
      </c>
      <c r="GU273" s="1804">
        <v>0</v>
      </c>
      <c r="GV273" s="1804">
        <v>0</v>
      </c>
      <c r="GW273" s="1804">
        <v>0</v>
      </c>
      <c r="GX273" s="1804">
        <v>0</v>
      </c>
      <c r="GY273" s="1804">
        <v>0</v>
      </c>
      <c r="GZ273" s="1804">
        <v>0</v>
      </c>
      <c r="HA273" s="1804">
        <v>0</v>
      </c>
      <c r="HB273" s="1804">
        <v>0</v>
      </c>
      <c r="HC273" s="1804">
        <v>0</v>
      </c>
      <c r="HD273" s="1804">
        <v>0</v>
      </c>
      <c r="HE273" s="1804">
        <v>0</v>
      </c>
    </row>
    <row r="274" spans="1:213" ht="15" customHeight="1" thickBot="1" x14ac:dyDescent="0.25">
      <c r="A274" s="1964"/>
      <c r="B274" s="2006"/>
      <c r="C274" s="1822" t="s">
        <v>763</v>
      </c>
      <c r="D274" s="1883"/>
      <c r="E274" s="1997"/>
      <c r="F274" s="1838">
        <v>0</v>
      </c>
      <c r="G274" s="1804">
        <v>0</v>
      </c>
      <c r="H274" s="1804">
        <v>0</v>
      </c>
      <c r="I274" s="1804">
        <v>0</v>
      </c>
      <c r="J274" s="1804">
        <v>0</v>
      </c>
      <c r="K274" s="1804">
        <v>0</v>
      </c>
      <c r="L274" s="1804">
        <v>0</v>
      </c>
      <c r="M274" s="1804">
        <v>0</v>
      </c>
      <c r="N274" s="1804">
        <v>0</v>
      </c>
      <c r="O274" s="1804">
        <v>0</v>
      </c>
      <c r="P274" s="1804">
        <v>0</v>
      </c>
      <c r="Q274" s="1804">
        <v>0</v>
      </c>
      <c r="R274" s="1804">
        <v>0</v>
      </c>
      <c r="S274" s="1804">
        <v>0</v>
      </c>
      <c r="T274" s="1804">
        <v>0</v>
      </c>
      <c r="U274" s="1804">
        <v>0</v>
      </c>
      <c r="V274" s="1804">
        <v>0</v>
      </c>
      <c r="W274" s="1804">
        <v>0</v>
      </c>
      <c r="X274" s="1804">
        <v>0</v>
      </c>
      <c r="Y274" s="1804">
        <v>0</v>
      </c>
      <c r="Z274" s="1804">
        <v>0</v>
      </c>
      <c r="AA274" s="1804">
        <v>0</v>
      </c>
      <c r="AB274" s="1804">
        <v>0</v>
      </c>
      <c r="AC274" s="1804">
        <v>0</v>
      </c>
      <c r="AD274" s="1804">
        <v>0</v>
      </c>
      <c r="AE274" s="1804">
        <v>0</v>
      </c>
      <c r="AF274" s="1804">
        <v>0</v>
      </c>
      <c r="AG274" s="1804">
        <v>0</v>
      </c>
      <c r="AH274" s="1804">
        <v>0</v>
      </c>
      <c r="AI274" s="1804">
        <v>0</v>
      </c>
      <c r="AJ274" s="1804">
        <v>0</v>
      </c>
      <c r="AK274" s="1804">
        <v>0</v>
      </c>
      <c r="AL274" s="1804">
        <v>0</v>
      </c>
      <c r="AM274" s="1804">
        <v>0</v>
      </c>
      <c r="AN274" s="1804">
        <v>0</v>
      </c>
      <c r="AO274" s="1804">
        <v>0</v>
      </c>
      <c r="AP274" s="1804">
        <v>0</v>
      </c>
      <c r="AQ274" s="1804">
        <v>0</v>
      </c>
      <c r="AR274" s="1804">
        <v>0</v>
      </c>
      <c r="AS274" s="1804">
        <v>0</v>
      </c>
      <c r="AT274" s="1804">
        <v>0</v>
      </c>
      <c r="AU274" s="1804">
        <v>0</v>
      </c>
      <c r="AV274" s="1804">
        <v>0</v>
      </c>
      <c r="AW274" s="1804">
        <v>0</v>
      </c>
      <c r="AX274" s="1804">
        <v>0</v>
      </c>
      <c r="AY274" s="1804">
        <v>0</v>
      </c>
      <c r="AZ274" s="1804">
        <v>0</v>
      </c>
      <c r="BA274" s="1804">
        <v>0</v>
      </c>
      <c r="BB274" s="1804">
        <v>0</v>
      </c>
      <c r="BC274" s="1804">
        <v>0</v>
      </c>
      <c r="BD274" s="1804">
        <v>0</v>
      </c>
      <c r="BE274" s="1804">
        <v>0</v>
      </c>
      <c r="BF274" s="1804">
        <v>0</v>
      </c>
      <c r="BG274" s="1804">
        <v>0</v>
      </c>
      <c r="BH274" s="1804">
        <v>0</v>
      </c>
      <c r="BI274" s="1804">
        <v>0</v>
      </c>
      <c r="BJ274" s="1804">
        <v>0</v>
      </c>
      <c r="BK274" s="1804">
        <v>0</v>
      </c>
      <c r="BL274" s="1804">
        <v>0</v>
      </c>
      <c r="BM274" s="1804">
        <v>0</v>
      </c>
      <c r="BN274" s="1804">
        <v>0</v>
      </c>
      <c r="BO274" s="1804">
        <v>0</v>
      </c>
      <c r="BP274" s="1804">
        <v>0</v>
      </c>
      <c r="BQ274" s="1804">
        <v>0</v>
      </c>
      <c r="BR274" s="1804">
        <v>0</v>
      </c>
      <c r="BS274" s="1804">
        <v>0</v>
      </c>
      <c r="BT274" s="1804">
        <v>0</v>
      </c>
      <c r="BU274" s="1804">
        <v>0</v>
      </c>
      <c r="BV274" s="1804">
        <v>0</v>
      </c>
      <c r="BW274" s="1804">
        <v>0</v>
      </c>
      <c r="BX274" s="1804">
        <v>0</v>
      </c>
      <c r="BY274" s="1804">
        <v>0</v>
      </c>
      <c r="BZ274" s="1804">
        <v>0</v>
      </c>
      <c r="CA274" s="1804">
        <v>0</v>
      </c>
      <c r="CB274" s="1804">
        <v>0</v>
      </c>
      <c r="CC274" s="1804">
        <v>0</v>
      </c>
      <c r="CD274" s="1804">
        <v>0</v>
      </c>
      <c r="CE274" s="1804">
        <v>0</v>
      </c>
      <c r="CF274" s="1804">
        <v>0</v>
      </c>
      <c r="CG274" s="1804">
        <v>0</v>
      </c>
      <c r="CH274" s="1804">
        <v>0</v>
      </c>
      <c r="CI274" s="1804">
        <v>0</v>
      </c>
      <c r="CJ274" s="1804">
        <v>0</v>
      </c>
      <c r="CK274" s="1804">
        <v>0</v>
      </c>
      <c r="CL274" s="1804">
        <v>0</v>
      </c>
      <c r="CM274" s="1804">
        <v>0</v>
      </c>
      <c r="CN274" s="1804">
        <v>0</v>
      </c>
      <c r="CO274" s="1804">
        <v>0</v>
      </c>
      <c r="CP274" s="1804">
        <v>0</v>
      </c>
      <c r="CQ274" s="1804">
        <v>0</v>
      </c>
      <c r="CR274" s="1804">
        <v>0</v>
      </c>
      <c r="CS274" s="1804">
        <v>0</v>
      </c>
      <c r="CT274" s="1804">
        <v>0</v>
      </c>
      <c r="CU274" s="1804">
        <v>0</v>
      </c>
      <c r="CV274" s="1804">
        <v>0</v>
      </c>
      <c r="CW274" s="1804">
        <v>0</v>
      </c>
      <c r="CX274" s="1804">
        <v>0</v>
      </c>
      <c r="CY274" s="1804">
        <v>0</v>
      </c>
      <c r="CZ274" s="1804">
        <v>0</v>
      </c>
      <c r="DA274" s="1804">
        <v>0</v>
      </c>
      <c r="DB274" s="1804">
        <v>0</v>
      </c>
      <c r="DC274" s="1804">
        <v>0</v>
      </c>
      <c r="DD274" s="1804">
        <v>0</v>
      </c>
      <c r="DE274" s="1804">
        <v>0</v>
      </c>
      <c r="DF274" s="1804">
        <v>0</v>
      </c>
      <c r="DG274" s="1804">
        <v>0</v>
      </c>
      <c r="DH274" s="1804">
        <v>0</v>
      </c>
      <c r="DI274" s="1804">
        <v>0</v>
      </c>
      <c r="DJ274" s="1804">
        <v>0</v>
      </c>
      <c r="DK274" s="1804">
        <v>0</v>
      </c>
      <c r="DL274" s="1804">
        <v>0</v>
      </c>
      <c r="DM274" s="1804">
        <v>0</v>
      </c>
      <c r="DN274" s="1804">
        <v>0</v>
      </c>
      <c r="DO274" s="1804">
        <v>0</v>
      </c>
      <c r="DP274" s="1804">
        <v>0</v>
      </c>
      <c r="DQ274" s="1804">
        <v>0</v>
      </c>
      <c r="DR274" s="1804">
        <v>0</v>
      </c>
      <c r="DS274" s="1804">
        <v>0</v>
      </c>
      <c r="DT274" s="1804">
        <v>0</v>
      </c>
      <c r="DU274" s="1804">
        <v>0</v>
      </c>
      <c r="DV274" s="1804">
        <v>0</v>
      </c>
      <c r="DW274" s="1804">
        <v>0</v>
      </c>
      <c r="DX274" s="1804">
        <v>0</v>
      </c>
      <c r="DY274" s="1804">
        <v>0</v>
      </c>
      <c r="DZ274" s="1804">
        <v>0</v>
      </c>
      <c r="EA274" s="1804">
        <v>0</v>
      </c>
      <c r="EB274" s="1804">
        <v>0</v>
      </c>
      <c r="EC274" s="1804">
        <v>0</v>
      </c>
      <c r="ED274" s="1804">
        <v>0</v>
      </c>
      <c r="EE274" s="1804">
        <v>0</v>
      </c>
      <c r="EF274" s="1804">
        <v>0</v>
      </c>
      <c r="EG274" s="1804">
        <v>0</v>
      </c>
      <c r="EH274" s="1804">
        <v>0</v>
      </c>
      <c r="EI274" s="1804">
        <v>0</v>
      </c>
      <c r="EJ274" s="1804">
        <v>0</v>
      </c>
      <c r="EK274" s="1804">
        <v>0</v>
      </c>
      <c r="EL274" s="1804">
        <v>0</v>
      </c>
      <c r="EM274" s="1804">
        <v>0</v>
      </c>
      <c r="EN274" s="1804">
        <v>0</v>
      </c>
      <c r="EO274" s="1804">
        <v>0</v>
      </c>
      <c r="EP274" s="1804">
        <v>0</v>
      </c>
      <c r="EQ274" s="1804">
        <v>0</v>
      </c>
      <c r="ER274" s="1804">
        <v>0</v>
      </c>
      <c r="ES274" s="1804">
        <v>0</v>
      </c>
      <c r="ET274" s="1804">
        <v>0</v>
      </c>
      <c r="EU274" s="1804">
        <v>0</v>
      </c>
      <c r="EV274" s="1804">
        <v>0</v>
      </c>
      <c r="EW274" s="1804">
        <v>0</v>
      </c>
      <c r="EX274" s="1804">
        <v>0</v>
      </c>
      <c r="EY274" s="1804">
        <v>0</v>
      </c>
      <c r="EZ274" s="1804">
        <v>0</v>
      </c>
      <c r="FA274" s="1804">
        <v>0</v>
      </c>
      <c r="FB274" s="1804">
        <v>0</v>
      </c>
      <c r="FC274" s="1804">
        <v>0</v>
      </c>
      <c r="FD274" s="1804">
        <v>0</v>
      </c>
      <c r="FE274" s="1804">
        <v>0</v>
      </c>
      <c r="FF274" s="1804">
        <v>0</v>
      </c>
      <c r="FG274" s="1804">
        <v>0</v>
      </c>
      <c r="FH274" s="1804">
        <v>0</v>
      </c>
      <c r="FI274" s="1804">
        <v>0</v>
      </c>
      <c r="FJ274" s="1804">
        <v>0</v>
      </c>
      <c r="FK274" s="1804">
        <v>0</v>
      </c>
      <c r="FL274" s="1804">
        <v>0</v>
      </c>
      <c r="FM274" s="1804">
        <v>0</v>
      </c>
      <c r="FN274" s="1804">
        <v>0</v>
      </c>
      <c r="FO274" s="1804">
        <v>0</v>
      </c>
      <c r="FP274" s="1804">
        <v>0</v>
      </c>
      <c r="FQ274" s="1804">
        <v>0</v>
      </c>
      <c r="FR274" s="1804">
        <v>0</v>
      </c>
      <c r="FS274" s="1804">
        <v>0</v>
      </c>
      <c r="FT274" s="1804">
        <v>0</v>
      </c>
      <c r="FU274" s="1804">
        <v>0</v>
      </c>
      <c r="FV274" s="1804">
        <v>0</v>
      </c>
      <c r="FW274" s="1804">
        <v>0</v>
      </c>
      <c r="FX274" s="1804">
        <v>0</v>
      </c>
      <c r="FY274" s="1804">
        <v>0</v>
      </c>
      <c r="FZ274" s="1804">
        <v>0</v>
      </c>
      <c r="GA274" s="1804">
        <v>0</v>
      </c>
      <c r="GB274" s="1804">
        <v>0</v>
      </c>
      <c r="GC274" s="1804">
        <v>0</v>
      </c>
      <c r="GD274" s="1804">
        <v>0</v>
      </c>
      <c r="GE274" s="1804">
        <v>0</v>
      </c>
      <c r="GF274" s="1804">
        <v>0</v>
      </c>
      <c r="GG274" s="1804">
        <v>0</v>
      </c>
      <c r="GH274" s="1804">
        <v>0</v>
      </c>
      <c r="GI274" s="1804">
        <v>0</v>
      </c>
      <c r="GJ274" s="1804">
        <v>0</v>
      </c>
      <c r="GK274" s="1804">
        <v>0</v>
      </c>
      <c r="GL274" s="1804">
        <v>0</v>
      </c>
      <c r="GM274" s="1804">
        <v>0</v>
      </c>
      <c r="GN274" s="1804">
        <v>0</v>
      </c>
      <c r="GO274" s="1804">
        <v>0</v>
      </c>
      <c r="GP274" s="1804">
        <v>0</v>
      </c>
      <c r="GQ274" s="1804">
        <v>0</v>
      </c>
      <c r="GR274" s="1804">
        <v>0</v>
      </c>
      <c r="GS274" s="1804">
        <v>0</v>
      </c>
      <c r="GT274" s="1804">
        <v>0</v>
      </c>
      <c r="GU274" s="1804">
        <v>0</v>
      </c>
      <c r="GV274" s="1804">
        <v>0</v>
      </c>
      <c r="GW274" s="1804">
        <v>0</v>
      </c>
      <c r="GX274" s="1804">
        <v>0</v>
      </c>
      <c r="GY274" s="1804">
        <v>0</v>
      </c>
      <c r="GZ274" s="1804">
        <v>0</v>
      </c>
      <c r="HA274" s="1804">
        <v>0</v>
      </c>
      <c r="HB274" s="1804">
        <v>0</v>
      </c>
      <c r="HC274" s="1804">
        <v>0</v>
      </c>
      <c r="HD274" s="1804">
        <v>0</v>
      </c>
      <c r="HE274" s="1804">
        <v>0</v>
      </c>
    </row>
    <row r="275" spans="1:213" ht="21" customHeight="1" thickBot="1" x14ac:dyDescent="0.25">
      <c r="A275" s="1949" t="s">
        <v>286</v>
      </c>
      <c r="B275" s="1988" t="s">
        <v>20</v>
      </c>
      <c r="C275" s="1699" t="s">
        <v>604</v>
      </c>
      <c r="D275" s="1880"/>
      <c r="E275" s="1984"/>
      <c r="F275" s="1865"/>
      <c r="G275" s="1866"/>
      <c r="H275" s="1866"/>
      <c r="I275" s="1866"/>
      <c r="J275" s="1866"/>
      <c r="K275" s="1866"/>
      <c r="L275" s="1866"/>
      <c r="M275" s="1866"/>
      <c r="N275" s="1866"/>
      <c r="O275" s="1866"/>
      <c r="P275" s="1866"/>
      <c r="Q275" s="1866"/>
      <c r="R275" s="1866"/>
      <c r="S275" s="1866"/>
      <c r="T275" s="1866"/>
      <c r="U275" s="1866"/>
      <c r="V275" s="1866"/>
      <c r="W275" s="1866"/>
      <c r="X275" s="1866"/>
      <c r="Y275" s="1866"/>
      <c r="Z275" s="1866"/>
      <c r="AA275" s="1866"/>
      <c r="AB275" s="1866"/>
      <c r="AC275" s="1866"/>
      <c r="AD275" s="1866"/>
      <c r="AE275" s="1866"/>
      <c r="AF275" s="1866"/>
      <c r="AG275" s="1866"/>
      <c r="AH275" s="1866"/>
      <c r="AI275" s="1866"/>
      <c r="AJ275" s="1866"/>
      <c r="AK275" s="1866"/>
      <c r="AL275" s="1866"/>
      <c r="AM275" s="1866"/>
      <c r="AN275" s="1866"/>
      <c r="AO275" s="1866"/>
      <c r="AP275" s="1866"/>
      <c r="AQ275" s="1866"/>
      <c r="AR275" s="1866"/>
      <c r="AS275" s="1866"/>
      <c r="AT275" s="1866"/>
      <c r="AU275" s="1866"/>
      <c r="AV275" s="1866"/>
      <c r="AW275" s="1866"/>
      <c r="AX275" s="1866"/>
      <c r="AY275" s="1866"/>
      <c r="AZ275" s="1866"/>
      <c r="BA275" s="1866"/>
      <c r="BB275" s="1866"/>
      <c r="BC275" s="1866"/>
      <c r="BD275" s="1866"/>
      <c r="BE275" s="1866"/>
      <c r="BF275" s="1866"/>
      <c r="BG275" s="1866"/>
      <c r="BH275" s="1866"/>
      <c r="BI275" s="1866"/>
      <c r="BJ275" s="1866"/>
      <c r="BK275" s="1866"/>
      <c r="BL275" s="1866"/>
      <c r="BM275" s="1866"/>
      <c r="BN275" s="1866"/>
      <c r="BO275" s="1866"/>
      <c r="BP275" s="1866"/>
      <c r="BQ275" s="1866"/>
      <c r="BR275" s="1866"/>
      <c r="BS275" s="1866"/>
      <c r="BT275" s="1866"/>
      <c r="BU275" s="1866"/>
      <c r="BV275" s="1866"/>
      <c r="BW275" s="1866"/>
      <c r="BX275" s="1866"/>
      <c r="BY275" s="1866"/>
      <c r="BZ275" s="1866"/>
      <c r="CA275" s="1866"/>
      <c r="CB275" s="1866"/>
      <c r="CC275" s="1866"/>
      <c r="CD275" s="1866"/>
      <c r="CE275" s="1866"/>
      <c r="CF275" s="1866"/>
      <c r="CG275" s="1866"/>
      <c r="CH275" s="1866"/>
      <c r="CI275" s="1866"/>
      <c r="CJ275" s="1866"/>
      <c r="CK275" s="1866"/>
      <c r="CL275" s="1866"/>
      <c r="CM275" s="1866"/>
      <c r="CN275" s="1866"/>
      <c r="CO275" s="1866"/>
      <c r="CP275" s="1866"/>
      <c r="CQ275" s="1866"/>
      <c r="CR275" s="1866"/>
      <c r="CS275" s="1866"/>
      <c r="CT275" s="1866"/>
      <c r="CU275" s="1866"/>
      <c r="CV275" s="1866"/>
      <c r="CW275" s="1866"/>
      <c r="CX275" s="1866"/>
      <c r="CY275" s="1866"/>
      <c r="CZ275" s="1866"/>
      <c r="DA275" s="1866"/>
      <c r="DB275" s="1866"/>
      <c r="DC275" s="1866"/>
      <c r="DD275" s="1866"/>
      <c r="DE275" s="1866"/>
      <c r="DF275" s="1866"/>
      <c r="DG275" s="1866"/>
      <c r="DH275" s="1866"/>
      <c r="DI275" s="1866"/>
      <c r="DJ275" s="1866"/>
      <c r="DK275" s="1866"/>
      <c r="DL275" s="1866"/>
      <c r="DM275" s="1866"/>
      <c r="DN275" s="1866"/>
      <c r="DO275" s="1866"/>
      <c r="DP275" s="1866"/>
      <c r="DQ275" s="1866"/>
      <c r="DR275" s="1866"/>
      <c r="DS275" s="1866"/>
      <c r="DT275" s="1866"/>
      <c r="DU275" s="1866"/>
      <c r="DV275" s="1866"/>
      <c r="DW275" s="1866"/>
      <c r="DX275" s="1866"/>
      <c r="DY275" s="1866"/>
      <c r="DZ275" s="1866"/>
      <c r="EA275" s="1866"/>
      <c r="EB275" s="1866"/>
      <c r="EC275" s="1866"/>
      <c r="ED275" s="1866"/>
      <c r="EE275" s="1866"/>
      <c r="EF275" s="1866"/>
      <c r="EG275" s="1866"/>
      <c r="EH275" s="1866"/>
      <c r="EI275" s="1866"/>
      <c r="EJ275" s="1866"/>
      <c r="EK275" s="1866"/>
      <c r="EL275" s="1866"/>
      <c r="EM275" s="1866"/>
      <c r="EN275" s="1866"/>
      <c r="EO275" s="1866"/>
      <c r="EP275" s="1866"/>
      <c r="EQ275" s="1866"/>
      <c r="ER275" s="1866"/>
      <c r="ES275" s="1866"/>
      <c r="ET275" s="1866"/>
      <c r="EU275" s="1866"/>
      <c r="EV275" s="1866"/>
      <c r="EW275" s="1866"/>
      <c r="EX275" s="1866"/>
      <c r="EY275" s="1866"/>
      <c r="EZ275" s="1866"/>
      <c r="FA275" s="1866"/>
      <c r="FB275" s="1866"/>
      <c r="FC275" s="1866"/>
      <c r="FD275" s="1866"/>
      <c r="FE275" s="1866"/>
      <c r="FF275" s="1866"/>
      <c r="FG275" s="1866"/>
      <c r="FH275" s="1866"/>
      <c r="FI275" s="1866"/>
      <c r="FJ275" s="1866"/>
      <c r="FK275" s="1866"/>
      <c r="FL275" s="1866"/>
      <c r="FM275" s="1866"/>
      <c r="FN275" s="1866"/>
      <c r="FO275" s="1866"/>
      <c r="FP275" s="1866"/>
      <c r="FQ275" s="1866"/>
      <c r="FR275" s="1866"/>
      <c r="FS275" s="1866"/>
      <c r="FT275" s="1866"/>
      <c r="FU275" s="1866"/>
      <c r="FV275" s="1866"/>
      <c r="FW275" s="1866"/>
      <c r="FX275" s="1866"/>
      <c r="FY275" s="1866"/>
      <c r="FZ275" s="1866"/>
      <c r="GA275" s="1866"/>
      <c r="GB275" s="1866"/>
      <c r="GC275" s="1866"/>
      <c r="GD275" s="1866"/>
      <c r="GE275" s="1866"/>
      <c r="GF275" s="1866"/>
      <c r="GG275" s="1866"/>
      <c r="GH275" s="1866"/>
      <c r="GI275" s="1866"/>
      <c r="GJ275" s="1866"/>
      <c r="GK275" s="1866"/>
      <c r="GL275" s="1866"/>
      <c r="GM275" s="1866"/>
      <c r="GN275" s="1866"/>
      <c r="GO275" s="1866"/>
      <c r="GP275" s="1866"/>
      <c r="GQ275" s="1866"/>
      <c r="GR275" s="1866"/>
      <c r="GS275" s="1866"/>
      <c r="GT275" s="1866"/>
      <c r="GU275" s="1866"/>
      <c r="GV275" s="1866"/>
      <c r="GW275" s="1866"/>
      <c r="GX275" s="1866"/>
      <c r="GY275" s="1866"/>
      <c r="GZ275" s="1866"/>
      <c r="HA275" s="1866"/>
      <c r="HB275" s="1866"/>
      <c r="HC275" s="1866"/>
      <c r="HD275" s="1866"/>
      <c r="HE275" s="1866"/>
    </row>
    <row r="276" spans="1:213" ht="15" customHeight="1" x14ac:dyDescent="0.2">
      <c r="A276" s="1995"/>
      <c r="B276" s="2011"/>
      <c r="C276" s="1705" t="s">
        <v>2009</v>
      </c>
      <c r="D276" s="1882"/>
      <c r="E276" s="1997"/>
      <c r="F276" s="1838">
        <v>0</v>
      </c>
      <c r="G276" s="1804">
        <v>0</v>
      </c>
      <c r="H276" s="1804">
        <v>0</v>
      </c>
      <c r="I276" s="1804">
        <v>0</v>
      </c>
      <c r="J276" s="1804">
        <v>0</v>
      </c>
      <c r="K276" s="1804">
        <v>0</v>
      </c>
      <c r="L276" s="1804">
        <v>0</v>
      </c>
      <c r="M276" s="1804">
        <v>0</v>
      </c>
      <c r="N276" s="1804">
        <v>0</v>
      </c>
      <c r="O276" s="1804">
        <v>0</v>
      </c>
      <c r="P276" s="1804">
        <v>0</v>
      </c>
      <c r="Q276" s="1804">
        <v>0</v>
      </c>
      <c r="R276" s="1804">
        <v>0</v>
      </c>
      <c r="S276" s="1804">
        <v>0</v>
      </c>
      <c r="T276" s="1804">
        <v>0</v>
      </c>
      <c r="U276" s="1804">
        <v>0</v>
      </c>
      <c r="V276" s="1804">
        <v>0</v>
      </c>
      <c r="W276" s="1804">
        <v>0</v>
      </c>
      <c r="X276" s="1804">
        <v>0</v>
      </c>
      <c r="Y276" s="1804">
        <v>0</v>
      </c>
      <c r="Z276" s="1804">
        <v>0</v>
      </c>
      <c r="AA276" s="1804">
        <v>0</v>
      </c>
      <c r="AB276" s="1804">
        <v>0</v>
      </c>
      <c r="AC276" s="1804">
        <v>0</v>
      </c>
      <c r="AD276" s="1804">
        <v>0</v>
      </c>
      <c r="AE276" s="1804">
        <v>0</v>
      </c>
      <c r="AF276" s="1804">
        <v>0</v>
      </c>
      <c r="AG276" s="1804">
        <v>0</v>
      </c>
      <c r="AH276" s="1804">
        <v>0</v>
      </c>
      <c r="AI276" s="1804">
        <v>0</v>
      </c>
      <c r="AJ276" s="1804">
        <v>0</v>
      </c>
      <c r="AK276" s="1804">
        <v>0</v>
      </c>
      <c r="AL276" s="1804">
        <v>0</v>
      </c>
      <c r="AM276" s="1804">
        <v>0</v>
      </c>
      <c r="AN276" s="1804">
        <v>0</v>
      </c>
      <c r="AO276" s="1804">
        <v>0</v>
      </c>
      <c r="AP276" s="1804">
        <v>0</v>
      </c>
      <c r="AQ276" s="1804">
        <v>0</v>
      </c>
      <c r="AR276" s="1804">
        <v>0</v>
      </c>
      <c r="AS276" s="1804">
        <v>0</v>
      </c>
      <c r="AT276" s="1804">
        <v>0</v>
      </c>
      <c r="AU276" s="1804">
        <v>0</v>
      </c>
      <c r="AV276" s="1804">
        <v>0</v>
      </c>
      <c r="AW276" s="1804">
        <v>0</v>
      </c>
      <c r="AX276" s="1804">
        <v>0</v>
      </c>
      <c r="AY276" s="1804">
        <v>0</v>
      </c>
      <c r="AZ276" s="1804">
        <v>0</v>
      </c>
      <c r="BA276" s="1804">
        <v>0</v>
      </c>
      <c r="BB276" s="1804">
        <v>0</v>
      </c>
      <c r="BC276" s="1804">
        <v>0</v>
      </c>
      <c r="BD276" s="1804">
        <v>0</v>
      </c>
      <c r="BE276" s="1804">
        <v>0</v>
      </c>
      <c r="BF276" s="1804">
        <v>0</v>
      </c>
      <c r="BG276" s="1804">
        <v>0</v>
      </c>
      <c r="BH276" s="1804">
        <v>0</v>
      </c>
      <c r="BI276" s="1804">
        <v>0</v>
      </c>
      <c r="BJ276" s="1804">
        <v>0</v>
      </c>
      <c r="BK276" s="1804">
        <v>0</v>
      </c>
      <c r="BL276" s="1804">
        <v>0</v>
      </c>
      <c r="BM276" s="1804">
        <v>0</v>
      </c>
      <c r="BN276" s="1804">
        <v>0</v>
      </c>
      <c r="BO276" s="1804">
        <v>0</v>
      </c>
      <c r="BP276" s="1804">
        <v>0</v>
      </c>
      <c r="BQ276" s="1804">
        <v>0</v>
      </c>
      <c r="BR276" s="1804">
        <v>0</v>
      </c>
      <c r="BS276" s="1804">
        <v>0</v>
      </c>
      <c r="BT276" s="1804">
        <v>0</v>
      </c>
      <c r="BU276" s="1804">
        <v>0</v>
      </c>
      <c r="BV276" s="1804">
        <v>0</v>
      </c>
      <c r="BW276" s="1804">
        <v>0</v>
      </c>
      <c r="BX276" s="1804">
        <v>0</v>
      </c>
      <c r="BY276" s="1804">
        <v>0</v>
      </c>
      <c r="BZ276" s="1804">
        <v>0</v>
      </c>
      <c r="CA276" s="1804">
        <v>0</v>
      </c>
      <c r="CB276" s="1804">
        <v>0</v>
      </c>
      <c r="CC276" s="1804">
        <v>0</v>
      </c>
      <c r="CD276" s="1804">
        <v>0</v>
      </c>
      <c r="CE276" s="1804">
        <v>0</v>
      </c>
      <c r="CF276" s="1804">
        <v>0</v>
      </c>
      <c r="CG276" s="1804">
        <v>0</v>
      </c>
      <c r="CH276" s="1804">
        <v>0</v>
      </c>
      <c r="CI276" s="1804">
        <v>0</v>
      </c>
      <c r="CJ276" s="1804">
        <v>0</v>
      </c>
      <c r="CK276" s="1804">
        <v>0</v>
      </c>
      <c r="CL276" s="1804">
        <v>0</v>
      </c>
      <c r="CM276" s="1804">
        <v>0</v>
      </c>
      <c r="CN276" s="1804">
        <v>0</v>
      </c>
      <c r="CO276" s="1804">
        <v>0</v>
      </c>
      <c r="CP276" s="1804">
        <v>0</v>
      </c>
      <c r="CQ276" s="1804">
        <v>0</v>
      </c>
      <c r="CR276" s="1804">
        <v>0</v>
      </c>
      <c r="CS276" s="1804">
        <v>0</v>
      </c>
      <c r="CT276" s="1804">
        <v>0</v>
      </c>
      <c r="CU276" s="1804">
        <v>0</v>
      </c>
      <c r="CV276" s="1804">
        <v>0</v>
      </c>
      <c r="CW276" s="1804">
        <v>0</v>
      </c>
      <c r="CX276" s="1804">
        <v>0</v>
      </c>
      <c r="CY276" s="1804">
        <v>0</v>
      </c>
      <c r="CZ276" s="1804">
        <v>0</v>
      </c>
      <c r="DA276" s="1804">
        <v>0</v>
      </c>
      <c r="DB276" s="1804">
        <v>0</v>
      </c>
      <c r="DC276" s="1804">
        <v>0</v>
      </c>
      <c r="DD276" s="1804">
        <v>0</v>
      </c>
      <c r="DE276" s="1804">
        <v>0</v>
      </c>
      <c r="DF276" s="1804">
        <v>0</v>
      </c>
      <c r="DG276" s="1804">
        <v>0</v>
      </c>
      <c r="DH276" s="1804">
        <v>0</v>
      </c>
      <c r="DI276" s="1804">
        <v>0</v>
      </c>
      <c r="DJ276" s="1804">
        <v>0</v>
      </c>
      <c r="DK276" s="1804">
        <v>0</v>
      </c>
      <c r="DL276" s="1804">
        <v>0</v>
      </c>
      <c r="DM276" s="1804">
        <v>0</v>
      </c>
      <c r="DN276" s="1804">
        <v>0</v>
      </c>
      <c r="DO276" s="1804">
        <v>0</v>
      </c>
      <c r="DP276" s="1804">
        <v>0</v>
      </c>
      <c r="DQ276" s="1804">
        <v>0</v>
      </c>
      <c r="DR276" s="1804">
        <v>0</v>
      </c>
      <c r="DS276" s="1804">
        <v>0</v>
      </c>
      <c r="DT276" s="1804">
        <v>0</v>
      </c>
      <c r="DU276" s="1804">
        <v>0</v>
      </c>
      <c r="DV276" s="1804">
        <v>0</v>
      </c>
      <c r="DW276" s="1804">
        <v>0</v>
      </c>
      <c r="DX276" s="1804">
        <v>0</v>
      </c>
      <c r="DY276" s="1804">
        <v>0</v>
      </c>
      <c r="DZ276" s="1804">
        <v>0</v>
      </c>
      <c r="EA276" s="1804">
        <v>0</v>
      </c>
      <c r="EB276" s="1804">
        <v>0</v>
      </c>
      <c r="EC276" s="1804">
        <v>0</v>
      </c>
      <c r="ED276" s="1804">
        <v>0</v>
      </c>
      <c r="EE276" s="1804">
        <v>0</v>
      </c>
      <c r="EF276" s="1804">
        <v>0</v>
      </c>
      <c r="EG276" s="1804">
        <v>0</v>
      </c>
      <c r="EH276" s="1804">
        <v>0</v>
      </c>
      <c r="EI276" s="1804">
        <v>0</v>
      </c>
      <c r="EJ276" s="1804">
        <v>0</v>
      </c>
      <c r="EK276" s="1804">
        <v>0</v>
      </c>
      <c r="EL276" s="1804">
        <v>0</v>
      </c>
      <c r="EM276" s="1804">
        <v>0</v>
      </c>
      <c r="EN276" s="1804">
        <v>0</v>
      </c>
      <c r="EO276" s="1804">
        <v>0</v>
      </c>
      <c r="EP276" s="1804">
        <v>0</v>
      </c>
      <c r="EQ276" s="1804">
        <v>0</v>
      </c>
      <c r="ER276" s="1804">
        <v>0</v>
      </c>
      <c r="ES276" s="1804">
        <v>0</v>
      </c>
      <c r="ET276" s="1804">
        <v>0</v>
      </c>
      <c r="EU276" s="1804">
        <v>0</v>
      </c>
      <c r="EV276" s="1804">
        <v>0</v>
      </c>
      <c r="EW276" s="1804">
        <v>0</v>
      </c>
      <c r="EX276" s="1804">
        <v>0</v>
      </c>
      <c r="EY276" s="1804">
        <v>0</v>
      </c>
      <c r="EZ276" s="1804">
        <v>0</v>
      </c>
      <c r="FA276" s="1804">
        <v>0</v>
      </c>
      <c r="FB276" s="1804">
        <v>0</v>
      </c>
      <c r="FC276" s="1804">
        <v>0</v>
      </c>
      <c r="FD276" s="1804">
        <v>0</v>
      </c>
      <c r="FE276" s="1804">
        <v>0</v>
      </c>
      <c r="FF276" s="1804">
        <v>0</v>
      </c>
      <c r="FG276" s="1804">
        <v>0</v>
      </c>
      <c r="FH276" s="1804">
        <v>0</v>
      </c>
      <c r="FI276" s="1804">
        <v>0</v>
      </c>
      <c r="FJ276" s="1804">
        <v>0</v>
      </c>
      <c r="FK276" s="1804">
        <v>0</v>
      </c>
      <c r="FL276" s="1804">
        <v>0</v>
      </c>
      <c r="FM276" s="1804">
        <v>0</v>
      </c>
      <c r="FN276" s="1804">
        <v>0</v>
      </c>
      <c r="FO276" s="1804">
        <v>0</v>
      </c>
      <c r="FP276" s="1804">
        <v>0</v>
      </c>
      <c r="FQ276" s="1804">
        <v>0</v>
      </c>
      <c r="FR276" s="1804">
        <v>0</v>
      </c>
      <c r="FS276" s="1804">
        <v>0</v>
      </c>
      <c r="FT276" s="1804">
        <v>0</v>
      </c>
      <c r="FU276" s="1804">
        <v>0</v>
      </c>
      <c r="FV276" s="1804">
        <v>0</v>
      </c>
      <c r="FW276" s="1804">
        <v>0</v>
      </c>
      <c r="FX276" s="1804">
        <v>0</v>
      </c>
      <c r="FY276" s="1804">
        <v>0</v>
      </c>
      <c r="FZ276" s="1804">
        <v>0</v>
      </c>
      <c r="GA276" s="1804">
        <v>0</v>
      </c>
      <c r="GB276" s="1804">
        <v>0</v>
      </c>
      <c r="GC276" s="1804">
        <v>0</v>
      </c>
      <c r="GD276" s="1804">
        <v>0</v>
      </c>
      <c r="GE276" s="1804">
        <v>0</v>
      </c>
      <c r="GF276" s="1804">
        <v>0</v>
      </c>
      <c r="GG276" s="1804">
        <v>0</v>
      </c>
      <c r="GH276" s="1804">
        <v>0</v>
      </c>
      <c r="GI276" s="1804">
        <v>0</v>
      </c>
      <c r="GJ276" s="1804">
        <v>0</v>
      </c>
      <c r="GK276" s="1804">
        <v>0</v>
      </c>
      <c r="GL276" s="1804">
        <v>0</v>
      </c>
      <c r="GM276" s="1804">
        <v>0</v>
      </c>
      <c r="GN276" s="1804">
        <v>0</v>
      </c>
      <c r="GO276" s="1804">
        <v>0</v>
      </c>
      <c r="GP276" s="1804">
        <v>0</v>
      </c>
      <c r="GQ276" s="1804">
        <v>0</v>
      </c>
      <c r="GR276" s="1804">
        <v>0</v>
      </c>
      <c r="GS276" s="1804">
        <v>0</v>
      </c>
      <c r="GT276" s="1804">
        <v>0</v>
      </c>
      <c r="GU276" s="1804">
        <v>0</v>
      </c>
      <c r="GV276" s="1804">
        <v>0</v>
      </c>
      <c r="GW276" s="1804">
        <v>0</v>
      </c>
      <c r="GX276" s="1804">
        <v>0</v>
      </c>
      <c r="GY276" s="1804">
        <v>0</v>
      </c>
      <c r="GZ276" s="1804">
        <v>0</v>
      </c>
      <c r="HA276" s="1804">
        <v>0</v>
      </c>
      <c r="HB276" s="1804">
        <v>0</v>
      </c>
      <c r="HC276" s="1804">
        <v>0</v>
      </c>
      <c r="HD276" s="1804">
        <v>0</v>
      </c>
      <c r="HE276" s="1804">
        <v>0</v>
      </c>
    </row>
    <row r="277" spans="1:213" ht="15" customHeight="1" x14ac:dyDescent="0.2">
      <c r="A277" s="1995"/>
      <c r="B277" s="2011"/>
      <c r="C277" s="1818" t="s">
        <v>826</v>
      </c>
      <c r="D277" s="1882"/>
      <c r="E277" s="1997"/>
      <c r="F277" s="1838">
        <v>0</v>
      </c>
      <c r="G277" s="1804">
        <v>0</v>
      </c>
      <c r="H277" s="1804">
        <v>0</v>
      </c>
      <c r="I277" s="1804">
        <v>0</v>
      </c>
      <c r="J277" s="1804">
        <v>0</v>
      </c>
      <c r="K277" s="1804">
        <v>0</v>
      </c>
      <c r="L277" s="1804">
        <v>0</v>
      </c>
      <c r="M277" s="1804">
        <v>0</v>
      </c>
      <c r="N277" s="1804">
        <v>0</v>
      </c>
      <c r="O277" s="1804">
        <v>0</v>
      </c>
      <c r="P277" s="1804">
        <v>0</v>
      </c>
      <c r="Q277" s="1804">
        <v>0</v>
      </c>
      <c r="R277" s="1804">
        <v>0</v>
      </c>
      <c r="S277" s="1804">
        <v>0</v>
      </c>
      <c r="T277" s="1804">
        <v>0</v>
      </c>
      <c r="U277" s="1804">
        <v>0</v>
      </c>
      <c r="V277" s="1804">
        <v>0</v>
      </c>
      <c r="W277" s="1804">
        <v>0</v>
      </c>
      <c r="X277" s="1804">
        <v>0</v>
      </c>
      <c r="Y277" s="1804">
        <v>0</v>
      </c>
      <c r="Z277" s="1804">
        <v>0</v>
      </c>
      <c r="AA277" s="1804">
        <v>0</v>
      </c>
      <c r="AB277" s="1804">
        <v>0</v>
      </c>
      <c r="AC277" s="1804">
        <v>0</v>
      </c>
      <c r="AD277" s="1804">
        <v>0</v>
      </c>
      <c r="AE277" s="1804">
        <v>0</v>
      </c>
      <c r="AF277" s="1804">
        <v>0</v>
      </c>
      <c r="AG277" s="1804">
        <v>0</v>
      </c>
      <c r="AH277" s="1804">
        <v>0</v>
      </c>
      <c r="AI277" s="1804">
        <v>0</v>
      </c>
      <c r="AJ277" s="1804">
        <v>0</v>
      </c>
      <c r="AK277" s="1804">
        <v>0</v>
      </c>
      <c r="AL277" s="1804">
        <v>0</v>
      </c>
      <c r="AM277" s="1804">
        <v>0</v>
      </c>
      <c r="AN277" s="1804">
        <v>0</v>
      </c>
      <c r="AO277" s="1804">
        <v>0</v>
      </c>
      <c r="AP277" s="1804">
        <v>0</v>
      </c>
      <c r="AQ277" s="1804">
        <v>0</v>
      </c>
      <c r="AR277" s="1804">
        <v>0</v>
      </c>
      <c r="AS277" s="1804">
        <v>0</v>
      </c>
      <c r="AT277" s="1804">
        <v>0</v>
      </c>
      <c r="AU277" s="1804">
        <v>0</v>
      </c>
      <c r="AV277" s="1804">
        <v>0</v>
      </c>
      <c r="AW277" s="1804">
        <v>0</v>
      </c>
      <c r="AX277" s="1804">
        <v>0</v>
      </c>
      <c r="AY277" s="1804">
        <v>0</v>
      </c>
      <c r="AZ277" s="1804">
        <v>0</v>
      </c>
      <c r="BA277" s="1804">
        <v>0</v>
      </c>
      <c r="BB277" s="1804">
        <v>0</v>
      </c>
      <c r="BC277" s="1804">
        <v>0</v>
      </c>
      <c r="BD277" s="1804">
        <v>0</v>
      </c>
      <c r="BE277" s="1804">
        <v>0</v>
      </c>
      <c r="BF277" s="1804">
        <v>0</v>
      </c>
      <c r="BG277" s="1804">
        <v>0</v>
      </c>
      <c r="BH277" s="1804">
        <v>0</v>
      </c>
      <c r="BI277" s="1804">
        <v>0</v>
      </c>
      <c r="BJ277" s="1804">
        <v>0</v>
      </c>
      <c r="BK277" s="1804">
        <v>0</v>
      </c>
      <c r="BL277" s="1804">
        <v>0</v>
      </c>
      <c r="BM277" s="1804">
        <v>0</v>
      </c>
      <c r="BN277" s="1804">
        <v>0</v>
      </c>
      <c r="BO277" s="1804">
        <v>0</v>
      </c>
      <c r="BP277" s="1804">
        <v>0</v>
      </c>
      <c r="BQ277" s="1804">
        <v>0</v>
      </c>
      <c r="BR277" s="1804">
        <v>0</v>
      </c>
      <c r="BS277" s="1804">
        <v>0</v>
      </c>
      <c r="BT277" s="1804">
        <v>0</v>
      </c>
      <c r="BU277" s="1804">
        <v>0</v>
      </c>
      <c r="BV277" s="1804">
        <v>0</v>
      </c>
      <c r="BW277" s="1804">
        <v>0</v>
      </c>
      <c r="BX277" s="1804">
        <v>0</v>
      </c>
      <c r="BY277" s="1804">
        <v>0</v>
      </c>
      <c r="BZ277" s="1804">
        <v>0</v>
      </c>
      <c r="CA277" s="1804">
        <v>0</v>
      </c>
      <c r="CB277" s="1804">
        <v>0</v>
      </c>
      <c r="CC277" s="1804">
        <v>0</v>
      </c>
      <c r="CD277" s="1804">
        <v>0</v>
      </c>
      <c r="CE277" s="1804">
        <v>0</v>
      </c>
      <c r="CF277" s="1804">
        <v>0</v>
      </c>
      <c r="CG277" s="1804">
        <v>0</v>
      </c>
      <c r="CH277" s="1804">
        <v>0</v>
      </c>
      <c r="CI277" s="1804">
        <v>0</v>
      </c>
      <c r="CJ277" s="1804">
        <v>0</v>
      </c>
      <c r="CK277" s="1804">
        <v>0</v>
      </c>
      <c r="CL277" s="1804">
        <v>0</v>
      </c>
      <c r="CM277" s="1804">
        <v>0</v>
      </c>
      <c r="CN277" s="1804">
        <v>0</v>
      </c>
      <c r="CO277" s="1804">
        <v>0</v>
      </c>
      <c r="CP277" s="1804">
        <v>0</v>
      </c>
      <c r="CQ277" s="1804">
        <v>0</v>
      </c>
      <c r="CR277" s="1804">
        <v>0</v>
      </c>
      <c r="CS277" s="1804">
        <v>0</v>
      </c>
      <c r="CT277" s="1804">
        <v>0</v>
      </c>
      <c r="CU277" s="1804">
        <v>0</v>
      </c>
      <c r="CV277" s="1804">
        <v>0</v>
      </c>
      <c r="CW277" s="1804">
        <v>0</v>
      </c>
      <c r="CX277" s="1804">
        <v>0</v>
      </c>
      <c r="CY277" s="1804">
        <v>0</v>
      </c>
      <c r="CZ277" s="1804">
        <v>0</v>
      </c>
      <c r="DA277" s="1804">
        <v>0</v>
      </c>
      <c r="DB277" s="1804">
        <v>0</v>
      </c>
      <c r="DC277" s="1804">
        <v>0</v>
      </c>
      <c r="DD277" s="1804">
        <v>0</v>
      </c>
      <c r="DE277" s="1804">
        <v>0</v>
      </c>
      <c r="DF277" s="1804">
        <v>0</v>
      </c>
      <c r="DG277" s="1804">
        <v>0</v>
      </c>
      <c r="DH277" s="1804">
        <v>0</v>
      </c>
      <c r="DI277" s="1804">
        <v>0</v>
      </c>
      <c r="DJ277" s="1804">
        <v>0</v>
      </c>
      <c r="DK277" s="1804">
        <v>0</v>
      </c>
      <c r="DL277" s="1804">
        <v>0</v>
      </c>
      <c r="DM277" s="1804">
        <v>0</v>
      </c>
      <c r="DN277" s="1804">
        <v>0</v>
      </c>
      <c r="DO277" s="1804">
        <v>0</v>
      </c>
      <c r="DP277" s="1804">
        <v>0</v>
      </c>
      <c r="DQ277" s="1804">
        <v>0</v>
      </c>
      <c r="DR277" s="1804">
        <v>0</v>
      </c>
      <c r="DS277" s="1804">
        <v>0</v>
      </c>
      <c r="DT277" s="1804">
        <v>0</v>
      </c>
      <c r="DU277" s="1804">
        <v>0</v>
      </c>
      <c r="DV277" s="1804">
        <v>0</v>
      </c>
      <c r="DW277" s="1804">
        <v>0</v>
      </c>
      <c r="DX277" s="1804">
        <v>0</v>
      </c>
      <c r="DY277" s="1804">
        <v>0</v>
      </c>
      <c r="DZ277" s="1804">
        <v>0</v>
      </c>
      <c r="EA277" s="1804">
        <v>0</v>
      </c>
      <c r="EB277" s="1804">
        <v>0</v>
      </c>
      <c r="EC277" s="1804">
        <v>0</v>
      </c>
      <c r="ED277" s="1804">
        <v>0</v>
      </c>
      <c r="EE277" s="1804">
        <v>0</v>
      </c>
      <c r="EF277" s="1804">
        <v>0</v>
      </c>
      <c r="EG277" s="1804">
        <v>0</v>
      </c>
      <c r="EH277" s="1804">
        <v>0</v>
      </c>
      <c r="EI277" s="1804">
        <v>0</v>
      </c>
      <c r="EJ277" s="1804">
        <v>0</v>
      </c>
      <c r="EK277" s="1804">
        <v>0</v>
      </c>
      <c r="EL277" s="1804">
        <v>0</v>
      </c>
      <c r="EM277" s="1804">
        <v>0</v>
      </c>
      <c r="EN277" s="1804">
        <v>0</v>
      </c>
      <c r="EO277" s="1804">
        <v>0</v>
      </c>
      <c r="EP277" s="1804">
        <v>0</v>
      </c>
      <c r="EQ277" s="1804">
        <v>0</v>
      </c>
      <c r="ER277" s="1804">
        <v>0</v>
      </c>
      <c r="ES277" s="1804">
        <v>0</v>
      </c>
      <c r="ET277" s="1804">
        <v>0</v>
      </c>
      <c r="EU277" s="1804">
        <v>0</v>
      </c>
      <c r="EV277" s="1804">
        <v>0</v>
      </c>
      <c r="EW277" s="1804">
        <v>0</v>
      </c>
      <c r="EX277" s="1804">
        <v>0</v>
      </c>
      <c r="EY277" s="1804">
        <v>0</v>
      </c>
      <c r="EZ277" s="1804">
        <v>0</v>
      </c>
      <c r="FA277" s="1804">
        <v>0</v>
      </c>
      <c r="FB277" s="1804">
        <v>0</v>
      </c>
      <c r="FC277" s="1804">
        <v>0</v>
      </c>
      <c r="FD277" s="1804">
        <v>0</v>
      </c>
      <c r="FE277" s="1804">
        <v>0</v>
      </c>
      <c r="FF277" s="1804">
        <v>0</v>
      </c>
      <c r="FG277" s="1804">
        <v>0</v>
      </c>
      <c r="FH277" s="1804">
        <v>0</v>
      </c>
      <c r="FI277" s="1804">
        <v>0</v>
      </c>
      <c r="FJ277" s="1804">
        <v>0</v>
      </c>
      <c r="FK277" s="1804">
        <v>0</v>
      </c>
      <c r="FL277" s="1804">
        <v>0</v>
      </c>
      <c r="FM277" s="1804">
        <v>0</v>
      </c>
      <c r="FN277" s="1804">
        <v>0</v>
      </c>
      <c r="FO277" s="1804">
        <v>0</v>
      </c>
      <c r="FP277" s="1804">
        <v>0</v>
      </c>
      <c r="FQ277" s="1804">
        <v>0</v>
      </c>
      <c r="FR277" s="1804">
        <v>0</v>
      </c>
      <c r="FS277" s="1804">
        <v>0</v>
      </c>
      <c r="FT277" s="1804">
        <v>0</v>
      </c>
      <c r="FU277" s="1804">
        <v>0</v>
      </c>
      <c r="FV277" s="1804">
        <v>0</v>
      </c>
      <c r="FW277" s="1804">
        <v>0</v>
      </c>
      <c r="FX277" s="1804">
        <v>0</v>
      </c>
      <c r="FY277" s="1804">
        <v>0</v>
      </c>
      <c r="FZ277" s="1804">
        <v>0</v>
      </c>
      <c r="GA277" s="1804">
        <v>0</v>
      </c>
      <c r="GB277" s="1804">
        <v>0</v>
      </c>
      <c r="GC277" s="1804">
        <v>0</v>
      </c>
      <c r="GD277" s="1804">
        <v>0</v>
      </c>
      <c r="GE277" s="1804">
        <v>0</v>
      </c>
      <c r="GF277" s="1804">
        <v>0</v>
      </c>
      <c r="GG277" s="1804">
        <v>0</v>
      </c>
      <c r="GH277" s="1804">
        <v>0</v>
      </c>
      <c r="GI277" s="1804">
        <v>0</v>
      </c>
      <c r="GJ277" s="1804">
        <v>0</v>
      </c>
      <c r="GK277" s="1804">
        <v>0</v>
      </c>
      <c r="GL277" s="1804">
        <v>0</v>
      </c>
      <c r="GM277" s="1804">
        <v>0</v>
      </c>
      <c r="GN277" s="1804">
        <v>0</v>
      </c>
      <c r="GO277" s="1804">
        <v>0</v>
      </c>
      <c r="GP277" s="1804">
        <v>0</v>
      </c>
      <c r="GQ277" s="1804">
        <v>0</v>
      </c>
      <c r="GR277" s="1804">
        <v>0</v>
      </c>
      <c r="GS277" s="1804">
        <v>0</v>
      </c>
      <c r="GT277" s="1804">
        <v>0</v>
      </c>
      <c r="GU277" s="1804">
        <v>0</v>
      </c>
      <c r="GV277" s="1804">
        <v>0</v>
      </c>
      <c r="GW277" s="1804">
        <v>0</v>
      </c>
      <c r="GX277" s="1804">
        <v>0</v>
      </c>
      <c r="GY277" s="1804">
        <v>0</v>
      </c>
      <c r="GZ277" s="1804">
        <v>0</v>
      </c>
      <c r="HA277" s="1804">
        <v>0</v>
      </c>
      <c r="HB277" s="1804">
        <v>0</v>
      </c>
      <c r="HC277" s="1804">
        <v>0</v>
      </c>
      <c r="HD277" s="1804">
        <v>0</v>
      </c>
      <c r="HE277" s="1804">
        <v>0</v>
      </c>
    </row>
    <row r="278" spans="1:213" ht="15" customHeight="1" x14ac:dyDescent="0.2">
      <c r="A278" s="1995"/>
      <c r="B278" s="2011"/>
      <c r="C278" s="1818" t="s">
        <v>633</v>
      </c>
      <c r="D278" s="1881"/>
      <c r="E278" s="1997"/>
      <c r="F278" s="1838">
        <v>0</v>
      </c>
      <c r="G278" s="1804">
        <v>0</v>
      </c>
      <c r="H278" s="1804">
        <v>0</v>
      </c>
      <c r="I278" s="1804">
        <v>0</v>
      </c>
      <c r="J278" s="1804">
        <v>0</v>
      </c>
      <c r="K278" s="1804">
        <v>0</v>
      </c>
      <c r="L278" s="1804">
        <v>0</v>
      </c>
      <c r="M278" s="1804">
        <v>0</v>
      </c>
      <c r="N278" s="1804">
        <v>0</v>
      </c>
      <c r="O278" s="1804">
        <v>0</v>
      </c>
      <c r="P278" s="1804">
        <v>0</v>
      </c>
      <c r="Q278" s="1804">
        <v>0</v>
      </c>
      <c r="R278" s="1804">
        <v>0</v>
      </c>
      <c r="S278" s="1804">
        <v>0</v>
      </c>
      <c r="T278" s="1804">
        <v>0</v>
      </c>
      <c r="U278" s="1804">
        <v>0</v>
      </c>
      <c r="V278" s="1804">
        <v>0</v>
      </c>
      <c r="W278" s="1804">
        <v>0</v>
      </c>
      <c r="X278" s="1804">
        <v>0</v>
      </c>
      <c r="Y278" s="1804">
        <v>0</v>
      </c>
      <c r="Z278" s="1804">
        <v>0</v>
      </c>
      <c r="AA278" s="1804">
        <v>0</v>
      </c>
      <c r="AB278" s="1804">
        <v>0</v>
      </c>
      <c r="AC278" s="1804">
        <v>0</v>
      </c>
      <c r="AD278" s="1804">
        <v>0</v>
      </c>
      <c r="AE278" s="1804">
        <v>0</v>
      </c>
      <c r="AF278" s="1804">
        <v>0</v>
      </c>
      <c r="AG278" s="1804">
        <v>0</v>
      </c>
      <c r="AH278" s="1804">
        <v>0</v>
      </c>
      <c r="AI278" s="1804">
        <v>0</v>
      </c>
      <c r="AJ278" s="1804">
        <v>0</v>
      </c>
      <c r="AK278" s="1804">
        <v>0</v>
      </c>
      <c r="AL278" s="1804">
        <v>0</v>
      </c>
      <c r="AM278" s="1804">
        <v>0</v>
      </c>
      <c r="AN278" s="1804">
        <v>0</v>
      </c>
      <c r="AO278" s="1804">
        <v>0</v>
      </c>
      <c r="AP278" s="1804">
        <v>0</v>
      </c>
      <c r="AQ278" s="1804">
        <v>0</v>
      </c>
      <c r="AR278" s="1804">
        <v>0</v>
      </c>
      <c r="AS278" s="1804">
        <v>0</v>
      </c>
      <c r="AT278" s="1804">
        <v>0</v>
      </c>
      <c r="AU278" s="1804">
        <v>0</v>
      </c>
      <c r="AV278" s="1804">
        <v>0</v>
      </c>
      <c r="AW278" s="1804">
        <v>0</v>
      </c>
      <c r="AX278" s="1804">
        <v>0</v>
      </c>
      <c r="AY278" s="1804">
        <v>0</v>
      </c>
      <c r="AZ278" s="1804">
        <v>0</v>
      </c>
      <c r="BA278" s="1804">
        <v>0</v>
      </c>
      <c r="BB278" s="1804">
        <v>0</v>
      </c>
      <c r="BC278" s="1804">
        <v>0</v>
      </c>
      <c r="BD278" s="1804">
        <v>0</v>
      </c>
      <c r="BE278" s="1804">
        <v>0</v>
      </c>
      <c r="BF278" s="1804">
        <v>0</v>
      </c>
      <c r="BG278" s="1804">
        <v>0</v>
      </c>
      <c r="BH278" s="1804">
        <v>0</v>
      </c>
      <c r="BI278" s="1804">
        <v>0</v>
      </c>
      <c r="BJ278" s="1804">
        <v>0</v>
      </c>
      <c r="BK278" s="1804">
        <v>0</v>
      </c>
      <c r="BL278" s="1804">
        <v>0</v>
      </c>
      <c r="BM278" s="1804">
        <v>0</v>
      </c>
      <c r="BN278" s="1804">
        <v>0</v>
      </c>
      <c r="BO278" s="1804">
        <v>0</v>
      </c>
      <c r="BP278" s="1804">
        <v>0</v>
      </c>
      <c r="BQ278" s="1804">
        <v>0</v>
      </c>
      <c r="BR278" s="1804">
        <v>0</v>
      </c>
      <c r="BS278" s="1804">
        <v>0</v>
      </c>
      <c r="BT278" s="1804">
        <v>0</v>
      </c>
      <c r="BU278" s="1804">
        <v>0</v>
      </c>
      <c r="BV278" s="1804">
        <v>0</v>
      </c>
      <c r="BW278" s="1804">
        <v>0</v>
      </c>
      <c r="BX278" s="1804">
        <v>0</v>
      </c>
      <c r="BY278" s="1804">
        <v>0</v>
      </c>
      <c r="BZ278" s="1804">
        <v>0</v>
      </c>
      <c r="CA278" s="1804">
        <v>0</v>
      </c>
      <c r="CB278" s="1804">
        <v>0</v>
      </c>
      <c r="CC278" s="1804">
        <v>0</v>
      </c>
      <c r="CD278" s="1804">
        <v>0</v>
      </c>
      <c r="CE278" s="1804">
        <v>0</v>
      </c>
      <c r="CF278" s="1804">
        <v>0</v>
      </c>
      <c r="CG278" s="1804">
        <v>0</v>
      </c>
      <c r="CH278" s="1804">
        <v>0</v>
      </c>
      <c r="CI278" s="1804">
        <v>0</v>
      </c>
      <c r="CJ278" s="1804">
        <v>0</v>
      </c>
      <c r="CK278" s="1804">
        <v>0</v>
      </c>
      <c r="CL278" s="1804">
        <v>0</v>
      </c>
      <c r="CM278" s="1804">
        <v>0</v>
      </c>
      <c r="CN278" s="1804">
        <v>0</v>
      </c>
      <c r="CO278" s="1804">
        <v>0</v>
      </c>
      <c r="CP278" s="1804">
        <v>0</v>
      </c>
      <c r="CQ278" s="1804">
        <v>0</v>
      </c>
      <c r="CR278" s="1804">
        <v>0</v>
      </c>
      <c r="CS278" s="1804">
        <v>0</v>
      </c>
      <c r="CT278" s="1804">
        <v>0</v>
      </c>
      <c r="CU278" s="1804">
        <v>0</v>
      </c>
      <c r="CV278" s="1804">
        <v>0</v>
      </c>
      <c r="CW278" s="1804">
        <v>0</v>
      </c>
      <c r="CX278" s="1804">
        <v>0</v>
      </c>
      <c r="CY278" s="1804">
        <v>0</v>
      </c>
      <c r="CZ278" s="1804">
        <v>0</v>
      </c>
      <c r="DA278" s="1804">
        <v>0</v>
      </c>
      <c r="DB278" s="1804">
        <v>0</v>
      </c>
      <c r="DC278" s="1804">
        <v>0</v>
      </c>
      <c r="DD278" s="1804">
        <v>0</v>
      </c>
      <c r="DE278" s="1804">
        <v>0</v>
      </c>
      <c r="DF278" s="1804">
        <v>0</v>
      </c>
      <c r="DG278" s="1804">
        <v>0</v>
      </c>
      <c r="DH278" s="1804">
        <v>0</v>
      </c>
      <c r="DI278" s="1804">
        <v>0</v>
      </c>
      <c r="DJ278" s="1804">
        <v>0</v>
      </c>
      <c r="DK278" s="1804">
        <v>0</v>
      </c>
      <c r="DL278" s="1804">
        <v>0</v>
      </c>
      <c r="DM278" s="1804">
        <v>0</v>
      </c>
      <c r="DN278" s="1804">
        <v>0</v>
      </c>
      <c r="DO278" s="1804">
        <v>0</v>
      </c>
      <c r="DP278" s="1804">
        <v>0</v>
      </c>
      <c r="DQ278" s="1804">
        <v>0</v>
      </c>
      <c r="DR278" s="1804">
        <v>0</v>
      </c>
      <c r="DS278" s="1804">
        <v>0</v>
      </c>
      <c r="DT278" s="1804">
        <v>0</v>
      </c>
      <c r="DU278" s="1804">
        <v>0</v>
      </c>
      <c r="DV278" s="1804">
        <v>0</v>
      </c>
      <c r="DW278" s="1804">
        <v>0</v>
      </c>
      <c r="DX278" s="1804">
        <v>0</v>
      </c>
      <c r="DY278" s="1804">
        <v>0</v>
      </c>
      <c r="DZ278" s="1804">
        <v>0</v>
      </c>
      <c r="EA278" s="1804">
        <v>0</v>
      </c>
      <c r="EB278" s="1804">
        <v>0</v>
      </c>
      <c r="EC278" s="1804">
        <v>0</v>
      </c>
      <c r="ED278" s="1804">
        <v>0</v>
      </c>
      <c r="EE278" s="1804">
        <v>0</v>
      </c>
      <c r="EF278" s="1804">
        <v>0</v>
      </c>
      <c r="EG278" s="1804">
        <v>0</v>
      </c>
      <c r="EH278" s="1804">
        <v>0</v>
      </c>
      <c r="EI278" s="1804">
        <v>0</v>
      </c>
      <c r="EJ278" s="1804">
        <v>0</v>
      </c>
      <c r="EK278" s="1804">
        <v>0</v>
      </c>
      <c r="EL278" s="1804">
        <v>0</v>
      </c>
      <c r="EM278" s="1804">
        <v>0</v>
      </c>
      <c r="EN278" s="1804">
        <v>0</v>
      </c>
      <c r="EO278" s="1804">
        <v>0</v>
      </c>
      <c r="EP278" s="1804">
        <v>0</v>
      </c>
      <c r="EQ278" s="1804">
        <v>0</v>
      </c>
      <c r="ER278" s="1804">
        <v>0</v>
      </c>
      <c r="ES278" s="1804">
        <v>0</v>
      </c>
      <c r="ET278" s="1804">
        <v>0</v>
      </c>
      <c r="EU278" s="1804">
        <v>0</v>
      </c>
      <c r="EV278" s="1804">
        <v>0</v>
      </c>
      <c r="EW278" s="1804">
        <v>0</v>
      </c>
      <c r="EX278" s="1804">
        <v>0</v>
      </c>
      <c r="EY278" s="1804">
        <v>0</v>
      </c>
      <c r="EZ278" s="1804">
        <v>0</v>
      </c>
      <c r="FA278" s="1804">
        <v>0</v>
      </c>
      <c r="FB278" s="1804">
        <v>0</v>
      </c>
      <c r="FC278" s="1804">
        <v>0</v>
      </c>
      <c r="FD278" s="1804">
        <v>0</v>
      </c>
      <c r="FE278" s="1804">
        <v>0</v>
      </c>
      <c r="FF278" s="1804">
        <v>0</v>
      </c>
      <c r="FG278" s="1804">
        <v>0</v>
      </c>
      <c r="FH278" s="1804">
        <v>0</v>
      </c>
      <c r="FI278" s="1804">
        <v>0</v>
      </c>
      <c r="FJ278" s="1804">
        <v>0</v>
      </c>
      <c r="FK278" s="1804">
        <v>0</v>
      </c>
      <c r="FL278" s="1804">
        <v>0</v>
      </c>
      <c r="FM278" s="1804">
        <v>0</v>
      </c>
      <c r="FN278" s="1804">
        <v>0</v>
      </c>
      <c r="FO278" s="1804">
        <v>0</v>
      </c>
      <c r="FP278" s="1804">
        <v>0</v>
      </c>
      <c r="FQ278" s="1804">
        <v>0</v>
      </c>
      <c r="FR278" s="1804">
        <v>0</v>
      </c>
      <c r="FS278" s="1804">
        <v>0</v>
      </c>
      <c r="FT278" s="1804">
        <v>0</v>
      </c>
      <c r="FU278" s="1804">
        <v>0</v>
      </c>
      <c r="FV278" s="1804">
        <v>0</v>
      </c>
      <c r="FW278" s="1804">
        <v>0</v>
      </c>
      <c r="FX278" s="1804">
        <v>0</v>
      </c>
      <c r="FY278" s="1804">
        <v>0</v>
      </c>
      <c r="FZ278" s="1804">
        <v>0</v>
      </c>
      <c r="GA278" s="1804">
        <v>0</v>
      </c>
      <c r="GB278" s="1804">
        <v>0</v>
      </c>
      <c r="GC278" s="1804">
        <v>0</v>
      </c>
      <c r="GD278" s="1804">
        <v>0</v>
      </c>
      <c r="GE278" s="1804">
        <v>0</v>
      </c>
      <c r="GF278" s="1804">
        <v>0</v>
      </c>
      <c r="GG278" s="1804">
        <v>0</v>
      </c>
      <c r="GH278" s="1804">
        <v>0</v>
      </c>
      <c r="GI278" s="1804">
        <v>0</v>
      </c>
      <c r="GJ278" s="1804">
        <v>0</v>
      </c>
      <c r="GK278" s="1804">
        <v>0</v>
      </c>
      <c r="GL278" s="1804">
        <v>0</v>
      </c>
      <c r="GM278" s="1804">
        <v>0</v>
      </c>
      <c r="GN278" s="1804">
        <v>0</v>
      </c>
      <c r="GO278" s="1804">
        <v>0</v>
      </c>
      <c r="GP278" s="1804">
        <v>0</v>
      </c>
      <c r="GQ278" s="1804">
        <v>0</v>
      </c>
      <c r="GR278" s="1804">
        <v>0</v>
      </c>
      <c r="GS278" s="1804">
        <v>0</v>
      </c>
      <c r="GT278" s="1804">
        <v>0</v>
      </c>
      <c r="GU278" s="1804">
        <v>0</v>
      </c>
      <c r="GV278" s="1804">
        <v>0</v>
      </c>
      <c r="GW278" s="1804">
        <v>0</v>
      </c>
      <c r="GX278" s="1804">
        <v>0</v>
      </c>
      <c r="GY278" s="1804">
        <v>0</v>
      </c>
      <c r="GZ278" s="1804">
        <v>0</v>
      </c>
      <c r="HA278" s="1804">
        <v>0</v>
      </c>
      <c r="HB278" s="1804">
        <v>0</v>
      </c>
      <c r="HC278" s="1804">
        <v>0</v>
      </c>
      <c r="HD278" s="1804">
        <v>0</v>
      </c>
      <c r="HE278" s="1804">
        <v>0</v>
      </c>
    </row>
    <row r="279" spans="1:213" ht="15" customHeight="1" thickBot="1" x14ac:dyDescent="0.25">
      <c r="A279" s="1950"/>
      <c r="B279" s="2012"/>
      <c r="C279" s="1697" t="s">
        <v>746</v>
      </c>
      <c r="D279" s="1881"/>
      <c r="E279" s="1997"/>
      <c r="F279" s="1838">
        <v>0</v>
      </c>
      <c r="G279" s="1804">
        <v>0</v>
      </c>
      <c r="H279" s="1804">
        <v>0</v>
      </c>
      <c r="I279" s="1804">
        <v>0</v>
      </c>
      <c r="J279" s="1804">
        <v>0</v>
      </c>
      <c r="K279" s="1804">
        <v>0</v>
      </c>
      <c r="L279" s="1804">
        <v>0</v>
      </c>
      <c r="M279" s="1804">
        <v>0</v>
      </c>
      <c r="N279" s="1804">
        <v>0</v>
      </c>
      <c r="O279" s="1804">
        <v>0</v>
      </c>
      <c r="P279" s="1804">
        <v>0</v>
      </c>
      <c r="Q279" s="1804">
        <v>0</v>
      </c>
      <c r="R279" s="1804">
        <v>0</v>
      </c>
      <c r="S279" s="1804">
        <v>0</v>
      </c>
      <c r="T279" s="1804">
        <v>0</v>
      </c>
      <c r="U279" s="1804">
        <v>0</v>
      </c>
      <c r="V279" s="1804">
        <v>0</v>
      </c>
      <c r="W279" s="1804">
        <v>0</v>
      </c>
      <c r="X279" s="1804">
        <v>0</v>
      </c>
      <c r="Y279" s="1804">
        <v>0</v>
      </c>
      <c r="Z279" s="1804">
        <v>0</v>
      </c>
      <c r="AA279" s="1804">
        <v>0</v>
      </c>
      <c r="AB279" s="1804">
        <v>0</v>
      </c>
      <c r="AC279" s="1804">
        <v>0</v>
      </c>
      <c r="AD279" s="1804">
        <v>0</v>
      </c>
      <c r="AE279" s="1804">
        <v>0</v>
      </c>
      <c r="AF279" s="1804">
        <v>0</v>
      </c>
      <c r="AG279" s="1804">
        <v>0</v>
      </c>
      <c r="AH279" s="1804">
        <v>0</v>
      </c>
      <c r="AI279" s="1804">
        <v>0</v>
      </c>
      <c r="AJ279" s="1804">
        <v>0</v>
      </c>
      <c r="AK279" s="1804">
        <v>0</v>
      </c>
      <c r="AL279" s="1804">
        <v>0</v>
      </c>
      <c r="AM279" s="1804">
        <v>0</v>
      </c>
      <c r="AN279" s="1804">
        <v>0</v>
      </c>
      <c r="AO279" s="1804">
        <v>0</v>
      </c>
      <c r="AP279" s="1804">
        <v>0</v>
      </c>
      <c r="AQ279" s="1804">
        <v>0</v>
      </c>
      <c r="AR279" s="1804">
        <v>0</v>
      </c>
      <c r="AS279" s="1804">
        <v>0</v>
      </c>
      <c r="AT279" s="1804">
        <v>0</v>
      </c>
      <c r="AU279" s="1804">
        <v>0</v>
      </c>
      <c r="AV279" s="1804">
        <v>0</v>
      </c>
      <c r="AW279" s="1804">
        <v>0</v>
      </c>
      <c r="AX279" s="1804">
        <v>0</v>
      </c>
      <c r="AY279" s="1804">
        <v>0</v>
      </c>
      <c r="AZ279" s="1804">
        <v>0</v>
      </c>
      <c r="BA279" s="1804">
        <v>0</v>
      </c>
      <c r="BB279" s="1804">
        <v>0</v>
      </c>
      <c r="BC279" s="1804">
        <v>0</v>
      </c>
      <c r="BD279" s="1804">
        <v>0</v>
      </c>
      <c r="BE279" s="1804">
        <v>0</v>
      </c>
      <c r="BF279" s="1804">
        <v>0</v>
      </c>
      <c r="BG279" s="1804">
        <v>0</v>
      </c>
      <c r="BH279" s="1804">
        <v>0</v>
      </c>
      <c r="BI279" s="1804">
        <v>0</v>
      </c>
      <c r="BJ279" s="1804">
        <v>0</v>
      </c>
      <c r="BK279" s="1804">
        <v>0</v>
      </c>
      <c r="BL279" s="1804">
        <v>0</v>
      </c>
      <c r="BM279" s="1804">
        <v>0</v>
      </c>
      <c r="BN279" s="1804">
        <v>0</v>
      </c>
      <c r="BO279" s="1804">
        <v>0</v>
      </c>
      <c r="BP279" s="1804">
        <v>0</v>
      </c>
      <c r="BQ279" s="1804">
        <v>0</v>
      </c>
      <c r="BR279" s="1804">
        <v>0</v>
      </c>
      <c r="BS279" s="1804">
        <v>0</v>
      </c>
      <c r="BT279" s="1804">
        <v>0</v>
      </c>
      <c r="BU279" s="1804">
        <v>0</v>
      </c>
      <c r="BV279" s="1804">
        <v>0</v>
      </c>
      <c r="BW279" s="1804">
        <v>0</v>
      </c>
      <c r="BX279" s="1804">
        <v>0</v>
      </c>
      <c r="BY279" s="1804">
        <v>0</v>
      </c>
      <c r="BZ279" s="1804">
        <v>0</v>
      </c>
      <c r="CA279" s="1804">
        <v>0</v>
      </c>
      <c r="CB279" s="1804">
        <v>0</v>
      </c>
      <c r="CC279" s="1804">
        <v>0</v>
      </c>
      <c r="CD279" s="1804">
        <v>0</v>
      </c>
      <c r="CE279" s="1804">
        <v>0</v>
      </c>
      <c r="CF279" s="1804">
        <v>0</v>
      </c>
      <c r="CG279" s="1804">
        <v>0</v>
      </c>
      <c r="CH279" s="1804">
        <v>0</v>
      </c>
      <c r="CI279" s="1804">
        <v>0</v>
      </c>
      <c r="CJ279" s="1804">
        <v>0</v>
      </c>
      <c r="CK279" s="1804">
        <v>0</v>
      </c>
      <c r="CL279" s="1804">
        <v>0</v>
      </c>
      <c r="CM279" s="1804">
        <v>0</v>
      </c>
      <c r="CN279" s="1804">
        <v>0</v>
      </c>
      <c r="CO279" s="1804">
        <v>0</v>
      </c>
      <c r="CP279" s="1804">
        <v>0</v>
      </c>
      <c r="CQ279" s="1804">
        <v>0</v>
      </c>
      <c r="CR279" s="1804">
        <v>0</v>
      </c>
      <c r="CS279" s="1804">
        <v>0</v>
      </c>
      <c r="CT279" s="1804">
        <v>0</v>
      </c>
      <c r="CU279" s="1804">
        <v>0</v>
      </c>
      <c r="CV279" s="1804">
        <v>0</v>
      </c>
      <c r="CW279" s="1804">
        <v>0</v>
      </c>
      <c r="CX279" s="1804">
        <v>0</v>
      </c>
      <c r="CY279" s="1804">
        <v>0</v>
      </c>
      <c r="CZ279" s="1804">
        <v>0</v>
      </c>
      <c r="DA279" s="1804">
        <v>0</v>
      </c>
      <c r="DB279" s="1804">
        <v>0</v>
      </c>
      <c r="DC279" s="1804">
        <v>0</v>
      </c>
      <c r="DD279" s="1804">
        <v>0</v>
      </c>
      <c r="DE279" s="1804">
        <v>0</v>
      </c>
      <c r="DF279" s="1804">
        <v>0</v>
      </c>
      <c r="DG279" s="1804">
        <v>0</v>
      </c>
      <c r="DH279" s="1804">
        <v>0</v>
      </c>
      <c r="DI279" s="1804">
        <v>0</v>
      </c>
      <c r="DJ279" s="1804">
        <v>0</v>
      </c>
      <c r="DK279" s="1804">
        <v>0</v>
      </c>
      <c r="DL279" s="1804">
        <v>0</v>
      </c>
      <c r="DM279" s="1804">
        <v>0</v>
      </c>
      <c r="DN279" s="1804">
        <v>0</v>
      </c>
      <c r="DO279" s="1804">
        <v>0</v>
      </c>
      <c r="DP279" s="1804">
        <v>0</v>
      </c>
      <c r="DQ279" s="1804">
        <v>0</v>
      </c>
      <c r="DR279" s="1804">
        <v>0</v>
      </c>
      <c r="DS279" s="1804">
        <v>0</v>
      </c>
      <c r="DT279" s="1804">
        <v>0</v>
      </c>
      <c r="DU279" s="1804">
        <v>0</v>
      </c>
      <c r="DV279" s="1804">
        <v>0</v>
      </c>
      <c r="DW279" s="1804">
        <v>0</v>
      </c>
      <c r="DX279" s="1804">
        <v>0</v>
      </c>
      <c r="DY279" s="1804">
        <v>0</v>
      </c>
      <c r="DZ279" s="1804">
        <v>0</v>
      </c>
      <c r="EA279" s="1804">
        <v>0</v>
      </c>
      <c r="EB279" s="1804">
        <v>0</v>
      </c>
      <c r="EC279" s="1804">
        <v>0</v>
      </c>
      <c r="ED279" s="1804">
        <v>0</v>
      </c>
      <c r="EE279" s="1804">
        <v>0</v>
      </c>
      <c r="EF279" s="1804">
        <v>0</v>
      </c>
      <c r="EG279" s="1804">
        <v>0</v>
      </c>
      <c r="EH279" s="1804">
        <v>0</v>
      </c>
      <c r="EI279" s="1804">
        <v>0</v>
      </c>
      <c r="EJ279" s="1804">
        <v>0</v>
      </c>
      <c r="EK279" s="1804">
        <v>0</v>
      </c>
      <c r="EL279" s="1804">
        <v>0</v>
      </c>
      <c r="EM279" s="1804">
        <v>0</v>
      </c>
      <c r="EN279" s="1804">
        <v>0</v>
      </c>
      <c r="EO279" s="1804">
        <v>0</v>
      </c>
      <c r="EP279" s="1804">
        <v>0</v>
      </c>
      <c r="EQ279" s="1804">
        <v>0</v>
      </c>
      <c r="ER279" s="1804">
        <v>0</v>
      </c>
      <c r="ES279" s="1804">
        <v>0</v>
      </c>
      <c r="ET279" s="1804">
        <v>0</v>
      </c>
      <c r="EU279" s="1804">
        <v>0</v>
      </c>
      <c r="EV279" s="1804">
        <v>0</v>
      </c>
      <c r="EW279" s="1804">
        <v>0</v>
      </c>
      <c r="EX279" s="1804">
        <v>0</v>
      </c>
      <c r="EY279" s="1804">
        <v>0</v>
      </c>
      <c r="EZ279" s="1804">
        <v>0</v>
      </c>
      <c r="FA279" s="1804">
        <v>0</v>
      </c>
      <c r="FB279" s="1804">
        <v>0</v>
      </c>
      <c r="FC279" s="1804">
        <v>0</v>
      </c>
      <c r="FD279" s="1804">
        <v>0</v>
      </c>
      <c r="FE279" s="1804">
        <v>0</v>
      </c>
      <c r="FF279" s="1804">
        <v>0</v>
      </c>
      <c r="FG279" s="1804">
        <v>0</v>
      </c>
      <c r="FH279" s="1804">
        <v>0</v>
      </c>
      <c r="FI279" s="1804">
        <v>0</v>
      </c>
      <c r="FJ279" s="1804">
        <v>0</v>
      </c>
      <c r="FK279" s="1804">
        <v>0</v>
      </c>
      <c r="FL279" s="1804">
        <v>0</v>
      </c>
      <c r="FM279" s="1804">
        <v>0</v>
      </c>
      <c r="FN279" s="1804">
        <v>0</v>
      </c>
      <c r="FO279" s="1804">
        <v>0</v>
      </c>
      <c r="FP279" s="1804">
        <v>0</v>
      </c>
      <c r="FQ279" s="1804">
        <v>0</v>
      </c>
      <c r="FR279" s="1804">
        <v>0</v>
      </c>
      <c r="FS279" s="1804">
        <v>0</v>
      </c>
      <c r="FT279" s="1804">
        <v>0</v>
      </c>
      <c r="FU279" s="1804">
        <v>0</v>
      </c>
      <c r="FV279" s="1804">
        <v>0</v>
      </c>
      <c r="FW279" s="1804">
        <v>0</v>
      </c>
      <c r="FX279" s="1804">
        <v>0</v>
      </c>
      <c r="FY279" s="1804">
        <v>0</v>
      </c>
      <c r="FZ279" s="1804">
        <v>0</v>
      </c>
      <c r="GA279" s="1804">
        <v>0</v>
      </c>
      <c r="GB279" s="1804">
        <v>0</v>
      </c>
      <c r="GC279" s="1804">
        <v>0</v>
      </c>
      <c r="GD279" s="1804">
        <v>0</v>
      </c>
      <c r="GE279" s="1804">
        <v>0</v>
      </c>
      <c r="GF279" s="1804">
        <v>0</v>
      </c>
      <c r="GG279" s="1804">
        <v>0</v>
      </c>
      <c r="GH279" s="1804">
        <v>0</v>
      </c>
      <c r="GI279" s="1804">
        <v>0</v>
      </c>
      <c r="GJ279" s="1804">
        <v>0</v>
      </c>
      <c r="GK279" s="1804">
        <v>0</v>
      </c>
      <c r="GL279" s="1804">
        <v>0</v>
      </c>
      <c r="GM279" s="1804">
        <v>0</v>
      </c>
      <c r="GN279" s="1804">
        <v>0</v>
      </c>
      <c r="GO279" s="1804">
        <v>0</v>
      </c>
      <c r="GP279" s="1804">
        <v>0</v>
      </c>
      <c r="GQ279" s="1804">
        <v>0</v>
      </c>
      <c r="GR279" s="1804">
        <v>0</v>
      </c>
      <c r="GS279" s="1804">
        <v>0</v>
      </c>
      <c r="GT279" s="1804">
        <v>0</v>
      </c>
      <c r="GU279" s="1804">
        <v>0</v>
      </c>
      <c r="GV279" s="1804">
        <v>0</v>
      </c>
      <c r="GW279" s="1804">
        <v>0</v>
      </c>
      <c r="GX279" s="1804">
        <v>0</v>
      </c>
      <c r="GY279" s="1804">
        <v>0</v>
      </c>
      <c r="GZ279" s="1804">
        <v>0</v>
      </c>
      <c r="HA279" s="1804">
        <v>0</v>
      </c>
      <c r="HB279" s="1804">
        <v>0</v>
      </c>
      <c r="HC279" s="1804">
        <v>0</v>
      </c>
      <c r="HD279" s="1804">
        <v>0</v>
      </c>
      <c r="HE279" s="1804">
        <v>0</v>
      </c>
    </row>
    <row r="280" spans="1:213" ht="30" customHeight="1" thickBot="1" x14ac:dyDescent="0.25">
      <c r="A280" s="1995" t="s">
        <v>89</v>
      </c>
      <c r="B280" s="1989" t="s">
        <v>779</v>
      </c>
      <c r="C280" s="1704" t="s">
        <v>869</v>
      </c>
      <c r="D280" s="1880"/>
      <c r="E280" s="1984"/>
      <c r="F280" s="1865"/>
      <c r="G280" s="1866"/>
      <c r="H280" s="1866"/>
      <c r="I280" s="1866"/>
      <c r="J280" s="1866"/>
      <c r="K280" s="1866"/>
      <c r="L280" s="1866"/>
      <c r="M280" s="1866"/>
      <c r="N280" s="1866"/>
      <c r="O280" s="1866"/>
      <c r="P280" s="1866"/>
      <c r="Q280" s="1866"/>
      <c r="R280" s="1866"/>
      <c r="S280" s="1866"/>
      <c r="T280" s="1866"/>
      <c r="U280" s="1866"/>
      <c r="V280" s="1866"/>
      <c r="W280" s="1866"/>
      <c r="X280" s="1866"/>
      <c r="Y280" s="1866"/>
      <c r="Z280" s="1866"/>
      <c r="AA280" s="1866"/>
      <c r="AB280" s="1866"/>
      <c r="AC280" s="1866"/>
      <c r="AD280" s="1866"/>
      <c r="AE280" s="1866"/>
      <c r="AF280" s="1866"/>
      <c r="AG280" s="1866"/>
      <c r="AH280" s="1866"/>
      <c r="AI280" s="1866"/>
      <c r="AJ280" s="1866"/>
      <c r="AK280" s="1866"/>
      <c r="AL280" s="1866"/>
      <c r="AM280" s="1866"/>
      <c r="AN280" s="1866"/>
      <c r="AO280" s="1866"/>
      <c r="AP280" s="1866"/>
      <c r="AQ280" s="1866"/>
      <c r="AR280" s="1866"/>
      <c r="AS280" s="1866"/>
      <c r="AT280" s="1866"/>
      <c r="AU280" s="1866"/>
      <c r="AV280" s="1866"/>
      <c r="AW280" s="1866"/>
      <c r="AX280" s="1866"/>
      <c r="AY280" s="1866"/>
      <c r="AZ280" s="1866"/>
      <c r="BA280" s="1866"/>
      <c r="BB280" s="1866"/>
      <c r="BC280" s="1866"/>
      <c r="BD280" s="1866"/>
      <c r="BE280" s="1866"/>
      <c r="BF280" s="1866"/>
      <c r="BG280" s="1866"/>
      <c r="BH280" s="1866"/>
      <c r="BI280" s="1866"/>
      <c r="BJ280" s="1866"/>
      <c r="BK280" s="1866"/>
      <c r="BL280" s="1866"/>
      <c r="BM280" s="1866"/>
      <c r="BN280" s="1866"/>
      <c r="BO280" s="1866"/>
      <c r="BP280" s="1866"/>
      <c r="BQ280" s="1866"/>
      <c r="BR280" s="1866"/>
      <c r="BS280" s="1866"/>
      <c r="BT280" s="1866"/>
      <c r="BU280" s="1866"/>
      <c r="BV280" s="1866"/>
      <c r="BW280" s="1866"/>
      <c r="BX280" s="1866"/>
      <c r="BY280" s="1866"/>
      <c r="BZ280" s="1866"/>
      <c r="CA280" s="1866"/>
      <c r="CB280" s="1866"/>
      <c r="CC280" s="1866"/>
      <c r="CD280" s="1866"/>
      <c r="CE280" s="1866"/>
      <c r="CF280" s="1866"/>
      <c r="CG280" s="1866"/>
      <c r="CH280" s="1866"/>
      <c r="CI280" s="1866"/>
      <c r="CJ280" s="1866"/>
      <c r="CK280" s="1866"/>
      <c r="CL280" s="1866"/>
      <c r="CM280" s="1866"/>
      <c r="CN280" s="1866"/>
      <c r="CO280" s="1866"/>
      <c r="CP280" s="1866"/>
      <c r="CQ280" s="1866"/>
      <c r="CR280" s="1866"/>
      <c r="CS280" s="1866"/>
      <c r="CT280" s="1866"/>
      <c r="CU280" s="1866"/>
      <c r="CV280" s="1866"/>
      <c r="CW280" s="1866"/>
      <c r="CX280" s="1866"/>
      <c r="CY280" s="1866"/>
      <c r="CZ280" s="1866"/>
      <c r="DA280" s="1866"/>
      <c r="DB280" s="1866"/>
      <c r="DC280" s="1866"/>
      <c r="DD280" s="1866"/>
      <c r="DE280" s="1866"/>
      <c r="DF280" s="1866"/>
      <c r="DG280" s="1866"/>
      <c r="DH280" s="1866"/>
      <c r="DI280" s="1866"/>
      <c r="DJ280" s="1866"/>
      <c r="DK280" s="1866"/>
      <c r="DL280" s="1866"/>
      <c r="DM280" s="1866"/>
      <c r="DN280" s="1866"/>
      <c r="DO280" s="1866"/>
      <c r="DP280" s="1866"/>
      <c r="DQ280" s="1866"/>
      <c r="DR280" s="1866"/>
      <c r="DS280" s="1866"/>
      <c r="DT280" s="1866"/>
      <c r="DU280" s="1866"/>
      <c r="DV280" s="1866"/>
      <c r="DW280" s="1866"/>
      <c r="DX280" s="1866"/>
      <c r="DY280" s="1866"/>
      <c r="DZ280" s="1866"/>
      <c r="EA280" s="1866"/>
      <c r="EB280" s="1866"/>
      <c r="EC280" s="1866"/>
      <c r="ED280" s="1866"/>
      <c r="EE280" s="1866"/>
      <c r="EF280" s="1866"/>
      <c r="EG280" s="1866"/>
      <c r="EH280" s="1866"/>
      <c r="EI280" s="1866"/>
      <c r="EJ280" s="1866"/>
      <c r="EK280" s="1866"/>
      <c r="EL280" s="1866"/>
      <c r="EM280" s="1866"/>
      <c r="EN280" s="1866"/>
      <c r="EO280" s="1866"/>
      <c r="EP280" s="1866"/>
      <c r="EQ280" s="1866"/>
      <c r="ER280" s="1866"/>
      <c r="ES280" s="1866"/>
      <c r="ET280" s="1866"/>
      <c r="EU280" s="1866"/>
      <c r="EV280" s="1866"/>
      <c r="EW280" s="1866"/>
      <c r="EX280" s="1866"/>
      <c r="EY280" s="1866"/>
      <c r="EZ280" s="1866"/>
      <c r="FA280" s="1866"/>
      <c r="FB280" s="1866"/>
      <c r="FC280" s="1866"/>
      <c r="FD280" s="1866"/>
      <c r="FE280" s="1866"/>
      <c r="FF280" s="1866"/>
      <c r="FG280" s="1866"/>
      <c r="FH280" s="1866"/>
      <c r="FI280" s="1866"/>
      <c r="FJ280" s="1866"/>
      <c r="FK280" s="1866"/>
      <c r="FL280" s="1866"/>
      <c r="FM280" s="1866"/>
      <c r="FN280" s="1866"/>
      <c r="FO280" s="1866"/>
      <c r="FP280" s="1866"/>
      <c r="FQ280" s="1866"/>
      <c r="FR280" s="1866"/>
      <c r="FS280" s="1866"/>
      <c r="FT280" s="1866"/>
      <c r="FU280" s="1866"/>
      <c r="FV280" s="1866"/>
      <c r="FW280" s="1866"/>
      <c r="FX280" s="1866"/>
      <c r="FY280" s="1866"/>
      <c r="FZ280" s="1866"/>
      <c r="GA280" s="1866"/>
      <c r="GB280" s="1866"/>
      <c r="GC280" s="1866"/>
      <c r="GD280" s="1866"/>
      <c r="GE280" s="1866"/>
      <c r="GF280" s="1866"/>
      <c r="GG280" s="1866"/>
      <c r="GH280" s="1866"/>
      <c r="GI280" s="1866"/>
      <c r="GJ280" s="1866"/>
      <c r="GK280" s="1866"/>
      <c r="GL280" s="1866"/>
      <c r="GM280" s="1866"/>
      <c r="GN280" s="1866"/>
      <c r="GO280" s="1866"/>
      <c r="GP280" s="1866"/>
      <c r="GQ280" s="1866"/>
      <c r="GR280" s="1866"/>
      <c r="GS280" s="1866"/>
      <c r="GT280" s="1866"/>
      <c r="GU280" s="1866"/>
      <c r="GV280" s="1866"/>
      <c r="GW280" s="1866"/>
      <c r="GX280" s="1866"/>
      <c r="GY280" s="1866"/>
      <c r="GZ280" s="1866"/>
      <c r="HA280" s="1866"/>
      <c r="HB280" s="1866"/>
      <c r="HC280" s="1866"/>
      <c r="HD280" s="1866"/>
      <c r="HE280" s="1866"/>
    </row>
    <row r="281" spans="1:213" ht="15" customHeight="1" x14ac:dyDescent="0.2">
      <c r="A281" s="1995"/>
      <c r="B281" s="1994"/>
      <c r="C281" s="1709" t="s">
        <v>827</v>
      </c>
      <c r="D281" s="1883"/>
      <c r="E281" s="1996"/>
      <c r="F281" s="1838">
        <v>0</v>
      </c>
      <c r="G281" s="1804">
        <v>0</v>
      </c>
      <c r="H281" s="1804">
        <v>0</v>
      </c>
      <c r="I281" s="1804">
        <v>0</v>
      </c>
      <c r="J281" s="1804">
        <v>0</v>
      </c>
      <c r="K281" s="1804">
        <v>0</v>
      </c>
      <c r="L281" s="1804">
        <v>0</v>
      </c>
      <c r="M281" s="1804">
        <v>0</v>
      </c>
      <c r="N281" s="1804">
        <v>0</v>
      </c>
      <c r="O281" s="1804">
        <v>0</v>
      </c>
      <c r="P281" s="1804">
        <v>0</v>
      </c>
      <c r="Q281" s="1804">
        <v>0</v>
      </c>
      <c r="R281" s="1804">
        <v>0</v>
      </c>
      <c r="S281" s="1804">
        <v>0</v>
      </c>
      <c r="T281" s="1804">
        <v>0</v>
      </c>
      <c r="U281" s="1804">
        <v>0</v>
      </c>
      <c r="V281" s="1804">
        <v>0</v>
      </c>
      <c r="W281" s="1804">
        <v>0</v>
      </c>
      <c r="X281" s="1804">
        <v>0</v>
      </c>
      <c r="Y281" s="1804">
        <v>0</v>
      </c>
      <c r="Z281" s="1804">
        <v>0</v>
      </c>
      <c r="AA281" s="1804">
        <v>0</v>
      </c>
      <c r="AB281" s="1804">
        <v>0</v>
      </c>
      <c r="AC281" s="1804">
        <v>0</v>
      </c>
      <c r="AD281" s="1804">
        <v>0</v>
      </c>
      <c r="AE281" s="1804">
        <v>0</v>
      </c>
      <c r="AF281" s="1804">
        <v>0</v>
      </c>
      <c r="AG281" s="1804">
        <v>0</v>
      </c>
      <c r="AH281" s="1804">
        <v>0</v>
      </c>
      <c r="AI281" s="1804">
        <v>0</v>
      </c>
      <c r="AJ281" s="1804">
        <v>0</v>
      </c>
      <c r="AK281" s="1804">
        <v>0</v>
      </c>
      <c r="AL281" s="1804">
        <v>0</v>
      </c>
      <c r="AM281" s="1804">
        <v>0</v>
      </c>
      <c r="AN281" s="1804">
        <v>0</v>
      </c>
      <c r="AO281" s="1804">
        <v>0</v>
      </c>
      <c r="AP281" s="1804">
        <v>0</v>
      </c>
      <c r="AQ281" s="1804">
        <v>0</v>
      </c>
      <c r="AR281" s="1804">
        <v>0</v>
      </c>
      <c r="AS281" s="1804">
        <v>0</v>
      </c>
      <c r="AT281" s="1804">
        <v>0</v>
      </c>
      <c r="AU281" s="1804">
        <v>0</v>
      </c>
      <c r="AV281" s="1804">
        <v>0</v>
      </c>
      <c r="AW281" s="1804">
        <v>0</v>
      </c>
      <c r="AX281" s="1804">
        <v>0</v>
      </c>
      <c r="AY281" s="1804">
        <v>0</v>
      </c>
      <c r="AZ281" s="1804">
        <v>0</v>
      </c>
      <c r="BA281" s="1804">
        <v>0</v>
      </c>
      <c r="BB281" s="1804">
        <v>0</v>
      </c>
      <c r="BC281" s="1804">
        <v>0</v>
      </c>
      <c r="BD281" s="1804">
        <v>0</v>
      </c>
      <c r="BE281" s="1804">
        <v>0</v>
      </c>
      <c r="BF281" s="1804">
        <v>0</v>
      </c>
      <c r="BG281" s="1804">
        <v>0</v>
      </c>
      <c r="BH281" s="1804">
        <v>0</v>
      </c>
      <c r="BI281" s="1804">
        <v>0</v>
      </c>
      <c r="BJ281" s="1804">
        <v>0</v>
      </c>
      <c r="BK281" s="1804">
        <v>0</v>
      </c>
      <c r="BL281" s="1804">
        <v>0</v>
      </c>
      <c r="BM281" s="1804">
        <v>0</v>
      </c>
      <c r="BN281" s="1804">
        <v>0</v>
      </c>
      <c r="BO281" s="1804">
        <v>0</v>
      </c>
      <c r="BP281" s="1804">
        <v>0</v>
      </c>
      <c r="BQ281" s="1804">
        <v>0</v>
      </c>
      <c r="BR281" s="1804">
        <v>0</v>
      </c>
      <c r="BS281" s="1804">
        <v>0</v>
      </c>
      <c r="BT281" s="1804">
        <v>0</v>
      </c>
      <c r="BU281" s="1804">
        <v>0</v>
      </c>
      <c r="BV281" s="1804">
        <v>0</v>
      </c>
      <c r="BW281" s="1804">
        <v>0</v>
      </c>
      <c r="BX281" s="1804">
        <v>0</v>
      </c>
      <c r="BY281" s="1804">
        <v>0</v>
      </c>
      <c r="BZ281" s="1804">
        <v>0</v>
      </c>
      <c r="CA281" s="1804">
        <v>0</v>
      </c>
      <c r="CB281" s="1804">
        <v>0</v>
      </c>
      <c r="CC281" s="1804">
        <v>0</v>
      </c>
      <c r="CD281" s="1804">
        <v>0</v>
      </c>
      <c r="CE281" s="1804">
        <v>0</v>
      </c>
      <c r="CF281" s="1804">
        <v>0</v>
      </c>
      <c r="CG281" s="1804">
        <v>0</v>
      </c>
      <c r="CH281" s="1804">
        <v>0</v>
      </c>
      <c r="CI281" s="1804">
        <v>0</v>
      </c>
      <c r="CJ281" s="1804">
        <v>0</v>
      </c>
      <c r="CK281" s="1804">
        <v>0</v>
      </c>
      <c r="CL281" s="1804">
        <v>0</v>
      </c>
      <c r="CM281" s="1804">
        <v>0</v>
      </c>
      <c r="CN281" s="1804">
        <v>0</v>
      </c>
      <c r="CO281" s="1804">
        <v>0</v>
      </c>
      <c r="CP281" s="1804">
        <v>0</v>
      </c>
      <c r="CQ281" s="1804">
        <v>0</v>
      </c>
      <c r="CR281" s="1804">
        <v>0</v>
      </c>
      <c r="CS281" s="1804">
        <v>0</v>
      </c>
      <c r="CT281" s="1804">
        <v>0</v>
      </c>
      <c r="CU281" s="1804">
        <v>0</v>
      </c>
      <c r="CV281" s="1804">
        <v>0</v>
      </c>
      <c r="CW281" s="1804">
        <v>0</v>
      </c>
      <c r="CX281" s="1804">
        <v>0</v>
      </c>
      <c r="CY281" s="1804">
        <v>0</v>
      </c>
      <c r="CZ281" s="1804">
        <v>0</v>
      </c>
      <c r="DA281" s="1804">
        <v>0</v>
      </c>
      <c r="DB281" s="1804">
        <v>0</v>
      </c>
      <c r="DC281" s="1804">
        <v>0</v>
      </c>
      <c r="DD281" s="1804">
        <v>0</v>
      </c>
      <c r="DE281" s="1804">
        <v>0</v>
      </c>
      <c r="DF281" s="1804">
        <v>0</v>
      </c>
      <c r="DG281" s="1804">
        <v>0</v>
      </c>
      <c r="DH281" s="1804">
        <v>0</v>
      </c>
      <c r="DI281" s="1804">
        <v>0</v>
      </c>
      <c r="DJ281" s="1804">
        <v>0</v>
      </c>
      <c r="DK281" s="1804">
        <v>0</v>
      </c>
      <c r="DL281" s="1804">
        <v>0</v>
      </c>
      <c r="DM281" s="1804">
        <v>0</v>
      </c>
      <c r="DN281" s="1804">
        <v>0</v>
      </c>
      <c r="DO281" s="1804">
        <v>0</v>
      </c>
      <c r="DP281" s="1804">
        <v>0</v>
      </c>
      <c r="DQ281" s="1804">
        <v>0</v>
      </c>
      <c r="DR281" s="1804">
        <v>0</v>
      </c>
      <c r="DS281" s="1804">
        <v>0</v>
      </c>
      <c r="DT281" s="1804">
        <v>0</v>
      </c>
      <c r="DU281" s="1804">
        <v>0</v>
      </c>
      <c r="DV281" s="1804">
        <v>0</v>
      </c>
      <c r="DW281" s="1804">
        <v>0</v>
      </c>
      <c r="DX281" s="1804">
        <v>0</v>
      </c>
      <c r="DY281" s="1804">
        <v>0</v>
      </c>
      <c r="DZ281" s="1804">
        <v>0</v>
      </c>
      <c r="EA281" s="1804">
        <v>0</v>
      </c>
      <c r="EB281" s="1804">
        <v>0</v>
      </c>
      <c r="EC281" s="1804">
        <v>0</v>
      </c>
      <c r="ED281" s="1804">
        <v>0</v>
      </c>
      <c r="EE281" s="1804">
        <v>0</v>
      </c>
      <c r="EF281" s="1804">
        <v>0</v>
      </c>
      <c r="EG281" s="1804">
        <v>0</v>
      </c>
      <c r="EH281" s="1804">
        <v>0</v>
      </c>
      <c r="EI281" s="1804">
        <v>0</v>
      </c>
      <c r="EJ281" s="1804">
        <v>0</v>
      </c>
      <c r="EK281" s="1804">
        <v>0</v>
      </c>
      <c r="EL281" s="1804">
        <v>0</v>
      </c>
      <c r="EM281" s="1804">
        <v>0</v>
      </c>
      <c r="EN281" s="1804">
        <v>0</v>
      </c>
      <c r="EO281" s="1804">
        <v>0</v>
      </c>
      <c r="EP281" s="1804">
        <v>0</v>
      </c>
      <c r="EQ281" s="1804">
        <v>0</v>
      </c>
      <c r="ER281" s="1804">
        <v>0</v>
      </c>
      <c r="ES281" s="1804">
        <v>0</v>
      </c>
      <c r="ET281" s="1804">
        <v>0</v>
      </c>
      <c r="EU281" s="1804">
        <v>0</v>
      </c>
      <c r="EV281" s="1804">
        <v>0</v>
      </c>
      <c r="EW281" s="1804">
        <v>0</v>
      </c>
      <c r="EX281" s="1804">
        <v>0</v>
      </c>
      <c r="EY281" s="1804">
        <v>0</v>
      </c>
      <c r="EZ281" s="1804">
        <v>0</v>
      </c>
      <c r="FA281" s="1804">
        <v>0</v>
      </c>
      <c r="FB281" s="1804">
        <v>0</v>
      </c>
      <c r="FC281" s="1804">
        <v>0</v>
      </c>
      <c r="FD281" s="1804">
        <v>0</v>
      </c>
      <c r="FE281" s="1804">
        <v>0</v>
      </c>
      <c r="FF281" s="1804">
        <v>0</v>
      </c>
      <c r="FG281" s="1804">
        <v>0</v>
      </c>
      <c r="FH281" s="1804">
        <v>0</v>
      </c>
      <c r="FI281" s="1804">
        <v>0</v>
      </c>
      <c r="FJ281" s="1804">
        <v>0</v>
      </c>
      <c r="FK281" s="1804">
        <v>0</v>
      </c>
      <c r="FL281" s="1804">
        <v>0</v>
      </c>
      <c r="FM281" s="1804">
        <v>0</v>
      </c>
      <c r="FN281" s="1804">
        <v>0</v>
      </c>
      <c r="FO281" s="1804">
        <v>0</v>
      </c>
      <c r="FP281" s="1804">
        <v>0</v>
      </c>
      <c r="FQ281" s="1804">
        <v>0</v>
      </c>
      <c r="FR281" s="1804">
        <v>0</v>
      </c>
      <c r="FS281" s="1804">
        <v>0</v>
      </c>
      <c r="FT281" s="1804">
        <v>0</v>
      </c>
      <c r="FU281" s="1804">
        <v>0</v>
      </c>
      <c r="FV281" s="1804">
        <v>0</v>
      </c>
      <c r="FW281" s="1804">
        <v>0</v>
      </c>
      <c r="FX281" s="1804">
        <v>0</v>
      </c>
      <c r="FY281" s="1804">
        <v>0</v>
      </c>
      <c r="FZ281" s="1804">
        <v>0</v>
      </c>
      <c r="GA281" s="1804">
        <v>0</v>
      </c>
      <c r="GB281" s="1804">
        <v>0</v>
      </c>
      <c r="GC281" s="1804">
        <v>0</v>
      </c>
      <c r="GD281" s="1804">
        <v>0</v>
      </c>
      <c r="GE281" s="1804">
        <v>0</v>
      </c>
      <c r="GF281" s="1804">
        <v>0</v>
      </c>
      <c r="GG281" s="1804">
        <v>0</v>
      </c>
      <c r="GH281" s="1804">
        <v>0</v>
      </c>
      <c r="GI281" s="1804">
        <v>0</v>
      </c>
      <c r="GJ281" s="1804">
        <v>0</v>
      </c>
      <c r="GK281" s="1804">
        <v>0</v>
      </c>
      <c r="GL281" s="1804">
        <v>0</v>
      </c>
      <c r="GM281" s="1804">
        <v>0</v>
      </c>
      <c r="GN281" s="1804">
        <v>0</v>
      </c>
      <c r="GO281" s="1804">
        <v>0</v>
      </c>
      <c r="GP281" s="1804">
        <v>0</v>
      </c>
      <c r="GQ281" s="1804">
        <v>0</v>
      </c>
      <c r="GR281" s="1804">
        <v>0</v>
      </c>
      <c r="GS281" s="1804">
        <v>0</v>
      </c>
      <c r="GT281" s="1804">
        <v>0</v>
      </c>
      <c r="GU281" s="1804">
        <v>0</v>
      </c>
      <c r="GV281" s="1804">
        <v>0</v>
      </c>
      <c r="GW281" s="1804">
        <v>0</v>
      </c>
      <c r="GX281" s="1804">
        <v>0</v>
      </c>
      <c r="GY281" s="1804">
        <v>0</v>
      </c>
      <c r="GZ281" s="1804">
        <v>0</v>
      </c>
      <c r="HA281" s="1804">
        <v>0</v>
      </c>
      <c r="HB281" s="1804">
        <v>0</v>
      </c>
      <c r="HC281" s="1804">
        <v>0</v>
      </c>
      <c r="HD281" s="1804">
        <v>0</v>
      </c>
      <c r="HE281" s="1804">
        <v>0</v>
      </c>
    </row>
    <row r="282" spans="1:213" ht="15" customHeight="1" x14ac:dyDescent="0.2">
      <c r="A282" s="1995"/>
      <c r="B282" s="1994"/>
      <c r="C282" s="1830" t="s">
        <v>828</v>
      </c>
      <c r="D282" s="1883"/>
      <c r="E282" s="1996"/>
      <c r="F282" s="1838">
        <v>0</v>
      </c>
      <c r="G282" s="1804">
        <v>0</v>
      </c>
      <c r="H282" s="1804">
        <v>0</v>
      </c>
      <c r="I282" s="1804">
        <v>0</v>
      </c>
      <c r="J282" s="1804">
        <v>0</v>
      </c>
      <c r="K282" s="1804">
        <v>0</v>
      </c>
      <c r="L282" s="1804">
        <v>0</v>
      </c>
      <c r="M282" s="1804">
        <v>0</v>
      </c>
      <c r="N282" s="1804">
        <v>0</v>
      </c>
      <c r="O282" s="1804">
        <v>0</v>
      </c>
      <c r="P282" s="1804">
        <v>0</v>
      </c>
      <c r="Q282" s="1804">
        <v>0</v>
      </c>
      <c r="R282" s="1804">
        <v>0</v>
      </c>
      <c r="S282" s="1804">
        <v>0</v>
      </c>
      <c r="T282" s="1804">
        <v>0</v>
      </c>
      <c r="U282" s="1804">
        <v>0</v>
      </c>
      <c r="V282" s="1804">
        <v>0</v>
      </c>
      <c r="W282" s="1804">
        <v>0</v>
      </c>
      <c r="X282" s="1804">
        <v>0</v>
      </c>
      <c r="Y282" s="1804">
        <v>0</v>
      </c>
      <c r="Z282" s="1804">
        <v>0</v>
      </c>
      <c r="AA282" s="1804">
        <v>0</v>
      </c>
      <c r="AB282" s="1804">
        <v>0</v>
      </c>
      <c r="AC282" s="1804">
        <v>0</v>
      </c>
      <c r="AD282" s="1804">
        <v>0</v>
      </c>
      <c r="AE282" s="1804">
        <v>0</v>
      </c>
      <c r="AF282" s="1804">
        <v>0</v>
      </c>
      <c r="AG282" s="1804">
        <v>0</v>
      </c>
      <c r="AH282" s="1804">
        <v>0</v>
      </c>
      <c r="AI282" s="1804">
        <v>0</v>
      </c>
      <c r="AJ282" s="1804">
        <v>0</v>
      </c>
      <c r="AK282" s="1804">
        <v>0</v>
      </c>
      <c r="AL282" s="1804">
        <v>0</v>
      </c>
      <c r="AM282" s="1804">
        <v>0</v>
      </c>
      <c r="AN282" s="1804">
        <v>0</v>
      </c>
      <c r="AO282" s="1804">
        <v>0</v>
      </c>
      <c r="AP282" s="1804">
        <v>0</v>
      </c>
      <c r="AQ282" s="1804">
        <v>0</v>
      </c>
      <c r="AR282" s="1804">
        <v>0</v>
      </c>
      <c r="AS282" s="1804">
        <v>0</v>
      </c>
      <c r="AT282" s="1804">
        <v>0</v>
      </c>
      <c r="AU282" s="1804">
        <v>0</v>
      </c>
      <c r="AV282" s="1804">
        <v>0</v>
      </c>
      <c r="AW282" s="1804">
        <v>0</v>
      </c>
      <c r="AX282" s="1804">
        <v>0</v>
      </c>
      <c r="AY282" s="1804">
        <v>0</v>
      </c>
      <c r="AZ282" s="1804">
        <v>0</v>
      </c>
      <c r="BA282" s="1804">
        <v>0</v>
      </c>
      <c r="BB282" s="1804">
        <v>0</v>
      </c>
      <c r="BC282" s="1804">
        <v>0</v>
      </c>
      <c r="BD282" s="1804">
        <v>0</v>
      </c>
      <c r="BE282" s="1804">
        <v>0</v>
      </c>
      <c r="BF282" s="1804">
        <v>0</v>
      </c>
      <c r="BG282" s="1804">
        <v>0</v>
      </c>
      <c r="BH282" s="1804">
        <v>0</v>
      </c>
      <c r="BI282" s="1804">
        <v>0</v>
      </c>
      <c r="BJ282" s="1804">
        <v>0</v>
      </c>
      <c r="BK282" s="1804">
        <v>0</v>
      </c>
      <c r="BL282" s="1804">
        <v>0</v>
      </c>
      <c r="BM282" s="1804">
        <v>0</v>
      </c>
      <c r="BN282" s="1804">
        <v>0</v>
      </c>
      <c r="BO282" s="1804">
        <v>0</v>
      </c>
      <c r="BP282" s="1804">
        <v>0</v>
      </c>
      <c r="BQ282" s="1804">
        <v>0</v>
      </c>
      <c r="BR282" s="1804">
        <v>0</v>
      </c>
      <c r="BS282" s="1804">
        <v>0</v>
      </c>
      <c r="BT282" s="1804">
        <v>0</v>
      </c>
      <c r="BU282" s="1804">
        <v>0</v>
      </c>
      <c r="BV282" s="1804">
        <v>0</v>
      </c>
      <c r="BW282" s="1804">
        <v>0</v>
      </c>
      <c r="BX282" s="1804">
        <v>0</v>
      </c>
      <c r="BY282" s="1804">
        <v>0</v>
      </c>
      <c r="BZ282" s="1804">
        <v>0</v>
      </c>
      <c r="CA282" s="1804">
        <v>0</v>
      </c>
      <c r="CB282" s="1804">
        <v>0</v>
      </c>
      <c r="CC282" s="1804">
        <v>0</v>
      </c>
      <c r="CD282" s="1804">
        <v>0</v>
      </c>
      <c r="CE282" s="1804">
        <v>0</v>
      </c>
      <c r="CF282" s="1804">
        <v>0</v>
      </c>
      <c r="CG282" s="1804">
        <v>0</v>
      </c>
      <c r="CH282" s="1804">
        <v>0</v>
      </c>
      <c r="CI282" s="1804">
        <v>0</v>
      </c>
      <c r="CJ282" s="1804">
        <v>0</v>
      </c>
      <c r="CK282" s="1804">
        <v>0</v>
      </c>
      <c r="CL282" s="1804">
        <v>0</v>
      </c>
      <c r="CM282" s="1804">
        <v>0</v>
      </c>
      <c r="CN282" s="1804">
        <v>0</v>
      </c>
      <c r="CO282" s="1804">
        <v>0</v>
      </c>
      <c r="CP282" s="1804">
        <v>0</v>
      </c>
      <c r="CQ282" s="1804">
        <v>0</v>
      </c>
      <c r="CR282" s="1804">
        <v>0</v>
      </c>
      <c r="CS282" s="1804">
        <v>0</v>
      </c>
      <c r="CT282" s="1804">
        <v>0</v>
      </c>
      <c r="CU282" s="1804">
        <v>0</v>
      </c>
      <c r="CV282" s="1804">
        <v>0</v>
      </c>
      <c r="CW282" s="1804">
        <v>0</v>
      </c>
      <c r="CX282" s="1804">
        <v>0</v>
      </c>
      <c r="CY282" s="1804">
        <v>0</v>
      </c>
      <c r="CZ282" s="1804">
        <v>0</v>
      </c>
      <c r="DA282" s="1804">
        <v>0</v>
      </c>
      <c r="DB282" s="1804">
        <v>0</v>
      </c>
      <c r="DC282" s="1804">
        <v>0</v>
      </c>
      <c r="DD282" s="1804">
        <v>0</v>
      </c>
      <c r="DE282" s="1804">
        <v>0</v>
      </c>
      <c r="DF282" s="1804">
        <v>0</v>
      </c>
      <c r="DG282" s="1804">
        <v>0</v>
      </c>
      <c r="DH282" s="1804">
        <v>0</v>
      </c>
      <c r="DI282" s="1804">
        <v>0</v>
      </c>
      <c r="DJ282" s="1804">
        <v>0</v>
      </c>
      <c r="DK282" s="1804">
        <v>0</v>
      </c>
      <c r="DL282" s="1804">
        <v>0</v>
      </c>
      <c r="DM282" s="1804">
        <v>0</v>
      </c>
      <c r="DN282" s="1804">
        <v>0</v>
      </c>
      <c r="DO282" s="1804">
        <v>0</v>
      </c>
      <c r="DP282" s="1804">
        <v>0</v>
      </c>
      <c r="DQ282" s="1804">
        <v>0</v>
      </c>
      <c r="DR282" s="1804">
        <v>0</v>
      </c>
      <c r="DS282" s="1804">
        <v>0</v>
      </c>
      <c r="DT282" s="1804">
        <v>0</v>
      </c>
      <c r="DU282" s="1804">
        <v>0</v>
      </c>
      <c r="DV282" s="1804">
        <v>0</v>
      </c>
      <c r="DW282" s="1804">
        <v>0</v>
      </c>
      <c r="DX282" s="1804">
        <v>0</v>
      </c>
      <c r="DY282" s="1804">
        <v>0</v>
      </c>
      <c r="DZ282" s="1804">
        <v>0</v>
      </c>
      <c r="EA282" s="1804">
        <v>0</v>
      </c>
      <c r="EB282" s="1804">
        <v>0</v>
      </c>
      <c r="EC282" s="1804">
        <v>0</v>
      </c>
      <c r="ED282" s="1804">
        <v>0</v>
      </c>
      <c r="EE282" s="1804">
        <v>0</v>
      </c>
      <c r="EF282" s="1804">
        <v>0</v>
      </c>
      <c r="EG282" s="1804">
        <v>0</v>
      </c>
      <c r="EH282" s="1804">
        <v>0</v>
      </c>
      <c r="EI282" s="1804">
        <v>0</v>
      </c>
      <c r="EJ282" s="1804">
        <v>0</v>
      </c>
      <c r="EK282" s="1804">
        <v>0</v>
      </c>
      <c r="EL282" s="1804">
        <v>0</v>
      </c>
      <c r="EM282" s="1804">
        <v>0</v>
      </c>
      <c r="EN282" s="1804">
        <v>0</v>
      </c>
      <c r="EO282" s="1804">
        <v>0</v>
      </c>
      <c r="EP282" s="1804">
        <v>0</v>
      </c>
      <c r="EQ282" s="1804">
        <v>0</v>
      </c>
      <c r="ER282" s="1804">
        <v>0</v>
      </c>
      <c r="ES282" s="1804">
        <v>0</v>
      </c>
      <c r="ET282" s="1804">
        <v>0</v>
      </c>
      <c r="EU282" s="1804">
        <v>0</v>
      </c>
      <c r="EV282" s="1804">
        <v>0</v>
      </c>
      <c r="EW282" s="1804">
        <v>0</v>
      </c>
      <c r="EX282" s="1804">
        <v>0</v>
      </c>
      <c r="EY282" s="1804">
        <v>0</v>
      </c>
      <c r="EZ282" s="1804">
        <v>0</v>
      </c>
      <c r="FA282" s="1804">
        <v>0</v>
      </c>
      <c r="FB282" s="1804">
        <v>0</v>
      </c>
      <c r="FC282" s="1804">
        <v>0</v>
      </c>
      <c r="FD282" s="1804">
        <v>0</v>
      </c>
      <c r="FE282" s="1804">
        <v>0</v>
      </c>
      <c r="FF282" s="1804">
        <v>0</v>
      </c>
      <c r="FG282" s="1804">
        <v>0</v>
      </c>
      <c r="FH282" s="1804">
        <v>0</v>
      </c>
      <c r="FI282" s="1804">
        <v>0</v>
      </c>
      <c r="FJ282" s="1804">
        <v>0</v>
      </c>
      <c r="FK282" s="1804">
        <v>0</v>
      </c>
      <c r="FL282" s="1804">
        <v>0</v>
      </c>
      <c r="FM282" s="1804">
        <v>0</v>
      </c>
      <c r="FN282" s="1804">
        <v>0</v>
      </c>
      <c r="FO282" s="1804">
        <v>0</v>
      </c>
      <c r="FP282" s="1804">
        <v>0</v>
      </c>
      <c r="FQ282" s="1804">
        <v>0</v>
      </c>
      <c r="FR282" s="1804">
        <v>0</v>
      </c>
      <c r="FS282" s="1804">
        <v>0</v>
      </c>
      <c r="FT282" s="1804">
        <v>0</v>
      </c>
      <c r="FU282" s="1804">
        <v>0</v>
      </c>
      <c r="FV282" s="1804">
        <v>0</v>
      </c>
      <c r="FW282" s="1804">
        <v>0</v>
      </c>
      <c r="FX282" s="1804">
        <v>0</v>
      </c>
      <c r="FY282" s="1804">
        <v>0</v>
      </c>
      <c r="FZ282" s="1804">
        <v>0</v>
      </c>
      <c r="GA282" s="1804">
        <v>0</v>
      </c>
      <c r="GB282" s="1804">
        <v>0</v>
      </c>
      <c r="GC282" s="1804">
        <v>0</v>
      </c>
      <c r="GD282" s="1804">
        <v>0</v>
      </c>
      <c r="GE282" s="1804">
        <v>0</v>
      </c>
      <c r="GF282" s="1804">
        <v>0</v>
      </c>
      <c r="GG282" s="1804">
        <v>0</v>
      </c>
      <c r="GH282" s="1804">
        <v>0</v>
      </c>
      <c r="GI282" s="1804">
        <v>0</v>
      </c>
      <c r="GJ282" s="1804">
        <v>0</v>
      </c>
      <c r="GK282" s="1804">
        <v>0</v>
      </c>
      <c r="GL282" s="1804">
        <v>0</v>
      </c>
      <c r="GM282" s="1804">
        <v>0</v>
      </c>
      <c r="GN282" s="1804">
        <v>0</v>
      </c>
      <c r="GO282" s="1804">
        <v>0</v>
      </c>
      <c r="GP282" s="1804">
        <v>0</v>
      </c>
      <c r="GQ282" s="1804">
        <v>0</v>
      </c>
      <c r="GR282" s="1804">
        <v>0</v>
      </c>
      <c r="GS282" s="1804">
        <v>0</v>
      </c>
      <c r="GT282" s="1804">
        <v>0</v>
      </c>
      <c r="GU282" s="1804">
        <v>0</v>
      </c>
      <c r="GV282" s="1804">
        <v>0</v>
      </c>
      <c r="GW282" s="1804">
        <v>0</v>
      </c>
      <c r="GX282" s="1804">
        <v>0</v>
      </c>
      <c r="GY282" s="1804">
        <v>0</v>
      </c>
      <c r="GZ282" s="1804">
        <v>0</v>
      </c>
      <c r="HA282" s="1804">
        <v>0</v>
      </c>
      <c r="HB282" s="1804">
        <v>0</v>
      </c>
      <c r="HC282" s="1804">
        <v>0</v>
      </c>
      <c r="HD282" s="1804">
        <v>0</v>
      </c>
      <c r="HE282" s="1804">
        <v>0</v>
      </c>
    </row>
    <row r="283" spans="1:213" ht="15" customHeight="1" x14ac:dyDescent="0.2">
      <c r="A283" s="1995"/>
      <c r="B283" s="1994"/>
      <c r="C283" s="1830" t="s">
        <v>829</v>
      </c>
      <c r="D283" s="1883"/>
      <c r="E283" s="1996"/>
      <c r="F283" s="1838">
        <v>0</v>
      </c>
      <c r="G283" s="1804">
        <v>0</v>
      </c>
      <c r="H283" s="1804">
        <v>0</v>
      </c>
      <c r="I283" s="1804">
        <v>0</v>
      </c>
      <c r="J283" s="1804">
        <v>0</v>
      </c>
      <c r="K283" s="1804">
        <v>0</v>
      </c>
      <c r="L283" s="1804">
        <v>0</v>
      </c>
      <c r="M283" s="1804">
        <v>0</v>
      </c>
      <c r="N283" s="1804">
        <v>0</v>
      </c>
      <c r="O283" s="1804">
        <v>0</v>
      </c>
      <c r="P283" s="1804">
        <v>0</v>
      </c>
      <c r="Q283" s="1804">
        <v>0</v>
      </c>
      <c r="R283" s="1804">
        <v>0</v>
      </c>
      <c r="S283" s="1804">
        <v>0</v>
      </c>
      <c r="T283" s="1804">
        <v>0</v>
      </c>
      <c r="U283" s="1804">
        <v>0</v>
      </c>
      <c r="V283" s="1804">
        <v>0</v>
      </c>
      <c r="W283" s="1804">
        <v>0</v>
      </c>
      <c r="X283" s="1804">
        <v>0</v>
      </c>
      <c r="Y283" s="1804">
        <v>0</v>
      </c>
      <c r="Z283" s="1804">
        <v>0</v>
      </c>
      <c r="AA283" s="1804">
        <v>0</v>
      </c>
      <c r="AB283" s="1804">
        <v>0</v>
      </c>
      <c r="AC283" s="1804">
        <v>0</v>
      </c>
      <c r="AD283" s="1804">
        <v>0</v>
      </c>
      <c r="AE283" s="1804">
        <v>0</v>
      </c>
      <c r="AF283" s="1804">
        <v>0</v>
      </c>
      <c r="AG283" s="1804">
        <v>0</v>
      </c>
      <c r="AH283" s="1804">
        <v>0</v>
      </c>
      <c r="AI283" s="1804">
        <v>0</v>
      </c>
      <c r="AJ283" s="1804">
        <v>0</v>
      </c>
      <c r="AK283" s="1804">
        <v>0</v>
      </c>
      <c r="AL283" s="1804">
        <v>0</v>
      </c>
      <c r="AM283" s="1804">
        <v>0</v>
      </c>
      <c r="AN283" s="1804">
        <v>0</v>
      </c>
      <c r="AO283" s="1804">
        <v>0</v>
      </c>
      <c r="AP283" s="1804">
        <v>0</v>
      </c>
      <c r="AQ283" s="1804">
        <v>0</v>
      </c>
      <c r="AR283" s="1804">
        <v>0</v>
      </c>
      <c r="AS283" s="1804">
        <v>0</v>
      </c>
      <c r="AT283" s="1804">
        <v>0</v>
      </c>
      <c r="AU283" s="1804">
        <v>0</v>
      </c>
      <c r="AV283" s="1804">
        <v>0</v>
      </c>
      <c r="AW283" s="1804">
        <v>0</v>
      </c>
      <c r="AX283" s="1804">
        <v>0</v>
      </c>
      <c r="AY283" s="1804">
        <v>0</v>
      </c>
      <c r="AZ283" s="1804">
        <v>0</v>
      </c>
      <c r="BA283" s="1804">
        <v>0</v>
      </c>
      <c r="BB283" s="1804">
        <v>0</v>
      </c>
      <c r="BC283" s="1804">
        <v>0</v>
      </c>
      <c r="BD283" s="1804">
        <v>0</v>
      </c>
      <c r="BE283" s="1804">
        <v>0</v>
      </c>
      <c r="BF283" s="1804">
        <v>0</v>
      </c>
      <c r="BG283" s="1804">
        <v>0</v>
      </c>
      <c r="BH283" s="1804">
        <v>0</v>
      </c>
      <c r="BI283" s="1804">
        <v>0</v>
      </c>
      <c r="BJ283" s="1804">
        <v>0</v>
      </c>
      <c r="BK283" s="1804">
        <v>0</v>
      </c>
      <c r="BL283" s="1804">
        <v>0</v>
      </c>
      <c r="BM283" s="1804">
        <v>0</v>
      </c>
      <c r="BN283" s="1804">
        <v>0</v>
      </c>
      <c r="BO283" s="1804">
        <v>0</v>
      </c>
      <c r="BP283" s="1804">
        <v>0</v>
      </c>
      <c r="BQ283" s="1804">
        <v>0</v>
      </c>
      <c r="BR283" s="1804">
        <v>0</v>
      </c>
      <c r="BS283" s="1804">
        <v>0</v>
      </c>
      <c r="BT283" s="1804">
        <v>0</v>
      </c>
      <c r="BU283" s="1804">
        <v>0</v>
      </c>
      <c r="BV283" s="1804">
        <v>0</v>
      </c>
      <c r="BW283" s="1804">
        <v>0</v>
      </c>
      <c r="BX283" s="1804">
        <v>0</v>
      </c>
      <c r="BY283" s="1804">
        <v>0</v>
      </c>
      <c r="BZ283" s="1804">
        <v>0</v>
      </c>
      <c r="CA283" s="1804">
        <v>0</v>
      </c>
      <c r="CB283" s="1804">
        <v>0</v>
      </c>
      <c r="CC283" s="1804">
        <v>0</v>
      </c>
      <c r="CD283" s="1804">
        <v>0</v>
      </c>
      <c r="CE283" s="1804">
        <v>0</v>
      </c>
      <c r="CF283" s="1804">
        <v>0</v>
      </c>
      <c r="CG283" s="1804">
        <v>0</v>
      </c>
      <c r="CH283" s="1804">
        <v>0</v>
      </c>
      <c r="CI283" s="1804">
        <v>0</v>
      </c>
      <c r="CJ283" s="1804">
        <v>0</v>
      </c>
      <c r="CK283" s="1804">
        <v>0</v>
      </c>
      <c r="CL283" s="1804">
        <v>0</v>
      </c>
      <c r="CM283" s="1804">
        <v>0</v>
      </c>
      <c r="CN283" s="1804">
        <v>0</v>
      </c>
      <c r="CO283" s="1804">
        <v>0</v>
      </c>
      <c r="CP283" s="1804">
        <v>0</v>
      </c>
      <c r="CQ283" s="1804">
        <v>0</v>
      </c>
      <c r="CR283" s="1804">
        <v>0</v>
      </c>
      <c r="CS283" s="1804">
        <v>0</v>
      </c>
      <c r="CT283" s="1804">
        <v>0</v>
      </c>
      <c r="CU283" s="1804">
        <v>0</v>
      </c>
      <c r="CV283" s="1804">
        <v>0</v>
      </c>
      <c r="CW283" s="1804">
        <v>0</v>
      </c>
      <c r="CX283" s="1804">
        <v>0</v>
      </c>
      <c r="CY283" s="1804">
        <v>0</v>
      </c>
      <c r="CZ283" s="1804">
        <v>0</v>
      </c>
      <c r="DA283" s="1804">
        <v>0</v>
      </c>
      <c r="DB283" s="1804">
        <v>0</v>
      </c>
      <c r="DC283" s="1804">
        <v>0</v>
      </c>
      <c r="DD283" s="1804">
        <v>0</v>
      </c>
      <c r="DE283" s="1804">
        <v>0</v>
      </c>
      <c r="DF283" s="1804">
        <v>0</v>
      </c>
      <c r="DG283" s="1804">
        <v>0</v>
      </c>
      <c r="DH283" s="1804">
        <v>0</v>
      </c>
      <c r="DI283" s="1804">
        <v>0</v>
      </c>
      <c r="DJ283" s="1804">
        <v>0</v>
      </c>
      <c r="DK283" s="1804">
        <v>0</v>
      </c>
      <c r="DL283" s="1804">
        <v>0</v>
      </c>
      <c r="DM283" s="1804">
        <v>0</v>
      </c>
      <c r="DN283" s="1804">
        <v>0</v>
      </c>
      <c r="DO283" s="1804">
        <v>0</v>
      </c>
      <c r="DP283" s="1804">
        <v>0</v>
      </c>
      <c r="DQ283" s="1804">
        <v>0</v>
      </c>
      <c r="DR283" s="1804">
        <v>0</v>
      </c>
      <c r="DS283" s="1804">
        <v>0</v>
      </c>
      <c r="DT283" s="1804">
        <v>0</v>
      </c>
      <c r="DU283" s="1804">
        <v>0</v>
      </c>
      <c r="DV283" s="1804">
        <v>0</v>
      </c>
      <c r="DW283" s="1804">
        <v>0</v>
      </c>
      <c r="DX283" s="1804">
        <v>0</v>
      </c>
      <c r="DY283" s="1804">
        <v>0</v>
      </c>
      <c r="DZ283" s="1804">
        <v>0</v>
      </c>
      <c r="EA283" s="1804">
        <v>0</v>
      </c>
      <c r="EB283" s="1804">
        <v>0</v>
      </c>
      <c r="EC283" s="1804">
        <v>0</v>
      </c>
      <c r="ED283" s="1804">
        <v>0</v>
      </c>
      <c r="EE283" s="1804">
        <v>0</v>
      </c>
      <c r="EF283" s="1804">
        <v>0</v>
      </c>
      <c r="EG283" s="1804">
        <v>0</v>
      </c>
      <c r="EH283" s="1804">
        <v>0</v>
      </c>
      <c r="EI283" s="1804">
        <v>0</v>
      </c>
      <c r="EJ283" s="1804">
        <v>0</v>
      </c>
      <c r="EK283" s="1804">
        <v>0</v>
      </c>
      <c r="EL283" s="1804">
        <v>0</v>
      </c>
      <c r="EM283" s="1804">
        <v>0</v>
      </c>
      <c r="EN283" s="1804">
        <v>0</v>
      </c>
      <c r="EO283" s="1804">
        <v>0</v>
      </c>
      <c r="EP283" s="1804">
        <v>0</v>
      </c>
      <c r="EQ283" s="1804">
        <v>0</v>
      </c>
      <c r="ER283" s="1804">
        <v>0</v>
      </c>
      <c r="ES283" s="1804">
        <v>0</v>
      </c>
      <c r="ET283" s="1804">
        <v>0</v>
      </c>
      <c r="EU283" s="1804">
        <v>0</v>
      </c>
      <c r="EV283" s="1804">
        <v>0</v>
      </c>
      <c r="EW283" s="1804">
        <v>0</v>
      </c>
      <c r="EX283" s="1804">
        <v>0</v>
      </c>
      <c r="EY283" s="1804">
        <v>0</v>
      </c>
      <c r="EZ283" s="1804">
        <v>0</v>
      </c>
      <c r="FA283" s="1804">
        <v>0</v>
      </c>
      <c r="FB283" s="1804">
        <v>0</v>
      </c>
      <c r="FC283" s="1804">
        <v>0</v>
      </c>
      <c r="FD283" s="1804">
        <v>0</v>
      </c>
      <c r="FE283" s="1804">
        <v>0</v>
      </c>
      <c r="FF283" s="1804">
        <v>0</v>
      </c>
      <c r="FG283" s="1804">
        <v>0</v>
      </c>
      <c r="FH283" s="1804">
        <v>0</v>
      </c>
      <c r="FI283" s="1804">
        <v>0</v>
      </c>
      <c r="FJ283" s="1804">
        <v>0</v>
      </c>
      <c r="FK283" s="1804">
        <v>0</v>
      </c>
      <c r="FL283" s="1804">
        <v>0</v>
      </c>
      <c r="FM283" s="1804">
        <v>0</v>
      </c>
      <c r="FN283" s="1804">
        <v>0</v>
      </c>
      <c r="FO283" s="1804">
        <v>0</v>
      </c>
      <c r="FP283" s="1804">
        <v>0</v>
      </c>
      <c r="FQ283" s="1804">
        <v>0</v>
      </c>
      <c r="FR283" s="1804">
        <v>0</v>
      </c>
      <c r="FS283" s="1804">
        <v>0</v>
      </c>
      <c r="FT283" s="1804">
        <v>0</v>
      </c>
      <c r="FU283" s="1804">
        <v>0</v>
      </c>
      <c r="FV283" s="1804">
        <v>0</v>
      </c>
      <c r="FW283" s="1804">
        <v>0</v>
      </c>
      <c r="FX283" s="1804">
        <v>0</v>
      </c>
      <c r="FY283" s="1804">
        <v>0</v>
      </c>
      <c r="FZ283" s="1804">
        <v>0</v>
      </c>
      <c r="GA283" s="1804">
        <v>0</v>
      </c>
      <c r="GB283" s="1804">
        <v>0</v>
      </c>
      <c r="GC283" s="1804">
        <v>0</v>
      </c>
      <c r="GD283" s="1804">
        <v>0</v>
      </c>
      <c r="GE283" s="1804">
        <v>0</v>
      </c>
      <c r="GF283" s="1804">
        <v>0</v>
      </c>
      <c r="GG283" s="1804">
        <v>0</v>
      </c>
      <c r="GH283" s="1804">
        <v>0</v>
      </c>
      <c r="GI283" s="1804">
        <v>0</v>
      </c>
      <c r="GJ283" s="1804">
        <v>0</v>
      </c>
      <c r="GK283" s="1804">
        <v>0</v>
      </c>
      <c r="GL283" s="1804">
        <v>0</v>
      </c>
      <c r="GM283" s="1804">
        <v>0</v>
      </c>
      <c r="GN283" s="1804">
        <v>0</v>
      </c>
      <c r="GO283" s="1804">
        <v>0</v>
      </c>
      <c r="GP283" s="1804">
        <v>0</v>
      </c>
      <c r="GQ283" s="1804">
        <v>0</v>
      </c>
      <c r="GR283" s="1804">
        <v>0</v>
      </c>
      <c r="GS283" s="1804">
        <v>0</v>
      </c>
      <c r="GT283" s="1804">
        <v>0</v>
      </c>
      <c r="GU283" s="1804">
        <v>0</v>
      </c>
      <c r="GV283" s="1804">
        <v>0</v>
      </c>
      <c r="GW283" s="1804">
        <v>0</v>
      </c>
      <c r="GX283" s="1804">
        <v>0</v>
      </c>
      <c r="GY283" s="1804">
        <v>0</v>
      </c>
      <c r="GZ283" s="1804">
        <v>0</v>
      </c>
      <c r="HA283" s="1804">
        <v>0</v>
      </c>
      <c r="HB283" s="1804">
        <v>0</v>
      </c>
      <c r="HC283" s="1804">
        <v>0</v>
      </c>
      <c r="HD283" s="1804">
        <v>0</v>
      </c>
      <c r="HE283" s="1804">
        <v>0</v>
      </c>
    </row>
    <row r="284" spans="1:213" ht="15" customHeight="1" x14ac:dyDescent="0.2">
      <c r="A284" s="1995"/>
      <c r="B284" s="1994"/>
      <c r="C284" s="1831" t="s">
        <v>830</v>
      </c>
      <c r="D284" s="1883"/>
      <c r="E284" s="1996"/>
      <c r="F284" s="1838">
        <v>0</v>
      </c>
      <c r="G284" s="1804">
        <v>0</v>
      </c>
      <c r="H284" s="1804">
        <v>0</v>
      </c>
      <c r="I284" s="1804">
        <v>0</v>
      </c>
      <c r="J284" s="1804">
        <v>0</v>
      </c>
      <c r="K284" s="1804">
        <v>0</v>
      </c>
      <c r="L284" s="1804">
        <v>0</v>
      </c>
      <c r="M284" s="1804">
        <v>0</v>
      </c>
      <c r="N284" s="1804">
        <v>0</v>
      </c>
      <c r="O284" s="1804">
        <v>0</v>
      </c>
      <c r="P284" s="1804">
        <v>0</v>
      </c>
      <c r="Q284" s="1804">
        <v>0</v>
      </c>
      <c r="R284" s="1804">
        <v>0</v>
      </c>
      <c r="S284" s="1804">
        <v>0</v>
      </c>
      <c r="T284" s="1804">
        <v>0</v>
      </c>
      <c r="U284" s="1804">
        <v>0</v>
      </c>
      <c r="V284" s="1804">
        <v>0</v>
      </c>
      <c r="W284" s="1804">
        <v>0</v>
      </c>
      <c r="X284" s="1804">
        <v>0</v>
      </c>
      <c r="Y284" s="1804">
        <v>0</v>
      </c>
      <c r="Z284" s="1804">
        <v>0</v>
      </c>
      <c r="AA284" s="1804">
        <v>0</v>
      </c>
      <c r="AB284" s="1804">
        <v>0</v>
      </c>
      <c r="AC284" s="1804">
        <v>0</v>
      </c>
      <c r="AD284" s="1804">
        <v>0</v>
      </c>
      <c r="AE284" s="1804">
        <v>0</v>
      </c>
      <c r="AF284" s="1804">
        <v>0</v>
      </c>
      <c r="AG284" s="1804">
        <v>0</v>
      </c>
      <c r="AH284" s="1804">
        <v>0</v>
      </c>
      <c r="AI284" s="1804">
        <v>0</v>
      </c>
      <c r="AJ284" s="1804">
        <v>0</v>
      </c>
      <c r="AK284" s="1804">
        <v>0</v>
      </c>
      <c r="AL284" s="1804">
        <v>0</v>
      </c>
      <c r="AM284" s="1804">
        <v>0</v>
      </c>
      <c r="AN284" s="1804">
        <v>0</v>
      </c>
      <c r="AO284" s="1804">
        <v>0</v>
      </c>
      <c r="AP284" s="1804">
        <v>0</v>
      </c>
      <c r="AQ284" s="1804">
        <v>0</v>
      </c>
      <c r="AR284" s="1804">
        <v>0</v>
      </c>
      <c r="AS284" s="1804">
        <v>0</v>
      </c>
      <c r="AT284" s="1804">
        <v>0</v>
      </c>
      <c r="AU284" s="1804">
        <v>0</v>
      </c>
      <c r="AV284" s="1804">
        <v>0</v>
      </c>
      <c r="AW284" s="1804">
        <v>0</v>
      </c>
      <c r="AX284" s="1804">
        <v>0</v>
      </c>
      <c r="AY284" s="1804">
        <v>0</v>
      </c>
      <c r="AZ284" s="1804">
        <v>0</v>
      </c>
      <c r="BA284" s="1804">
        <v>0</v>
      </c>
      <c r="BB284" s="1804">
        <v>0</v>
      </c>
      <c r="BC284" s="1804">
        <v>0</v>
      </c>
      <c r="BD284" s="1804">
        <v>0</v>
      </c>
      <c r="BE284" s="1804">
        <v>0</v>
      </c>
      <c r="BF284" s="1804">
        <v>0</v>
      </c>
      <c r="BG284" s="1804">
        <v>0</v>
      </c>
      <c r="BH284" s="1804">
        <v>0</v>
      </c>
      <c r="BI284" s="1804">
        <v>0</v>
      </c>
      <c r="BJ284" s="1804">
        <v>0</v>
      </c>
      <c r="BK284" s="1804">
        <v>0</v>
      </c>
      <c r="BL284" s="1804">
        <v>0</v>
      </c>
      <c r="BM284" s="1804">
        <v>0</v>
      </c>
      <c r="BN284" s="1804">
        <v>0</v>
      </c>
      <c r="BO284" s="1804">
        <v>0</v>
      </c>
      <c r="BP284" s="1804">
        <v>0</v>
      </c>
      <c r="BQ284" s="1804">
        <v>0</v>
      </c>
      <c r="BR284" s="1804">
        <v>0</v>
      </c>
      <c r="BS284" s="1804">
        <v>0</v>
      </c>
      <c r="BT284" s="1804">
        <v>0</v>
      </c>
      <c r="BU284" s="1804">
        <v>0</v>
      </c>
      <c r="BV284" s="1804">
        <v>0</v>
      </c>
      <c r="BW284" s="1804">
        <v>0</v>
      </c>
      <c r="BX284" s="1804">
        <v>0</v>
      </c>
      <c r="BY284" s="1804">
        <v>0</v>
      </c>
      <c r="BZ284" s="1804">
        <v>0</v>
      </c>
      <c r="CA284" s="1804">
        <v>0</v>
      </c>
      <c r="CB284" s="1804">
        <v>0</v>
      </c>
      <c r="CC284" s="1804">
        <v>0</v>
      </c>
      <c r="CD284" s="1804">
        <v>0</v>
      </c>
      <c r="CE284" s="1804">
        <v>0</v>
      </c>
      <c r="CF284" s="1804">
        <v>0</v>
      </c>
      <c r="CG284" s="1804">
        <v>0</v>
      </c>
      <c r="CH284" s="1804">
        <v>0</v>
      </c>
      <c r="CI284" s="1804">
        <v>0</v>
      </c>
      <c r="CJ284" s="1804">
        <v>0</v>
      </c>
      <c r="CK284" s="1804">
        <v>0</v>
      </c>
      <c r="CL284" s="1804">
        <v>0</v>
      </c>
      <c r="CM284" s="1804">
        <v>0</v>
      </c>
      <c r="CN284" s="1804">
        <v>0</v>
      </c>
      <c r="CO284" s="1804">
        <v>0</v>
      </c>
      <c r="CP284" s="1804">
        <v>0</v>
      </c>
      <c r="CQ284" s="1804">
        <v>0</v>
      </c>
      <c r="CR284" s="1804">
        <v>0</v>
      </c>
      <c r="CS284" s="1804">
        <v>0</v>
      </c>
      <c r="CT284" s="1804">
        <v>0</v>
      </c>
      <c r="CU284" s="1804">
        <v>0</v>
      </c>
      <c r="CV284" s="1804">
        <v>0</v>
      </c>
      <c r="CW284" s="1804">
        <v>0</v>
      </c>
      <c r="CX284" s="1804">
        <v>0</v>
      </c>
      <c r="CY284" s="1804">
        <v>0</v>
      </c>
      <c r="CZ284" s="1804">
        <v>0</v>
      </c>
      <c r="DA284" s="1804">
        <v>0</v>
      </c>
      <c r="DB284" s="1804">
        <v>0</v>
      </c>
      <c r="DC284" s="1804">
        <v>0</v>
      </c>
      <c r="DD284" s="1804">
        <v>0</v>
      </c>
      <c r="DE284" s="1804">
        <v>0</v>
      </c>
      <c r="DF284" s="1804">
        <v>0</v>
      </c>
      <c r="DG284" s="1804">
        <v>0</v>
      </c>
      <c r="DH284" s="1804">
        <v>0</v>
      </c>
      <c r="DI284" s="1804">
        <v>0</v>
      </c>
      <c r="DJ284" s="1804">
        <v>0</v>
      </c>
      <c r="DK284" s="1804">
        <v>0</v>
      </c>
      <c r="DL284" s="1804">
        <v>0</v>
      </c>
      <c r="DM284" s="1804">
        <v>0</v>
      </c>
      <c r="DN284" s="1804">
        <v>0</v>
      </c>
      <c r="DO284" s="1804">
        <v>0</v>
      </c>
      <c r="DP284" s="1804">
        <v>0</v>
      </c>
      <c r="DQ284" s="1804">
        <v>0</v>
      </c>
      <c r="DR284" s="1804">
        <v>0</v>
      </c>
      <c r="DS284" s="1804">
        <v>0</v>
      </c>
      <c r="DT284" s="1804">
        <v>0</v>
      </c>
      <c r="DU284" s="1804">
        <v>0</v>
      </c>
      <c r="DV284" s="1804">
        <v>0</v>
      </c>
      <c r="DW284" s="1804">
        <v>0</v>
      </c>
      <c r="DX284" s="1804">
        <v>0</v>
      </c>
      <c r="DY284" s="1804">
        <v>0</v>
      </c>
      <c r="DZ284" s="1804">
        <v>0</v>
      </c>
      <c r="EA284" s="1804">
        <v>0</v>
      </c>
      <c r="EB284" s="1804">
        <v>0</v>
      </c>
      <c r="EC284" s="1804">
        <v>0</v>
      </c>
      <c r="ED284" s="1804">
        <v>0</v>
      </c>
      <c r="EE284" s="1804">
        <v>0</v>
      </c>
      <c r="EF284" s="1804">
        <v>0</v>
      </c>
      <c r="EG284" s="1804">
        <v>0</v>
      </c>
      <c r="EH284" s="1804">
        <v>0</v>
      </c>
      <c r="EI284" s="1804">
        <v>0</v>
      </c>
      <c r="EJ284" s="1804">
        <v>0</v>
      </c>
      <c r="EK284" s="1804">
        <v>0</v>
      </c>
      <c r="EL284" s="1804">
        <v>0</v>
      </c>
      <c r="EM284" s="1804">
        <v>0</v>
      </c>
      <c r="EN284" s="1804">
        <v>0</v>
      </c>
      <c r="EO284" s="1804">
        <v>0</v>
      </c>
      <c r="EP284" s="1804">
        <v>0</v>
      </c>
      <c r="EQ284" s="1804">
        <v>0</v>
      </c>
      <c r="ER284" s="1804">
        <v>0</v>
      </c>
      <c r="ES284" s="1804">
        <v>0</v>
      </c>
      <c r="ET284" s="1804">
        <v>0</v>
      </c>
      <c r="EU284" s="1804">
        <v>0</v>
      </c>
      <c r="EV284" s="1804">
        <v>0</v>
      </c>
      <c r="EW284" s="1804">
        <v>0</v>
      </c>
      <c r="EX284" s="1804">
        <v>0</v>
      </c>
      <c r="EY284" s="1804">
        <v>0</v>
      </c>
      <c r="EZ284" s="1804">
        <v>0</v>
      </c>
      <c r="FA284" s="1804">
        <v>0</v>
      </c>
      <c r="FB284" s="1804">
        <v>0</v>
      </c>
      <c r="FC284" s="1804">
        <v>0</v>
      </c>
      <c r="FD284" s="1804">
        <v>0</v>
      </c>
      <c r="FE284" s="1804">
        <v>0</v>
      </c>
      <c r="FF284" s="1804">
        <v>0</v>
      </c>
      <c r="FG284" s="1804">
        <v>0</v>
      </c>
      <c r="FH284" s="1804">
        <v>0</v>
      </c>
      <c r="FI284" s="1804">
        <v>0</v>
      </c>
      <c r="FJ284" s="1804">
        <v>0</v>
      </c>
      <c r="FK284" s="1804">
        <v>0</v>
      </c>
      <c r="FL284" s="1804">
        <v>0</v>
      </c>
      <c r="FM284" s="1804">
        <v>0</v>
      </c>
      <c r="FN284" s="1804">
        <v>0</v>
      </c>
      <c r="FO284" s="1804">
        <v>0</v>
      </c>
      <c r="FP284" s="1804">
        <v>0</v>
      </c>
      <c r="FQ284" s="1804">
        <v>0</v>
      </c>
      <c r="FR284" s="1804">
        <v>0</v>
      </c>
      <c r="FS284" s="1804">
        <v>0</v>
      </c>
      <c r="FT284" s="1804">
        <v>0</v>
      </c>
      <c r="FU284" s="1804">
        <v>0</v>
      </c>
      <c r="FV284" s="1804">
        <v>0</v>
      </c>
      <c r="FW284" s="1804">
        <v>0</v>
      </c>
      <c r="FX284" s="1804">
        <v>0</v>
      </c>
      <c r="FY284" s="1804">
        <v>0</v>
      </c>
      <c r="FZ284" s="1804">
        <v>0</v>
      </c>
      <c r="GA284" s="1804">
        <v>0</v>
      </c>
      <c r="GB284" s="1804">
        <v>0</v>
      </c>
      <c r="GC284" s="1804">
        <v>0</v>
      </c>
      <c r="GD284" s="1804">
        <v>0</v>
      </c>
      <c r="GE284" s="1804">
        <v>0</v>
      </c>
      <c r="GF284" s="1804">
        <v>0</v>
      </c>
      <c r="GG284" s="1804">
        <v>0</v>
      </c>
      <c r="GH284" s="1804">
        <v>0</v>
      </c>
      <c r="GI284" s="1804">
        <v>0</v>
      </c>
      <c r="GJ284" s="1804">
        <v>0</v>
      </c>
      <c r="GK284" s="1804">
        <v>0</v>
      </c>
      <c r="GL284" s="1804">
        <v>0</v>
      </c>
      <c r="GM284" s="1804">
        <v>0</v>
      </c>
      <c r="GN284" s="1804">
        <v>0</v>
      </c>
      <c r="GO284" s="1804">
        <v>0</v>
      </c>
      <c r="GP284" s="1804">
        <v>0</v>
      </c>
      <c r="GQ284" s="1804">
        <v>0</v>
      </c>
      <c r="GR284" s="1804">
        <v>0</v>
      </c>
      <c r="GS284" s="1804">
        <v>0</v>
      </c>
      <c r="GT284" s="1804">
        <v>0</v>
      </c>
      <c r="GU284" s="1804">
        <v>0</v>
      </c>
      <c r="GV284" s="1804">
        <v>0</v>
      </c>
      <c r="GW284" s="1804">
        <v>0</v>
      </c>
      <c r="GX284" s="1804">
        <v>0</v>
      </c>
      <c r="GY284" s="1804">
        <v>0</v>
      </c>
      <c r="GZ284" s="1804">
        <v>0</v>
      </c>
      <c r="HA284" s="1804">
        <v>0</v>
      </c>
      <c r="HB284" s="1804">
        <v>0</v>
      </c>
      <c r="HC284" s="1804">
        <v>0</v>
      </c>
      <c r="HD284" s="1804">
        <v>0</v>
      </c>
      <c r="HE284" s="1804">
        <v>0</v>
      </c>
    </row>
    <row r="285" spans="1:213" ht="15" customHeight="1" x14ac:dyDescent="0.2">
      <c r="A285" s="1995"/>
      <c r="B285" s="1994"/>
      <c r="C285" s="1822" t="s">
        <v>108</v>
      </c>
      <c r="D285" s="1883"/>
      <c r="E285" s="1996"/>
      <c r="F285" s="1838">
        <v>0</v>
      </c>
      <c r="G285" s="1804">
        <v>0</v>
      </c>
      <c r="H285" s="1804">
        <v>0</v>
      </c>
      <c r="I285" s="1804">
        <v>0</v>
      </c>
      <c r="J285" s="1804">
        <v>0</v>
      </c>
      <c r="K285" s="1804">
        <v>0</v>
      </c>
      <c r="L285" s="1804">
        <v>0</v>
      </c>
      <c r="M285" s="1804">
        <v>0</v>
      </c>
      <c r="N285" s="1804">
        <v>0</v>
      </c>
      <c r="O285" s="1804">
        <v>0</v>
      </c>
      <c r="P285" s="1804">
        <v>0</v>
      </c>
      <c r="Q285" s="1804">
        <v>0</v>
      </c>
      <c r="R285" s="1804">
        <v>0</v>
      </c>
      <c r="S285" s="1804">
        <v>0</v>
      </c>
      <c r="T285" s="1804">
        <v>0</v>
      </c>
      <c r="U285" s="1804">
        <v>0</v>
      </c>
      <c r="V285" s="1804">
        <v>0</v>
      </c>
      <c r="W285" s="1804">
        <v>0</v>
      </c>
      <c r="X285" s="1804">
        <v>0</v>
      </c>
      <c r="Y285" s="1804">
        <v>0</v>
      </c>
      <c r="Z285" s="1804">
        <v>0</v>
      </c>
      <c r="AA285" s="1804">
        <v>0</v>
      </c>
      <c r="AB285" s="1804">
        <v>0</v>
      </c>
      <c r="AC285" s="1804">
        <v>0</v>
      </c>
      <c r="AD285" s="1804">
        <v>0</v>
      </c>
      <c r="AE285" s="1804">
        <v>0</v>
      </c>
      <c r="AF285" s="1804">
        <v>0</v>
      </c>
      <c r="AG285" s="1804">
        <v>0</v>
      </c>
      <c r="AH285" s="1804">
        <v>0</v>
      </c>
      <c r="AI285" s="1804">
        <v>0</v>
      </c>
      <c r="AJ285" s="1804">
        <v>0</v>
      </c>
      <c r="AK285" s="1804">
        <v>0</v>
      </c>
      <c r="AL285" s="1804">
        <v>0</v>
      </c>
      <c r="AM285" s="1804">
        <v>0</v>
      </c>
      <c r="AN285" s="1804">
        <v>0</v>
      </c>
      <c r="AO285" s="1804">
        <v>0</v>
      </c>
      <c r="AP285" s="1804">
        <v>0</v>
      </c>
      <c r="AQ285" s="1804">
        <v>0</v>
      </c>
      <c r="AR285" s="1804">
        <v>0</v>
      </c>
      <c r="AS285" s="1804">
        <v>0</v>
      </c>
      <c r="AT285" s="1804">
        <v>0</v>
      </c>
      <c r="AU285" s="1804">
        <v>0</v>
      </c>
      <c r="AV285" s="1804">
        <v>0</v>
      </c>
      <c r="AW285" s="1804">
        <v>0</v>
      </c>
      <c r="AX285" s="1804">
        <v>0</v>
      </c>
      <c r="AY285" s="1804">
        <v>0</v>
      </c>
      <c r="AZ285" s="1804">
        <v>0</v>
      </c>
      <c r="BA285" s="1804">
        <v>0</v>
      </c>
      <c r="BB285" s="1804">
        <v>0</v>
      </c>
      <c r="BC285" s="1804">
        <v>0</v>
      </c>
      <c r="BD285" s="1804">
        <v>0</v>
      </c>
      <c r="BE285" s="1804">
        <v>0</v>
      </c>
      <c r="BF285" s="1804">
        <v>0</v>
      </c>
      <c r="BG285" s="1804">
        <v>0</v>
      </c>
      <c r="BH285" s="1804">
        <v>0</v>
      </c>
      <c r="BI285" s="1804">
        <v>0</v>
      </c>
      <c r="BJ285" s="1804">
        <v>0</v>
      </c>
      <c r="BK285" s="1804">
        <v>0</v>
      </c>
      <c r="BL285" s="1804">
        <v>0</v>
      </c>
      <c r="BM285" s="1804">
        <v>0</v>
      </c>
      <c r="BN285" s="1804">
        <v>0</v>
      </c>
      <c r="BO285" s="1804">
        <v>0</v>
      </c>
      <c r="BP285" s="1804">
        <v>0</v>
      </c>
      <c r="BQ285" s="1804">
        <v>0</v>
      </c>
      <c r="BR285" s="1804">
        <v>0</v>
      </c>
      <c r="BS285" s="1804">
        <v>0</v>
      </c>
      <c r="BT285" s="1804">
        <v>0</v>
      </c>
      <c r="BU285" s="1804">
        <v>0</v>
      </c>
      <c r="BV285" s="1804">
        <v>0</v>
      </c>
      <c r="BW285" s="1804">
        <v>0</v>
      </c>
      <c r="BX285" s="1804">
        <v>0</v>
      </c>
      <c r="BY285" s="1804">
        <v>0</v>
      </c>
      <c r="BZ285" s="1804">
        <v>0</v>
      </c>
      <c r="CA285" s="1804">
        <v>0</v>
      </c>
      <c r="CB285" s="1804">
        <v>0</v>
      </c>
      <c r="CC285" s="1804">
        <v>0</v>
      </c>
      <c r="CD285" s="1804">
        <v>0</v>
      </c>
      <c r="CE285" s="1804">
        <v>0</v>
      </c>
      <c r="CF285" s="1804">
        <v>0</v>
      </c>
      <c r="CG285" s="1804">
        <v>0</v>
      </c>
      <c r="CH285" s="1804">
        <v>0</v>
      </c>
      <c r="CI285" s="1804">
        <v>0</v>
      </c>
      <c r="CJ285" s="1804">
        <v>0</v>
      </c>
      <c r="CK285" s="1804">
        <v>0</v>
      </c>
      <c r="CL285" s="1804">
        <v>0</v>
      </c>
      <c r="CM285" s="1804">
        <v>0</v>
      </c>
      <c r="CN285" s="1804">
        <v>0</v>
      </c>
      <c r="CO285" s="1804">
        <v>0</v>
      </c>
      <c r="CP285" s="1804">
        <v>0</v>
      </c>
      <c r="CQ285" s="1804">
        <v>0</v>
      </c>
      <c r="CR285" s="1804">
        <v>0</v>
      </c>
      <c r="CS285" s="1804">
        <v>0</v>
      </c>
      <c r="CT285" s="1804">
        <v>0</v>
      </c>
      <c r="CU285" s="1804">
        <v>0</v>
      </c>
      <c r="CV285" s="1804">
        <v>0</v>
      </c>
      <c r="CW285" s="1804">
        <v>0</v>
      </c>
      <c r="CX285" s="1804">
        <v>0</v>
      </c>
      <c r="CY285" s="1804">
        <v>0</v>
      </c>
      <c r="CZ285" s="1804">
        <v>0</v>
      </c>
      <c r="DA285" s="1804">
        <v>0</v>
      </c>
      <c r="DB285" s="1804">
        <v>0</v>
      </c>
      <c r="DC285" s="1804">
        <v>0</v>
      </c>
      <c r="DD285" s="1804">
        <v>0</v>
      </c>
      <c r="DE285" s="1804">
        <v>0</v>
      </c>
      <c r="DF285" s="1804">
        <v>0</v>
      </c>
      <c r="DG285" s="1804">
        <v>0</v>
      </c>
      <c r="DH285" s="1804">
        <v>0</v>
      </c>
      <c r="DI285" s="1804">
        <v>0</v>
      </c>
      <c r="DJ285" s="1804">
        <v>0</v>
      </c>
      <c r="DK285" s="1804">
        <v>0</v>
      </c>
      <c r="DL285" s="1804">
        <v>0</v>
      </c>
      <c r="DM285" s="1804">
        <v>0</v>
      </c>
      <c r="DN285" s="1804">
        <v>0</v>
      </c>
      <c r="DO285" s="1804">
        <v>0</v>
      </c>
      <c r="DP285" s="1804">
        <v>0</v>
      </c>
      <c r="DQ285" s="1804">
        <v>0</v>
      </c>
      <c r="DR285" s="1804">
        <v>0</v>
      </c>
      <c r="DS285" s="1804">
        <v>0</v>
      </c>
      <c r="DT285" s="1804">
        <v>0</v>
      </c>
      <c r="DU285" s="1804">
        <v>0</v>
      </c>
      <c r="DV285" s="1804">
        <v>0</v>
      </c>
      <c r="DW285" s="1804">
        <v>0</v>
      </c>
      <c r="DX285" s="1804">
        <v>0</v>
      </c>
      <c r="DY285" s="1804">
        <v>0</v>
      </c>
      <c r="DZ285" s="1804">
        <v>0</v>
      </c>
      <c r="EA285" s="1804">
        <v>0</v>
      </c>
      <c r="EB285" s="1804">
        <v>0</v>
      </c>
      <c r="EC285" s="1804">
        <v>0</v>
      </c>
      <c r="ED285" s="1804">
        <v>0</v>
      </c>
      <c r="EE285" s="1804">
        <v>0</v>
      </c>
      <c r="EF285" s="1804">
        <v>0</v>
      </c>
      <c r="EG285" s="1804">
        <v>0</v>
      </c>
      <c r="EH285" s="1804">
        <v>0</v>
      </c>
      <c r="EI285" s="1804">
        <v>0</v>
      </c>
      <c r="EJ285" s="1804">
        <v>0</v>
      </c>
      <c r="EK285" s="1804">
        <v>0</v>
      </c>
      <c r="EL285" s="1804">
        <v>0</v>
      </c>
      <c r="EM285" s="1804">
        <v>0</v>
      </c>
      <c r="EN285" s="1804">
        <v>0</v>
      </c>
      <c r="EO285" s="1804">
        <v>0</v>
      </c>
      <c r="EP285" s="1804">
        <v>0</v>
      </c>
      <c r="EQ285" s="1804">
        <v>0</v>
      </c>
      <c r="ER285" s="1804">
        <v>0</v>
      </c>
      <c r="ES285" s="1804">
        <v>0</v>
      </c>
      <c r="ET285" s="1804">
        <v>0</v>
      </c>
      <c r="EU285" s="1804">
        <v>0</v>
      </c>
      <c r="EV285" s="1804">
        <v>0</v>
      </c>
      <c r="EW285" s="1804">
        <v>0</v>
      </c>
      <c r="EX285" s="1804">
        <v>0</v>
      </c>
      <c r="EY285" s="1804">
        <v>0</v>
      </c>
      <c r="EZ285" s="1804">
        <v>0</v>
      </c>
      <c r="FA285" s="1804">
        <v>0</v>
      </c>
      <c r="FB285" s="1804">
        <v>0</v>
      </c>
      <c r="FC285" s="1804">
        <v>0</v>
      </c>
      <c r="FD285" s="1804">
        <v>0</v>
      </c>
      <c r="FE285" s="1804">
        <v>0</v>
      </c>
      <c r="FF285" s="1804">
        <v>0</v>
      </c>
      <c r="FG285" s="1804">
        <v>0</v>
      </c>
      <c r="FH285" s="1804">
        <v>0</v>
      </c>
      <c r="FI285" s="1804">
        <v>0</v>
      </c>
      <c r="FJ285" s="1804">
        <v>0</v>
      </c>
      <c r="FK285" s="1804">
        <v>0</v>
      </c>
      <c r="FL285" s="1804">
        <v>0</v>
      </c>
      <c r="FM285" s="1804">
        <v>0</v>
      </c>
      <c r="FN285" s="1804">
        <v>0</v>
      </c>
      <c r="FO285" s="1804">
        <v>0</v>
      </c>
      <c r="FP285" s="1804">
        <v>0</v>
      </c>
      <c r="FQ285" s="1804">
        <v>0</v>
      </c>
      <c r="FR285" s="1804">
        <v>0</v>
      </c>
      <c r="FS285" s="1804">
        <v>0</v>
      </c>
      <c r="FT285" s="1804">
        <v>0</v>
      </c>
      <c r="FU285" s="1804">
        <v>0</v>
      </c>
      <c r="FV285" s="1804">
        <v>0</v>
      </c>
      <c r="FW285" s="1804">
        <v>0</v>
      </c>
      <c r="FX285" s="1804">
        <v>0</v>
      </c>
      <c r="FY285" s="1804">
        <v>0</v>
      </c>
      <c r="FZ285" s="1804">
        <v>0</v>
      </c>
      <c r="GA285" s="1804">
        <v>0</v>
      </c>
      <c r="GB285" s="1804">
        <v>0</v>
      </c>
      <c r="GC285" s="1804">
        <v>0</v>
      </c>
      <c r="GD285" s="1804">
        <v>0</v>
      </c>
      <c r="GE285" s="1804">
        <v>0</v>
      </c>
      <c r="GF285" s="1804">
        <v>0</v>
      </c>
      <c r="GG285" s="1804">
        <v>0</v>
      </c>
      <c r="GH285" s="1804">
        <v>0</v>
      </c>
      <c r="GI285" s="1804">
        <v>0</v>
      </c>
      <c r="GJ285" s="1804">
        <v>0</v>
      </c>
      <c r="GK285" s="1804">
        <v>0</v>
      </c>
      <c r="GL285" s="1804">
        <v>0</v>
      </c>
      <c r="GM285" s="1804">
        <v>0</v>
      </c>
      <c r="GN285" s="1804">
        <v>0</v>
      </c>
      <c r="GO285" s="1804">
        <v>0</v>
      </c>
      <c r="GP285" s="1804">
        <v>0</v>
      </c>
      <c r="GQ285" s="1804">
        <v>0</v>
      </c>
      <c r="GR285" s="1804">
        <v>0</v>
      </c>
      <c r="GS285" s="1804">
        <v>0</v>
      </c>
      <c r="GT285" s="1804">
        <v>0</v>
      </c>
      <c r="GU285" s="1804">
        <v>0</v>
      </c>
      <c r="GV285" s="1804">
        <v>0</v>
      </c>
      <c r="GW285" s="1804">
        <v>0</v>
      </c>
      <c r="GX285" s="1804">
        <v>0</v>
      </c>
      <c r="GY285" s="1804">
        <v>0</v>
      </c>
      <c r="GZ285" s="1804">
        <v>0</v>
      </c>
      <c r="HA285" s="1804">
        <v>0</v>
      </c>
      <c r="HB285" s="1804">
        <v>0</v>
      </c>
      <c r="HC285" s="1804">
        <v>0</v>
      </c>
      <c r="HD285" s="1804">
        <v>0</v>
      </c>
      <c r="HE285" s="1804">
        <v>0</v>
      </c>
    </row>
    <row r="286" spans="1:213" ht="15" customHeight="1" thickBot="1" x14ac:dyDescent="0.25">
      <c r="A286" s="1995"/>
      <c r="B286" s="1994"/>
      <c r="C286" s="1822" t="s">
        <v>566</v>
      </c>
      <c r="D286" s="1883"/>
      <c r="E286" s="1996"/>
      <c r="F286" s="1838">
        <v>0</v>
      </c>
      <c r="G286" s="1804">
        <v>0</v>
      </c>
      <c r="H286" s="1804">
        <v>0</v>
      </c>
      <c r="I286" s="1804">
        <v>0</v>
      </c>
      <c r="J286" s="1804">
        <v>0</v>
      </c>
      <c r="K286" s="1804">
        <v>0</v>
      </c>
      <c r="L286" s="1804">
        <v>0</v>
      </c>
      <c r="M286" s="1804">
        <v>0</v>
      </c>
      <c r="N286" s="1804">
        <v>0</v>
      </c>
      <c r="O286" s="1804">
        <v>0</v>
      </c>
      <c r="P286" s="1804">
        <v>0</v>
      </c>
      <c r="Q286" s="1804">
        <v>0</v>
      </c>
      <c r="R286" s="1804">
        <v>0</v>
      </c>
      <c r="S286" s="1804">
        <v>0</v>
      </c>
      <c r="T286" s="1804">
        <v>0</v>
      </c>
      <c r="U286" s="1804">
        <v>0</v>
      </c>
      <c r="V286" s="1804">
        <v>0</v>
      </c>
      <c r="W286" s="1804">
        <v>0</v>
      </c>
      <c r="X286" s="1804">
        <v>0</v>
      </c>
      <c r="Y286" s="1804">
        <v>0</v>
      </c>
      <c r="Z286" s="1804">
        <v>0</v>
      </c>
      <c r="AA286" s="1804">
        <v>0</v>
      </c>
      <c r="AB286" s="1804">
        <v>0</v>
      </c>
      <c r="AC286" s="1804">
        <v>0</v>
      </c>
      <c r="AD286" s="1804">
        <v>0</v>
      </c>
      <c r="AE286" s="1804">
        <v>0</v>
      </c>
      <c r="AF286" s="1804">
        <v>0</v>
      </c>
      <c r="AG286" s="1804">
        <v>0</v>
      </c>
      <c r="AH286" s="1804">
        <v>0</v>
      </c>
      <c r="AI286" s="1804">
        <v>0</v>
      </c>
      <c r="AJ286" s="1804">
        <v>0</v>
      </c>
      <c r="AK286" s="1804">
        <v>0</v>
      </c>
      <c r="AL286" s="1804">
        <v>0</v>
      </c>
      <c r="AM286" s="1804">
        <v>0</v>
      </c>
      <c r="AN286" s="1804">
        <v>0</v>
      </c>
      <c r="AO286" s="1804">
        <v>0</v>
      </c>
      <c r="AP286" s="1804">
        <v>0</v>
      </c>
      <c r="AQ286" s="1804">
        <v>0</v>
      </c>
      <c r="AR286" s="1804">
        <v>0</v>
      </c>
      <c r="AS286" s="1804">
        <v>0</v>
      </c>
      <c r="AT286" s="1804">
        <v>0</v>
      </c>
      <c r="AU286" s="1804">
        <v>0</v>
      </c>
      <c r="AV286" s="1804">
        <v>0</v>
      </c>
      <c r="AW286" s="1804">
        <v>0</v>
      </c>
      <c r="AX286" s="1804">
        <v>0</v>
      </c>
      <c r="AY286" s="1804">
        <v>0</v>
      </c>
      <c r="AZ286" s="1804">
        <v>0</v>
      </c>
      <c r="BA286" s="1804">
        <v>0</v>
      </c>
      <c r="BB286" s="1804">
        <v>0</v>
      </c>
      <c r="BC286" s="1804">
        <v>0</v>
      </c>
      <c r="BD286" s="1804">
        <v>0</v>
      </c>
      <c r="BE286" s="1804">
        <v>0</v>
      </c>
      <c r="BF286" s="1804">
        <v>0</v>
      </c>
      <c r="BG286" s="1804">
        <v>0</v>
      </c>
      <c r="BH286" s="1804">
        <v>0</v>
      </c>
      <c r="BI286" s="1804">
        <v>0</v>
      </c>
      <c r="BJ286" s="1804">
        <v>0</v>
      </c>
      <c r="BK286" s="1804">
        <v>0</v>
      </c>
      <c r="BL286" s="1804">
        <v>0</v>
      </c>
      <c r="BM286" s="1804">
        <v>0</v>
      </c>
      <c r="BN286" s="1804">
        <v>0</v>
      </c>
      <c r="BO286" s="1804">
        <v>0</v>
      </c>
      <c r="BP286" s="1804">
        <v>0</v>
      </c>
      <c r="BQ286" s="1804">
        <v>0</v>
      </c>
      <c r="BR286" s="1804">
        <v>0</v>
      </c>
      <c r="BS286" s="1804">
        <v>0</v>
      </c>
      <c r="BT286" s="1804">
        <v>0</v>
      </c>
      <c r="BU286" s="1804">
        <v>0</v>
      </c>
      <c r="BV286" s="1804">
        <v>0</v>
      </c>
      <c r="BW286" s="1804">
        <v>0</v>
      </c>
      <c r="BX286" s="1804">
        <v>0</v>
      </c>
      <c r="BY286" s="1804">
        <v>0</v>
      </c>
      <c r="BZ286" s="1804">
        <v>0</v>
      </c>
      <c r="CA286" s="1804">
        <v>0</v>
      </c>
      <c r="CB286" s="1804">
        <v>0</v>
      </c>
      <c r="CC286" s="1804">
        <v>0</v>
      </c>
      <c r="CD286" s="1804">
        <v>0</v>
      </c>
      <c r="CE286" s="1804">
        <v>0</v>
      </c>
      <c r="CF286" s="1804">
        <v>0</v>
      </c>
      <c r="CG286" s="1804">
        <v>0</v>
      </c>
      <c r="CH286" s="1804">
        <v>0</v>
      </c>
      <c r="CI286" s="1804">
        <v>0</v>
      </c>
      <c r="CJ286" s="1804">
        <v>0</v>
      </c>
      <c r="CK286" s="1804">
        <v>0</v>
      </c>
      <c r="CL286" s="1804">
        <v>0</v>
      </c>
      <c r="CM286" s="1804">
        <v>0</v>
      </c>
      <c r="CN286" s="1804">
        <v>0</v>
      </c>
      <c r="CO286" s="1804">
        <v>0</v>
      </c>
      <c r="CP286" s="1804">
        <v>0</v>
      </c>
      <c r="CQ286" s="1804">
        <v>0</v>
      </c>
      <c r="CR286" s="1804">
        <v>0</v>
      </c>
      <c r="CS286" s="1804">
        <v>0</v>
      </c>
      <c r="CT286" s="1804">
        <v>0</v>
      </c>
      <c r="CU286" s="1804">
        <v>0</v>
      </c>
      <c r="CV286" s="1804">
        <v>0</v>
      </c>
      <c r="CW286" s="1804">
        <v>0</v>
      </c>
      <c r="CX286" s="1804">
        <v>0</v>
      </c>
      <c r="CY286" s="1804">
        <v>0</v>
      </c>
      <c r="CZ286" s="1804">
        <v>0</v>
      </c>
      <c r="DA286" s="1804">
        <v>0</v>
      </c>
      <c r="DB286" s="1804">
        <v>0</v>
      </c>
      <c r="DC286" s="1804">
        <v>0</v>
      </c>
      <c r="DD286" s="1804">
        <v>0</v>
      </c>
      <c r="DE286" s="1804">
        <v>0</v>
      </c>
      <c r="DF286" s="1804">
        <v>0</v>
      </c>
      <c r="DG286" s="1804">
        <v>0</v>
      </c>
      <c r="DH286" s="1804">
        <v>0</v>
      </c>
      <c r="DI286" s="1804">
        <v>0</v>
      </c>
      <c r="DJ286" s="1804">
        <v>0</v>
      </c>
      <c r="DK286" s="1804">
        <v>0</v>
      </c>
      <c r="DL286" s="1804">
        <v>0</v>
      </c>
      <c r="DM286" s="1804">
        <v>0</v>
      </c>
      <c r="DN286" s="1804">
        <v>0</v>
      </c>
      <c r="DO286" s="1804">
        <v>0</v>
      </c>
      <c r="DP286" s="1804">
        <v>0</v>
      </c>
      <c r="DQ286" s="1804">
        <v>0</v>
      </c>
      <c r="DR286" s="1804">
        <v>0</v>
      </c>
      <c r="DS286" s="1804">
        <v>0</v>
      </c>
      <c r="DT286" s="1804">
        <v>0</v>
      </c>
      <c r="DU286" s="1804">
        <v>0</v>
      </c>
      <c r="DV286" s="1804">
        <v>0</v>
      </c>
      <c r="DW286" s="1804">
        <v>0</v>
      </c>
      <c r="DX286" s="1804">
        <v>0</v>
      </c>
      <c r="DY286" s="1804">
        <v>0</v>
      </c>
      <c r="DZ286" s="1804">
        <v>0</v>
      </c>
      <c r="EA286" s="1804">
        <v>0</v>
      </c>
      <c r="EB286" s="1804">
        <v>0</v>
      </c>
      <c r="EC286" s="1804">
        <v>0</v>
      </c>
      <c r="ED286" s="1804">
        <v>0</v>
      </c>
      <c r="EE286" s="1804">
        <v>0</v>
      </c>
      <c r="EF286" s="1804">
        <v>0</v>
      </c>
      <c r="EG286" s="1804">
        <v>0</v>
      </c>
      <c r="EH286" s="1804">
        <v>0</v>
      </c>
      <c r="EI286" s="1804">
        <v>0</v>
      </c>
      <c r="EJ286" s="1804">
        <v>0</v>
      </c>
      <c r="EK286" s="1804">
        <v>0</v>
      </c>
      <c r="EL286" s="1804">
        <v>0</v>
      </c>
      <c r="EM286" s="1804">
        <v>0</v>
      </c>
      <c r="EN286" s="1804">
        <v>0</v>
      </c>
      <c r="EO286" s="1804">
        <v>0</v>
      </c>
      <c r="EP286" s="1804">
        <v>0</v>
      </c>
      <c r="EQ286" s="1804">
        <v>0</v>
      </c>
      <c r="ER286" s="1804">
        <v>0</v>
      </c>
      <c r="ES286" s="1804">
        <v>0</v>
      </c>
      <c r="ET286" s="1804">
        <v>0</v>
      </c>
      <c r="EU286" s="1804">
        <v>0</v>
      </c>
      <c r="EV286" s="1804">
        <v>0</v>
      </c>
      <c r="EW286" s="1804">
        <v>0</v>
      </c>
      <c r="EX286" s="1804">
        <v>0</v>
      </c>
      <c r="EY286" s="1804">
        <v>0</v>
      </c>
      <c r="EZ286" s="1804">
        <v>0</v>
      </c>
      <c r="FA286" s="1804">
        <v>0</v>
      </c>
      <c r="FB286" s="1804">
        <v>0</v>
      </c>
      <c r="FC286" s="1804">
        <v>0</v>
      </c>
      <c r="FD286" s="1804">
        <v>0</v>
      </c>
      <c r="FE286" s="1804">
        <v>0</v>
      </c>
      <c r="FF286" s="1804">
        <v>0</v>
      </c>
      <c r="FG286" s="1804">
        <v>0</v>
      </c>
      <c r="FH286" s="1804">
        <v>0</v>
      </c>
      <c r="FI286" s="1804">
        <v>0</v>
      </c>
      <c r="FJ286" s="1804">
        <v>0</v>
      </c>
      <c r="FK286" s="1804">
        <v>0</v>
      </c>
      <c r="FL286" s="1804">
        <v>0</v>
      </c>
      <c r="FM286" s="1804">
        <v>0</v>
      </c>
      <c r="FN286" s="1804">
        <v>0</v>
      </c>
      <c r="FO286" s="1804">
        <v>0</v>
      </c>
      <c r="FP286" s="1804">
        <v>0</v>
      </c>
      <c r="FQ286" s="1804">
        <v>0</v>
      </c>
      <c r="FR286" s="1804">
        <v>0</v>
      </c>
      <c r="FS286" s="1804">
        <v>0</v>
      </c>
      <c r="FT286" s="1804">
        <v>0</v>
      </c>
      <c r="FU286" s="1804">
        <v>0</v>
      </c>
      <c r="FV286" s="1804">
        <v>0</v>
      </c>
      <c r="FW286" s="1804">
        <v>0</v>
      </c>
      <c r="FX286" s="1804">
        <v>0</v>
      </c>
      <c r="FY286" s="1804">
        <v>0</v>
      </c>
      <c r="FZ286" s="1804">
        <v>0</v>
      </c>
      <c r="GA286" s="1804">
        <v>0</v>
      </c>
      <c r="GB286" s="1804">
        <v>0</v>
      </c>
      <c r="GC286" s="1804">
        <v>0</v>
      </c>
      <c r="GD286" s="1804">
        <v>0</v>
      </c>
      <c r="GE286" s="1804">
        <v>0</v>
      </c>
      <c r="GF286" s="1804">
        <v>0</v>
      </c>
      <c r="GG286" s="1804">
        <v>0</v>
      </c>
      <c r="GH286" s="1804">
        <v>0</v>
      </c>
      <c r="GI286" s="1804">
        <v>0</v>
      </c>
      <c r="GJ286" s="1804">
        <v>0</v>
      </c>
      <c r="GK286" s="1804">
        <v>0</v>
      </c>
      <c r="GL286" s="1804">
        <v>0</v>
      </c>
      <c r="GM286" s="1804">
        <v>0</v>
      </c>
      <c r="GN286" s="1804">
        <v>0</v>
      </c>
      <c r="GO286" s="1804">
        <v>0</v>
      </c>
      <c r="GP286" s="1804">
        <v>0</v>
      </c>
      <c r="GQ286" s="1804">
        <v>0</v>
      </c>
      <c r="GR286" s="1804">
        <v>0</v>
      </c>
      <c r="GS286" s="1804">
        <v>0</v>
      </c>
      <c r="GT286" s="1804">
        <v>0</v>
      </c>
      <c r="GU286" s="1804">
        <v>0</v>
      </c>
      <c r="GV286" s="1804">
        <v>0</v>
      </c>
      <c r="GW286" s="1804">
        <v>0</v>
      </c>
      <c r="GX286" s="1804">
        <v>0</v>
      </c>
      <c r="GY286" s="1804">
        <v>0</v>
      </c>
      <c r="GZ286" s="1804">
        <v>0</v>
      </c>
      <c r="HA286" s="1804">
        <v>0</v>
      </c>
      <c r="HB286" s="1804">
        <v>0</v>
      </c>
      <c r="HC286" s="1804">
        <v>0</v>
      </c>
      <c r="HD286" s="1804">
        <v>0</v>
      </c>
      <c r="HE286" s="1804">
        <v>0</v>
      </c>
    </row>
    <row r="287" spans="1:213" ht="30" customHeight="1" thickBot="1" x14ac:dyDescent="0.25">
      <c r="A287" s="1949" t="s">
        <v>287</v>
      </c>
      <c r="B287" s="1988" t="s">
        <v>778</v>
      </c>
      <c r="C287" s="1699" t="s">
        <v>868</v>
      </c>
      <c r="D287" s="1880"/>
      <c r="E287" s="1984"/>
      <c r="F287" s="1865"/>
      <c r="G287" s="1866"/>
      <c r="H287" s="1866"/>
      <c r="I287" s="1866"/>
      <c r="J287" s="1866"/>
      <c r="K287" s="1866"/>
      <c r="L287" s="1866"/>
      <c r="M287" s="1866"/>
      <c r="N287" s="1866"/>
      <c r="O287" s="1866"/>
      <c r="P287" s="1866"/>
      <c r="Q287" s="1866"/>
      <c r="R287" s="1866"/>
      <c r="S287" s="1866"/>
      <c r="T287" s="1866"/>
      <c r="U287" s="1866"/>
      <c r="V287" s="1866"/>
      <c r="W287" s="1866"/>
      <c r="X287" s="1866"/>
      <c r="Y287" s="1866"/>
      <c r="Z287" s="1866"/>
      <c r="AA287" s="1866"/>
      <c r="AB287" s="1866"/>
      <c r="AC287" s="1866"/>
      <c r="AD287" s="1866"/>
      <c r="AE287" s="1866"/>
      <c r="AF287" s="1866"/>
      <c r="AG287" s="1866"/>
      <c r="AH287" s="1866"/>
      <c r="AI287" s="1866"/>
      <c r="AJ287" s="1866"/>
      <c r="AK287" s="1866"/>
      <c r="AL287" s="1866"/>
      <c r="AM287" s="1866"/>
      <c r="AN287" s="1866"/>
      <c r="AO287" s="1866"/>
      <c r="AP287" s="1866"/>
      <c r="AQ287" s="1866"/>
      <c r="AR287" s="1866"/>
      <c r="AS287" s="1866"/>
      <c r="AT287" s="1866"/>
      <c r="AU287" s="1866"/>
      <c r="AV287" s="1866"/>
      <c r="AW287" s="1866"/>
      <c r="AX287" s="1866"/>
      <c r="AY287" s="1866"/>
      <c r="AZ287" s="1866"/>
      <c r="BA287" s="1866"/>
      <c r="BB287" s="1866"/>
      <c r="BC287" s="1866"/>
      <c r="BD287" s="1866"/>
      <c r="BE287" s="1866"/>
      <c r="BF287" s="1866"/>
      <c r="BG287" s="1866"/>
      <c r="BH287" s="1866"/>
      <c r="BI287" s="1866"/>
      <c r="BJ287" s="1866"/>
      <c r="BK287" s="1866"/>
      <c r="BL287" s="1866"/>
      <c r="BM287" s="1866"/>
      <c r="BN287" s="1866"/>
      <c r="BO287" s="1866"/>
      <c r="BP287" s="1866"/>
      <c r="BQ287" s="1866"/>
      <c r="BR287" s="1866"/>
      <c r="BS287" s="1866"/>
      <c r="BT287" s="1866"/>
      <c r="BU287" s="1866"/>
      <c r="BV287" s="1866"/>
      <c r="BW287" s="1866"/>
      <c r="BX287" s="1866"/>
      <c r="BY287" s="1866"/>
      <c r="BZ287" s="1866"/>
      <c r="CA287" s="1866"/>
      <c r="CB287" s="1866"/>
      <c r="CC287" s="1866"/>
      <c r="CD287" s="1866"/>
      <c r="CE287" s="1866"/>
      <c r="CF287" s="1866"/>
      <c r="CG287" s="1866"/>
      <c r="CH287" s="1866"/>
      <c r="CI287" s="1866"/>
      <c r="CJ287" s="1866"/>
      <c r="CK287" s="1866"/>
      <c r="CL287" s="1866"/>
      <c r="CM287" s="1866"/>
      <c r="CN287" s="1866"/>
      <c r="CO287" s="1866"/>
      <c r="CP287" s="1866"/>
      <c r="CQ287" s="1866"/>
      <c r="CR287" s="1866"/>
      <c r="CS287" s="1866"/>
      <c r="CT287" s="1866"/>
      <c r="CU287" s="1866"/>
      <c r="CV287" s="1866"/>
      <c r="CW287" s="1866"/>
      <c r="CX287" s="1866"/>
      <c r="CY287" s="1866"/>
      <c r="CZ287" s="1866"/>
      <c r="DA287" s="1866"/>
      <c r="DB287" s="1866"/>
      <c r="DC287" s="1866"/>
      <c r="DD287" s="1866"/>
      <c r="DE287" s="1866"/>
      <c r="DF287" s="1866"/>
      <c r="DG287" s="1866"/>
      <c r="DH287" s="1866"/>
      <c r="DI287" s="1866"/>
      <c r="DJ287" s="1866"/>
      <c r="DK287" s="1866"/>
      <c r="DL287" s="1866"/>
      <c r="DM287" s="1866"/>
      <c r="DN287" s="1866"/>
      <c r="DO287" s="1866"/>
      <c r="DP287" s="1866"/>
      <c r="DQ287" s="1866"/>
      <c r="DR287" s="1866"/>
      <c r="DS287" s="1866"/>
      <c r="DT287" s="1866"/>
      <c r="DU287" s="1866"/>
      <c r="DV287" s="1866"/>
      <c r="DW287" s="1866"/>
      <c r="DX287" s="1866"/>
      <c r="DY287" s="1866"/>
      <c r="DZ287" s="1866"/>
      <c r="EA287" s="1866"/>
      <c r="EB287" s="1866"/>
      <c r="EC287" s="1866"/>
      <c r="ED287" s="1866"/>
      <c r="EE287" s="1866"/>
      <c r="EF287" s="1866"/>
      <c r="EG287" s="1866"/>
      <c r="EH287" s="1866"/>
      <c r="EI287" s="1866"/>
      <c r="EJ287" s="1866"/>
      <c r="EK287" s="1866"/>
      <c r="EL287" s="1866"/>
      <c r="EM287" s="1866"/>
      <c r="EN287" s="1866"/>
      <c r="EO287" s="1866"/>
      <c r="EP287" s="1866"/>
      <c r="EQ287" s="1866"/>
      <c r="ER287" s="1866"/>
      <c r="ES287" s="1866"/>
      <c r="ET287" s="1866"/>
      <c r="EU287" s="1866"/>
      <c r="EV287" s="1866"/>
      <c r="EW287" s="1866"/>
      <c r="EX287" s="1866"/>
      <c r="EY287" s="1866"/>
      <c r="EZ287" s="1866"/>
      <c r="FA287" s="1866"/>
      <c r="FB287" s="1866"/>
      <c r="FC287" s="1866"/>
      <c r="FD287" s="1866"/>
      <c r="FE287" s="1866"/>
      <c r="FF287" s="1866"/>
      <c r="FG287" s="1866"/>
      <c r="FH287" s="1866"/>
      <c r="FI287" s="1866"/>
      <c r="FJ287" s="1866"/>
      <c r="FK287" s="1866"/>
      <c r="FL287" s="1866"/>
      <c r="FM287" s="1866"/>
      <c r="FN287" s="1866"/>
      <c r="FO287" s="1866"/>
      <c r="FP287" s="1866"/>
      <c r="FQ287" s="1866"/>
      <c r="FR287" s="1866"/>
      <c r="FS287" s="1866"/>
      <c r="FT287" s="1866"/>
      <c r="FU287" s="1866"/>
      <c r="FV287" s="1866"/>
      <c r="FW287" s="1866"/>
      <c r="FX287" s="1866"/>
      <c r="FY287" s="1866"/>
      <c r="FZ287" s="1866"/>
      <c r="GA287" s="1866"/>
      <c r="GB287" s="1866"/>
      <c r="GC287" s="1866"/>
      <c r="GD287" s="1866"/>
      <c r="GE287" s="1866"/>
      <c r="GF287" s="1866"/>
      <c r="GG287" s="1866"/>
      <c r="GH287" s="1866"/>
      <c r="GI287" s="1866"/>
      <c r="GJ287" s="1866"/>
      <c r="GK287" s="1866"/>
      <c r="GL287" s="1866"/>
      <c r="GM287" s="1866"/>
      <c r="GN287" s="1866"/>
      <c r="GO287" s="1866"/>
      <c r="GP287" s="1866"/>
      <c r="GQ287" s="1866"/>
      <c r="GR287" s="1866"/>
      <c r="GS287" s="1866"/>
      <c r="GT287" s="1866"/>
      <c r="GU287" s="1866"/>
      <c r="GV287" s="1866"/>
      <c r="GW287" s="1866"/>
      <c r="GX287" s="1866"/>
      <c r="GY287" s="1866"/>
      <c r="GZ287" s="1866"/>
      <c r="HA287" s="1866"/>
      <c r="HB287" s="1866"/>
      <c r="HC287" s="1866"/>
      <c r="HD287" s="1866"/>
      <c r="HE287" s="1866"/>
    </row>
    <row r="288" spans="1:213" ht="15" customHeight="1" x14ac:dyDescent="0.2">
      <c r="A288" s="1995"/>
      <c r="B288" s="1994"/>
      <c r="C288" s="1705" t="s">
        <v>1379</v>
      </c>
      <c r="D288" s="1883"/>
      <c r="E288" s="1996"/>
      <c r="F288" s="1838">
        <v>0</v>
      </c>
      <c r="G288" s="1804">
        <v>0</v>
      </c>
      <c r="H288" s="1804">
        <v>0</v>
      </c>
      <c r="I288" s="1804">
        <v>0</v>
      </c>
      <c r="J288" s="1804">
        <v>0</v>
      </c>
      <c r="K288" s="1804">
        <v>0</v>
      </c>
      <c r="L288" s="1804">
        <v>0</v>
      </c>
      <c r="M288" s="1804">
        <v>0</v>
      </c>
      <c r="N288" s="1804">
        <v>0</v>
      </c>
      <c r="O288" s="1804">
        <v>0</v>
      </c>
      <c r="P288" s="1804">
        <v>0</v>
      </c>
      <c r="Q288" s="1804">
        <v>0</v>
      </c>
      <c r="R288" s="1804">
        <v>0</v>
      </c>
      <c r="S288" s="1804">
        <v>0</v>
      </c>
      <c r="T288" s="1804">
        <v>0</v>
      </c>
      <c r="U288" s="1804">
        <v>0</v>
      </c>
      <c r="V288" s="1804">
        <v>0</v>
      </c>
      <c r="W288" s="1804">
        <v>0</v>
      </c>
      <c r="X288" s="1804">
        <v>0</v>
      </c>
      <c r="Y288" s="1804">
        <v>0</v>
      </c>
      <c r="Z288" s="1804">
        <v>0</v>
      </c>
      <c r="AA288" s="1804">
        <v>0</v>
      </c>
      <c r="AB288" s="1804">
        <v>0</v>
      </c>
      <c r="AC288" s="1804">
        <v>0</v>
      </c>
      <c r="AD288" s="1804">
        <v>0</v>
      </c>
      <c r="AE288" s="1804">
        <v>0</v>
      </c>
      <c r="AF288" s="1804">
        <v>0</v>
      </c>
      <c r="AG288" s="1804">
        <v>0</v>
      </c>
      <c r="AH288" s="1804">
        <v>0</v>
      </c>
      <c r="AI288" s="1804">
        <v>0</v>
      </c>
      <c r="AJ288" s="1804">
        <v>0</v>
      </c>
      <c r="AK288" s="1804">
        <v>0</v>
      </c>
      <c r="AL288" s="1804">
        <v>0</v>
      </c>
      <c r="AM288" s="1804">
        <v>0</v>
      </c>
      <c r="AN288" s="1804">
        <v>0</v>
      </c>
      <c r="AO288" s="1804">
        <v>0</v>
      </c>
      <c r="AP288" s="1804">
        <v>0</v>
      </c>
      <c r="AQ288" s="1804">
        <v>0</v>
      </c>
      <c r="AR288" s="1804">
        <v>0</v>
      </c>
      <c r="AS288" s="1804">
        <v>0</v>
      </c>
      <c r="AT288" s="1804">
        <v>0</v>
      </c>
      <c r="AU288" s="1804">
        <v>0</v>
      </c>
      <c r="AV288" s="1804">
        <v>0</v>
      </c>
      <c r="AW288" s="1804">
        <v>0</v>
      </c>
      <c r="AX288" s="1804">
        <v>0</v>
      </c>
      <c r="AY288" s="1804">
        <v>0</v>
      </c>
      <c r="AZ288" s="1804">
        <v>0</v>
      </c>
      <c r="BA288" s="1804">
        <v>0</v>
      </c>
      <c r="BB288" s="1804">
        <v>0</v>
      </c>
      <c r="BC288" s="1804">
        <v>0</v>
      </c>
      <c r="BD288" s="1804">
        <v>0</v>
      </c>
      <c r="BE288" s="1804">
        <v>0</v>
      </c>
      <c r="BF288" s="1804">
        <v>0</v>
      </c>
      <c r="BG288" s="1804">
        <v>0</v>
      </c>
      <c r="BH288" s="1804">
        <v>0</v>
      </c>
      <c r="BI288" s="1804">
        <v>0</v>
      </c>
      <c r="BJ288" s="1804">
        <v>0</v>
      </c>
      <c r="BK288" s="1804">
        <v>0</v>
      </c>
      <c r="BL288" s="1804">
        <v>0</v>
      </c>
      <c r="BM288" s="1804">
        <v>0</v>
      </c>
      <c r="BN288" s="1804">
        <v>0</v>
      </c>
      <c r="BO288" s="1804">
        <v>0</v>
      </c>
      <c r="BP288" s="1804">
        <v>0</v>
      </c>
      <c r="BQ288" s="1804">
        <v>0</v>
      </c>
      <c r="BR288" s="1804">
        <v>0</v>
      </c>
      <c r="BS288" s="1804">
        <v>0</v>
      </c>
      <c r="BT288" s="1804">
        <v>0</v>
      </c>
      <c r="BU288" s="1804">
        <v>0</v>
      </c>
      <c r="BV288" s="1804">
        <v>0</v>
      </c>
      <c r="BW288" s="1804">
        <v>0</v>
      </c>
      <c r="BX288" s="1804">
        <v>0</v>
      </c>
      <c r="BY288" s="1804">
        <v>0</v>
      </c>
      <c r="BZ288" s="1804">
        <v>0</v>
      </c>
      <c r="CA288" s="1804">
        <v>0</v>
      </c>
      <c r="CB288" s="1804">
        <v>0</v>
      </c>
      <c r="CC288" s="1804">
        <v>0</v>
      </c>
      <c r="CD288" s="1804">
        <v>0</v>
      </c>
      <c r="CE288" s="1804">
        <v>0</v>
      </c>
      <c r="CF288" s="1804">
        <v>0</v>
      </c>
      <c r="CG288" s="1804">
        <v>0</v>
      </c>
      <c r="CH288" s="1804">
        <v>0</v>
      </c>
      <c r="CI288" s="1804">
        <v>0</v>
      </c>
      <c r="CJ288" s="1804">
        <v>0</v>
      </c>
      <c r="CK288" s="1804">
        <v>0</v>
      </c>
      <c r="CL288" s="1804">
        <v>0</v>
      </c>
      <c r="CM288" s="1804">
        <v>0</v>
      </c>
      <c r="CN288" s="1804">
        <v>0</v>
      </c>
      <c r="CO288" s="1804">
        <v>0</v>
      </c>
      <c r="CP288" s="1804">
        <v>0</v>
      </c>
      <c r="CQ288" s="1804">
        <v>0</v>
      </c>
      <c r="CR288" s="1804">
        <v>0</v>
      </c>
      <c r="CS288" s="1804">
        <v>0</v>
      </c>
      <c r="CT288" s="1804">
        <v>0</v>
      </c>
      <c r="CU288" s="1804">
        <v>0</v>
      </c>
      <c r="CV288" s="1804">
        <v>0</v>
      </c>
      <c r="CW288" s="1804">
        <v>0</v>
      </c>
      <c r="CX288" s="1804">
        <v>0</v>
      </c>
      <c r="CY288" s="1804">
        <v>0</v>
      </c>
      <c r="CZ288" s="1804">
        <v>0</v>
      </c>
      <c r="DA288" s="1804">
        <v>0</v>
      </c>
      <c r="DB288" s="1804">
        <v>0</v>
      </c>
      <c r="DC288" s="1804">
        <v>0</v>
      </c>
      <c r="DD288" s="1804">
        <v>0</v>
      </c>
      <c r="DE288" s="1804">
        <v>0</v>
      </c>
      <c r="DF288" s="1804">
        <v>0</v>
      </c>
      <c r="DG288" s="1804">
        <v>0</v>
      </c>
      <c r="DH288" s="1804">
        <v>0</v>
      </c>
      <c r="DI288" s="1804">
        <v>0</v>
      </c>
      <c r="DJ288" s="1804">
        <v>0</v>
      </c>
      <c r="DK288" s="1804">
        <v>0</v>
      </c>
      <c r="DL288" s="1804">
        <v>0</v>
      </c>
      <c r="DM288" s="1804">
        <v>0</v>
      </c>
      <c r="DN288" s="1804">
        <v>0</v>
      </c>
      <c r="DO288" s="1804">
        <v>0</v>
      </c>
      <c r="DP288" s="1804">
        <v>0</v>
      </c>
      <c r="DQ288" s="1804">
        <v>0</v>
      </c>
      <c r="DR288" s="1804">
        <v>0</v>
      </c>
      <c r="DS288" s="1804">
        <v>0</v>
      </c>
      <c r="DT288" s="1804">
        <v>0</v>
      </c>
      <c r="DU288" s="1804">
        <v>0</v>
      </c>
      <c r="DV288" s="1804">
        <v>0</v>
      </c>
      <c r="DW288" s="1804">
        <v>0</v>
      </c>
      <c r="DX288" s="1804">
        <v>0</v>
      </c>
      <c r="DY288" s="1804">
        <v>0</v>
      </c>
      <c r="DZ288" s="1804">
        <v>0</v>
      </c>
      <c r="EA288" s="1804">
        <v>0</v>
      </c>
      <c r="EB288" s="1804">
        <v>0</v>
      </c>
      <c r="EC288" s="1804">
        <v>0</v>
      </c>
      <c r="ED288" s="1804">
        <v>0</v>
      </c>
      <c r="EE288" s="1804">
        <v>0</v>
      </c>
      <c r="EF288" s="1804">
        <v>0</v>
      </c>
      <c r="EG288" s="1804">
        <v>0</v>
      </c>
      <c r="EH288" s="1804">
        <v>0</v>
      </c>
      <c r="EI288" s="1804">
        <v>0</v>
      </c>
      <c r="EJ288" s="1804">
        <v>0</v>
      </c>
      <c r="EK288" s="1804">
        <v>0</v>
      </c>
      <c r="EL288" s="1804">
        <v>0</v>
      </c>
      <c r="EM288" s="1804">
        <v>0</v>
      </c>
      <c r="EN288" s="1804">
        <v>0</v>
      </c>
      <c r="EO288" s="1804">
        <v>0</v>
      </c>
      <c r="EP288" s="1804">
        <v>0</v>
      </c>
      <c r="EQ288" s="1804">
        <v>0</v>
      </c>
      <c r="ER288" s="1804">
        <v>0</v>
      </c>
      <c r="ES288" s="1804">
        <v>0</v>
      </c>
      <c r="ET288" s="1804">
        <v>0</v>
      </c>
      <c r="EU288" s="1804">
        <v>0</v>
      </c>
      <c r="EV288" s="1804">
        <v>0</v>
      </c>
      <c r="EW288" s="1804">
        <v>0</v>
      </c>
      <c r="EX288" s="1804">
        <v>0</v>
      </c>
      <c r="EY288" s="1804">
        <v>0</v>
      </c>
      <c r="EZ288" s="1804">
        <v>0</v>
      </c>
      <c r="FA288" s="1804">
        <v>0</v>
      </c>
      <c r="FB288" s="1804">
        <v>0</v>
      </c>
      <c r="FC288" s="1804">
        <v>0</v>
      </c>
      <c r="FD288" s="1804">
        <v>0</v>
      </c>
      <c r="FE288" s="1804">
        <v>0</v>
      </c>
      <c r="FF288" s="1804">
        <v>0</v>
      </c>
      <c r="FG288" s="1804">
        <v>0</v>
      </c>
      <c r="FH288" s="1804">
        <v>0</v>
      </c>
      <c r="FI288" s="1804">
        <v>0</v>
      </c>
      <c r="FJ288" s="1804">
        <v>0</v>
      </c>
      <c r="FK288" s="1804">
        <v>0</v>
      </c>
      <c r="FL288" s="1804">
        <v>0</v>
      </c>
      <c r="FM288" s="1804">
        <v>0</v>
      </c>
      <c r="FN288" s="1804">
        <v>0</v>
      </c>
      <c r="FO288" s="1804">
        <v>0</v>
      </c>
      <c r="FP288" s="1804">
        <v>0</v>
      </c>
      <c r="FQ288" s="1804">
        <v>0</v>
      </c>
      <c r="FR288" s="1804">
        <v>0</v>
      </c>
      <c r="FS288" s="1804">
        <v>0</v>
      </c>
      <c r="FT288" s="1804">
        <v>0</v>
      </c>
      <c r="FU288" s="1804">
        <v>0</v>
      </c>
      <c r="FV288" s="1804">
        <v>0</v>
      </c>
      <c r="FW288" s="1804">
        <v>0</v>
      </c>
      <c r="FX288" s="1804">
        <v>0</v>
      </c>
      <c r="FY288" s="1804">
        <v>0</v>
      </c>
      <c r="FZ288" s="1804">
        <v>0</v>
      </c>
      <c r="GA288" s="1804">
        <v>0</v>
      </c>
      <c r="GB288" s="1804">
        <v>0</v>
      </c>
      <c r="GC288" s="1804">
        <v>0</v>
      </c>
      <c r="GD288" s="1804">
        <v>0</v>
      </c>
      <c r="GE288" s="1804">
        <v>0</v>
      </c>
      <c r="GF288" s="1804">
        <v>0</v>
      </c>
      <c r="GG288" s="1804">
        <v>0</v>
      </c>
      <c r="GH288" s="1804">
        <v>0</v>
      </c>
      <c r="GI288" s="1804">
        <v>0</v>
      </c>
      <c r="GJ288" s="1804">
        <v>0</v>
      </c>
      <c r="GK288" s="1804">
        <v>0</v>
      </c>
      <c r="GL288" s="1804">
        <v>0</v>
      </c>
      <c r="GM288" s="1804">
        <v>0</v>
      </c>
      <c r="GN288" s="1804">
        <v>0</v>
      </c>
      <c r="GO288" s="1804">
        <v>0</v>
      </c>
      <c r="GP288" s="1804">
        <v>0</v>
      </c>
      <c r="GQ288" s="1804">
        <v>0</v>
      </c>
      <c r="GR288" s="1804">
        <v>0</v>
      </c>
      <c r="GS288" s="1804">
        <v>0</v>
      </c>
      <c r="GT288" s="1804">
        <v>0</v>
      </c>
      <c r="GU288" s="1804">
        <v>0</v>
      </c>
      <c r="GV288" s="1804">
        <v>0</v>
      </c>
      <c r="GW288" s="1804">
        <v>0</v>
      </c>
      <c r="GX288" s="1804">
        <v>0</v>
      </c>
      <c r="GY288" s="1804">
        <v>0</v>
      </c>
      <c r="GZ288" s="1804">
        <v>0</v>
      </c>
      <c r="HA288" s="1804">
        <v>0</v>
      </c>
      <c r="HB288" s="1804">
        <v>0</v>
      </c>
      <c r="HC288" s="1804">
        <v>0</v>
      </c>
      <c r="HD288" s="1804">
        <v>0</v>
      </c>
      <c r="HE288" s="1804">
        <v>0</v>
      </c>
    </row>
    <row r="289" spans="1:213" ht="15" customHeight="1" x14ac:dyDescent="0.2">
      <c r="A289" s="1995"/>
      <c r="B289" s="1994"/>
      <c r="C289" s="1830" t="s">
        <v>32</v>
      </c>
      <c r="D289" s="1883"/>
      <c r="E289" s="1996"/>
      <c r="F289" s="1838">
        <v>0</v>
      </c>
      <c r="G289" s="1804">
        <v>0</v>
      </c>
      <c r="H289" s="1804">
        <v>0</v>
      </c>
      <c r="I289" s="1804">
        <v>0</v>
      </c>
      <c r="J289" s="1804">
        <v>0</v>
      </c>
      <c r="K289" s="1804">
        <v>0</v>
      </c>
      <c r="L289" s="1804">
        <v>0</v>
      </c>
      <c r="M289" s="1804">
        <v>0</v>
      </c>
      <c r="N289" s="1804">
        <v>0</v>
      </c>
      <c r="O289" s="1804">
        <v>0</v>
      </c>
      <c r="P289" s="1804">
        <v>0</v>
      </c>
      <c r="Q289" s="1804">
        <v>0</v>
      </c>
      <c r="R289" s="1804">
        <v>0</v>
      </c>
      <c r="S289" s="1804">
        <v>0</v>
      </c>
      <c r="T289" s="1804">
        <v>0</v>
      </c>
      <c r="U289" s="1804">
        <v>0</v>
      </c>
      <c r="V289" s="1804">
        <v>0</v>
      </c>
      <c r="W289" s="1804">
        <v>0</v>
      </c>
      <c r="X289" s="1804">
        <v>0</v>
      </c>
      <c r="Y289" s="1804">
        <v>0</v>
      </c>
      <c r="Z289" s="1804">
        <v>0</v>
      </c>
      <c r="AA289" s="1804">
        <v>0</v>
      </c>
      <c r="AB289" s="1804">
        <v>0</v>
      </c>
      <c r="AC289" s="1804">
        <v>0</v>
      </c>
      <c r="AD289" s="1804">
        <v>0</v>
      </c>
      <c r="AE289" s="1804">
        <v>0</v>
      </c>
      <c r="AF289" s="1804">
        <v>0</v>
      </c>
      <c r="AG289" s="1804">
        <v>0</v>
      </c>
      <c r="AH289" s="1804">
        <v>0</v>
      </c>
      <c r="AI289" s="1804">
        <v>0</v>
      </c>
      <c r="AJ289" s="1804">
        <v>0</v>
      </c>
      <c r="AK289" s="1804">
        <v>0</v>
      </c>
      <c r="AL289" s="1804">
        <v>0</v>
      </c>
      <c r="AM289" s="1804">
        <v>0</v>
      </c>
      <c r="AN289" s="1804">
        <v>0</v>
      </c>
      <c r="AO289" s="1804">
        <v>0</v>
      </c>
      <c r="AP289" s="1804">
        <v>0</v>
      </c>
      <c r="AQ289" s="1804">
        <v>0</v>
      </c>
      <c r="AR289" s="1804">
        <v>0</v>
      </c>
      <c r="AS289" s="1804">
        <v>0</v>
      </c>
      <c r="AT289" s="1804">
        <v>0</v>
      </c>
      <c r="AU289" s="1804">
        <v>0</v>
      </c>
      <c r="AV289" s="1804">
        <v>0</v>
      </c>
      <c r="AW289" s="1804">
        <v>0</v>
      </c>
      <c r="AX289" s="1804">
        <v>0</v>
      </c>
      <c r="AY289" s="1804">
        <v>0</v>
      </c>
      <c r="AZ289" s="1804">
        <v>0</v>
      </c>
      <c r="BA289" s="1804">
        <v>0</v>
      </c>
      <c r="BB289" s="1804">
        <v>0</v>
      </c>
      <c r="BC289" s="1804">
        <v>0</v>
      </c>
      <c r="BD289" s="1804">
        <v>0</v>
      </c>
      <c r="BE289" s="1804">
        <v>0</v>
      </c>
      <c r="BF289" s="1804">
        <v>0</v>
      </c>
      <c r="BG289" s="1804">
        <v>0</v>
      </c>
      <c r="BH289" s="1804">
        <v>0</v>
      </c>
      <c r="BI289" s="1804">
        <v>0</v>
      </c>
      <c r="BJ289" s="1804">
        <v>0</v>
      </c>
      <c r="BK289" s="1804">
        <v>0</v>
      </c>
      <c r="BL289" s="1804">
        <v>0</v>
      </c>
      <c r="BM289" s="1804">
        <v>0</v>
      </c>
      <c r="BN289" s="1804">
        <v>0</v>
      </c>
      <c r="BO289" s="1804">
        <v>0</v>
      </c>
      <c r="BP289" s="1804">
        <v>0</v>
      </c>
      <c r="BQ289" s="1804">
        <v>0</v>
      </c>
      <c r="BR289" s="1804">
        <v>0</v>
      </c>
      <c r="BS289" s="1804">
        <v>0</v>
      </c>
      <c r="BT289" s="1804">
        <v>0</v>
      </c>
      <c r="BU289" s="1804">
        <v>0</v>
      </c>
      <c r="BV289" s="1804">
        <v>0</v>
      </c>
      <c r="BW289" s="1804">
        <v>0</v>
      </c>
      <c r="BX289" s="1804">
        <v>0</v>
      </c>
      <c r="BY289" s="1804">
        <v>0</v>
      </c>
      <c r="BZ289" s="1804">
        <v>0</v>
      </c>
      <c r="CA289" s="1804">
        <v>0</v>
      </c>
      <c r="CB289" s="1804">
        <v>0</v>
      </c>
      <c r="CC289" s="1804">
        <v>0</v>
      </c>
      <c r="CD289" s="1804">
        <v>0</v>
      </c>
      <c r="CE289" s="1804">
        <v>0</v>
      </c>
      <c r="CF289" s="1804">
        <v>0</v>
      </c>
      <c r="CG289" s="1804">
        <v>0</v>
      </c>
      <c r="CH289" s="1804">
        <v>0</v>
      </c>
      <c r="CI289" s="1804">
        <v>0</v>
      </c>
      <c r="CJ289" s="1804">
        <v>0</v>
      </c>
      <c r="CK289" s="1804">
        <v>0</v>
      </c>
      <c r="CL289" s="1804">
        <v>0</v>
      </c>
      <c r="CM289" s="1804">
        <v>0</v>
      </c>
      <c r="CN289" s="1804">
        <v>0</v>
      </c>
      <c r="CO289" s="1804">
        <v>0</v>
      </c>
      <c r="CP289" s="1804">
        <v>0</v>
      </c>
      <c r="CQ289" s="1804">
        <v>0</v>
      </c>
      <c r="CR289" s="1804">
        <v>0</v>
      </c>
      <c r="CS289" s="1804">
        <v>0</v>
      </c>
      <c r="CT289" s="1804">
        <v>0</v>
      </c>
      <c r="CU289" s="1804">
        <v>0</v>
      </c>
      <c r="CV289" s="1804">
        <v>0</v>
      </c>
      <c r="CW289" s="1804">
        <v>0</v>
      </c>
      <c r="CX289" s="1804">
        <v>0</v>
      </c>
      <c r="CY289" s="1804">
        <v>0</v>
      </c>
      <c r="CZ289" s="1804">
        <v>0</v>
      </c>
      <c r="DA289" s="1804">
        <v>0</v>
      </c>
      <c r="DB289" s="1804">
        <v>0</v>
      </c>
      <c r="DC289" s="1804">
        <v>0</v>
      </c>
      <c r="DD289" s="1804">
        <v>0</v>
      </c>
      <c r="DE289" s="1804">
        <v>0</v>
      </c>
      <c r="DF289" s="1804">
        <v>0</v>
      </c>
      <c r="DG289" s="1804">
        <v>0</v>
      </c>
      <c r="DH289" s="1804">
        <v>0</v>
      </c>
      <c r="DI289" s="1804">
        <v>0</v>
      </c>
      <c r="DJ289" s="1804">
        <v>0</v>
      </c>
      <c r="DK289" s="1804">
        <v>0</v>
      </c>
      <c r="DL289" s="1804">
        <v>0</v>
      </c>
      <c r="DM289" s="1804">
        <v>0</v>
      </c>
      <c r="DN289" s="1804">
        <v>0</v>
      </c>
      <c r="DO289" s="1804">
        <v>0</v>
      </c>
      <c r="DP289" s="1804">
        <v>0</v>
      </c>
      <c r="DQ289" s="1804">
        <v>0</v>
      </c>
      <c r="DR289" s="1804">
        <v>0</v>
      </c>
      <c r="DS289" s="1804">
        <v>0</v>
      </c>
      <c r="DT289" s="1804">
        <v>0</v>
      </c>
      <c r="DU289" s="1804">
        <v>0</v>
      </c>
      <c r="DV289" s="1804">
        <v>0</v>
      </c>
      <c r="DW289" s="1804">
        <v>0</v>
      </c>
      <c r="DX289" s="1804">
        <v>0</v>
      </c>
      <c r="DY289" s="1804">
        <v>0</v>
      </c>
      <c r="DZ289" s="1804">
        <v>0</v>
      </c>
      <c r="EA289" s="1804">
        <v>0</v>
      </c>
      <c r="EB289" s="1804">
        <v>0</v>
      </c>
      <c r="EC289" s="1804">
        <v>0</v>
      </c>
      <c r="ED289" s="1804">
        <v>0</v>
      </c>
      <c r="EE289" s="1804">
        <v>0</v>
      </c>
      <c r="EF289" s="1804">
        <v>0</v>
      </c>
      <c r="EG289" s="1804">
        <v>0</v>
      </c>
      <c r="EH289" s="1804">
        <v>0</v>
      </c>
      <c r="EI289" s="1804">
        <v>0</v>
      </c>
      <c r="EJ289" s="1804">
        <v>0</v>
      </c>
      <c r="EK289" s="1804">
        <v>0</v>
      </c>
      <c r="EL289" s="1804">
        <v>0</v>
      </c>
      <c r="EM289" s="1804">
        <v>0</v>
      </c>
      <c r="EN289" s="1804">
        <v>0</v>
      </c>
      <c r="EO289" s="1804">
        <v>0</v>
      </c>
      <c r="EP289" s="1804">
        <v>0</v>
      </c>
      <c r="EQ289" s="1804">
        <v>0</v>
      </c>
      <c r="ER289" s="1804">
        <v>0</v>
      </c>
      <c r="ES289" s="1804">
        <v>0</v>
      </c>
      <c r="ET289" s="1804">
        <v>0</v>
      </c>
      <c r="EU289" s="1804">
        <v>0</v>
      </c>
      <c r="EV289" s="1804">
        <v>0</v>
      </c>
      <c r="EW289" s="1804">
        <v>0</v>
      </c>
      <c r="EX289" s="1804">
        <v>0</v>
      </c>
      <c r="EY289" s="1804">
        <v>0</v>
      </c>
      <c r="EZ289" s="1804">
        <v>0</v>
      </c>
      <c r="FA289" s="1804">
        <v>0</v>
      </c>
      <c r="FB289" s="1804">
        <v>0</v>
      </c>
      <c r="FC289" s="1804">
        <v>0</v>
      </c>
      <c r="FD289" s="1804">
        <v>0</v>
      </c>
      <c r="FE289" s="1804">
        <v>0</v>
      </c>
      <c r="FF289" s="1804">
        <v>0</v>
      </c>
      <c r="FG289" s="1804">
        <v>0</v>
      </c>
      <c r="FH289" s="1804">
        <v>0</v>
      </c>
      <c r="FI289" s="1804">
        <v>0</v>
      </c>
      <c r="FJ289" s="1804">
        <v>0</v>
      </c>
      <c r="FK289" s="1804">
        <v>0</v>
      </c>
      <c r="FL289" s="1804">
        <v>0</v>
      </c>
      <c r="FM289" s="1804">
        <v>0</v>
      </c>
      <c r="FN289" s="1804">
        <v>0</v>
      </c>
      <c r="FO289" s="1804">
        <v>0</v>
      </c>
      <c r="FP289" s="1804">
        <v>0</v>
      </c>
      <c r="FQ289" s="1804">
        <v>0</v>
      </c>
      <c r="FR289" s="1804">
        <v>0</v>
      </c>
      <c r="FS289" s="1804">
        <v>0</v>
      </c>
      <c r="FT289" s="1804">
        <v>0</v>
      </c>
      <c r="FU289" s="1804">
        <v>0</v>
      </c>
      <c r="FV289" s="1804">
        <v>0</v>
      </c>
      <c r="FW289" s="1804">
        <v>0</v>
      </c>
      <c r="FX289" s="1804">
        <v>0</v>
      </c>
      <c r="FY289" s="1804">
        <v>0</v>
      </c>
      <c r="FZ289" s="1804">
        <v>0</v>
      </c>
      <c r="GA289" s="1804">
        <v>0</v>
      </c>
      <c r="GB289" s="1804">
        <v>0</v>
      </c>
      <c r="GC289" s="1804">
        <v>0</v>
      </c>
      <c r="GD289" s="1804">
        <v>0</v>
      </c>
      <c r="GE289" s="1804">
        <v>0</v>
      </c>
      <c r="GF289" s="1804">
        <v>0</v>
      </c>
      <c r="GG289" s="1804">
        <v>0</v>
      </c>
      <c r="GH289" s="1804">
        <v>0</v>
      </c>
      <c r="GI289" s="1804">
        <v>0</v>
      </c>
      <c r="GJ289" s="1804">
        <v>0</v>
      </c>
      <c r="GK289" s="1804">
        <v>0</v>
      </c>
      <c r="GL289" s="1804">
        <v>0</v>
      </c>
      <c r="GM289" s="1804">
        <v>0</v>
      </c>
      <c r="GN289" s="1804">
        <v>0</v>
      </c>
      <c r="GO289" s="1804">
        <v>0</v>
      </c>
      <c r="GP289" s="1804">
        <v>0</v>
      </c>
      <c r="GQ289" s="1804">
        <v>0</v>
      </c>
      <c r="GR289" s="1804">
        <v>0</v>
      </c>
      <c r="GS289" s="1804">
        <v>0</v>
      </c>
      <c r="GT289" s="1804">
        <v>0</v>
      </c>
      <c r="GU289" s="1804">
        <v>0</v>
      </c>
      <c r="GV289" s="1804">
        <v>0</v>
      </c>
      <c r="GW289" s="1804">
        <v>0</v>
      </c>
      <c r="GX289" s="1804">
        <v>0</v>
      </c>
      <c r="GY289" s="1804">
        <v>0</v>
      </c>
      <c r="GZ289" s="1804">
        <v>0</v>
      </c>
      <c r="HA289" s="1804">
        <v>0</v>
      </c>
      <c r="HB289" s="1804">
        <v>0</v>
      </c>
      <c r="HC289" s="1804">
        <v>0</v>
      </c>
      <c r="HD289" s="1804">
        <v>0</v>
      </c>
      <c r="HE289" s="1804">
        <v>0</v>
      </c>
    </row>
    <row r="290" spans="1:213" ht="15" customHeight="1" x14ac:dyDescent="0.2">
      <c r="A290" s="1995"/>
      <c r="B290" s="1994"/>
      <c r="C290" s="1818" t="s">
        <v>108</v>
      </c>
      <c r="D290" s="1883"/>
      <c r="E290" s="1996"/>
      <c r="F290" s="1838">
        <v>0</v>
      </c>
      <c r="G290" s="1804">
        <v>0</v>
      </c>
      <c r="H290" s="1804">
        <v>0</v>
      </c>
      <c r="I290" s="1804">
        <v>0</v>
      </c>
      <c r="J290" s="1804">
        <v>0</v>
      </c>
      <c r="K290" s="1804">
        <v>0</v>
      </c>
      <c r="L290" s="1804">
        <v>0</v>
      </c>
      <c r="M290" s="1804">
        <v>0</v>
      </c>
      <c r="N290" s="1804">
        <v>0</v>
      </c>
      <c r="O290" s="1804">
        <v>0</v>
      </c>
      <c r="P290" s="1804">
        <v>0</v>
      </c>
      <c r="Q290" s="1804">
        <v>0</v>
      </c>
      <c r="R290" s="1804">
        <v>0</v>
      </c>
      <c r="S290" s="1804">
        <v>0</v>
      </c>
      <c r="T290" s="1804">
        <v>0</v>
      </c>
      <c r="U290" s="1804">
        <v>0</v>
      </c>
      <c r="V290" s="1804">
        <v>0</v>
      </c>
      <c r="W290" s="1804">
        <v>0</v>
      </c>
      <c r="X290" s="1804">
        <v>0</v>
      </c>
      <c r="Y290" s="1804">
        <v>0</v>
      </c>
      <c r="Z290" s="1804">
        <v>0</v>
      </c>
      <c r="AA290" s="1804">
        <v>0</v>
      </c>
      <c r="AB290" s="1804">
        <v>0</v>
      </c>
      <c r="AC290" s="1804">
        <v>0</v>
      </c>
      <c r="AD290" s="1804">
        <v>0</v>
      </c>
      <c r="AE290" s="1804">
        <v>0</v>
      </c>
      <c r="AF290" s="1804">
        <v>0</v>
      </c>
      <c r="AG290" s="1804">
        <v>0</v>
      </c>
      <c r="AH290" s="1804">
        <v>0</v>
      </c>
      <c r="AI290" s="1804">
        <v>0</v>
      </c>
      <c r="AJ290" s="1804">
        <v>0</v>
      </c>
      <c r="AK290" s="1804">
        <v>0</v>
      </c>
      <c r="AL290" s="1804">
        <v>0</v>
      </c>
      <c r="AM290" s="1804">
        <v>0</v>
      </c>
      <c r="AN290" s="1804">
        <v>0</v>
      </c>
      <c r="AO290" s="1804">
        <v>0</v>
      </c>
      <c r="AP290" s="1804">
        <v>0</v>
      </c>
      <c r="AQ290" s="1804">
        <v>0</v>
      </c>
      <c r="AR290" s="1804">
        <v>0</v>
      </c>
      <c r="AS290" s="1804">
        <v>0</v>
      </c>
      <c r="AT290" s="1804">
        <v>0</v>
      </c>
      <c r="AU290" s="1804">
        <v>0</v>
      </c>
      <c r="AV290" s="1804">
        <v>0</v>
      </c>
      <c r="AW290" s="1804">
        <v>0</v>
      </c>
      <c r="AX290" s="1804">
        <v>0</v>
      </c>
      <c r="AY290" s="1804">
        <v>0</v>
      </c>
      <c r="AZ290" s="1804">
        <v>0</v>
      </c>
      <c r="BA290" s="1804">
        <v>0</v>
      </c>
      <c r="BB290" s="1804">
        <v>0</v>
      </c>
      <c r="BC290" s="1804">
        <v>0</v>
      </c>
      <c r="BD290" s="1804">
        <v>0</v>
      </c>
      <c r="BE290" s="1804">
        <v>0</v>
      </c>
      <c r="BF290" s="1804">
        <v>0</v>
      </c>
      <c r="BG290" s="1804">
        <v>0</v>
      </c>
      <c r="BH290" s="1804">
        <v>0</v>
      </c>
      <c r="BI290" s="1804">
        <v>0</v>
      </c>
      <c r="BJ290" s="1804">
        <v>0</v>
      </c>
      <c r="BK290" s="1804">
        <v>0</v>
      </c>
      <c r="BL290" s="1804">
        <v>0</v>
      </c>
      <c r="BM290" s="1804">
        <v>0</v>
      </c>
      <c r="BN290" s="1804">
        <v>0</v>
      </c>
      <c r="BO290" s="1804">
        <v>0</v>
      </c>
      <c r="BP290" s="1804">
        <v>0</v>
      </c>
      <c r="BQ290" s="1804">
        <v>0</v>
      </c>
      <c r="BR290" s="1804">
        <v>0</v>
      </c>
      <c r="BS290" s="1804">
        <v>0</v>
      </c>
      <c r="BT290" s="1804">
        <v>0</v>
      </c>
      <c r="BU290" s="1804">
        <v>0</v>
      </c>
      <c r="BV290" s="1804">
        <v>0</v>
      </c>
      <c r="BW290" s="1804">
        <v>0</v>
      </c>
      <c r="BX290" s="1804">
        <v>0</v>
      </c>
      <c r="BY290" s="1804">
        <v>0</v>
      </c>
      <c r="BZ290" s="1804">
        <v>0</v>
      </c>
      <c r="CA290" s="1804">
        <v>0</v>
      </c>
      <c r="CB290" s="1804">
        <v>0</v>
      </c>
      <c r="CC290" s="1804">
        <v>0</v>
      </c>
      <c r="CD290" s="1804">
        <v>0</v>
      </c>
      <c r="CE290" s="1804">
        <v>0</v>
      </c>
      <c r="CF290" s="1804">
        <v>0</v>
      </c>
      <c r="CG290" s="1804">
        <v>0</v>
      </c>
      <c r="CH290" s="1804">
        <v>0</v>
      </c>
      <c r="CI290" s="1804">
        <v>0</v>
      </c>
      <c r="CJ290" s="1804">
        <v>0</v>
      </c>
      <c r="CK290" s="1804">
        <v>0</v>
      </c>
      <c r="CL290" s="1804">
        <v>0</v>
      </c>
      <c r="CM290" s="1804">
        <v>0</v>
      </c>
      <c r="CN290" s="1804">
        <v>0</v>
      </c>
      <c r="CO290" s="1804">
        <v>0</v>
      </c>
      <c r="CP290" s="1804">
        <v>0</v>
      </c>
      <c r="CQ290" s="1804">
        <v>0</v>
      </c>
      <c r="CR290" s="1804">
        <v>0</v>
      </c>
      <c r="CS290" s="1804">
        <v>0</v>
      </c>
      <c r="CT290" s="1804">
        <v>0</v>
      </c>
      <c r="CU290" s="1804">
        <v>0</v>
      </c>
      <c r="CV290" s="1804">
        <v>0</v>
      </c>
      <c r="CW290" s="1804">
        <v>0</v>
      </c>
      <c r="CX290" s="1804">
        <v>0</v>
      </c>
      <c r="CY290" s="1804">
        <v>0</v>
      </c>
      <c r="CZ290" s="1804">
        <v>0</v>
      </c>
      <c r="DA290" s="1804">
        <v>0</v>
      </c>
      <c r="DB290" s="1804">
        <v>0</v>
      </c>
      <c r="DC290" s="1804">
        <v>0</v>
      </c>
      <c r="DD290" s="1804">
        <v>0</v>
      </c>
      <c r="DE290" s="1804">
        <v>0</v>
      </c>
      <c r="DF290" s="1804">
        <v>0</v>
      </c>
      <c r="DG290" s="1804">
        <v>0</v>
      </c>
      <c r="DH290" s="1804">
        <v>0</v>
      </c>
      <c r="DI290" s="1804">
        <v>0</v>
      </c>
      <c r="DJ290" s="1804">
        <v>0</v>
      </c>
      <c r="DK290" s="1804">
        <v>0</v>
      </c>
      <c r="DL290" s="1804">
        <v>0</v>
      </c>
      <c r="DM290" s="1804">
        <v>0</v>
      </c>
      <c r="DN290" s="1804">
        <v>0</v>
      </c>
      <c r="DO290" s="1804">
        <v>0</v>
      </c>
      <c r="DP290" s="1804">
        <v>0</v>
      </c>
      <c r="DQ290" s="1804">
        <v>0</v>
      </c>
      <c r="DR290" s="1804">
        <v>0</v>
      </c>
      <c r="DS290" s="1804">
        <v>0</v>
      </c>
      <c r="DT290" s="1804">
        <v>0</v>
      </c>
      <c r="DU290" s="1804">
        <v>0</v>
      </c>
      <c r="DV290" s="1804">
        <v>0</v>
      </c>
      <c r="DW290" s="1804">
        <v>0</v>
      </c>
      <c r="DX290" s="1804">
        <v>0</v>
      </c>
      <c r="DY290" s="1804">
        <v>0</v>
      </c>
      <c r="DZ290" s="1804">
        <v>0</v>
      </c>
      <c r="EA290" s="1804">
        <v>0</v>
      </c>
      <c r="EB290" s="1804">
        <v>0</v>
      </c>
      <c r="EC290" s="1804">
        <v>0</v>
      </c>
      <c r="ED290" s="1804">
        <v>0</v>
      </c>
      <c r="EE290" s="1804">
        <v>0</v>
      </c>
      <c r="EF290" s="1804">
        <v>0</v>
      </c>
      <c r="EG290" s="1804">
        <v>0</v>
      </c>
      <c r="EH290" s="1804">
        <v>0</v>
      </c>
      <c r="EI290" s="1804">
        <v>0</v>
      </c>
      <c r="EJ290" s="1804">
        <v>0</v>
      </c>
      <c r="EK290" s="1804">
        <v>0</v>
      </c>
      <c r="EL290" s="1804">
        <v>0</v>
      </c>
      <c r="EM290" s="1804">
        <v>0</v>
      </c>
      <c r="EN290" s="1804">
        <v>0</v>
      </c>
      <c r="EO290" s="1804">
        <v>0</v>
      </c>
      <c r="EP290" s="1804">
        <v>0</v>
      </c>
      <c r="EQ290" s="1804">
        <v>0</v>
      </c>
      <c r="ER290" s="1804">
        <v>0</v>
      </c>
      <c r="ES290" s="1804">
        <v>0</v>
      </c>
      <c r="ET290" s="1804">
        <v>0</v>
      </c>
      <c r="EU290" s="1804">
        <v>0</v>
      </c>
      <c r="EV290" s="1804">
        <v>0</v>
      </c>
      <c r="EW290" s="1804">
        <v>0</v>
      </c>
      <c r="EX290" s="1804">
        <v>0</v>
      </c>
      <c r="EY290" s="1804">
        <v>0</v>
      </c>
      <c r="EZ290" s="1804">
        <v>0</v>
      </c>
      <c r="FA290" s="1804">
        <v>0</v>
      </c>
      <c r="FB290" s="1804">
        <v>0</v>
      </c>
      <c r="FC290" s="1804">
        <v>0</v>
      </c>
      <c r="FD290" s="1804">
        <v>0</v>
      </c>
      <c r="FE290" s="1804">
        <v>0</v>
      </c>
      <c r="FF290" s="1804">
        <v>0</v>
      </c>
      <c r="FG290" s="1804">
        <v>0</v>
      </c>
      <c r="FH290" s="1804">
        <v>0</v>
      </c>
      <c r="FI290" s="1804">
        <v>0</v>
      </c>
      <c r="FJ290" s="1804">
        <v>0</v>
      </c>
      <c r="FK290" s="1804">
        <v>0</v>
      </c>
      <c r="FL290" s="1804">
        <v>0</v>
      </c>
      <c r="FM290" s="1804">
        <v>0</v>
      </c>
      <c r="FN290" s="1804">
        <v>0</v>
      </c>
      <c r="FO290" s="1804">
        <v>0</v>
      </c>
      <c r="FP290" s="1804">
        <v>0</v>
      </c>
      <c r="FQ290" s="1804">
        <v>0</v>
      </c>
      <c r="FR290" s="1804">
        <v>0</v>
      </c>
      <c r="FS290" s="1804">
        <v>0</v>
      </c>
      <c r="FT290" s="1804">
        <v>0</v>
      </c>
      <c r="FU290" s="1804">
        <v>0</v>
      </c>
      <c r="FV290" s="1804">
        <v>0</v>
      </c>
      <c r="FW290" s="1804">
        <v>0</v>
      </c>
      <c r="FX290" s="1804">
        <v>0</v>
      </c>
      <c r="FY290" s="1804">
        <v>0</v>
      </c>
      <c r="FZ290" s="1804">
        <v>0</v>
      </c>
      <c r="GA290" s="1804">
        <v>0</v>
      </c>
      <c r="GB290" s="1804">
        <v>0</v>
      </c>
      <c r="GC290" s="1804">
        <v>0</v>
      </c>
      <c r="GD290" s="1804">
        <v>0</v>
      </c>
      <c r="GE290" s="1804">
        <v>0</v>
      </c>
      <c r="GF290" s="1804">
        <v>0</v>
      </c>
      <c r="GG290" s="1804">
        <v>0</v>
      </c>
      <c r="GH290" s="1804">
        <v>0</v>
      </c>
      <c r="GI290" s="1804">
        <v>0</v>
      </c>
      <c r="GJ290" s="1804">
        <v>0</v>
      </c>
      <c r="GK290" s="1804">
        <v>0</v>
      </c>
      <c r="GL290" s="1804">
        <v>0</v>
      </c>
      <c r="GM290" s="1804">
        <v>0</v>
      </c>
      <c r="GN290" s="1804">
        <v>0</v>
      </c>
      <c r="GO290" s="1804">
        <v>0</v>
      </c>
      <c r="GP290" s="1804">
        <v>0</v>
      </c>
      <c r="GQ290" s="1804">
        <v>0</v>
      </c>
      <c r="GR290" s="1804">
        <v>0</v>
      </c>
      <c r="GS290" s="1804">
        <v>0</v>
      </c>
      <c r="GT290" s="1804">
        <v>0</v>
      </c>
      <c r="GU290" s="1804">
        <v>0</v>
      </c>
      <c r="GV290" s="1804">
        <v>0</v>
      </c>
      <c r="GW290" s="1804">
        <v>0</v>
      </c>
      <c r="GX290" s="1804">
        <v>0</v>
      </c>
      <c r="GY290" s="1804">
        <v>0</v>
      </c>
      <c r="GZ290" s="1804">
        <v>0</v>
      </c>
      <c r="HA290" s="1804">
        <v>0</v>
      </c>
      <c r="HB290" s="1804">
        <v>0</v>
      </c>
      <c r="HC290" s="1804">
        <v>0</v>
      </c>
      <c r="HD290" s="1804">
        <v>0</v>
      </c>
      <c r="HE290" s="1804">
        <v>0</v>
      </c>
    </row>
    <row r="291" spans="1:213" ht="15" customHeight="1" thickBot="1" x14ac:dyDescent="0.25">
      <c r="A291" s="1950"/>
      <c r="B291" s="1952"/>
      <c r="C291" s="1697" t="s">
        <v>566</v>
      </c>
      <c r="D291" s="1883"/>
      <c r="E291" s="1996"/>
      <c r="F291" s="1838">
        <v>0</v>
      </c>
      <c r="G291" s="1804">
        <v>0</v>
      </c>
      <c r="H291" s="1804">
        <v>0</v>
      </c>
      <c r="I291" s="1804">
        <v>0</v>
      </c>
      <c r="J291" s="1804">
        <v>0</v>
      </c>
      <c r="K291" s="1804">
        <v>0</v>
      </c>
      <c r="L291" s="1804">
        <v>0</v>
      </c>
      <c r="M291" s="1804">
        <v>0</v>
      </c>
      <c r="N291" s="1804">
        <v>0</v>
      </c>
      <c r="O291" s="1804">
        <v>0</v>
      </c>
      <c r="P291" s="1804">
        <v>0</v>
      </c>
      <c r="Q291" s="1804">
        <v>0</v>
      </c>
      <c r="R291" s="1804">
        <v>0</v>
      </c>
      <c r="S291" s="1804">
        <v>0</v>
      </c>
      <c r="T291" s="1804">
        <v>0</v>
      </c>
      <c r="U291" s="1804">
        <v>0</v>
      </c>
      <c r="V291" s="1804">
        <v>0</v>
      </c>
      <c r="W291" s="1804">
        <v>0</v>
      </c>
      <c r="X291" s="1804">
        <v>0</v>
      </c>
      <c r="Y291" s="1804">
        <v>0</v>
      </c>
      <c r="Z291" s="1804">
        <v>0</v>
      </c>
      <c r="AA291" s="1804">
        <v>0</v>
      </c>
      <c r="AB291" s="1804">
        <v>0</v>
      </c>
      <c r="AC291" s="1804">
        <v>0</v>
      </c>
      <c r="AD291" s="1804">
        <v>0</v>
      </c>
      <c r="AE291" s="1804">
        <v>0</v>
      </c>
      <c r="AF291" s="1804">
        <v>0</v>
      </c>
      <c r="AG291" s="1804">
        <v>0</v>
      </c>
      <c r="AH291" s="1804">
        <v>0</v>
      </c>
      <c r="AI291" s="1804">
        <v>0</v>
      </c>
      <c r="AJ291" s="1804">
        <v>0</v>
      </c>
      <c r="AK291" s="1804">
        <v>0</v>
      </c>
      <c r="AL291" s="1804">
        <v>0</v>
      </c>
      <c r="AM291" s="1804">
        <v>0</v>
      </c>
      <c r="AN291" s="1804">
        <v>0</v>
      </c>
      <c r="AO291" s="1804">
        <v>0</v>
      </c>
      <c r="AP291" s="1804">
        <v>0</v>
      </c>
      <c r="AQ291" s="1804">
        <v>0</v>
      </c>
      <c r="AR291" s="1804">
        <v>0</v>
      </c>
      <c r="AS291" s="1804">
        <v>0</v>
      </c>
      <c r="AT291" s="1804">
        <v>0</v>
      </c>
      <c r="AU291" s="1804">
        <v>0</v>
      </c>
      <c r="AV291" s="1804">
        <v>0</v>
      </c>
      <c r="AW291" s="1804">
        <v>0</v>
      </c>
      <c r="AX291" s="1804">
        <v>0</v>
      </c>
      <c r="AY291" s="1804">
        <v>0</v>
      </c>
      <c r="AZ291" s="1804">
        <v>0</v>
      </c>
      <c r="BA291" s="1804">
        <v>0</v>
      </c>
      <c r="BB291" s="1804">
        <v>0</v>
      </c>
      <c r="BC291" s="1804">
        <v>0</v>
      </c>
      <c r="BD291" s="1804">
        <v>0</v>
      </c>
      <c r="BE291" s="1804">
        <v>0</v>
      </c>
      <c r="BF291" s="1804">
        <v>0</v>
      </c>
      <c r="BG291" s="1804">
        <v>0</v>
      </c>
      <c r="BH291" s="1804">
        <v>0</v>
      </c>
      <c r="BI291" s="1804">
        <v>0</v>
      </c>
      <c r="BJ291" s="1804">
        <v>0</v>
      </c>
      <c r="BK291" s="1804">
        <v>0</v>
      </c>
      <c r="BL291" s="1804">
        <v>0</v>
      </c>
      <c r="BM291" s="1804">
        <v>0</v>
      </c>
      <c r="BN291" s="1804">
        <v>0</v>
      </c>
      <c r="BO291" s="1804">
        <v>0</v>
      </c>
      <c r="BP291" s="1804">
        <v>0</v>
      </c>
      <c r="BQ291" s="1804">
        <v>0</v>
      </c>
      <c r="BR291" s="1804">
        <v>0</v>
      </c>
      <c r="BS291" s="1804">
        <v>0</v>
      </c>
      <c r="BT291" s="1804">
        <v>0</v>
      </c>
      <c r="BU291" s="1804">
        <v>0</v>
      </c>
      <c r="BV291" s="1804">
        <v>0</v>
      </c>
      <c r="BW291" s="1804">
        <v>0</v>
      </c>
      <c r="BX291" s="1804">
        <v>0</v>
      </c>
      <c r="BY291" s="1804">
        <v>0</v>
      </c>
      <c r="BZ291" s="1804">
        <v>0</v>
      </c>
      <c r="CA291" s="1804">
        <v>0</v>
      </c>
      <c r="CB291" s="1804">
        <v>0</v>
      </c>
      <c r="CC291" s="1804">
        <v>0</v>
      </c>
      <c r="CD291" s="1804">
        <v>0</v>
      </c>
      <c r="CE291" s="1804">
        <v>0</v>
      </c>
      <c r="CF291" s="1804">
        <v>0</v>
      </c>
      <c r="CG291" s="1804">
        <v>0</v>
      </c>
      <c r="CH291" s="1804">
        <v>0</v>
      </c>
      <c r="CI291" s="1804">
        <v>0</v>
      </c>
      <c r="CJ291" s="1804">
        <v>0</v>
      </c>
      <c r="CK291" s="1804">
        <v>0</v>
      </c>
      <c r="CL291" s="1804">
        <v>0</v>
      </c>
      <c r="CM291" s="1804">
        <v>0</v>
      </c>
      <c r="CN291" s="1804">
        <v>0</v>
      </c>
      <c r="CO291" s="1804">
        <v>0</v>
      </c>
      <c r="CP291" s="1804">
        <v>0</v>
      </c>
      <c r="CQ291" s="1804">
        <v>0</v>
      </c>
      <c r="CR291" s="1804">
        <v>0</v>
      </c>
      <c r="CS291" s="1804">
        <v>0</v>
      </c>
      <c r="CT291" s="1804">
        <v>0</v>
      </c>
      <c r="CU291" s="1804">
        <v>0</v>
      </c>
      <c r="CV291" s="1804">
        <v>0</v>
      </c>
      <c r="CW291" s="1804">
        <v>0</v>
      </c>
      <c r="CX291" s="1804">
        <v>0</v>
      </c>
      <c r="CY291" s="1804">
        <v>0</v>
      </c>
      <c r="CZ291" s="1804">
        <v>0</v>
      </c>
      <c r="DA291" s="1804">
        <v>0</v>
      </c>
      <c r="DB291" s="1804">
        <v>0</v>
      </c>
      <c r="DC291" s="1804">
        <v>0</v>
      </c>
      <c r="DD291" s="1804">
        <v>0</v>
      </c>
      <c r="DE291" s="1804">
        <v>0</v>
      </c>
      <c r="DF291" s="1804">
        <v>0</v>
      </c>
      <c r="DG291" s="1804">
        <v>0</v>
      </c>
      <c r="DH291" s="1804">
        <v>0</v>
      </c>
      <c r="DI291" s="1804">
        <v>0</v>
      </c>
      <c r="DJ291" s="1804">
        <v>0</v>
      </c>
      <c r="DK291" s="1804">
        <v>0</v>
      </c>
      <c r="DL291" s="1804">
        <v>0</v>
      </c>
      <c r="DM291" s="1804">
        <v>0</v>
      </c>
      <c r="DN291" s="1804">
        <v>0</v>
      </c>
      <c r="DO291" s="1804">
        <v>0</v>
      </c>
      <c r="DP291" s="1804">
        <v>0</v>
      </c>
      <c r="DQ291" s="1804">
        <v>0</v>
      </c>
      <c r="DR291" s="1804">
        <v>0</v>
      </c>
      <c r="DS291" s="1804">
        <v>0</v>
      </c>
      <c r="DT291" s="1804">
        <v>0</v>
      </c>
      <c r="DU291" s="1804">
        <v>0</v>
      </c>
      <c r="DV291" s="1804">
        <v>0</v>
      </c>
      <c r="DW291" s="1804">
        <v>0</v>
      </c>
      <c r="DX291" s="1804">
        <v>0</v>
      </c>
      <c r="DY291" s="1804">
        <v>0</v>
      </c>
      <c r="DZ291" s="1804">
        <v>0</v>
      </c>
      <c r="EA291" s="1804">
        <v>0</v>
      </c>
      <c r="EB291" s="1804">
        <v>0</v>
      </c>
      <c r="EC291" s="1804">
        <v>0</v>
      </c>
      <c r="ED291" s="1804">
        <v>0</v>
      </c>
      <c r="EE291" s="1804">
        <v>0</v>
      </c>
      <c r="EF291" s="1804">
        <v>0</v>
      </c>
      <c r="EG291" s="1804">
        <v>0</v>
      </c>
      <c r="EH291" s="1804">
        <v>0</v>
      </c>
      <c r="EI291" s="1804">
        <v>0</v>
      </c>
      <c r="EJ291" s="1804">
        <v>0</v>
      </c>
      <c r="EK291" s="1804">
        <v>0</v>
      </c>
      <c r="EL291" s="1804">
        <v>0</v>
      </c>
      <c r="EM291" s="1804">
        <v>0</v>
      </c>
      <c r="EN291" s="1804">
        <v>0</v>
      </c>
      <c r="EO291" s="1804">
        <v>0</v>
      </c>
      <c r="EP291" s="1804">
        <v>0</v>
      </c>
      <c r="EQ291" s="1804">
        <v>0</v>
      </c>
      <c r="ER291" s="1804">
        <v>0</v>
      </c>
      <c r="ES291" s="1804">
        <v>0</v>
      </c>
      <c r="ET291" s="1804">
        <v>0</v>
      </c>
      <c r="EU291" s="1804">
        <v>0</v>
      </c>
      <c r="EV291" s="1804">
        <v>0</v>
      </c>
      <c r="EW291" s="1804">
        <v>0</v>
      </c>
      <c r="EX291" s="1804">
        <v>0</v>
      </c>
      <c r="EY291" s="1804">
        <v>0</v>
      </c>
      <c r="EZ291" s="1804">
        <v>0</v>
      </c>
      <c r="FA291" s="1804">
        <v>0</v>
      </c>
      <c r="FB291" s="1804">
        <v>0</v>
      </c>
      <c r="FC291" s="1804">
        <v>0</v>
      </c>
      <c r="FD291" s="1804">
        <v>0</v>
      </c>
      <c r="FE291" s="1804">
        <v>0</v>
      </c>
      <c r="FF291" s="1804">
        <v>0</v>
      </c>
      <c r="FG291" s="1804">
        <v>0</v>
      </c>
      <c r="FH291" s="1804">
        <v>0</v>
      </c>
      <c r="FI291" s="1804">
        <v>0</v>
      </c>
      <c r="FJ291" s="1804">
        <v>0</v>
      </c>
      <c r="FK291" s="1804">
        <v>0</v>
      </c>
      <c r="FL291" s="1804">
        <v>0</v>
      </c>
      <c r="FM291" s="1804">
        <v>0</v>
      </c>
      <c r="FN291" s="1804">
        <v>0</v>
      </c>
      <c r="FO291" s="1804">
        <v>0</v>
      </c>
      <c r="FP291" s="1804">
        <v>0</v>
      </c>
      <c r="FQ291" s="1804">
        <v>0</v>
      </c>
      <c r="FR291" s="1804">
        <v>0</v>
      </c>
      <c r="FS291" s="1804">
        <v>0</v>
      </c>
      <c r="FT291" s="1804">
        <v>0</v>
      </c>
      <c r="FU291" s="1804">
        <v>0</v>
      </c>
      <c r="FV291" s="1804">
        <v>0</v>
      </c>
      <c r="FW291" s="1804">
        <v>0</v>
      </c>
      <c r="FX291" s="1804">
        <v>0</v>
      </c>
      <c r="FY291" s="1804">
        <v>0</v>
      </c>
      <c r="FZ291" s="1804">
        <v>0</v>
      </c>
      <c r="GA291" s="1804">
        <v>0</v>
      </c>
      <c r="GB291" s="1804">
        <v>0</v>
      </c>
      <c r="GC291" s="1804">
        <v>0</v>
      </c>
      <c r="GD291" s="1804">
        <v>0</v>
      </c>
      <c r="GE291" s="1804">
        <v>0</v>
      </c>
      <c r="GF291" s="1804">
        <v>0</v>
      </c>
      <c r="GG291" s="1804">
        <v>0</v>
      </c>
      <c r="GH291" s="1804">
        <v>0</v>
      </c>
      <c r="GI291" s="1804">
        <v>0</v>
      </c>
      <c r="GJ291" s="1804">
        <v>0</v>
      </c>
      <c r="GK291" s="1804">
        <v>0</v>
      </c>
      <c r="GL291" s="1804">
        <v>0</v>
      </c>
      <c r="GM291" s="1804">
        <v>0</v>
      </c>
      <c r="GN291" s="1804">
        <v>0</v>
      </c>
      <c r="GO291" s="1804">
        <v>0</v>
      </c>
      <c r="GP291" s="1804">
        <v>0</v>
      </c>
      <c r="GQ291" s="1804">
        <v>0</v>
      </c>
      <c r="GR291" s="1804">
        <v>0</v>
      </c>
      <c r="GS291" s="1804">
        <v>0</v>
      </c>
      <c r="GT291" s="1804">
        <v>0</v>
      </c>
      <c r="GU291" s="1804">
        <v>0</v>
      </c>
      <c r="GV291" s="1804">
        <v>0</v>
      </c>
      <c r="GW291" s="1804">
        <v>0</v>
      </c>
      <c r="GX291" s="1804">
        <v>0</v>
      </c>
      <c r="GY291" s="1804">
        <v>0</v>
      </c>
      <c r="GZ291" s="1804">
        <v>0</v>
      </c>
      <c r="HA291" s="1804">
        <v>0</v>
      </c>
      <c r="HB291" s="1804">
        <v>0</v>
      </c>
      <c r="HC291" s="1804">
        <v>0</v>
      </c>
      <c r="HD291" s="1804">
        <v>0</v>
      </c>
      <c r="HE291" s="1804">
        <v>0</v>
      </c>
    </row>
    <row r="292" spans="1:213" ht="30" customHeight="1" thickBot="1" x14ac:dyDescent="0.25">
      <c r="A292" s="1788" t="s">
        <v>288</v>
      </c>
      <c r="B292" s="1787" t="s">
        <v>639</v>
      </c>
      <c r="C292" s="1710" t="s">
        <v>747</v>
      </c>
      <c r="D292" s="1885"/>
      <c r="E292" s="1845"/>
      <c r="F292" s="1838">
        <v>0</v>
      </c>
      <c r="G292" s="1804">
        <v>0</v>
      </c>
      <c r="H292" s="1804">
        <v>0</v>
      </c>
      <c r="I292" s="1804">
        <v>0</v>
      </c>
      <c r="J292" s="1804">
        <v>0</v>
      </c>
      <c r="K292" s="1804">
        <v>0</v>
      </c>
      <c r="L292" s="1804">
        <v>0</v>
      </c>
      <c r="M292" s="1804">
        <v>0</v>
      </c>
      <c r="N292" s="1804">
        <v>0</v>
      </c>
      <c r="O292" s="1804">
        <v>0</v>
      </c>
      <c r="P292" s="1804">
        <v>0</v>
      </c>
      <c r="Q292" s="1804">
        <v>0</v>
      </c>
      <c r="R292" s="1804">
        <v>0</v>
      </c>
      <c r="S292" s="1804">
        <v>0</v>
      </c>
      <c r="T292" s="1804">
        <v>0</v>
      </c>
      <c r="U292" s="1804">
        <v>0</v>
      </c>
      <c r="V292" s="1804">
        <v>0</v>
      </c>
      <c r="W292" s="1804">
        <v>0</v>
      </c>
      <c r="X292" s="1804">
        <v>0</v>
      </c>
      <c r="Y292" s="1804">
        <v>0</v>
      </c>
      <c r="Z292" s="1804">
        <v>0</v>
      </c>
      <c r="AA292" s="1804">
        <v>0</v>
      </c>
      <c r="AB292" s="1804">
        <v>0</v>
      </c>
      <c r="AC292" s="1804">
        <v>0</v>
      </c>
      <c r="AD292" s="1804">
        <v>0</v>
      </c>
      <c r="AE292" s="1804">
        <v>0</v>
      </c>
      <c r="AF292" s="1804">
        <v>0</v>
      </c>
      <c r="AG292" s="1804">
        <v>0</v>
      </c>
      <c r="AH292" s="1804">
        <v>0</v>
      </c>
      <c r="AI292" s="1804">
        <v>0</v>
      </c>
      <c r="AJ292" s="1804">
        <v>0</v>
      </c>
      <c r="AK292" s="1804">
        <v>0</v>
      </c>
      <c r="AL292" s="1804">
        <v>0</v>
      </c>
      <c r="AM292" s="1804">
        <v>0</v>
      </c>
      <c r="AN292" s="1804">
        <v>0</v>
      </c>
      <c r="AO292" s="1804">
        <v>0</v>
      </c>
      <c r="AP292" s="1804">
        <v>0</v>
      </c>
      <c r="AQ292" s="1804">
        <v>0</v>
      </c>
      <c r="AR292" s="1804">
        <v>0</v>
      </c>
      <c r="AS292" s="1804">
        <v>0</v>
      </c>
      <c r="AT292" s="1804">
        <v>0</v>
      </c>
      <c r="AU292" s="1804">
        <v>0</v>
      </c>
      <c r="AV292" s="1804">
        <v>0</v>
      </c>
      <c r="AW292" s="1804">
        <v>0</v>
      </c>
      <c r="AX292" s="1804">
        <v>0</v>
      </c>
      <c r="AY292" s="1804">
        <v>0</v>
      </c>
      <c r="AZ292" s="1804">
        <v>0</v>
      </c>
      <c r="BA292" s="1804">
        <v>0</v>
      </c>
      <c r="BB292" s="1804">
        <v>0</v>
      </c>
      <c r="BC292" s="1804">
        <v>0</v>
      </c>
      <c r="BD292" s="1804">
        <v>0</v>
      </c>
      <c r="BE292" s="1804">
        <v>0</v>
      </c>
      <c r="BF292" s="1804">
        <v>0</v>
      </c>
      <c r="BG292" s="1804">
        <v>0</v>
      </c>
      <c r="BH292" s="1804">
        <v>0</v>
      </c>
      <c r="BI292" s="1804">
        <v>0</v>
      </c>
      <c r="BJ292" s="1804">
        <v>0</v>
      </c>
      <c r="BK292" s="1804">
        <v>0</v>
      </c>
      <c r="BL292" s="1804">
        <v>0</v>
      </c>
      <c r="BM292" s="1804">
        <v>0</v>
      </c>
      <c r="BN292" s="1804">
        <v>0</v>
      </c>
      <c r="BO292" s="1804">
        <v>0</v>
      </c>
      <c r="BP292" s="1804">
        <v>0</v>
      </c>
      <c r="BQ292" s="1804">
        <v>0</v>
      </c>
      <c r="BR292" s="1804">
        <v>0</v>
      </c>
      <c r="BS292" s="1804">
        <v>0</v>
      </c>
      <c r="BT292" s="1804">
        <v>0</v>
      </c>
      <c r="BU292" s="1804">
        <v>0</v>
      </c>
      <c r="BV292" s="1804">
        <v>0</v>
      </c>
      <c r="BW292" s="1804">
        <v>0</v>
      </c>
      <c r="BX292" s="1804">
        <v>0</v>
      </c>
      <c r="BY292" s="1804">
        <v>0</v>
      </c>
      <c r="BZ292" s="1804">
        <v>0</v>
      </c>
      <c r="CA292" s="1804">
        <v>0</v>
      </c>
      <c r="CB292" s="1804">
        <v>0</v>
      </c>
      <c r="CC292" s="1804">
        <v>0</v>
      </c>
      <c r="CD292" s="1804">
        <v>0</v>
      </c>
      <c r="CE292" s="1804">
        <v>0</v>
      </c>
      <c r="CF292" s="1804">
        <v>0</v>
      </c>
      <c r="CG292" s="1804">
        <v>0</v>
      </c>
      <c r="CH292" s="1804">
        <v>0</v>
      </c>
      <c r="CI292" s="1804">
        <v>0</v>
      </c>
      <c r="CJ292" s="1804">
        <v>0</v>
      </c>
      <c r="CK292" s="1804">
        <v>0</v>
      </c>
      <c r="CL292" s="1804">
        <v>0</v>
      </c>
      <c r="CM292" s="1804">
        <v>0</v>
      </c>
      <c r="CN292" s="1804">
        <v>0</v>
      </c>
      <c r="CO292" s="1804">
        <v>0</v>
      </c>
      <c r="CP292" s="1804">
        <v>0</v>
      </c>
      <c r="CQ292" s="1804">
        <v>0</v>
      </c>
      <c r="CR292" s="1804">
        <v>0</v>
      </c>
      <c r="CS292" s="1804">
        <v>0</v>
      </c>
      <c r="CT292" s="1804">
        <v>0</v>
      </c>
      <c r="CU292" s="1804">
        <v>0</v>
      </c>
      <c r="CV292" s="1804">
        <v>0</v>
      </c>
      <c r="CW292" s="1804">
        <v>0</v>
      </c>
      <c r="CX292" s="1804">
        <v>0</v>
      </c>
      <c r="CY292" s="1804">
        <v>0</v>
      </c>
      <c r="CZ292" s="1804">
        <v>0</v>
      </c>
      <c r="DA292" s="1804">
        <v>0</v>
      </c>
      <c r="DB292" s="1804">
        <v>0</v>
      </c>
      <c r="DC292" s="1804">
        <v>0</v>
      </c>
      <c r="DD292" s="1804">
        <v>0</v>
      </c>
      <c r="DE292" s="1804">
        <v>0</v>
      </c>
      <c r="DF292" s="1804">
        <v>0</v>
      </c>
      <c r="DG292" s="1804">
        <v>0</v>
      </c>
      <c r="DH292" s="1804">
        <v>0</v>
      </c>
      <c r="DI292" s="1804">
        <v>0</v>
      </c>
      <c r="DJ292" s="1804">
        <v>0</v>
      </c>
      <c r="DK292" s="1804">
        <v>0</v>
      </c>
      <c r="DL292" s="1804">
        <v>0</v>
      </c>
      <c r="DM292" s="1804">
        <v>0</v>
      </c>
      <c r="DN292" s="1804">
        <v>0</v>
      </c>
      <c r="DO292" s="1804">
        <v>0</v>
      </c>
      <c r="DP292" s="1804">
        <v>0</v>
      </c>
      <c r="DQ292" s="1804">
        <v>0</v>
      </c>
      <c r="DR292" s="1804">
        <v>0</v>
      </c>
      <c r="DS292" s="1804">
        <v>0</v>
      </c>
      <c r="DT292" s="1804">
        <v>0</v>
      </c>
      <c r="DU292" s="1804">
        <v>0</v>
      </c>
      <c r="DV292" s="1804">
        <v>0</v>
      </c>
      <c r="DW292" s="1804">
        <v>0</v>
      </c>
      <c r="DX292" s="1804">
        <v>0</v>
      </c>
      <c r="DY292" s="1804">
        <v>0</v>
      </c>
      <c r="DZ292" s="1804">
        <v>0</v>
      </c>
      <c r="EA292" s="1804">
        <v>0</v>
      </c>
      <c r="EB292" s="1804">
        <v>0</v>
      </c>
      <c r="EC292" s="1804">
        <v>0</v>
      </c>
      <c r="ED292" s="1804">
        <v>0</v>
      </c>
      <c r="EE292" s="1804">
        <v>0</v>
      </c>
      <c r="EF292" s="1804">
        <v>0</v>
      </c>
      <c r="EG292" s="1804">
        <v>0</v>
      </c>
      <c r="EH292" s="1804">
        <v>0</v>
      </c>
      <c r="EI292" s="1804">
        <v>0</v>
      </c>
      <c r="EJ292" s="1804">
        <v>0</v>
      </c>
      <c r="EK292" s="1804">
        <v>0</v>
      </c>
      <c r="EL292" s="1804">
        <v>0</v>
      </c>
      <c r="EM292" s="1804">
        <v>0</v>
      </c>
      <c r="EN292" s="1804">
        <v>0</v>
      </c>
      <c r="EO292" s="1804">
        <v>0</v>
      </c>
      <c r="EP292" s="1804">
        <v>0</v>
      </c>
      <c r="EQ292" s="1804">
        <v>0</v>
      </c>
      <c r="ER292" s="1804">
        <v>0</v>
      </c>
      <c r="ES292" s="1804">
        <v>0</v>
      </c>
      <c r="ET292" s="1804">
        <v>0</v>
      </c>
      <c r="EU292" s="1804">
        <v>0</v>
      </c>
      <c r="EV292" s="1804">
        <v>0</v>
      </c>
      <c r="EW292" s="1804">
        <v>0</v>
      </c>
      <c r="EX292" s="1804">
        <v>0</v>
      </c>
      <c r="EY292" s="1804">
        <v>0</v>
      </c>
      <c r="EZ292" s="1804">
        <v>0</v>
      </c>
      <c r="FA292" s="1804">
        <v>0</v>
      </c>
      <c r="FB292" s="1804">
        <v>0</v>
      </c>
      <c r="FC292" s="1804">
        <v>0</v>
      </c>
      <c r="FD292" s="1804">
        <v>0</v>
      </c>
      <c r="FE292" s="1804">
        <v>0</v>
      </c>
      <c r="FF292" s="1804">
        <v>0</v>
      </c>
      <c r="FG292" s="1804">
        <v>0</v>
      </c>
      <c r="FH292" s="1804">
        <v>0</v>
      </c>
      <c r="FI292" s="1804">
        <v>0</v>
      </c>
      <c r="FJ292" s="1804">
        <v>0</v>
      </c>
      <c r="FK292" s="1804">
        <v>0</v>
      </c>
      <c r="FL292" s="1804">
        <v>0</v>
      </c>
      <c r="FM292" s="1804">
        <v>0</v>
      </c>
      <c r="FN292" s="1804">
        <v>0</v>
      </c>
      <c r="FO292" s="1804">
        <v>0</v>
      </c>
      <c r="FP292" s="1804">
        <v>0</v>
      </c>
      <c r="FQ292" s="1804">
        <v>0</v>
      </c>
      <c r="FR292" s="1804">
        <v>0</v>
      </c>
      <c r="FS292" s="1804">
        <v>0</v>
      </c>
      <c r="FT292" s="1804">
        <v>0</v>
      </c>
      <c r="FU292" s="1804">
        <v>0</v>
      </c>
      <c r="FV292" s="1804">
        <v>0</v>
      </c>
      <c r="FW292" s="1804">
        <v>0</v>
      </c>
      <c r="FX292" s="1804">
        <v>0</v>
      </c>
      <c r="FY292" s="1804">
        <v>0</v>
      </c>
      <c r="FZ292" s="1804">
        <v>0</v>
      </c>
      <c r="GA292" s="1804">
        <v>0</v>
      </c>
      <c r="GB292" s="1804">
        <v>0</v>
      </c>
      <c r="GC292" s="1804">
        <v>0</v>
      </c>
      <c r="GD292" s="1804">
        <v>0</v>
      </c>
      <c r="GE292" s="1804">
        <v>0</v>
      </c>
      <c r="GF292" s="1804">
        <v>0</v>
      </c>
      <c r="GG292" s="1804">
        <v>0</v>
      </c>
      <c r="GH292" s="1804">
        <v>0</v>
      </c>
      <c r="GI292" s="1804">
        <v>0</v>
      </c>
      <c r="GJ292" s="1804">
        <v>0</v>
      </c>
      <c r="GK292" s="1804">
        <v>0</v>
      </c>
      <c r="GL292" s="1804">
        <v>0</v>
      </c>
      <c r="GM292" s="1804">
        <v>0</v>
      </c>
      <c r="GN292" s="1804">
        <v>0</v>
      </c>
      <c r="GO292" s="1804">
        <v>0</v>
      </c>
      <c r="GP292" s="1804">
        <v>0</v>
      </c>
      <c r="GQ292" s="1804">
        <v>0</v>
      </c>
      <c r="GR292" s="1804">
        <v>0</v>
      </c>
      <c r="GS292" s="1804">
        <v>0</v>
      </c>
      <c r="GT292" s="1804">
        <v>0</v>
      </c>
      <c r="GU292" s="1804">
        <v>0</v>
      </c>
      <c r="GV292" s="1804">
        <v>0</v>
      </c>
      <c r="GW292" s="1804">
        <v>0</v>
      </c>
      <c r="GX292" s="1804">
        <v>0</v>
      </c>
      <c r="GY292" s="1804">
        <v>0</v>
      </c>
      <c r="GZ292" s="1804">
        <v>0</v>
      </c>
      <c r="HA292" s="1804">
        <v>0</v>
      </c>
      <c r="HB292" s="1804">
        <v>0</v>
      </c>
      <c r="HC292" s="1804">
        <v>0</v>
      </c>
      <c r="HD292" s="1804">
        <v>0</v>
      </c>
      <c r="HE292" s="1804">
        <v>0</v>
      </c>
    </row>
    <row r="293" spans="1:213" ht="30" customHeight="1" thickBot="1" x14ac:dyDescent="0.25">
      <c r="A293" s="1711" t="s">
        <v>311</v>
      </c>
      <c r="B293" s="1698" t="s">
        <v>640</v>
      </c>
      <c r="C293" s="1712" t="s">
        <v>643</v>
      </c>
      <c r="D293" s="1885"/>
      <c r="E293" s="1845"/>
      <c r="F293" s="1838">
        <v>0</v>
      </c>
      <c r="G293" s="1804">
        <v>0</v>
      </c>
      <c r="H293" s="1804">
        <v>0</v>
      </c>
      <c r="I293" s="1804">
        <v>0</v>
      </c>
      <c r="J293" s="1804">
        <v>0</v>
      </c>
      <c r="K293" s="1804">
        <v>0</v>
      </c>
      <c r="L293" s="1804">
        <v>0</v>
      </c>
      <c r="M293" s="1804">
        <v>0</v>
      </c>
      <c r="N293" s="1804">
        <v>0</v>
      </c>
      <c r="O293" s="1804">
        <v>0</v>
      </c>
      <c r="P293" s="1804">
        <v>0</v>
      </c>
      <c r="Q293" s="1804">
        <v>0</v>
      </c>
      <c r="R293" s="1804">
        <v>0</v>
      </c>
      <c r="S293" s="1804">
        <v>0</v>
      </c>
      <c r="T293" s="1804">
        <v>0</v>
      </c>
      <c r="U293" s="1804">
        <v>0</v>
      </c>
      <c r="V293" s="1804">
        <v>0</v>
      </c>
      <c r="W293" s="1804">
        <v>0</v>
      </c>
      <c r="X293" s="1804">
        <v>0</v>
      </c>
      <c r="Y293" s="1804">
        <v>0</v>
      </c>
      <c r="Z293" s="1804">
        <v>0</v>
      </c>
      <c r="AA293" s="1804">
        <v>0</v>
      </c>
      <c r="AB293" s="1804">
        <v>0</v>
      </c>
      <c r="AC293" s="1804">
        <v>0</v>
      </c>
      <c r="AD293" s="1804">
        <v>0</v>
      </c>
      <c r="AE293" s="1804">
        <v>0</v>
      </c>
      <c r="AF293" s="1804">
        <v>0</v>
      </c>
      <c r="AG293" s="1804">
        <v>0</v>
      </c>
      <c r="AH293" s="1804">
        <v>0</v>
      </c>
      <c r="AI293" s="1804">
        <v>0</v>
      </c>
      <c r="AJ293" s="1804">
        <v>0</v>
      </c>
      <c r="AK293" s="1804">
        <v>0</v>
      </c>
      <c r="AL293" s="1804">
        <v>0</v>
      </c>
      <c r="AM293" s="1804">
        <v>0</v>
      </c>
      <c r="AN293" s="1804">
        <v>0</v>
      </c>
      <c r="AO293" s="1804">
        <v>0</v>
      </c>
      <c r="AP293" s="1804">
        <v>0</v>
      </c>
      <c r="AQ293" s="1804">
        <v>0</v>
      </c>
      <c r="AR293" s="1804">
        <v>0</v>
      </c>
      <c r="AS293" s="1804">
        <v>0</v>
      </c>
      <c r="AT293" s="1804">
        <v>0</v>
      </c>
      <c r="AU293" s="1804">
        <v>0</v>
      </c>
      <c r="AV293" s="1804">
        <v>0</v>
      </c>
      <c r="AW293" s="1804">
        <v>0</v>
      </c>
      <c r="AX293" s="1804">
        <v>0</v>
      </c>
      <c r="AY293" s="1804">
        <v>0</v>
      </c>
      <c r="AZ293" s="1804">
        <v>0</v>
      </c>
      <c r="BA293" s="1804">
        <v>0</v>
      </c>
      <c r="BB293" s="1804">
        <v>0</v>
      </c>
      <c r="BC293" s="1804">
        <v>0</v>
      </c>
      <c r="BD293" s="1804">
        <v>0</v>
      </c>
      <c r="BE293" s="1804">
        <v>0</v>
      </c>
      <c r="BF293" s="1804">
        <v>0</v>
      </c>
      <c r="BG293" s="1804">
        <v>0</v>
      </c>
      <c r="BH293" s="1804">
        <v>0</v>
      </c>
      <c r="BI293" s="1804">
        <v>0</v>
      </c>
      <c r="BJ293" s="1804">
        <v>0</v>
      </c>
      <c r="BK293" s="1804">
        <v>0</v>
      </c>
      <c r="BL293" s="1804">
        <v>0</v>
      </c>
      <c r="BM293" s="1804">
        <v>0</v>
      </c>
      <c r="BN293" s="1804">
        <v>0</v>
      </c>
      <c r="BO293" s="1804">
        <v>0</v>
      </c>
      <c r="BP293" s="1804">
        <v>0</v>
      </c>
      <c r="BQ293" s="1804">
        <v>0</v>
      </c>
      <c r="BR293" s="1804">
        <v>0</v>
      </c>
      <c r="BS293" s="1804">
        <v>0</v>
      </c>
      <c r="BT293" s="1804">
        <v>0</v>
      </c>
      <c r="BU293" s="1804">
        <v>0</v>
      </c>
      <c r="BV293" s="1804">
        <v>0</v>
      </c>
      <c r="BW293" s="1804">
        <v>0</v>
      </c>
      <c r="BX293" s="1804">
        <v>0</v>
      </c>
      <c r="BY293" s="1804">
        <v>0</v>
      </c>
      <c r="BZ293" s="1804">
        <v>0</v>
      </c>
      <c r="CA293" s="1804">
        <v>0</v>
      </c>
      <c r="CB293" s="1804">
        <v>0</v>
      </c>
      <c r="CC293" s="1804">
        <v>0</v>
      </c>
      <c r="CD293" s="1804">
        <v>0</v>
      </c>
      <c r="CE293" s="1804">
        <v>0</v>
      </c>
      <c r="CF293" s="1804">
        <v>0</v>
      </c>
      <c r="CG293" s="1804">
        <v>0</v>
      </c>
      <c r="CH293" s="1804">
        <v>0</v>
      </c>
      <c r="CI293" s="1804">
        <v>0</v>
      </c>
      <c r="CJ293" s="1804">
        <v>0</v>
      </c>
      <c r="CK293" s="1804">
        <v>0</v>
      </c>
      <c r="CL293" s="1804">
        <v>0</v>
      </c>
      <c r="CM293" s="1804">
        <v>0</v>
      </c>
      <c r="CN293" s="1804">
        <v>0</v>
      </c>
      <c r="CO293" s="1804">
        <v>0</v>
      </c>
      <c r="CP293" s="1804">
        <v>0</v>
      </c>
      <c r="CQ293" s="1804">
        <v>0</v>
      </c>
      <c r="CR293" s="1804">
        <v>0</v>
      </c>
      <c r="CS293" s="1804">
        <v>0</v>
      </c>
      <c r="CT293" s="1804">
        <v>0</v>
      </c>
      <c r="CU293" s="1804">
        <v>0</v>
      </c>
      <c r="CV293" s="1804">
        <v>0</v>
      </c>
      <c r="CW293" s="1804">
        <v>0</v>
      </c>
      <c r="CX293" s="1804">
        <v>0</v>
      </c>
      <c r="CY293" s="1804">
        <v>0</v>
      </c>
      <c r="CZ293" s="1804">
        <v>0</v>
      </c>
      <c r="DA293" s="1804">
        <v>0</v>
      </c>
      <c r="DB293" s="1804">
        <v>0</v>
      </c>
      <c r="DC293" s="1804">
        <v>0</v>
      </c>
      <c r="DD293" s="1804">
        <v>0</v>
      </c>
      <c r="DE293" s="1804">
        <v>0</v>
      </c>
      <c r="DF293" s="1804">
        <v>0</v>
      </c>
      <c r="DG293" s="1804">
        <v>0</v>
      </c>
      <c r="DH293" s="1804">
        <v>0</v>
      </c>
      <c r="DI293" s="1804">
        <v>0</v>
      </c>
      <c r="DJ293" s="1804">
        <v>0</v>
      </c>
      <c r="DK293" s="1804">
        <v>0</v>
      </c>
      <c r="DL293" s="1804">
        <v>0</v>
      </c>
      <c r="DM293" s="1804">
        <v>0</v>
      </c>
      <c r="DN293" s="1804">
        <v>0</v>
      </c>
      <c r="DO293" s="1804">
        <v>0</v>
      </c>
      <c r="DP293" s="1804">
        <v>0</v>
      </c>
      <c r="DQ293" s="1804">
        <v>0</v>
      </c>
      <c r="DR293" s="1804">
        <v>0</v>
      </c>
      <c r="DS293" s="1804">
        <v>0</v>
      </c>
      <c r="DT293" s="1804">
        <v>0</v>
      </c>
      <c r="DU293" s="1804">
        <v>0</v>
      </c>
      <c r="DV293" s="1804">
        <v>0</v>
      </c>
      <c r="DW293" s="1804">
        <v>0</v>
      </c>
      <c r="DX293" s="1804">
        <v>0</v>
      </c>
      <c r="DY293" s="1804">
        <v>0</v>
      </c>
      <c r="DZ293" s="1804">
        <v>0</v>
      </c>
      <c r="EA293" s="1804">
        <v>0</v>
      </c>
      <c r="EB293" s="1804">
        <v>0</v>
      </c>
      <c r="EC293" s="1804">
        <v>0</v>
      </c>
      <c r="ED293" s="1804">
        <v>0</v>
      </c>
      <c r="EE293" s="1804">
        <v>0</v>
      </c>
      <c r="EF293" s="1804">
        <v>0</v>
      </c>
      <c r="EG293" s="1804">
        <v>0</v>
      </c>
      <c r="EH293" s="1804">
        <v>0</v>
      </c>
      <c r="EI293" s="1804">
        <v>0</v>
      </c>
      <c r="EJ293" s="1804">
        <v>0</v>
      </c>
      <c r="EK293" s="1804">
        <v>0</v>
      </c>
      <c r="EL293" s="1804">
        <v>0</v>
      </c>
      <c r="EM293" s="1804">
        <v>0</v>
      </c>
      <c r="EN293" s="1804">
        <v>0</v>
      </c>
      <c r="EO293" s="1804">
        <v>0</v>
      </c>
      <c r="EP293" s="1804">
        <v>0</v>
      </c>
      <c r="EQ293" s="1804">
        <v>0</v>
      </c>
      <c r="ER293" s="1804">
        <v>0</v>
      </c>
      <c r="ES293" s="1804">
        <v>0</v>
      </c>
      <c r="ET293" s="1804">
        <v>0</v>
      </c>
      <c r="EU293" s="1804">
        <v>0</v>
      </c>
      <c r="EV293" s="1804">
        <v>0</v>
      </c>
      <c r="EW293" s="1804">
        <v>0</v>
      </c>
      <c r="EX293" s="1804">
        <v>0</v>
      </c>
      <c r="EY293" s="1804">
        <v>0</v>
      </c>
      <c r="EZ293" s="1804">
        <v>0</v>
      </c>
      <c r="FA293" s="1804">
        <v>0</v>
      </c>
      <c r="FB293" s="1804">
        <v>0</v>
      </c>
      <c r="FC293" s="1804">
        <v>0</v>
      </c>
      <c r="FD293" s="1804">
        <v>0</v>
      </c>
      <c r="FE293" s="1804">
        <v>0</v>
      </c>
      <c r="FF293" s="1804">
        <v>0</v>
      </c>
      <c r="FG293" s="1804">
        <v>0</v>
      </c>
      <c r="FH293" s="1804">
        <v>0</v>
      </c>
      <c r="FI293" s="1804">
        <v>0</v>
      </c>
      <c r="FJ293" s="1804">
        <v>0</v>
      </c>
      <c r="FK293" s="1804">
        <v>0</v>
      </c>
      <c r="FL293" s="1804">
        <v>0</v>
      </c>
      <c r="FM293" s="1804">
        <v>0</v>
      </c>
      <c r="FN293" s="1804">
        <v>0</v>
      </c>
      <c r="FO293" s="1804">
        <v>0</v>
      </c>
      <c r="FP293" s="1804">
        <v>0</v>
      </c>
      <c r="FQ293" s="1804">
        <v>0</v>
      </c>
      <c r="FR293" s="1804">
        <v>0</v>
      </c>
      <c r="FS293" s="1804">
        <v>0</v>
      </c>
      <c r="FT293" s="1804">
        <v>0</v>
      </c>
      <c r="FU293" s="1804">
        <v>0</v>
      </c>
      <c r="FV293" s="1804">
        <v>0</v>
      </c>
      <c r="FW293" s="1804">
        <v>0</v>
      </c>
      <c r="FX293" s="1804">
        <v>0</v>
      </c>
      <c r="FY293" s="1804">
        <v>0</v>
      </c>
      <c r="FZ293" s="1804">
        <v>0</v>
      </c>
      <c r="GA293" s="1804">
        <v>0</v>
      </c>
      <c r="GB293" s="1804">
        <v>0</v>
      </c>
      <c r="GC293" s="1804">
        <v>0</v>
      </c>
      <c r="GD293" s="1804">
        <v>0</v>
      </c>
      <c r="GE293" s="1804">
        <v>0</v>
      </c>
      <c r="GF293" s="1804">
        <v>0</v>
      </c>
      <c r="GG293" s="1804">
        <v>0</v>
      </c>
      <c r="GH293" s="1804">
        <v>0</v>
      </c>
      <c r="GI293" s="1804">
        <v>0</v>
      </c>
      <c r="GJ293" s="1804">
        <v>0</v>
      </c>
      <c r="GK293" s="1804">
        <v>0</v>
      </c>
      <c r="GL293" s="1804">
        <v>0</v>
      </c>
      <c r="GM293" s="1804">
        <v>0</v>
      </c>
      <c r="GN293" s="1804">
        <v>0</v>
      </c>
      <c r="GO293" s="1804">
        <v>0</v>
      </c>
      <c r="GP293" s="1804">
        <v>0</v>
      </c>
      <c r="GQ293" s="1804">
        <v>0</v>
      </c>
      <c r="GR293" s="1804">
        <v>0</v>
      </c>
      <c r="GS293" s="1804">
        <v>0</v>
      </c>
      <c r="GT293" s="1804">
        <v>0</v>
      </c>
      <c r="GU293" s="1804">
        <v>0</v>
      </c>
      <c r="GV293" s="1804">
        <v>0</v>
      </c>
      <c r="GW293" s="1804">
        <v>0</v>
      </c>
      <c r="GX293" s="1804">
        <v>0</v>
      </c>
      <c r="GY293" s="1804">
        <v>0</v>
      </c>
      <c r="GZ293" s="1804">
        <v>0</v>
      </c>
      <c r="HA293" s="1804">
        <v>0</v>
      </c>
      <c r="HB293" s="1804">
        <v>0</v>
      </c>
      <c r="HC293" s="1804">
        <v>0</v>
      </c>
      <c r="HD293" s="1804">
        <v>0</v>
      </c>
      <c r="HE293" s="1804">
        <v>0</v>
      </c>
    </row>
    <row r="294" spans="1:213" ht="21" customHeight="1" thickBot="1" x14ac:dyDescent="0.25">
      <c r="A294" s="1964" t="s">
        <v>289</v>
      </c>
      <c r="B294" s="1989" t="s">
        <v>47</v>
      </c>
      <c r="C294" s="1704" t="s">
        <v>870</v>
      </c>
      <c r="D294" s="1880"/>
      <c r="E294" s="1984"/>
      <c r="F294" s="1865"/>
      <c r="G294" s="1866"/>
      <c r="H294" s="1866"/>
      <c r="I294" s="1866"/>
      <c r="J294" s="1866"/>
      <c r="K294" s="1866"/>
      <c r="L294" s="1866"/>
      <c r="M294" s="1866"/>
      <c r="N294" s="1866"/>
      <c r="O294" s="1866"/>
      <c r="P294" s="1866"/>
      <c r="Q294" s="1866"/>
      <c r="R294" s="1866"/>
      <c r="S294" s="1866"/>
      <c r="T294" s="1866"/>
      <c r="U294" s="1866"/>
      <c r="V294" s="1866"/>
      <c r="W294" s="1866"/>
      <c r="X294" s="1866"/>
      <c r="Y294" s="1866"/>
      <c r="Z294" s="1866"/>
      <c r="AA294" s="1866"/>
      <c r="AB294" s="1866"/>
      <c r="AC294" s="1866"/>
      <c r="AD294" s="1866"/>
      <c r="AE294" s="1866"/>
      <c r="AF294" s="1866"/>
      <c r="AG294" s="1866"/>
      <c r="AH294" s="1866"/>
      <c r="AI294" s="1866"/>
      <c r="AJ294" s="1866"/>
      <c r="AK294" s="1866"/>
      <c r="AL294" s="1866"/>
      <c r="AM294" s="1866"/>
      <c r="AN294" s="1866"/>
      <c r="AO294" s="1866"/>
      <c r="AP294" s="1866"/>
      <c r="AQ294" s="1866"/>
      <c r="AR294" s="1866"/>
      <c r="AS294" s="1866"/>
      <c r="AT294" s="1866"/>
      <c r="AU294" s="1866"/>
      <c r="AV294" s="1866"/>
      <c r="AW294" s="1866"/>
      <c r="AX294" s="1866"/>
      <c r="AY294" s="1866"/>
      <c r="AZ294" s="1866"/>
      <c r="BA294" s="1866"/>
      <c r="BB294" s="1866"/>
      <c r="BC294" s="1866"/>
      <c r="BD294" s="1866"/>
      <c r="BE294" s="1866"/>
      <c r="BF294" s="1866"/>
      <c r="BG294" s="1866"/>
      <c r="BH294" s="1866"/>
      <c r="BI294" s="1866"/>
      <c r="BJ294" s="1866"/>
      <c r="BK294" s="1866"/>
      <c r="BL294" s="1866"/>
      <c r="BM294" s="1866"/>
      <c r="BN294" s="1866"/>
      <c r="BO294" s="1866"/>
      <c r="BP294" s="1866"/>
      <c r="BQ294" s="1866"/>
      <c r="BR294" s="1866"/>
      <c r="BS294" s="1866"/>
      <c r="BT294" s="1866"/>
      <c r="BU294" s="1866"/>
      <c r="BV294" s="1866"/>
      <c r="BW294" s="1866"/>
      <c r="BX294" s="1866"/>
      <c r="BY294" s="1866"/>
      <c r="BZ294" s="1866"/>
      <c r="CA294" s="1866"/>
      <c r="CB294" s="1866"/>
      <c r="CC294" s="1866"/>
      <c r="CD294" s="1866"/>
      <c r="CE294" s="1866"/>
      <c r="CF294" s="1866"/>
      <c r="CG294" s="1866"/>
      <c r="CH294" s="1866"/>
      <c r="CI294" s="1866"/>
      <c r="CJ294" s="1866"/>
      <c r="CK294" s="1866"/>
      <c r="CL294" s="1866"/>
      <c r="CM294" s="1866"/>
      <c r="CN294" s="1866"/>
      <c r="CO294" s="1866"/>
      <c r="CP294" s="1866"/>
      <c r="CQ294" s="1866"/>
      <c r="CR294" s="1866"/>
      <c r="CS294" s="1866"/>
      <c r="CT294" s="1866"/>
      <c r="CU294" s="1866"/>
      <c r="CV294" s="1866"/>
      <c r="CW294" s="1866"/>
      <c r="CX294" s="1866"/>
      <c r="CY294" s="1866"/>
      <c r="CZ294" s="1866"/>
      <c r="DA294" s="1866"/>
      <c r="DB294" s="1866"/>
      <c r="DC294" s="1866"/>
      <c r="DD294" s="1866"/>
      <c r="DE294" s="1866"/>
      <c r="DF294" s="1866"/>
      <c r="DG294" s="1866"/>
      <c r="DH294" s="1866"/>
      <c r="DI294" s="1866"/>
      <c r="DJ294" s="1866"/>
      <c r="DK294" s="1866"/>
      <c r="DL294" s="1866"/>
      <c r="DM294" s="1866"/>
      <c r="DN294" s="1866"/>
      <c r="DO294" s="1866"/>
      <c r="DP294" s="1866"/>
      <c r="DQ294" s="1866"/>
      <c r="DR294" s="1866"/>
      <c r="DS294" s="1866"/>
      <c r="DT294" s="1866"/>
      <c r="DU294" s="1866"/>
      <c r="DV294" s="1866"/>
      <c r="DW294" s="1866"/>
      <c r="DX294" s="1866"/>
      <c r="DY294" s="1866"/>
      <c r="DZ294" s="1866"/>
      <c r="EA294" s="1866"/>
      <c r="EB294" s="1866"/>
      <c r="EC294" s="1866"/>
      <c r="ED294" s="1866"/>
      <c r="EE294" s="1866"/>
      <c r="EF294" s="1866"/>
      <c r="EG294" s="1866"/>
      <c r="EH294" s="1866"/>
      <c r="EI294" s="1866"/>
      <c r="EJ294" s="1866"/>
      <c r="EK294" s="1866"/>
      <c r="EL294" s="1866"/>
      <c r="EM294" s="1866"/>
      <c r="EN294" s="1866"/>
      <c r="EO294" s="1866"/>
      <c r="EP294" s="1866"/>
      <c r="EQ294" s="1866"/>
      <c r="ER294" s="1866"/>
      <c r="ES294" s="1866"/>
      <c r="ET294" s="1866"/>
      <c r="EU294" s="1866"/>
      <c r="EV294" s="1866"/>
      <c r="EW294" s="1866"/>
      <c r="EX294" s="1866"/>
      <c r="EY294" s="1866"/>
      <c r="EZ294" s="1866"/>
      <c r="FA294" s="1866"/>
      <c r="FB294" s="1866"/>
      <c r="FC294" s="1866"/>
      <c r="FD294" s="1866"/>
      <c r="FE294" s="1866"/>
      <c r="FF294" s="1866"/>
      <c r="FG294" s="1866"/>
      <c r="FH294" s="1866"/>
      <c r="FI294" s="1866"/>
      <c r="FJ294" s="1866"/>
      <c r="FK294" s="1866"/>
      <c r="FL294" s="1866"/>
      <c r="FM294" s="1866"/>
      <c r="FN294" s="1866"/>
      <c r="FO294" s="1866"/>
      <c r="FP294" s="1866"/>
      <c r="FQ294" s="1866"/>
      <c r="FR294" s="1866"/>
      <c r="FS294" s="1866"/>
      <c r="FT294" s="1866"/>
      <c r="FU294" s="1866"/>
      <c r="FV294" s="1866"/>
      <c r="FW294" s="1866"/>
      <c r="FX294" s="1866"/>
      <c r="FY294" s="1866"/>
      <c r="FZ294" s="1866"/>
      <c r="GA294" s="1866"/>
      <c r="GB294" s="1866"/>
      <c r="GC294" s="1866"/>
      <c r="GD294" s="1866"/>
      <c r="GE294" s="1866"/>
      <c r="GF294" s="1866"/>
      <c r="GG294" s="1866"/>
      <c r="GH294" s="1866"/>
      <c r="GI294" s="1866"/>
      <c r="GJ294" s="1866"/>
      <c r="GK294" s="1866"/>
      <c r="GL294" s="1866"/>
      <c r="GM294" s="1866"/>
      <c r="GN294" s="1866"/>
      <c r="GO294" s="1866"/>
      <c r="GP294" s="1866"/>
      <c r="GQ294" s="1866"/>
      <c r="GR294" s="1866"/>
      <c r="GS294" s="1866"/>
      <c r="GT294" s="1866"/>
      <c r="GU294" s="1866"/>
      <c r="GV294" s="1866"/>
      <c r="GW294" s="1866"/>
      <c r="GX294" s="1866"/>
      <c r="GY294" s="1866"/>
      <c r="GZ294" s="1866"/>
      <c r="HA294" s="1866"/>
      <c r="HB294" s="1866"/>
      <c r="HC294" s="1866"/>
      <c r="HD294" s="1866"/>
      <c r="HE294" s="1866"/>
    </row>
    <row r="295" spans="1:213" ht="15" customHeight="1" x14ac:dyDescent="0.2">
      <c r="A295" s="1964"/>
      <c r="B295" s="1989"/>
      <c r="C295" s="1705" t="s">
        <v>742</v>
      </c>
      <c r="D295" s="1883"/>
      <c r="E295" s="1984"/>
      <c r="F295" s="1838">
        <v>0</v>
      </c>
      <c r="G295" s="1804">
        <v>0</v>
      </c>
      <c r="H295" s="1804">
        <v>0</v>
      </c>
      <c r="I295" s="1804">
        <v>0</v>
      </c>
      <c r="J295" s="1804">
        <v>0</v>
      </c>
      <c r="K295" s="1804">
        <v>0</v>
      </c>
      <c r="L295" s="1804">
        <v>0</v>
      </c>
      <c r="M295" s="1804">
        <v>0</v>
      </c>
      <c r="N295" s="1804">
        <v>0</v>
      </c>
      <c r="O295" s="1804">
        <v>0</v>
      </c>
      <c r="P295" s="1804">
        <v>0</v>
      </c>
      <c r="Q295" s="1804">
        <v>0</v>
      </c>
      <c r="R295" s="1804">
        <v>0</v>
      </c>
      <c r="S295" s="1804">
        <v>0</v>
      </c>
      <c r="T295" s="1804">
        <v>0</v>
      </c>
      <c r="U295" s="1804">
        <v>0</v>
      </c>
      <c r="V295" s="1804">
        <v>0</v>
      </c>
      <c r="W295" s="1804">
        <v>0</v>
      </c>
      <c r="X295" s="1804">
        <v>0</v>
      </c>
      <c r="Y295" s="1804">
        <v>0</v>
      </c>
      <c r="Z295" s="1804">
        <v>0</v>
      </c>
      <c r="AA295" s="1804">
        <v>0</v>
      </c>
      <c r="AB295" s="1804">
        <v>0</v>
      </c>
      <c r="AC295" s="1804">
        <v>0</v>
      </c>
      <c r="AD295" s="1804">
        <v>0</v>
      </c>
      <c r="AE295" s="1804">
        <v>0</v>
      </c>
      <c r="AF295" s="1804">
        <v>0</v>
      </c>
      <c r="AG295" s="1804">
        <v>0</v>
      </c>
      <c r="AH295" s="1804">
        <v>0</v>
      </c>
      <c r="AI295" s="1804">
        <v>0</v>
      </c>
      <c r="AJ295" s="1804">
        <v>0</v>
      </c>
      <c r="AK295" s="1804">
        <v>0</v>
      </c>
      <c r="AL295" s="1804">
        <v>0</v>
      </c>
      <c r="AM295" s="1804">
        <v>0</v>
      </c>
      <c r="AN295" s="1804">
        <v>0</v>
      </c>
      <c r="AO295" s="1804">
        <v>0</v>
      </c>
      <c r="AP295" s="1804">
        <v>0</v>
      </c>
      <c r="AQ295" s="1804">
        <v>0</v>
      </c>
      <c r="AR295" s="1804">
        <v>0</v>
      </c>
      <c r="AS295" s="1804">
        <v>0</v>
      </c>
      <c r="AT295" s="1804">
        <v>0</v>
      </c>
      <c r="AU295" s="1804">
        <v>0</v>
      </c>
      <c r="AV295" s="1804">
        <v>0</v>
      </c>
      <c r="AW295" s="1804">
        <v>0</v>
      </c>
      <c r="AX295" s="1804">
        <v>0</v>
      </c>
      <c r="AY295" s="1804">
        <v>0</v>
      </c>
      <c r="AZ295" s="1804">
        <v>0</v>
      </c>
      <c r="BA295" s="1804">
        <v>0</v>
      </c>
      <c r="BB295" s="1804">
        <v>0</v>
      </c>
      <c r="BC295" s="1804">
        <v>0</v>
      </c>
      <c r="BD295" s="1804">
        <v>0</v>
      </c>
      <c r="BE295" s="1804">
        <v>0</v>
      </c>
      <c r="BF295" s="1804">
        <v>0</v>
      </c>
      <c r="BG295" s="1804">
        <v>0</v>
      </c>
      <c r="BH295" s="1804">
        <v>0</v>
      </c>
      <c r="BI295" s="1804">
        <v>0</v>
      </c>
      <c r="BJ295" s="1804">
        <v>0</v>
      </c>
      <c r="BK295" s="1804">
        <v>0</v>
      </c>
      <c r="BL295" s="1804">
        <v>0</v>
      </c>
      <c r="BM295" s="1804">
        <v>0</v>
      </c>
      <c r="BN295" s="1804">
        <v>0</v>
      </c>
      <c r="BO295" s="1804">
        <v>0</v>
      </c>
      <c r="BP295" s="1804">
        <v>0</v>
      </c>
      <c r="BQ295" s="1804">
        <v>0</v>
      </c>
      <c r="BR295" s="1804">
        <v>0</v>
      </c>
      <c r="BS295" s="1804">
        <v>0</v>
      </c>
      <c r="BT295" s="1804">
        <v>0</v>
      </c>
      <c r="BU295" s="1804">
        <v>0</v>
      </c>
      <c r="BV295" s="1804">
        <v>0</v>
      </c>
      <c r="BW295" s="1804">
        <v>0</v>
      </c>
      <c r="BX295" s="1804">
        <v>0</v>
      </c>
      <c r="BY295" s="1804">
        <v>0</v>
      </c>
      <c r="BZ295" s="1804">
        <v>0</v>
      </c>
      <c r="CA295" s="1804">
        <v>0</v>
      </c>
      <c r="CB295" s="1804">
        <v>0</v>
      </c>
      <c r="CC295" s="1804">
        <v>0</v>
      </c>
      <c r="CD295" s="1804">
        <v>0</v>
      </c>
      <c r="CE295" s="1804">
        <v>0</v>
      </c>
      <c r="CF295" s="1804">
        <v>0</v>
      </c>
      <c r="CG295" s="1804">
        <v>0</v>
      </c>
      <c r="CH295" s="1804">
        <v>0</v>
      </c>
      <c r="CI295" s="1804">
        <v>0</v>
      </c>
      <c r="CJ295" s="1804">
        <v>0</v>
      </c>
      <c r="CK295" s="1804">
        <v>0</v>
      </c>
      <c r="CL295" s="1804">
        <v>0</v>
      </c>
      <c r="CM295" s="1804">
        <v>0</v>
      </c>
      <c r="CN295" s="1804">
        <v>0</v>
      </c>
      <c r="CO295" s="1804">
        <v>0</v>
      </c>
      <c r="CP295" s="1804">
        <v>0</v>
      </c>
      <c r="CQ295" s="1804">
        <v>0</v>
      </c>
      <c r="CR295" s="1804">
        <v>0</v>
      </c>
      <c r="CS295" s="1804">
        <v>0</v>
      </c>
      <c r="CT295" s="1804">
        <v>0</v>
      </c>
      <c r="CU295" s="1804">
        <v>0</v>
      </c>
      <c r="CV295" s="1804">
        <v>0</v>
      </c>
      <c r="CW295" s="1804">
        <v>0</v>
      </c>
      <c r="CX295" s="1804">
        <v>0</v>
      </c>
      <c r="CY295" s="1804">
        <v>0</v>
      </c>
      <c r="CZ295" s="1804">
        <v>0</v>
      </c>
      <c r="DA295" s="1804">
        <v>0</v>
      </c>
      <c r="DB295" s="1804">
        <v>0</v>
      </c>
      <c r="DC295" s="1804">
        <v>0</v>
      </c>
      <c r="DD295" s="1804">
        <v>0</v>
      </c>
      <c r="DE295" s="1804">
        <v>0</v>
      </c>
      <c r="DF295" s="1804">
        <v>0</v>
      </c>
      <c r="DG295" s="1804">
        <v>0</v>
      </c>
      <c r="DH295" s="1804">
        <v>0</v>
      </c>
      <c r="DI295" s="1804">
        <v>0</v>
      </c>
      <c r="DJ295" s="1804">
        <v>0</v>
      </c>
      <c r="DK295" s="1804">
        <v>0</v>
      </c>
      <c r="DL295" s="1804">
        <v>0</v>
      </c>
      <c r="DM295" s="1804">
        <v>0</v>
      </c>
      <c r="DN295" s="1804">
        <v>0</v>
      </c>
      <c r="DO295" s="1804">
        <v>0</v>
      </c>
      <c r="DP295" s="1804">
        <v>0</v>
      </c>
      <c r="DQ295" s="1804">
        <v>0</v>
      </c>
      <c r="DR295" s="1804">
        <v>0</v>
      </c>
      <c r="DS295" s="1804">
        <v>0</v>
      </c>
      <c r="DT295" s="1804">
        <v>0</v>
      </c>
      <c r="DU295" s="1804">
        <v>0</v>
      </c>
      <c r="DV295" s="1804">
        <v>0</v>
      </c>
      <c r="DW295" s="1804">
        <v>0</v>
      </c>
      <c r="DX295" s="1804">
        <v>0</v>
      </c>
      <c r="DY295" s="1804">
        <v>0</v>
      </c>
      <c r="DZ295" s="1804">
        <v>0</v>
      </c>
      <c r="EA295" s="1804">
        <v>0</v>
      </c>
      <c r="EB295" s="1804">
        <v>0</v>
      </c>
      <c r="EC295" s="1804">
        <v>0</v>
      </c>
      <c r="ED295" s="1804">
        <v>0</v>
      </c>
      <c r="EE295" s="1804">
        <v>0</v>
      </c>
      <c r="EF295" s="1804">
        <v>0</v>
      </c>
      <c r="EG295" s="1804">
        <v>0</v>
      </c>
      <c r="EH295" s="1804">
        <v>0</v>
      </c>
      <c r="EI295" s="1804">
        <v>0</v>
      </c>
      <c r="EJ295" s="1804">
        <v>0</v>
      </c>
      <c r="EK295" s="1804">
        <v>0</v>
      </c>
      <c r="EL295" s="1804">
        <v>0</v>
      </c>
      <c r="EM295" s="1804">
        <v>0</v>
      </c>
      <c r="EN295" s="1804">
        <v>0</v>
      </c>
      <c r="EO295" s="1804">
        <v>0</v>
      </c>
      <c r="EP295" s="1804">
        <v>0</v>
      </c>
      <c r="EQ295" s="1804">
        <v>0</v>
      </c>
      <c r="ER295" s="1804">
        <v>0</v>
      </c>
      <c r="ES295" s="1804">
        <v>0</v>
      </c>
      <c r="ET295" s="1804">
        <v>0</v>
      </c>
      <c r="EU295" s="1804">
        <v>0</v>
      </c>
      <c r="EV295" s="1804">
        <v>0</v>
      </c>
      <c r="EW295" s="1804">
        <v>0</v>
      </c>
      <c r="EX295" s="1804">
        <v>0</v>
      </c>
      <c r="EY295" s="1804">
        <v>0</v>
      </c>
      <c r="EZ295" s="1804">
        <v>0</v>
      </c>
      <c r="FA295" s="1804">
        <v>0</v>
      </c>
      <c r="FB295" s="1804">
        <v>0</v>
      </c>
      <c r="FC295" s="1804">
        <v>0</v>
      </c>
      <c r="FD295" s="1804">
        <v>0</v>
      </c>
      <c r="FE295" s="1804">
        <v>0</v>
      </c>
      <c r="FF295" s="1804">
        <v>0</v>
      </c>
      <c r="FG295" s="1804">
        <v>0</v>
      </c>
      <c r="FH295" s="1804">
        <v>0</v>
      </c>
      <c r="FI295" s="1804">
        <v>0</v>
      </c>
      <c r="FJ295" s="1804">
        <v>0</v>
      </c>
      <c r="FK295" s="1804">
        <v>0</v>
      </c>
      <c r="FL295" s="1804">
        <v>0</v>
      </c>
      <c r="FM295" s="1804">
        <v>0</v>
      </c>
      <c r="FN295" s="1804">
        <v>0</v>
      </c>
      <c r="FO295" s="1804">
        <v>0</v>
      </c>
      <c r="FP295" s="1804">
        <v>0</v>
      </c>
      <c r="FQ295" s="1804">
        <v>0</v>
      </c>
      <c r="FR295" s="1804">
        <v>0</v>
      </c>
      <c r="FS295" s="1804">
        <v>0</v>
      </c>
      <c r="FT295" s="1804">
        <v>0</v>
      </c>
      <c r="FU295" s="1804">
        <v>0</v>
      </c>
      <c r="FV295" s="1804">
        <v>0</v>
      </c>
      <c r="FW295" s="1804">
        <v>0</v>
      </c>
      <c r="FX295" s="1804">
        <v>0</v>
      </c>
      <c r="FY295" s="1804">
        <v>0</v>
      </c>
      <c r="FZ295" s="1804">
        <v>0</v>
      </c>
      <c r="GA295" s="1804">
        <v>0</v>
      </c>
      <c r="GB295" s="1804">
        <v>0</v>
      </c>
      <c r="GC295" s="1804">
        <v>0</v>
      </c>
      <c r="GD295" s="1804">
        <v>0</v>
      </c>
      <c r="GE295" s="1804">
        <v>0</v>
      </c>
      <c r="GF295" s="1804">
        <v>0</v>
      </c>
      <c r="GG295" s="1804">
        <v>0</v>
      </c>
      <c r="GH295" s="1804">
        <v>0</v>
      </c>
      <c r="GI295" s="1804">
        <v>0</v>
      </c>
      <c r="GJ295" s="1804">
        <v>0</v>
      </c>
      <c r="GK295" s="1804">
        <v>0</v>
      </c>
      <c r="GL295" s="1804">
        <v>0</v>
      </c>
      <c r="GM295" s="1804">
        <v>0</v>
      </c>
      <c r="GN295" s="1804">
        <v>0</v>
      </c>
      <c r="GO295" s="1804">
        <v>0</v>
      </c>
      <c r="GP295" s="1804">
        <v>0</v>
      </c>
      <c r="GQ295" s="1804">
        <v>0</v>
      </c>
      <c r="GR295" s="1804">
        <v>0</v>
      </c>
      <c r="GS295" s="1804">
        <v>0</v>
      </c>
      <c r="GT295" s="1804">
        <v>0</v>
      </c>
      <c r="GU295" s="1804">
        <v>0</v>
      </c>
      <c r="GV295" s="1804">
        <v>0</v>
      </c>
      <c r="GW295" s="1804">
        <v>0</v>
      </c>
      <c r="GX295" s="1804">
        <v>0</v>
      </c>
      <c r="GY295" s="1804">
        <v>0</v>
      </c>
      <c r="GZ295" s="1804">
        <v>0</v>
      </c>
      <c r="HA295" s="1804">
        <v>0</v>
      </c>
      <c r="HB295" s="1804">
        <v>0</v>
      </c>
      <c r="HC295" s="1804">
        <v>0</v>
      </c>
      <c r="HD295" s="1804">
        <v>0</v>
      </c>
      <c r="HE295" s="1804">
        <v>0</v>
      </c>
    </row>
    <row r="296" spans="1:213" ht="15" customHeight="1" x14ac:dyDescent="0.2">
      <c r="A296" s="1964"/>
      <c r="B296" s="1989"/>
      <c r="C296" s="1818" t="s">
        <v>906</v>
      </c>
      <c r="D296" s="1883"/>
      <c r="E296" s="1984"/>
      <c r="F296" s="1838">
        <v>0</v>
      </c>
      <c r="G296" s="1804">
        <v>0</v>
      </c>
      <c r="H296" s="1804">
        <v>0</v>
      </c>
      <c r="I296" s="1804">
        <v>0</v>
      </c>
      <c r="J296" s="1804">
        <v>0</v>
      </c>
      <c r="K296" s="1804">
        <v>0</v>
      </c>
      <c r="L296" s="1804">
        <v>0</v>
      </c>
      <c r="M296" s="1804">
        <v>0</v>
      </c>
      <c r="N296" s="1804">
        <v>0</v>
      </c>
      <c r="O296" s="1804">
        <v>0</v>
      </c>
      <c r="P296" s="1804">
        <v>0</v>
      </c>
      <c r="Q296" s="1804">
        <v>0</v>
      </c>
      <c r="R296" s="1804">
        <v>0</v>
      </c>
      <c r="S296" s="1804">
        <v>0</v>
      </c>
      <c r="T296" s="1804">
        <v>0</v>
      </c>
      <c r="U296" s="1804">
        <v>0</v>
      </c>
      <c r="V296" s="1804">
        <v>0</v>
      </c>
      <c r="W296" s="1804">
        <v>0</v>
      </c>
      <c r="X296" s="1804">
        <v>0</v>
      </c>
      <c r="Y296" s="1804">
        <v>0</v>
      </c>
      <c r="Z296" s="1804">
        <v>0</v>
      </c>
      <c r="AA296" s="1804">
        <v>0</v>
      </c>
      <c r="AB296" s="1804">
        <v>0</v>
      </c>
      <c r="AC296" s="1804">
        <v>0</v>
      </c>
      <c r="AD296" s="1804">
        <v>0</v>
      </c>
      <c r="AE296" s="1804">
        <v>0</v>
      </c>
      <c r="AF296" s="1804">
        <v>0</v>
      </c>
      <c r="AG296" s="1804">
        <v>0</v>
      </c>
      <c r="AH296" s="1804">
        <v>0</v>
      </c>
      <c r="AI296" s="1804">
        <v>0</v>
      </c>
      <c r="AJ296" s="1804">
        <v>0</v>
      </c>
      <c r="AK296" s="1804">
        <v>0</v>
      </c>
      <c r="AL296" s="1804">
        <v>0</v>
      </c>
      <c r="AM296" s="1804">
        <v>0</v>
      </c>
      <c r="AN296" s="1804">
        <v>0</v>
      </c>
      <c r="AO296" s="1804">
        <v>0</v>
      </c>
      <c r="AP296" s="1804">
        <v>0</v>
      </c>
      <c r="AQ296" s="1804">
        <v>0</v>
      </c>
      <c r="AR296" s="1804">
        <v>0</v>
      </c>
      <c r="AS296" s="1804">
        <v>0</v>
      </c>
      <c r="AT296" s="1804">
        <v>0</v>
      </c>
      <c r="AU296" s="1804">
        <v>0</v>
      </c>
      <c r="AV296" s="1804">
        <v>0</v>
      </c>
      <c r="AW296" s="1804">
        <v>0</v>
      </c>
      <c r="AX296" s="1804">
        <v>0</v>
      </c>
      <c r="AY296" s="1804">
        <v>0</v>
      </c>
      <c r="AZ296" s="1804">
        <v>0</v>
      </c>
      <c r="BA296" s="1804">
        <v>0</v>
      </c>
      <c r="BB296" s="1804">
        <v>0</v>
      </c>
      <c r="BC296" s="1804">
        <v>0</v>
      </c>
      <c r="BD296" s="1804">
        <v>0</v>
      </c>
      <c r="BE296" s="1804">
        <v>0</v>
      </c>
      <c r="BF296" s="1804">
        <v>0</v>
      </c>
      <c r="BG296" s="1804">
        <v>0</v>
      </c>
      <c r="BH296" s="1804">
        <v>0</v>
      </c>
      <c r="BI296" s="1804">
        <v>0</v>
      </c>
      <c r="BJ296" s="1804">
        <v>0</v>
      </c>
      <c r="BK296" s="1804">
        <v>0</v>
      </c>
      <c r="BL296" s="1804">
        <v>0</v>
      </c>
      <c r="BM296" s="1804">
        <v>0</v>
      </c>
      <c r="BN296" s="1804">
        <v>0</v>
      </c>
      <c r="BO296" s="1804">
        <v>0</v>
      </c>
      <c r="BP296" s="1804">
        <v>0</v>
      </c>
      <c r="BQ296" s="1804">
        <v>0</v>
      </c>
      <c r="BR296" s="1804">
        <v>0</v>
      </c>
      <c r="BS296" s="1804">
        <v>0</v>
      </c>
      <c r="BT296" s="1804">
        <v>0</v>
      </c>
      <c r="BU296" s="1804">
        <v>0</v>
      </c>
      <c r="BV296" s="1804">
        <v>0</v>
      </c>
      <c r="BW296" s="1804">
        <v>0</v>
      </c>
      <c r="BX296" s="1804">
        <v>0</v>
      </c>
      <c r="BY296" s="1804">
        <v>0</v>
      </c>
      <c r="BZ296" s="1804">
        <v>0</v>
      </c>
      <c r="CA296" s="1804">
        <v>0</v>
      </c>
      <c r="CB296" s="1804">
        <v>0</v>
      </c>
      <c r="CC296" s="1804">
        <v>0</v>
      </c>
      <c r="CD296" s="1804">
        <v>0</v>
      </c>
      <c r="CE296" s="1804">
        <v>0</v>
      </c>
      <c r="CF296" s="1804">
        <v>0</v>
      </c>
      <c r="CG296" s="1804">
        <v>0</v>
      </c>
      <c r="CH296" s="1804">
        <v>0</v>
      </c>
      <c r="CI296" s="1804">
        <v>0</v>
      </c>
      <c r="CJ296" s="1804">
        <v>0</v>
      </c>
      <c r="CK296" s="1804">
        <v>0</v>
      </c>
      <c r="CL296" s="1804">
        <v>0</v>
      </c>
      <c r="CM296" s="1804">
        <v>0</v>
      </c>
      <c r="CN296" s="1804">
        <v>0</v>
      </c>
      <c r="CO296" s="1804">
        <v>0</v>
      </c>
      <c r="CP296" s="1804">
        <v>0</v>
      </c>
      <c r="CQ296" s="1804">
        <v>0</v>
      </c>
      <c r="CR296" s="1804">
        <v>0</v>
      </c>
      <c r="CS296" s="1804">
        <v>0</v>
      </c>
      <c r="CT296" s="1804">
        <v>0</v>
      </c>
      <c r="CU296" s="1804">
        <v>0</v>
      </c>
      <c r="CV296" s="1804">
        <v>0</v>
      </c>
      <c r="CW296" s="1804">
        <v>0</v>
      </c>
      <c r="CX296" s="1804">
        <v>0</v>
      </c>
      <c r="CY296" s="1804">
        <v>0</v>
      </c>
      <c r="CZ296" s="1804">
        <v>0</v>
      </c>
      <c r="DA296" s="1804">
        <v>0</v>
      </c>
      <c r="DB296" s="1804">
        <v>0</v>
      </c>
      <c r="DC296" s="1804">
        <v>0</v>
      </c>
      <c r="DD296" s="1804">
        <v>0</v>
      </c>
      <c r="DE296" s="1804">
        <v>0</v>
      </c>
      <c r="DF296" s="1804">
        <v>0</v>
      </c>
      <c r="DG296" s="1804">
        <v>0</v>
      </c>
      <c r="DH296" s="1804">
        <v>0</v>
      </c>
      <c r="DI296" s="1804">
        <v>0</v>
      </c>
      <c r="DJ296" s="1804">
        <v>0</v>
      </c>
      <c r="DK296" s="1804">
        <v>0</v>
      </c>
      <c r="DL296" s="1804">
        <v>0</v>
      </c>
      <c r="DM296" s="1804">
        <v>0</v>
      </c>
      <c r="DN296" s="1804">
        <v>0</v>
      </c>
      <c r="DO296" s="1804">
        <v>0</v>
      </c>
      <c r="DP296" s="1804">
        <v>0</v>
      </c>
      <c r="DQ296" s="1804">
        <v>0</v>
      </c>
      <c r="DR296" s="1804">
        <v>0</v>
      </c>
      <c r="DS296" s="1804">
        <v>0</v>
      </c>
      <c r="DT296" s="1804">
        <v>0</v>
      </c>
      <c r="DU296" s="1804">
        <v>0</v>
      </c>
      <c r="DV296" s="1804">
        <v>0</v>
      </c>
      <c r="DW296" s="1804">
        <v>0</v>
      </c>
      <c r="DX296" s="1804">
        <v>0</v>
      </c>
      <c r="DY296" s="1804">
        <v>0</v>
      </c>
      <c r="DZ296" s="1804">
        <v>0</v>
      </c>
      <c r="EA296" s="1804">
        <v>0</v>
      </c>
      <c r="EB296" s="1804">
        <v>0</v>
      </c>
      <c r="EC296" s="1804">
        <v>0</v>
      </c>
      <c r="ED296" s="1804">
        <v>0</v>
      </c>
      <c r="EE296" s="1804">
        <v>0</v>
      </c>
      <c r="EF296" s="1804">
        <v>0</v>
      </c>
      <c r="EG296" s="1804">
        <v>0</v>
      </c>
      <c r="EH296" s="1804">
        <v>0</v>
      </c>
      <c r="EI296" s="1804">
        <v>0</v>
      </c>
      <c r="EJ296" s="1804">
        <v>0</v>
      </c>
      <c r="EK296" s="1804">
        <v>0</v>
      </c>
      <c r="EL296" s="1804">
        <v>0</v>
      </c>
      <c r="EM296" s="1804">
        <v>0</v>
      </c>
      <c r="EN296" s="1804">
        <v>0</v>
      </c>
      <c r="EO296" s="1804">
        <v>0</v>
      </c>
      <c r="EP296" s="1804">
        <v>0</v>
      </c>
      <c r="EQ296" s="1804">
        <v>0</v>
      </c>
      <c r="ER296" s="1804">
        <v>0</v>
      </c>
      <c r="ES296" s="1804">
        <v>0</v>
      </c>
      <c r="ET296" s="1804">
        <v>0</v>
      </c>
      <c r="EU296" s="1804">
        <v>0</v>
      </c>
      <c r="EV296" s="1804">
        <v>0</v>
      </c>
      <c r="EW296" s="1804">
        <v>0</v>
      </c>
      <c r="EX296" s="1804">
        <v>0</v>
      </c>
      <c r="EY296" s="1804">
        <v>0</v>
      </c>
      <c r="EZ296" s="1804">
        <v>0</v>
      </c>
      <c r="FA296" s="1804">
        <v>0</v>
      </c>
      <c r="FB296" s="1804">
        <v>0</v>
      </c>
      <c r="FC296" s="1804">
        <v>0</v>
      </c>
      <c r="FD296" s="1804">
        <v>0</v>
      </c>
      <c r="FE296" s="1804">
        <v>0</v>
      </c>
      <c r="FF296" s="1804">
        <v>0</v>
      </c>
      <c r="FG296" s="1804">
        <v>0</v>
      </c>
      <c r="FH296" s="1804">
        <v>0</v>
      </c>
      <c r="FI296" s="1804">
        <v>0</v>
      </c>
      <c r="FJ296" s="1804">
        <v>0</v>
      </c>
      <c r="FK296" s="1804">
        <v>0</v>
      </c>
      <c r="FL296" s="1804">
        <v>0</v>
      </c>
      <c r="FM296" s="1804">
        <v>0</v>
      </c>
      <c r="FN296" s="1804">
        <v>0</v>
      </c>
      <c r="FO296" s="1804">
        <v>0</v>
      </c>
      <c r="FP296" s="1804">
        <v>0</v>
      </c>
      <c r="FQ296" s="1804">
        <v>0</v>
      </c>
      <c r="FR296" s="1804">
        <v>0</v>
      </c>
      <c r="FS296" s="1804">
        <v>0</v>
      </c>
      <c r="FT296" s="1804">
        <v>0</v>
      </c>
      <c r="FU296" s="1804">
        <v>0</v>
      </c>
      <c r="FV296" s="1804">
        <v>0</v>
      </c>
      <c r="FW296" s="1804">
        <v>0</v>
      </c>
      <c r="FX296" s="1804">
        <v>0</v>
      </c>
      <c r="FY296" s="1804">
        <v>0</v>
      </c>
      <c r="FZ296" s="1804">
        <v>0</v>
      </c>
      <c r="GA296" s="1804">
        <v>0</v>
      </c>
      <c r="GB296" s="1804">
        <v>0</v>
      </c>
      <c r="GC296" s="1804">
        <v>0</v>
      </c>
      <c r="GD296" s="1804">
        <v>0</v>
      </c>
      <c r="GE296" s="1804">
        <v>0</v>
      </c>
      <c r="GF296" s="1804">
        <v>0</v>
      </c>
      <c r="GG296" s="1804">
        <v>0</v>
      </c>
      <c r="GH296" s="1804">
        <v>0</v>
      </c>
      <c r="GI296" s="1804">
        <v>0</v>
      </c>
      <c r="GJ296" s="1804">
        <v>0</v>
      </c>
      <c r="GK296" s="1804">
        <v>0</v>
      </c>
      <c r="GL296" s="1804">
        <v>0</v>
      </c>
      <c r="GM296" s="1804">
        <v>0</v>
      </c>
      <c r="GN296" s="1804">
        <v>0</v>
      </c>
      <c r="GO296" s="1804">
        <v>0</v>
      </c>
      <c r="GP296" s="1804">
        <v>0</v>
      </c>
      <c r="GQ296" s="1804">
        <v>0</v>
      </c>
      <c r="GR296" s="1804">
        <v>0</v>
      </c>
      <c r="GS296" s="1804">
        <v>0</v>
      </c>
      <c r="GT296" s="1804">
        <v>0</v>
      </c>
      <c r="GU296" s="1804">
        <v>0</v>
      </c>
      <c r="GV296" s="1804">
        <v>0</v>
      </c>
      <c r="GW296" s="1804">
        <v>0</v>
      </c>
      <c r="GX296" s="1804">
        <v>0</v>
      </c>
      <c r="GY296" s="1804">
        <v>0</v>
      </c>
      <c r="GZ296" s="1804">
        <v>0</v>
      </c>
      <c r="HA296" s="1804">
        <v>0</v>
      </c>
      <c r="HB296" s="1804">
        <v>0</v>
      </c>
      <c r="HC296" s="1804">
        <v>0</v>
      </c>
      <c r="HD296" s="1804">
        <v>0</v>
      </c>
      <c r="HE296" s="1804">
        <v>0</v>
      </c>
    </row>
    <row r="297" spans="1:213" ht="15" customHeight="1" x14ac:dyDescent="0.2">
      <c r="A297" s="1964"/>
      <c r="B297" s="1989"/>
      <c r="C297" s="1696" t="s">
        <v>871</v>
      </c>
      <c r="D297" s="1883"/>
      <c r="E297" s="1984"/>
      <c r="F297" s="1838">
        <v>0</v>
      </c>
      <c r="G297" s="1804">
        <v>0</v>
      </c>
      <c r="H297" s="1804">
        <v>0</v>
      </c>
      <c r="I297" s="1804">
        <v>0</v>
      </c>
      <c r="J297" s="1804">
        <v>0</v>
      </c>
      <c r="K297" s="1804">
        <v>0</v>
      </c>
      <c r="L297" s="1804">
        <v>0</v>
      </c>
      <c r="M297" s="1804">
        <v>0</v>
      </c>
      <c r="N297" s="1804">
        <v>0</v>
      </c>
      <c r="O297" s="1804">
        <v>0</v>
      </c>
      <c r="P297" s="1804">
        <v>0</v>
      </c>
      <c r="Q297" s="1804">
        <v>0</v>
      </c>
      <c r="R297" s="1804">
        <v>0</v>
      </c>
      <c r="S297" s="1804">
        <v>0</v>
      </c>
      <c r="T297" s="1804">
        <v>0</v>
      </c>
      <c r="U297" s="1804">
        <v>0</v>
      </c>
      <c r="V297" s="1804">
        <v>0</v>
      </c>
      <c r="W297" s="1804">
        <v>0</v>
      </c>
      <c r="X297" s="1804">
        <v>0</v>
      </c>
      <c r="Y297" s="1804">
        <v>0</v>
      </c>
      <c r="Z297" s="1804">
        <v>0</v>
      </c>
      <c r="AA297" s="1804">
        <v>0</v>
      </c>
      <c r="AB297" s="1804">
        <v>0</v>
      </c>
      <c r="AC297" s="1804">
        <v>0</v>
      </c>
      <c r="AD297" s="1804">
        <v>0</v>
      </c>
      <c r="AE297" s="1804">
        <v>0</v>
      </c>
      <c r="AF297" s="1804">
        <v>0</v>
      </c>
      <c r="AG297" s="1804">
        <v>0</v>
      </c>
      <c r="AH297" s="1804">
        <v>0</v>
      </c>
      <c r="AI297" s="1804">
        <v>0</v>
      </c>
      <c r="AJ297" s="1804">
        <v>0</v>
      </c>
      <c r="AK297" s="1804">
        <v>0</v>
      </c>
      <c r="AL297" s="1804">
        <v>0</v>
      </c>
      <c r="AM297" s="1804">
        <v>0</v>
      </c>
      <c r="AN297" s="1804">
        <v>0</v>
      </c>
      <c r="AO297" s="1804">
        <v>0</v>
      </c>
      <c r="AP297" s="1804">
        <v>0</v>
      </c>
      <c r="AQ297" s="1804">
        <v>0</v>
      </c>
      <c r="AR297" s="1804">
        <v>0</v>
      </c>
      <c r="AS297" s="1804">
        <v>0</v>
      </c>
      <c r="AT297" s="1804">
        <v>0</v>
      </c>
      <c r="AU297" s="1804">
        <v>0</v>
      </c>
      <c r="AV297" s="1804">
        <v>0</v>
      </c>
      <c r="AW297" s="1804">
        <v>0</v>
      </c>
      <c r="AX297" s="1804">
        <v>0</v>
      </c>
      <c r="AY297" s="1804">
        <v>0</v>
      </c>
      <c r="AZ297" s="1804">
        <v>0</v>
      </c>
      <c r="BA297" s="1804">
        <v>0</v>
      </c>
      <c r="BB297" s="1804">
        <v>0</v>
      </c>
      <c r="BC297" s="1804">
        <v>0</v>
      </c>
      <c r="BD297" s="1804">
        <v>0</v>
      </c>
      <c r="BE297" s="1804">
        <v>0</v>
      </c>
      <c r="BF297" s="1804">
        <v>0</v>
      </c>
      <c r="BG297" s="1804">
        <v>0</v>
      </c>
      <c r="BH297" s="1804">
        <v>0</v>
      </c>
      <c r="BI297" s="1804">
        <v>0</v>
      </c>
      <c r="BJ297" s="1804">
        <v>0</v>
      </c>
      <c r="BK297" s="1804">
        <v>0</v>
      </c>
      <c r="BL297" s="1804">
        <v>0</v>
      </c>
      <c r="BM297" s="1804">
        <v>0</v>
      </c>
      <c r="BN297" s="1804">
        <v>0</v>
      </c>
      <c r="BO297" s="1804">
        <v>0</v>
      </c>
      <c r="BP297" s="1804">
        <v>0</v>
      </c>
      <c r="BQ297" s="1804">
        <v>0</v>
      </c>
      <c r="BR297" s="1804">
        <v>0</v>
      </c>
      <c r="BS297" s="1804">
        <v>0</v>
      </c>
      <c r="BT297" s="1804">
        <v>0</v>
      </c>
      <c r="BU297" s="1804">
        <v>0</v>
      </c>
      <c r="BV297" s="1804">
        <v>0</v>
      </c>
      <c r="BW297" s="1804">
        <v>0</v>
      </c>
      <c r="BX297" s="1804">
        <v>0</v>
      </c>
      <c r="BY297" s="1804">
        <v>0</v>
      </c>
      <c r="BZ297" s="1804">
        <v>0</v>
      </c>
      <c r="CA297" s="1804">
        <v>0</v>
      </c>
      <c r="CB297" s="1804">
        <v>0</v>
      </c>
      <c r="CC297" s="1804">
        <v>0</v>
      </c>
      <c r="CD297" s="1804">
        <v>0</v>
      </c>
      <c r="CE297" s="1804">
        <v>0</v>
      </c>
      <c r="CF297" s="1804">
        <v>0</v>
      </c>
      <c r="CG297" s="1804">
        <v>0</v>
      </c>
      <c r="CH297" s="1804">
        <v>0</v>
      </c>
      <c r="CI297" s="1804">
        <v>0</v>
      </c>
      <c r="CJ297" s="1804">
        <v>0</v>
      </c>
      <c r="CK297" s="1804">
        <v>0</v>
      </c>
      <c r="CL297" s="1804">
        <v>0</v>
      </c>
      <c r="CM297" s="1804">
        <v>0</v>
      </c>
      <c r="CN297" s="1804">
        <v>0</v>
      </c>
      <c r="CO297" s="1804">
        <v>0</v>
      </c>
      <c r="CP297" s="1804">
        <v>0</v>
      </c>
      <c r="CQ297" s="1804">
        <v>0</v>
      </c>
      <c r="CR297" s="1804">
        <v>0</v>
      </c>
      <c r="CS297" s="1804">
        <v>0</v>
      </c>
      <c r="CT297" s="1804">
        <v>0</v>
      </c>
      <c r="CU297" s="1804">
        <v>0</v>
      </c>
      <c r="CV297" s="1804">
        <v>0</v>
      </c>
      <c r="CW297" s="1804">
        <v>0</v>
      </c>
      <c r="CX297" s="1804">
        <v>0</v>
      </c>
      <c r="CY297" s="1804">
        <v>0</v>
      </c>
      <c r="CZ297" s="1804">
        <v>0</v>
      </c>
      <c r="DA297" s="1804">
        <v>0</v>
      </c>
      <c r="DB297" s="1804">
        <v>0</v>
      </c>
      <c r="DC297" s="1804">
        <v>0</v>
      </c>
      <c r="DD297" s="1804">
        <v>0</v>
      </c>
      <c r="DE297" s="1804">
        <v>0</v>
      </c>
      <c r="DF297" s="1804">
        <v>0</v>
      </c>
      <c r="DG297" s="1804">
        <v>0</v>
      </c>
      <c r="DH297" s="1804">
        <v>0</v>
      </c>
      <c r="DI297" s="1804">
        <v>0</v>
      </c>
      <c r="DJ297" s="1804">
        <v>0</v>
      </c>
      <c r="DK297" s="1804">
        <v>0</v>
      </c>
      <c r="DL297" s="1804">
        <v>0</v>
      </c>
      <c r="DM297" s="1804">
        <v>0</v>
      </c>
      <c r="DN297" s="1804">
        <v>0</v>
      </c>
      <c r="DO297" s="1804">
        <v>0</v>
      </c>
      <c r="DP297" s="1804">
        <v>0</v>
      </c>
      <c r="DQ297" s="1804">
        <v>0</v>
      </c>
      <c r="DR297" s="1804">
        <v>0</v>
      </c>
      <c r="DS297" s="1804">
        <v>0</v>
      </c>
      <c r="DT297" s="1804">
        <v>0</v>
      </c>
      <c r="DU297" s="1804">
        <v>0</v>
      </c>
      <c r="DV297" s="1804">
        <v>0</v>
      </c>
      <c r="DW297" s="1804">
        <v>0</v>
      </c>
      <c r="DX297" s="1804">
        <v>0</v>
      </c>
      <c r="DY297" s="1804">
        <v>0</v>
      </c>
      <c r="DZ297" s="1804">
        <v>0</v>
      </c>
      <c r="EA297" s="1804">
        <v>0</v>
      </c>
      <c r="EB297" s="1804">
        <v>0</v>
      </c>
      <c r="EC297" s="1804">
        <v>0</v>
      </c>
      <c r="ED297" s="1804">
        <v>0</v>
      </c>
      <c r="EE297" s="1804">
        <v>0</v>
      </c>
      <c r="EF297" s="1804">
        <v>0</v>
      </c>
      <c r="EG297" s="1804">
        <v>0</v>
      </c>
      <c r="EH297" s="1804">
        <v>0</v>
      </c>
      <c r="EI297" s="1804">
        <v>0</v>
      </c>
      <c r="EJ297" s="1804">
        <v>0</v>
      </c>
      <c r="EK297" s="1804">
        <v>0</v>
      </c>
      <c r="EL297" s="1804">
        <v>0</v>
      </c>
      <c r="EM297" s="1804">
        <v>0</v>
      </c>
      <c r="EN297" s="1804">
        <v>0</v>
      </c>
      <c r="EO297" s="1804">
        <v>0</v>
      </c>
      <c r="EP297" s="1804">
        <v>0</v>
      </c>
      <c r="EQ297" s="1804">
        <v>0</v>
      </c>
      <c r="ER297" s="1804">
        <v>0</v>
      </c>
      <c r="ES297" s="1804">
        <v>0</v>
      </c>
      <c r="ET297" s="1804">
        <v>0</v>
      </c>
      <c r="EU297" s="1804">
        <v>0</v>
      </c>
      <c r="EV297" s="1804">
        <v>0</v>
      </c>
      <c r="EW297" s="1804">
        <v>0</v>
      </c>
      <c r="EX297" s="1804">
        <v>0</v>
      </c>
      <c r="EY297" s="1804">
        <v>0</v>
      </c>
      <c r="EZ297" s="1804">
        <v>0</v>
      </c>
      <c r="FA297" s="1804">
        <v>0</v>
      </c>
      <c r="FB297" s="1804">
        <v>0</v>
      </c>
      <c r="FC297" s="1804">
        <v>0</v>
      </c>
      <c r="FD297" s="1804">
        <v>0</v>
      </c>
      <c r="FE297" s="1804">
        <v>0</v>
      </c>
      <c r="FF297" s="1804">
        <v>0</v>
      </c>
      <c r="FG297" s="1804">
        <v>0</v>
      </c>
      <c r="FH297" s="1804">
        <v>0</v>
      </c>
      <c r="FI297" s="1804">
        <v>0</v>
      </c>
      <c r="FJ297" s="1804">
        <v>0</v>
      </c>
      <c r="FK297" s="1804">
        <v>0</v>
      </c>
      <c r="FL297" s="1804">
        <v>0</v>
      </c>
      <c r="FM297" s="1804">
        <v>0</v>
      </c>
      <c r="FN297" s="1804">
        <v>0</v>
      </c>
      <c r="FO297" s="1804">
        <v>0</v>
      </c>
      <c r="FP297" s="1804">
        <v>0</v>
      </c>
      <c r="FQ297" s="1804">
        <v>0</v>
      </c>
      <c r="FR297" s="1804">
        <v>0</v>
      </c>
      <c r="FS297" s="1804">
        <v>0</v>
      </c>
      <c r="FT297" s="1804">
        <v>0</v>
      </c>
      <c r="FU297" s="1804">
        <v>0</v>
      </c>
      <c r="FV297" s="1804">
        <v>0</v>
      </c>
      <c r="FW297" s="1804">
        <v>0</v>
      </c>
      <c r="FX297" s="1804">
        <v>0</v>
      </c>
      <c r="FY297" s="1804">
        <v>0</v>
      </c>
      <c r="FZ297" s="1804">
        <v>0</v>
      </c>
      <c r="GA297" s="1804">
        <v>0</v>
      </c>
      <c r="GB297" s="1804">
        <v>0</v>
      </c>
      <c r="GC297" s="1804">
        <v>0</v>
      </c>
      <c r="GD297" s="1804">
        <v>0</v>
      </c>
      <c r="GE297" s="1804">
        <v>0</v>
      </c>
      <c r="GF297" s="1804">
        <v>0</v>
      </c>
      <c r="GG297" s="1804">
        <v>0</v>
      </c>
      <c r="GH297" s="1804">
        <v>0</v>
      </c>
      <c r="GI297" s="1804">
        <v>0</v>
      </c>
      <c r="GJ297" s="1804">
        <v>0</v>
      </c>
      <c r="GK297" s="1804">
        <v>0</v>
      </c>
      <c r="GL297" s="1804">
        <v>0</v>
      </c>
      <c r="GM297" s="1804">
        <v>0</v>
      </c>
      <c r="GN297" s="1804">
        <v>0</v>
      </c>
      <c r="GO297" s="1804">
        <v>0</v>
      </c>
      <c r="GP297" s="1804">
        <v>0</v>
      </c>
      <c r="GQ297" s="1804">
        <v>0</v>
      </c>
      <c r="GR297" s="1804">
        <v>0</v>
      </c>
      <c r="GS297" s="1804">
        <v>0</v>
      </c>
      <c r="GT297" s="1804">
        <v>0</v>
      </c>
      <c r="GU297" s="1804">
        <v>0</v>
      </c>
      <c r="GV297" s="1804">
        <v>0</v>
      </c>
      <c r="GW297" s="1804">
        <v>0</v>
      </c>
      <c r="GX297" s="1804">
        <v>0</v>
      </c>
      <c r="GY297" s="1804">
        <v>0</v>
      </c>
      <c r="GZ297" s="1804">
        <v>0</v>
      </c>
      <c r="HA297" s="1804">
        <v>0</v>
      </c>
      <c r="HB297" s="1804">
        <v>0</v>
      </c>
      <c r="HC297" s="1804">
        <v>0</v>
      </c>
      <c r="HD297" s="1804">
        <v>0</v>
      </c>
      <c r="HE297" s="1804">
        <v>0</v>
      </c>
    </row>
    <row r="298" spans="1:213" ht="15" customHeight="1" x14ac:dyDescent="0.2">
      <c r="A298" s="1964"/>
      <c r="B298" s="1989"/>
      <c r="C298" s="1818" t="s">
        <v>905</v>
      </c>
      <c r="D298" s="1883"/>
      <c r="E298" s="1984"/>
      <c r="F298" s="1838">
        <v>0</v>
      </c>
      <c r="G298" s="1804">
        <v>0</v>
      </c>
      <c r="H298" s="1804">
        <v>0</v>
      </c>
      <c r="I298" s="1804">
        <v>0</v>
      </c>
      <c r="J298" s="1804">
        <v>0</v>
      </c>
      <c r="K298" s="1804">
        <v>0</v>
      </c>
      <c r="L298" s="1804">
        <v>0</v>
      </c>
      <c r="M298" s="1804">
        <v>0</v>
      </c>
      <c r="N298" s="1804">
        <v>0</v>
      </c>
      <c r="O298" s="1804">
        <v>0</v>
      </c>
      <c r="P298" s="1804">
        <v>0</v>
      </c>
      <c r="Q298" s="1804">
        <v>0</v>
      </c>
      <c r="R298" s="1804">
        <v>0</v>
      </c>
      <c r="S298" s="1804">
        <v>0</v>
      </c>
      <c r="T298" s="1804">
        <v>0</v>
      </c>
      <c r="U298" s="1804">
        <v>0</v>
      </c>
      <c r="V298" s="1804">
        <v>0</v>
      </c>
      <c r="W298" s="1804">
        <v>0</v>
      </c>
      <c r="X298" s="1804">
        <v>0</v>
      </c>
      <c r="Y298" s="1804">
        <v>0</v>
      </c>
      <c r="Z298" s="1804">
        <v>0</v>
      </c>
      <c r="AA298" s="1804">
        <v>0</v>
      </c>
      <c r="AB298" s="1804">
        <v>0</v>
      </c>
      <c r="AC298" s="1804">
        <v>0</v>
      </c>
      <c r="AD298" s="1804">
        <v>0</v>
      </c>
      <c r="AE298" s="1804">
        <v>0</v>
      </c>
      <c r="AF298" s="1804">
        <v>0</v>
      </c>
      <c r="AG298" s="1804">
        <v>0</v>
      </c>
      <c r="AH298" s="1804">
        <v>0</v>
      </c>
      <c r="AI298" s="1804">
        <v>0</v>
      </c>
      <c r="AJ298" s="1804">
        <v>0</v>
      </c>
      <c r="AK298" s="1804">
        <v>0</v>
      </c>
      <c r="AL298" s="1804">
        <v>0</v>
      </c>
      <c r="AM298" s="1804">
        <v>0</v>
      </c>
      <c r="AN298" s="1804">
        <v>0</v>
      </c>
      <c r="AO298" s="1804">
        <v>0</v>
      </c>
      <c r="AP298" s="1804">
        <v>0</v>
      </c>
      <c r="AQ298" s="1804">
        <v>0</v>
      </c>
      <c r="AR298" s="1804">
        <v>0</v>
      </c>
      <c r="AS298" s="1804">
        <v>0</v>
      </c>
      <c r="AT298" s="1804">
        <v>0</v>
      </c>
      <c r="AU298" s="1804">
        <v>0</v>
      </c>
      <c r="AV298" s="1804">
        <v>0</v>
      </c>
      <c r="AW298" s="1804">
        <v>0</v>
      </c>
      <c r="AX298" s="1804">
        <v>0</v>
      </c>
      <c r="AY298" s="1804">
        <v>0</v>
      </c>
      <c r="AZ298" s="1804">
        <v>0</v>
      </c>
      <c r="BA298" s="1804">
        <v>0</v>
      </c>
      <c r="BB298" s="1804">
        <v>0</v>
      </c>
      <c r="BC298" s="1804">
        <v>0</v>
      </c>
      <c r="BD298" s="1804">
        <v>0</v>
      </c>
      <c r="BE298" s="1804">
        <v>0</v>
      </c>
      <c r="BF298" s="1804">
        <v>0</v>
      </c>
      <c r="BG298" s="1804">
        <v>0</v>
      </c>
      <c r="BH298" s="1804">
        <v>0</v>
      </c>
      <c r="BI298" s="1804">
        <v>0</v>
      </c>
      <c r="BJ298" s="1804">
        <v>0</v>
      </c>
      <c r="BK298" s="1804">
        <v>0</v>
      </c>
      <c r="BL298" s="1804">
        <v>0</v>
      </c>
      <c r="BM298" s="1804">
        <v>0</v>
      </c>
      <c r="BN298" s="1804">
        <v>0</v>
      </c>
      <c r="BO298" s="1804">
        <v>0</v>
      </c>
      <c r="BP298" s="1804">
        <v>0</v>
      </c>
      <c r="BQ298" s="1804">
        <v>0</v>
      </c>
      <c r="BR298" s="1804">
        <v>0</v>
      </c>
      <c r="BS298" s="1804">
        <v>0</v>
      </c>
      <c r="BT298" s="1804">
        <v>0</v>
      </c>
      <c r="BU298" s="1804">
        <v>0</v>
      </c>
      <c r="BV298" s="1804">
        <v>0</v>
      </c>
      <c r="BW298" s="1804">
        <v>0</v>
      </c>
      <c r="BX298" s="1804">
        <v>0</v>
      </c>
      <c r="BY298" s="1804">
        <v>0</v>
      </c>
      <c r="BZ298" s="1804">
        <v>0</v>
      </c>
      <c r="CA298" s="1804">
        <v>0</v>
      </c>
      <c r="CB298" s="1804">
        <v>0</v>
      </c>
      <c r="CC298" s="1804">
        <v>0</v>
      </c>
      <c r="CD298" s="1804">
        <v>0</v>
      </c>
      <c r="CE298" s="1804">
        <v>0</v>
      </c>
      <c r="CF298" s="1804">
        <v>0</v>
      </c>
      <c r="CG298" s="1804">
        <v>0</v>
      </c>
      <c r="CH298" s="1804">
        <v>0</v>
      </c>
      <c r="CI298" s="1804">
        <v>0</v>
      </c>
      <c r="CJ298" s="1804">
        <v>0</v>
      </c>
      <c r="CK298" s="1804">
        <v>0</v>
      </c>
      <c r="CL298" s="1804">
        <v>0</v>
      </c>
      <c r="CM298" s="1804">
        <v>0</v>
      </c>
      <c r="CN298" s="1804">
        <v>0</v>
      </c>
      <c r="CO298" s="1804">
        <v>0</v>
      </c>
      <c r="CP298" s="1804">
        <v>0</v>
      </c>
      <c r="CQ298" s="1804">
        <v>0</v>
      </c>
      <c r="CR298" s="1804">
        <v>0</v>
      </c>
      <c r="CS298" s="1804">
        <v>0</v>
      </c>
      <c r="CT298" s="1804">
        <v>0</v>
      </c>
      <c r="CU298" s="1804">
        <v>0</v>
      </c>
      <c r="CV298" s="1804">
        <v>0</v>
      </c>
      <c r="CW298" s="1804">
        <v>0</v>
      </c>
      <c r="CX298" s="1804">
        <v>0</v>
      </c>
      <c r="CY298" s="1804">
        <v>0</v>
      </c>
      <c r="CZ298" s="1804">
        <v>0</v>
      </c>
      <c r="DA298" s="1804">
        <v>0</v>
      </c>
      <c r="DB298" s="1804">
        <v>0</v>
      </c>
      <c r="DC298" s="1804">
        <v>0</v>
      </c>
      <c r="DD298" s="1804">
        <v>0</v>
      </c>
      <c r="DE298" s="1804">
        <v>0</v>
      </c>
      <c r="DF298" s="1804">
        <v>0</v>
      </c>
      <c r="DG298" s="1804">
        <v>0</v>
      </c>
      <c r="DH298" s="1804">
        <v>0</v>
      </c>
      <c r="DI298" s="1804">
        <v>0</v>
      </c>
      <c r="DJ298" s="1804">
        <v>0</v>
      </c>
      <c r="DK298" s="1804">
        <v>0</v>
      </c>
      <c r="DL298" s="1804">
        <v>0</v>
      </c>
      <c r="DM298" s="1804">
        <v>0</v>
      </c>
      <c r="DN298" s="1804">
        <v>0</v>
      </c>
      <c r="DO298" s="1804">
        <v>0</v>
      </c>
      <c r="DP298" s="1804">
        <v>0</v>
      </c>
      <c r="DQ298" s="1804">
        <v>0</v>
      </c>
      <c r="DR298" s="1804">
        <v>0</v>
      </c>
      <c r="DS298" s="1804">
        <v>0</v>
      </c>
      <c r="DT298" s="1804">
        <v>0</v>
      </c>
      <c r="DU298" s="1804">
        <v>0</v>
      </c>
      <c r="DV298" s="1804">
        <v>0</v>
      </c>
      <c r="DW298" s="1804">
        <v>0</v>
      </c>
      <c r="DX298" s="1804">
        <v>0</v>
      </c>
      <c r="DY298" s="1804">
        <v>0</v>
      </c>
      <c r="DZ298" s="1804">
        <v>0</v>
      </c>
      <c r="EA298" s="1804">
        <v>0</v>
      </c>
      <c r="EB298" s="1804">
        <v>0</v>
      </c>
      <c r="EC298" s="1804">
        <v>0</v>
      </c>
      <c r="ED298" s="1804">
        <v>0</v>
      </c>
      <c r="EE298" s="1804">
        <v>0</v>
      </c>
      <c r="EF298" s="1804">
        <v>0</v>
      </c>
      <c r="EG298" s="1804">
        <v>0</v>
      </c>
      <c r="EH298" s="1804">
        <v>0</v>
      </c>
      <c r="EI298" s="1804">
        <v>0</v>
      </c>
      <c r="EJ298" s="1804">
        <v>0</v>
      </c>
      <c r="EK298" s="1804">
        <v>0</v>
      </c>
      <c r="EL298" s="1804">
        <v>0</v>
      </c>
      <c r="EM298" s="1804">
        <v>0</v>
      </c>
      <c r="EN298" s="1804">
        <v>0</v>
      </c>
      <c r="EO298" s="1804">
        <v>0</v>
      </c>
      <c r="EP298" s="1804">
        <v>0</v>
      </c>
      <c r="EQ298" s="1804">
        <v>0</v>
      </c>
      <c r="ER298" s="1804">
        <v>0</v>
      </c>
      <c r="ES298" s="1804">
        <v>0</v>
      </c>
      <c r="ET298" s="1804">
        <v>0</v>
      </c>
      <c r="EU298" s="1804">
        <v>0</v>
      </c>
      <c r="EV298" s="1804">
        <v>0</v>
      </c>
      <c r="EW298" s="1804">
        <v>0</v>
      </c>
      <c r="EX298" s="1804">
        <v>0</v>
      </c>
      <c r="EY298" s="1804">
        <v>0</v>
      </c>
      <c r="EZ298" s="1804">
        <v>0</v>
      </c>
      <c r="FA298" s="1804">
        <v>0</v>
      </c>
      <c r="FB298" s="1804">
        <v>0</v>
      </c>
      <c r="FC298" s="1804">
        <v>0</v>
      </c>
      <c r="FD298" s="1804">
        <v>0</v>
      </c>
      <c r="FE298" s="1804">
        <v>0</v>
      </c>
      <c r="FF298" s="1804">
        <v>0</v>
      </c>
      <c r="FG298" s="1804">
        <v>0</v>
      </c>
      <c r="FH298" s="1804">
        <v>0</v>
      </c>
      <c r="FI298" s="1804">
        <v>0</v>
      </c>
      <c r="FJ298" s="1804">
        <v>0</v>
      </c>
      <c r="FK298" s="1804">
        <v>0</v>
      </c>
      <c r="FL298" s="1804">
        <v>0</v>
      </c>
      <c r="FM298" s="1804">
        <v>0</v>
      </c>
      <c r="FN298" s="1804">
        <v>0</v>
      </c>
      <c r="FO298" s="1804">
        <v>0</v>
      </c>
      <c r="FP298" s="1804">
        <v>0</v>
      </c>
      <c r="FQ298" s="1804">
        <v>0</v>
      </c>
      <c r="FR298" s="1804">
        <v>0</v>
      </c>
      <c r="FS298" s="1804">
        <v>0</v>
      </c>
      <c r="FT298" s="1804">
        <v>0</v>
      </c>
      <c r="FU298" s="1804">
        <v>0</v>
      </c>
      <c r="FV298" s="1804">
        <v>0</v>
      </c>
      <c r="FW298" s="1804">
        <v>0</v>
      </c>
      <c r="FX298" s="1804">
        <v>0</v>
      </c>
      <c r="FY298" s="1804">
        <v>0</v>
      </c>
      <c r="FZ298" s="1804">
        <v>0</v>
      </c>
      <c r="GA298" s="1804">
        <v>0</v>
      </c>
      <c r="GB298" s="1804">
        <v>0</v>
      </c>
      <c r="GC298" s="1804">
        <v>0</v>
      </c>
      <c r="GD298" s="1804">
        <v>0</v>
      </c>
      <c r="GE298" s="1804">
        <v>0</v>
      </c>
      <c r="GF298" s="1804">
        <v>0</v>
      </c>
      <c r="GG298" s="1804">
        <v>0</v>
      </c>
      <c r="GH298" s="1804">
        <v>0</v>
      </c>
      <c r="GI298" s="1804">
        <v>0</v>
      </c>
      <c r="GJ298" s="1804">
        <v>0</v>
      </c>
      <c r="GK298" s="1804">
        <v>0</v>
      </c>
      <c r="GL298" s="1804">
        <v>0</v>
      </c>
      <c r="GM298" s="1804">
        <v>0</v>
      </c>
      <c r="GN298" s="1804">
        <v>0</v>
      </c>
      <c r="GO298" s="1804">
        <v>0</v>
      </c>
      <c r="GP298" s="1804">
        <v>0</v>
      </c>
      <c r="GQ298" s="1804">
        <v>0</v>
      </c>
      <c r="GR298" s="1804">
        <v>0</v>
      </c>
      <c r="GS298" s="1804">
        <v>0</v>
      </c>
      <c r="GT298" s="1804">
        <v>0</v>
      </c>
      <c r="GU298" s="1804">
        <v>0</v>
      </c>
      <c r="GV298" s="1804">
        <v>0</v>
      </c>
      <c r="GW298" s="1804">
        <v>0</v>
      </c>
      <c r="GX298" s="1804">
        <v>0</v>
      </c>
      <c r="GY298" s="1804">
        <v>0</v>
      </c>
      <c r="GZ298" s="1804">
        <v>0</v>
      </c>
      <c r="HA298" s="1804">
        <v>0</v>
      </c>
      <c r="HB298" s="1804">
        <v>0</v>
      </c>
      <c r="HC298" s="1804">
        <v>0</v>
      </c>
      <c r="HD298" s="1804">
        <v>0</v>
      </c>
      <c r="HE298" s="1804">
        <v>0</v>
      </c>
    </row>
    <row r="299" spans="1:213" ht="15" customHeight="1" x14ac:dyDescent="0.2">
      <c r="A299" s="1964"/>
      <c r="B299" s="1989"/>
      <c r="C299" s="1818" t="s">
        <v>876</v>
      </c>
      <c r="D299" s="1883"/>
      <c r="E299" s="1984"/>
      <c r="F299" s="1838">
        <v>0</v>
      </c>
      <c r="G299" s="1804">
        <v>0</v>
      </c>
      <c r="H299" s="1804">
        <v>0</v>
      </c>
      <c r="I299" s="1804">
        <v>0</v>
      </c>
      <c r="J299" s="1804">
        <v>0</v>
      </c>
      <c r="K299" s="1804">
        <v>0</v>
      </c>
      <c r="L299" s="1804">
        <v>0</v>
      </c>
      <c r="M299" s="1804">
        <v>0</v>
      </c>
      <c r="N299" s="1804">
        <v>0</v>
      </c>
      <c r="O299" s="1804">
        <v>0</v>
      </c>
      <c r="P299" s="1804">
        <v>0</v>
      </c>
      <c r="Q299" s="1804">
        <v>0</v>
      </c>
      <c r="R299" s="1804">
        <v>0</v>
      </c>
      <c r="S299" s="1804">
        <v>0</v>
      </c>
      <c r="T299" s="1804">
        <v>0</v>
      </c>
      <c r="U299" s="1804">
        <v>0</v>
      </c>
      <c r="V299" s="1804">
        <v>0</v>
      </c>
      <c r="W299" s="1804">
        <v>0</v>
      </c>
      <c r="X299" s="1804">
        <v>0</v>
      </c>
      <c r="Y299" s="1804">
        <v>0</v>
      </c>
      <c r="Z299" s="1804">
        <v>0</v>
      </c>
      <c r="AA299" s="1804">
        <v>0</v>
      </c>
      <c r="AB299" s="1804">
        <v>0</v>
      </c>
      <c r="AC299" s="1804">
        <v>0</v>
      </c>
      <c r="AD299" s="1804">
        <v>0</v>
      </c>
      <c r="AE299" s="1804">
        <v>0</v>
      </c>
      <c r="AF299" s="1804">
        <v>0</v>
      </c>
      <c r="AG299" s="1804">
        <v>0</v>
      </c>
      <c r="AH299" s="1804">
        <v>0</v>
      </c>
      <c r="AI299" s="1804">
        <v>0</v>
      </c>
      <c r="AJ299" s="1804">
        <v>0</v>
      </c>
      <c r="AK299" s="1804">
        <v>0</v>
      </c>
      <c r="AL299" s="1804">
        <v>0</v>
      </c>
      <c r="AM299" s="1804">
        <v>0</v>
      </c>
      <c r="AN299" s="1804">
        <v>0</v>
      </c>
      <c r="AO299" s="1804">
        <v>0</v>
      </c>
      <c r="AP299" s="1804">
        <v>0</v>
      </c>
      <c r="AQ299" s="1804">
        <v>0</v>
      </c>
      <c r="AR299" s="1804">
        <v>0</v>
      </c>
      <c r="AS299" s="1804">
        <v>0</v>
      </c>
      <c r="AT299" s="1804">
        <v>0</v>
      </c>
      <c r="AU299" s="1804">
        <v>0</v>
      </c>
      <c r="AV299" s="1804">
        <v>0</v>
      </c>
      <c r="AW299" s="1804">
        <v>0</v>
      </c>
      <c r="AX299" s="1804">
        <v>0</v>
      </c>
      <c r="AY299" s="1804">
        <v>0</v>
      </c>
      <c r="AZ299" s="1804">
        <v>0</v>
      </c>
      <c r="BA299" s="1804">
        <v>0</v>
      </c>
      <c r="BB299" s="1804">
        <v>0</v>
      </c>
      <c r="BC299" s="1804">
        <v>0</v>
      </c>
      <c r="BD299" s="1804">
        <v>0</v>
      </c>
      <c r="BE299" s="1804">
        <v>0</v>
      </c>
      <c r="BF299" s="1804">
        <v>0</v>
      </c>
      <c r="BG299" s="1804">
        <v>0</v>
      </c>
      <c r="BH299" s="1804">
        <v>0</v>
      </c>
      <c r="BI299" s="1804">
        <v>0</v>
      </c>
      <c r="BJ299" s="1804">
        <v>0</v>
      </c>
      <c r="BK299" s="1804">
        <v>0</v>
      </c>
      <c r="BL299" s="1804">
        <v>0</v>
      </c>
      <c r="BM299" s="1804">
        <v>0</v>
      </c>
      <c r="BN299" s="1804">
        <v>0</v>
      </c>
      <c r="BO299" s="1804">
        <v>0</v>
      </c>
      <c r="BP299" s="1804">
        <v>0</v>
      </c>
      <c r="BQ299" s="1804">
        <v>0</v>
      </c>
      <c r="BR299" s="1804">
        <v>0</v>
      </c>
      <c r="BS299" s="1804">
        <v>0</v>
      </c>
      <c r="BT299" s="1804">
        <v>0</v>
      </c>
      <c r="BU299" s="1804">
        <v>0</v>
      </c>
      <c r="BV299" s="1804">
        <v>0</v>
      </c>
      <c r="BW299" s="1804">
        <v>0</v>
      </c>
      <c r="BX299" s="1804">
        <v>0</v>
      </c>
      <c r="BY299" s="1804">
        <v>0</v>
      </c>
      <c r="BZ299" s="1804">
        <v>0</v>
      </c>
      <c r="CA299" s="1804">
        <v>0</v>
      </c>
      <c r="CB299" s="1804">
        <v>0</v>
      </c>
      <c r="CC299" s="1804">
        <v>0</v>
      </c>
      <c r="CD299" s="1804">
        <v>0</v>
      </c>
      <c r="CE299" s="1804">
        <v>0</v>
      </c>
      <c r="CF299" s="1804">
        <v>0</v>
      </c>
      <c r="CG299" s="1804">
        <v>0</v>
      </c>
      <c r="CH299" s="1804">
        <v>0</v>
      </c>
      <c r="CI299" s="1804">
        <v>0</v>
      </c>
      <c r="CJ299" s="1804">
        <v>0</v>
      </c>
      <c r="CK299" s="1804">
        <v>0</v>
      </c>
      <c r="CL299" s="1804">
        <v>0</v>
      </c>
      <c r="CM299" s="1804">
        <v>0</v>
      </c>
      <c r="CN299" s="1804">
        <v>0</v>
      </c>
      <c r="CO299" s="1804">
        <v>0</v>
      </c>
      <c r="CP299" s="1804">
        <v>0</v>
      </c>
      <c r="CQ299" s="1804">
        <v>0</v>
      </c>
      <c r="CR299" s="1804">
        <v>0</v>
      </c>
      <c r="CS299" s="1804">
        <v>0</v>
      </c>
      <c r="CT299" s="1804">
        <v>0</v>
      </c>
      <c r="CU299" s="1804">
        <v>0</v>
      </c>
      <c r="CV299" s="1804">
        <v>0</v>
      </c>
      <c r="CW299" s="1804">
        <v>0</v>
      </c>
      <c r="CX299" s="1804">
        <v>0</v>
      </c>
      <c r="CY299" s="1804">
        <v>0</v>
      </c>
      <c r="CZ299" s="1804">
        <v>0</v>
      </c>
      <c r="DA299" s="1804">
        <v>0</v>
      </c>
      <c r="DB299" s="1804">
        <v>0</v>
      </c>
      <c r="DC299" s="1804">
        <v>0</v>
      </c>
      <c r="DD299" s="1804">
        <v>0</v>
      </c>
      <c r="DE299" s="1804">
        <v>0</v>
      </c>
      <c r="DF299" s="1804">
        <v>0</v>
      </c>
      <c r="DG299" s="1804">
        <v>0</v>
      </c>
      <c r="DH299" s="1804">
        <v>0</v>
      </c>
      <c r="DI299" s="1804">
        <v>0</v>
      </c>
      <c r="DJ299" s="1804">
        <v>0</v>
      </c>
      <c r="DK299" s="1804">
        <v>0</v>
      </c>
      <c r="DL299" s="1804">
        <v>0</v>
      </c>
      <c r="DM299" s="1804">
        <v>0</v>
      </c>
      <c r="DN299" s="1804">
        <v>0</v>
      </c>
      <c r="DO299" s="1804">
        <v>0</v>
      </c>
      <c r="DP299" s="1804">
        <v>0</v>
      </c>
      <c r="DQ299" s="1804">
        <v>0</v>
      </c>
      <c r="DR299" s="1804">
        <v>0</v>
      </c>
      <c r="DS299" s="1804">
        <v>0</v>
      </c>
      <c r="DT299" s="1804">
        <v>0</v>
      </c>
      <c r="DU299" s="1804">
        <v>0</v>
      </c>
      <c r="DV299" s="1804">
        <v>0</v>
      </c>
      <c r="DW299" s="1804">
        <v>0</v>
      </c>
      <c r="DX299" s="1804">
        <v>0</v>
      </c>
      <c r="DY299" s="1804">
        <v>0</v>
      </c>
      <c r="DZ299" s="1804">
        <v>0</v>
      </c>
      <c r="EA299" s="1804">
        <v>0</v>
      </c>
      <c r="EB299" s="1804">
        <v>0</v>
      </c>
      <c r="EC299" s="1804">
        <v>0</v>
      </c>
      <c r="ED299" s="1804">
        <v>0</v>
      </c>
      <c r="EE299" s="1804">
        <v>0</v>
      </c>
      <c r="EF299" s="1804">
        <v>0</v>
      </c>
      <c r="EG299" s="1804">
        <v>0</v>
      </c>
      <c r="EH299" s="1804">
        <v>0</v>
      </c>
      <c r="EI299" s="1804">
        <v>0</v>
      </c>
      <c r="EJ299" s="1804">
        <v>0</v>
      </c>
      <c r="EK299" s="1804">
        <v>0</v>
      </c>
      <c r="EL299" s="1804">
        <v>0</v>
      </c>
      <c r="EM299" s="1804">
        <v>0</v>
      </c>
      <c r="EN299" s="1804">
        <v>0</v>
      </c>
      <c r="EO299" s="1804">
        <v>0</v>
      </c>
      <c r="EP299" s="1804">
        <v>0</v>
      </c>
      <c r="EQ299" s="1804">
        <v>0</v>
      </c>
      <c r="ER299" s="1804">
        <v>0</v>
      </c>
      <c r="ES299" s="1804">
        <v>0</v>
      </c>
      <c r="ET299" s="1804">
        <v>0</v>
      </c>
      <c r="EU299" s="1804">
        <v>0</v>
      </c>
      <c r="EV299" s="1804">
        <v>0</v>
      </c>
      <c r="EW299" s="1804">
        <v>0</v>
      </c>
      <c r="EX299" s="1804">
        <v>0</v>
      </c>
      <c r="EY299" s="1804">
        <v>0</v>
      </c>
      <c r="EZ299" s="1804">
        <v>0</v>
      </c>
      <c r="FA299" s="1804">
        <v>0</v>
      </c>
      <c r="FB299" s="1804">
        <v>0</v>
      </c>
      <c r="FC299" s="1804">
        <v>0</v>
      </c>
      <c r="FD299" s="1804">
        <v>0</v>
      </c>
      <c r="FE299" s="1804">
        <v>0</v>
      </c>
      <c r="FF299" s="1804">
        <v>0</v>
      </c>
      <c r="FG299" s="1804">
        <v>0</v>
      </c>
      <c r="FH299" s="1804">
        <v>0</v>
      </c>
      <c r="FI299" s="1804">
        <v>0</v>
      </c>
      <c r="FJ299" s="1804">
        <v>0</v>
      </c>
      <c r="FK299" s="1804">
        <v>0</v>
      </c>
      <c r="FL299" s="1804">
        <v>0</v>
      </c>
      <c r="FM299" s="1804">
        <v>0</v>
      </c>
      <c r="FN299" s="1804">
        <v>0</v>
      </c>
      <c r="FO299" s="1804">
        <v>0</v>
      </c>
      <c r="FP299" s="1804">
        <v>0</v>
      </c>
      <c r="FQ299" s="1804">
        <v>0</v>
      </c>
      <c r="FR299" s="1804">
        <v>0</v>
      </c>
      <c r="FS299" s="1804">
        <v>0</v>
      </c>
      <c r="FT299" s="1804">
        <v>0</v>
      </c>
      <c r="FU299" s="1804">
        <v>0</v>
      </c>
      <c r="FV299" s="1804">
        <v>0</v>
      </c>
      <c r="FW299" s="1804">
        <v>0</v>
      </c>
      <c r="FX299" s="1804">
        <v>0</v>
      </c>
      <c r="FY299" s="1804">
        <v>0</v>
      </c>
      <c r="FZ299" s="1804">
        <v>0</v>
      </c>
      <c r="GA299" s="1804">
        <v>0</v>
      </c>
      <c r="GB299" s="1804">
        <v>0</v>
      </c>
      <c r="GC299" s="1804">
        <v>0</v>
      </c>
      <c r="GD299" s="1804">
        <v>0</v>
      </c>
      <c r="GE299" s="1804">
        <v>0</v>
      </c>
      <c r="GF299" s="1804">
        <v>0</v>
      </c>
      <c r="GG299" s="1804">
        <v>0</v>
      </c>
      <c r="GH299" s="1804">
        <v>0</v>
      </c>
      <c r="GI299" s="1804">
        <v>0</v>
      </c>
      <c r="GJ299" s="1804">
        <v>0</v>
      </c>
      <c r="GK299" s="1804">
        <v>0</v>
      </c>
      <c r="GL299" s="1804">
        <v>0</v>
      </c>
      <c r="GM299" s="1804">
        <v>0</v>
      </c>
      <c r="GN299" s="1804">
        <v>0</v>
      </c>
      <c r="GO299" s="1804">
        <v>0</v>
      </c>
      <c r="GP299" s="1804">
        <v>0</v>
      </c>
      <c r="GQ299" s="1804">
        <v>0</v>
      </c>
      <c r="GR299" s="1804">
        <v>0</v>
      </c>
      <c r="GS299" s="1804">
        <v>0</v>
      </c>
      <c r="GT299" s="1804">
        <v>0</v>
      </c>
      <c r="GU299" s="1804">
        <v>0</v>
      </c>
      <c r="GV299" s="1804">
        <v>0</v>
      </c>
      <c r="GW299" s="1804">
        <v>0</v>
      </c>
      <c r="GX299" s="1804">
        <v>0</v>
      </c>
      <c r="GY299" s="1804">
        <v>0</v>
      </c>
      <c r="GZ299" s="1804">
        <v>0</v>
      </c>
      <c r="HA299" s="1804">
        <v>0</v>
      </c>
      <c r="HB299" s="1804">
        <v>0</v>
      </c>
      <c r="HC299" s="1804">
        <v>0</v>
      </c>
      <c r="HD299" s="1804">
        <v>0</v>
      </c>
      <c r="HE299" s="1804">
        <v>0</v>
      </c>
    </row>
    <row r="300" spans="1:213" ht="15" customHeight="1" x14ac:dyDescent="0.2">
      <c r="A300" s="1964"/>
      <c r="B300" s="1989"/>
      <c r="C300" s="1818" t="s">
        <v>743</v>
      </c>
      <c r="D300" s="1882"/>
      <c r="E300" s="1984"/>
      <c r="F300" s="1838">
        <v>0</v>
      </c>
      <c r="G300" s="1804">
        <v>0</v>
      </c>
      <c r="H300" s="1804">
        <v>0</v>
      </c>
      <c r="I300" s="1804">
        <v>0</v>
      </c>
      <c r="J300" s="1804">
        <v>0</v>
      </c>
      <c r="K300" s="1804">
        <v>0</v>
      </c>
      <c r="L300" s="1804">
        <v>0</v>
      </c>
      <c r="M300" s="1804">
        <v>0</v>
      </c>
      <c r="N300" s="1804">
        <v>0</v>
      </c>
      <c r="O300" s="1804">
        <v>0</v>
      </c>
      <c r="P300" s="1804">
        <v>0</v>
      </c>
      <c r="Q300" s="1804">
        <v>0</v>
      </c>
      <c r="R300" s="1804">
        <v>0</v>
      </c>
      <c r="S300" s="1804">
        <v>0</v>
      </c>
      <c r="T300" s="1804">
        <v>0</v>
      </c>
      <c r="U300" s="1804">
        <v>0</v>
      </c>
      <c r="V300" s="1804">
        <v>0</v>
      </c>
      <c r="W300" s="1804">
        <v>0</v>
      </c>
      <c r="X300" s="1804">
        <v>0</v>
      </c>
      <c r="Y300" s="1804">
        <v>0</v>
      </c>
      <c r="Z300" s="1804">
        <v>0</v>
      </c>
      <c r="AA300" s="1804">
        <v>0</v>
      </c>
      <c r="AB300" s="1804">
        <v>0</v>
      </c>
      <c r="AC300" s="1804">
        <v>0</v>
      </c>
      <c r="AD300" s="1804">
        <v>0</v>
      </c>
      <c r="AE300" s="1804">
        <v>0</v>
      </c>
      <c r="AF300" s="1804">
        <v>0</v>
      </c>
      <c r="AG300" s="1804">
        <v>0</v>
      </c>
      <c r="AH300" s="1804">
        <v>0</v>
      </c>
      <c r="AI300" s="1804">
        <v>0</v>
      </c>
      <c r="AJ300" s="1804">
        <v>0</v>
      </c>
      <c r="AK300" s="1804">
        <v>0</v>
      </c>
      <c r="AL300" s="1804">
        <v>0</v>
      </c>
      <c r="AM300" s="1804">
        <v>0</v>
      </c>
      <c r="AN300" s="1804">
        <v>0</v>
      </c>
      <c r="AO300" s="1804">
        <v>0</v>
      </c>
      <c r="AP300" s="1804">
        <v>0</v>
      </c>
      <c r="AQ300" s="1804">
        <v>0</v>
      </c>
      <c r="AR300" s="1804">
        <v>0</v>
      </c>
      <c r="AS300" s="1804">
        <v>0</v>
      </c>
      <c r="AT300" s="1804">
        <v>0</v>
      </c>
      <c r="AU300" s="1804">
        <v>0</v>
      </c>
      <c r="AV300" s="1804">
        <v>0</v>
      </c>
      <c r="AW300" s="1804">
        <v>0</v>
      </c>
      <c r="AX300" s="1804">
        <v>0</v>
      </c>
      <c r="AY300" s="1804">
        <v>0</v>
      </c>
      <c r="AZ300" s="1804">
        <v>0</v>
      </c>
      <c r="BA300" s="1804">
        <v>0</v>
      </c>
      <c r="BB300" s="1804">
        <v>0</v>
      </c>
      <c r="BC300" s="1804">
        <v>0</v>
      </c>
      <c r="BD300" s="1804">
        <v>0</v>
      </c>
      <c r="BE300" s="1804">
        <v>0</v>
      </c>
      <c r="BF300" s="1804">
        <v>0</v>
      </c>
      <c r="BG300" s="1804">
        <v>0</v>
      </c>
      <c r="BH300" s="1804">
        <v>0</v>
      </c>
      <c r="BI300" s="1804">
        <v>0</v>
      </c>
      <c r="BJ300" s="1804">
        <v>0</v>
      </c>
      <c r="BK300" s="1804">
        <v>0</v>
      </c>
      <c r="BL300" s="1804">
        <v>0</v>
      </c>
      <c r="BM300" s="1804">
        <v>0</v>
      </c>
      <c r="BN300" s="1804">
        <v>0</v>
      </c>
      <c r="BO300" s="1804">
        <v>0</v>
      </c>
      <c r="BP300" s="1804">
        <v>0</v>
      </c>
      <c r="BQ300" s="1804">
        <v>0</v>
      </c>
      <c r="BR300" s="1804">
        <v>0</v>
      </c>
      <c r="BS300" s="1804">
        <v>0</v>
      </c>
      <c r="BT300" s="1804">
        <v>0</v>
      </c>
      <c r="BU300" s="1804">
        <v>0</v>
      </c>
      <c r="BV300" s="1804">
        <v>0</v>
      </c>
      <c r="BW300" s="1804">
        <v>0</v>
      </c>
      <c r="BX300" s="1804">
        <v>0</v>
      </c>
      <c r="BY300" s="1804">
        <v>0</v>
      </c>
      <c r="BZ300" s="1804">
        <v>0</v>
      </c>
      <c r="CA300" s="1804">
        <v>0</v>
      </c>
      <c r="CB300" s="1804">
        <v>0</v>
      </c>
      <c r="CC300" s="1804">
        <v>0</v>
      </c>
      <c r="CD300" s="1804">
        <v>0</v>
      </c>
      <c r="CE300" s="1804">
        <v>0</v>
      </c>
      <c r="CF300" s="1804">
        <v>0</v>
      </c>
      <c r="CG300" s="1804">
        <v>0</v>
      </c>
      <c r="CH300" s="1804">
        <v>0</v>
      </c>
      <c r="CI300" s="1804">
        <v>0</v>
      </c>
      <c r="CJ300" s="1804">
        <v>0</v>
      </c>
      <c r="CK300" s="1804">
        <v>0</v>
      </c>
      <c r="CL300" s="1804">
        <v>0</v>
      </c>
      <c r="CM300" s="1804">
        <v>0</v>
      </c>
      <c r="CN300" s="1804">
        <v>0</v>
      </c>
      <c r="CO300" s="1804">
        <v>0</v>
      </c>
      <c r="CP300" s="1804">
        <v>0</v>
      </c>
      <c r="CQ300" s="1804">
        <v>0</v>
      </c>
      <c r="CR300" s="1804">
        <v>0</v>
      </c>
      <c r="CS300" s="1804">
        <v>0</v>
      </c>
      <c r="CT300" s="1804">
        <v>0</v>
      </c>
      <c r="CU300" s="1804">
        <v>0</v>
      </c>
      <c r="CV300" s="1804">
        <v>0</v>
      </c>
      <c r="CW300" s="1804">
        <v>0</v>
      </c>
      <c r="CX300" s="1804">
        <v>0</v>
      </c>
      <c r="CY300" s="1804">
        <v>0</v>
      </c>
      <c r="CZ300" s="1804">
        <v>0</v>
      </c>
      <c r="DA300" s="1804">
        <v>0</v>
      </c>
      <c r="DB300" s="1804">
        <v>0</v>
      </c>
      <c r="DC300" s="1804">
        <v>0</v>
      </c>
      <c r="DD300" s="1804">
        <v>0</v>
      </c>
      <c r="DE300" s="1804">
        <v>0</v>
      </c>
      <c r="DF300" s="1804">
        <v>0</v>
      </c>
      <c r="DG300" s="1804">
        <v>0</v>
      </c>
      <c r="DH300" s="1804">
        <v>0</v>
      </c>
      <c r="DI300" s="1804">
        <v>0</v>
      </c>
      <c r="DJ300" s="1804">
        <v>0</v>
      </c>
      <c r="DK300" s="1804">
        <v>0</v>
      </c>
      <c r="DL300" s="1804">
        <v>0</v>
      </c>
      <c r="DM300" s="1804">
        <v>0</v>
      </c>
      <c r="DN300" s="1804">
        <v>0</v>
      </c>
      <c r="DO300" s="1804">
        <v>0</v>
      </c>
      <c r="DP300" s="1804">
        <v>0</v>
      </c>
      <c r="DQ300" s="1804">
        <v>0</v>
      </c>
      <c r="DR300" s="1804">
        <v>0</v>
      </c>
      <c r="DS300" s="1804">
        <v>0</v>
      </c>
      <c r="DT300" s="1804">
        <v>0</v>
      </c>
      <c r="DU300" s="1804">
        <v>0</v>
      </c>
      <c r="DV300" s="1804">
        <v>0</v>
      </c>
      <c r="DW300" s="1804">
        <v>0</v>
      </c>
      <c r="DX300" s="1804">
        <v>0</v>
      </c>
      <c r="DY300" s="1804">
        <v>0</v>
      </c>
      <c r="DZ300" s="1804">
        <v>0</v>
      </c>
      <c r="EA300" s="1804">
        <v>0</v>
      </c>
      <c r="EB300" s="1804">
        <v>0</v>
      </c>
      <c r="EC300" s="1804">
        <v>0</v>
      </c>
      <c r="ED300" s="1804">
        <v>0</v>
      </c>
      <c r="EE300" s="1804">
        <v>0</v>
      </c>
      <c r="EF300" s="1804">
        <v>0</v>
      </c>
      <c r="EG300" s="1804">
        <v>0</v>
      </c>
      <c r="EH300" s="1804">
        <v>0</v>
      </c>
      <c r="EI300" s="1804">
        <v>0</v>
      </c>
      <c r="EJ300" s="1804">
        <v>0</v>
      </c>
      <c r="EK300" s="1804">
        <v>0</v>
      </c>
      <c r="EL300" s="1804">
        <v>0</v>
      </c>
      <c r="EM300" s="1804">
        <v>0</v>
      </c>
      <c r="EN300" s="1804">
        <v>0</v>
      </c>
      <c r="EO300" s="1804">
        <v>0</v>
      </c>
      <c r="EP300" s="1804">
        <v>0</v>
      </c>
      <c r="EQ300" s="1804">
        <v>0</v>
      </c>
      <c r="ER300" s="1804">
        <v>0</v>
      </c>
      <c r="ES300" s="1804">
        <v>0</v>
      </c>
      <c r="ET300" s="1804">
        <v>0</v>
      </c>
      <c r="EU300" s="1804">
        <v>0</v>
      </c>
      <c r="EV300" s="1804">
        <v>0</v>
      </c>
      <c r="EW300" s="1804">
        <v>0</v>
      </c>
      <c r="EX300" s="1804">
        <v>0</v>
      </c>
      <c r="EY300" s="1804">
        <v>0</v>
      </c>
      <c r="EZ300" s="1804">
        <v>0</v>
      </c>
      <c r="FA300" s="1804">
        <v>0</v>
      </c>
      <c r="FB300" s="1804">
        <v>0</v>
      </c>
      <c r="FC300" s="1804">
        <v>0</v>
      </c>
      <c r="FD300" s="1804">
        <v>0</v>
      </c>
      <c r="FE300" s="1804">
        <v>0</v>
      </c>
      <c r="FF300" s="1804">
        <v>0</v>
      </c>
      <c r="FG300" s="1804">
        <v>0</v>
      </c>
      <c r="FH300" s="1804">
        <v>0</v>
      </c>
      <c r="FI300" s="1804">
        <v>0</v>
      </c>
      <c r="FJ300" s="1804">
        <v>0</v>
      </c>
      <c r="FK300" s="1804">
        <v>0</v>
      </c>
      <c r="FL300" s="1804">
        <v>0</v>
      </c>
      <c r="FM300" s="1804">
        <v>0</v>
      </c>
      <c r="FN300" s="1804">
        <v>0</v>
      </c>
      <c r="FO300" s="1804">
        <v>0</v>
      </c>
      <c r="FP300" s="1804">
        <v>0</v>
      </c>
      <c r="FQ300" s="1804">
        <v>0</v>
      </c>
      <c r="FR300" s="1804">
        <v>0</v>
      </c>
      <c r="FS300" s="1804">
        <v>0</v>
      </c>
      <c r="FT300" s="1804">
        <v>0</v>
      </c>
      <c r="FU300" s="1804">
        <v>0</v>
      </c>
      <c r="FV300" s="1804">
        <v>0</v>
      </c>
      <c r="FW300" s="1804">
        <v>0</v>
      </c>
      <c r="FX300" s="1804">
        <v>0</v>
      </c>
      <c r="FY300" s="1804">
        <v>0</v>
      </c>
      <c r="FZ300" s="1804">
        <v>0</v>
      </c>
      <c r="GA300" s="1804">
        <v>0</v>
      </c>
      <c r="GB300" s="1804">
        <v>0</v>
      </c>
      <c r="GC300" s="1804">
        <v>0</v>
      </c>
      <c r="GD300" s="1804">
        <v>0</v>
      </c>
      <c r="GE300" s="1804">
        <v>0</v>
      </c>
      <c r="GF300" s="1804">
        <v>0</v>
      </c>
      <c r="GG300" s="1804">
        <v>0</v>
      </c>
      <c r="GH300" s="1804">
        <v>0</v>
      </c>
      <c r="GI300" s="1804">
        <v>0</v>
      </c>
      <c r="GJ300" s="1804">
        <v>0</v>
      </c>
      <c r="GK300" s="1804">
        <v>0</v>
      </c>
      <c r="GL300" s="1804">
        <v>0</v>
      </c>
      <c r="GM300" s="1804">
        <v>0</v>
      </c>
      <c r="GN300" s="1804">
        <v>0</v>
      </c>
      <c r="GO300" s="1804">
        <v>0</v>
      </c>
      <c r="GP300" s="1804">
        <v>0</v>
      </c>
      <c r="GQ300" s="1804">
        <v>0</v>
      </c>
      <c r="GR300" s="1804">
        <v>0</v>
      </c>
      <c r="GS300" s="1804">
        <v>0</v>
      </c>
      <c r="GT300" s="1804">
        <v>0</v>
      </c>
      <c r="GU300" s="1804">
        <v>0</v>
      </c>
      <c r="GV300" s="1804">
        <v>0</v>
      </c>
      <c r="GW300" s="1804">
        <v>0</v>
      </c>
      <c r="GX300" s="1804">
        <v>0</v>
      </c>
      <c r="GY300" s="1804">
        <v>0</v>
      </c>
      <c r="GZ300" s="1804">
        <v>0</v>
      </c>
      <c r="HA300" s="1804">
        <v>0</v>
      </c>
      <c r="HB300" s="1804">
        <v>0</v>
      </c>
      <c r="HC300" s="1804">
        <v>0</v>
      </c>
      <c r="HD300" s="1804">
        <v>0</v>
      </c>
      <c r="HE300" s="1804">
        <v>0</v>
      </c>
    </row>
    <row r="301" spans="1:213" ht="15" customHeight="1" x14ac:dyDescent="0.2">
      <c r="A301" s="1964"/>
      <c r="B301" s="1989"/>
      <c r="C301" s="1818" t="s">
        <v>877</v>
      </c>
      <c r="D301" s="1882"/>
      <c r="E301" s="1984"/>
      <c r="F301" s="1836">
        <v>0</v>
      </c>
      <c r="G301" s="1802">
        <v>0</v>
      </c>
      <c r="H301" s="1802">
        <v>0</v>
      </c>
      <c r="I301" s="1802">
        <v>0</v>
      </c>
      <c r="J301" s="1802">
        <v>0</v>
      </c>
      <c r="K301" s="1802">
        <v>0</v>
      </c>
      <c r="L301" s="1802">
        <v>0</v>
      </c>
      <c r="M301" s="1802">
        <v>0</v>
      </c>
      <c r="N301" s="1802">
        <v>0</v>
      </c>
      <c r="O301" s="1802">
        <v>0</v>
      </c>
      <c r="P301" s="1802">
        <v>0</v>
      </c>
      <c r="Q301" s="1802">
        <v>0</v>
      </c>
      <c r="R301" s="1802">
        <v>0</v>
      </c>
      <c r="S301" s="1802">
        <v>0</v>
      </c>
      <c r="T301" s="1802">
        <v>0</v>
      </c>
      <c r="U301" s="1802">
        <v>0</v>
      </c>
      <c r="V301" s="1802">
        <v>0</v>
      </c>
      <c r="W301" s="1802">
        <v>0</v>
      </c>
      <c r="X301" s="1802">
        <v>0</v>
      </c>
      <c r="Y301" s="1802">
        <v>0</v>
      </c>
      <c r="Z301" s="1802">
        <v>0</v>
      </c>
      <c r="AA301" s="1802">
        <v>0</v>
      </c>
      <c r="AB301" s="1802">
        <v>0</v>
      </c>
      <c r="AC301" s="1802">
        <v>0</v>
      </c>
      <c r="AD301" s="1802">
        <v>0</v>
      </c>
      <c r="AE301" s="1802">
        <v>0</v>
      </c>
      <c r="AF301" s="1802">
        <v>0</v>
      </c>
      <c r="AG301" s="1802">
        <v>0</v>
      </c>
      <c r="AH301" s="1802">
        <v>0</v>
      </c>
      <c r="AI301" s="1802">
        <v>0</v>
      </c>
      <c r="AJ301" s="1802">
        <v>0</v>
      </c>
      <c r="AK301" s="1802">
        <v>0</v>
      </c>
      <c r="AL301" s="1802">
        <v>0</v>
      </c>
      <c r="AM301" s="1802">
        <v>0</v>
      </c>
      <c r="AN301" s="1802">
        <v>0</v>
      </c>
      <c r="AO301" s="1802">
        <v>0</v>
      </c>
      <c r="AP301" s="1802">
        <v>0</v>
      </c>
      <c r="AQ301" s="1802">
        <v>0</v>
      </c>
      <c r="AR301" s="1802">
        <v>0</v>
      </c>
      <c r="AS301" s="1802">
        <v>0</v>
      </c>
      <c r="AT301" s="1802">
        <v>0</v>
      </c>
      <c r="AU301" s="1802">
        <v>0</v>
      </c>
      <c r="AV301" s="1802">
        <v>0</v>
      </c>
      <c r="AW301" s="1802">
        <v>0</v>
      </c>
      <c r="AX301" s="1802">
        <v>0</v>
      </c>
      <c r="AY301" s="1802">
        <v>0</v>
      </c>
      <c r="AZ301" s="1802">
        <v>0</v>
      </c>
      <c r="BA301" s="1802">
        <v>0</v>
      </c>
      <c r="BB301" s="1802">
        <v>0</v>
      </c>
      <c r="BC301" s="1802">
        <v>0</v>
      </c>
      <c r="BD301" s="1802">
        <v>0</v>
      </c>
      <c r="BE301" s="1802">
        <v>0</v>
      </c>
      <c r="BF301" s="1802">
        <v>0</v>
      </c>
      <c r="BG301" s="1802">
        <v>0</v>
      </c>
      <c r="BH301" s="1802">
        <v>0</v>
      </c>
      <c r="BI301" s="1802">
        <v>0</v>
      </c>
      <c r="BJ301" s="1802">
        <v>0</v>
      </c>
      <c r="BK301" s="1802">
        <v>0</v>
      </c>
      <c r="BL301" s="1802">
        <v>0</v>
      </c>
      <c r="BM301" s="1802">
        <v>0</v>
      </c>
      <c r="BN301" s="1802">
        <v>0</v>
      </c>
      <c r="BO301" s="1802">
        <v>0</v>
      </c>
      <c r="BP301" s="1802">
        <v>0</v>
      </c>
      <c r="BQ301" s="1802">
        <v>0</v>
      </c>
      <c r="BR301" s="1802">
        <v>0</v>
      </c>
      <c r="BS301" s="1802">
        <v>0</v>
      </c>
      <c r="BT301" s="1802">
        <v>0</v>
      </c>
      <c r="BU301" s="1802">
        <v>0</v>
      </c>
      <c r="BV301" s="1802">
        <v>0</v>
      </c>
      <c r="BW301" s="1802">
        <v>0</v>
      </c>
      <c r="BX301" s="1802">
        <v>0</v>
      </c>
      <c r="BY301" s="1802">
        <v>0</v>
      </c>
      <c r="BZ301" s="1802">
        <v>0</v>
      </c>
      <c r="CA301" s="1802">
        <v>0</v>
      </c>
      <c r="CB301" s="1802">
        <v>0</v>
      </c>
      <c r="CC301" s="1802">
        <v>0</v>
      </c>
      <c r="CD301" s="1802">
        <v>0</v>
      </c>
      <c r="CE301" s="1802">
        <v>0</v>
      </c>
      <c r="CF301" s="1802">
        <v>0</v>
      </c>
      <c r="CG301" s="1802">
        <v>0</v>
      </c>
      <c r="CH301" s="1802">
        <v>0</v>
      </c>
      <c r="CI301" s="1802">
        <v>0</v>
      </c>
      <c r="CJ301" s="1802">
        <v>0</v>
      </c>
      <c r="CK301" s="1802">
        <v>0</v>
      </c>
      <c r="CL301" s="1802">
        <v>0</v>
      </c>
      <c r="CM301" s="1802">
        <v>0</v>
      </c>
      <c r="CN301" s="1802">
        <v>0</v>
      </c>
      <c r="CO301" s="1802">
        <v>0</v>
      </c>
      <c r="CP301" s="1802">
        <v>0</v>
      </c>
      <c r="CQ301" s="1802">
        <v>0</v>
      </c>
      <c r="CR301" s="1802">
        <v>0</v>
      </c>
      <c r="CS301" s="1802">
        <v>0</v>
      </c>
      <c r="CT301" s="1802">
        <v>0</v>
      </c>
      <c r="CU301" s="1802">
        <v>0</v>
      </c>
      <c r="CV301" s="1802">
        <v>0</v>
      </c>
      <c r="CW301" s="1802">
        <v>0</v>
      </c>
      <c r="CX301" s="1802">
        <v>0</v>
      </c>
      <c r="CY301" s="1802">
        <v>0</v>
      </c>
      <c r="CZ301" s="1802">
        <v>0</v>
      </c>
      <c r="DA301" s="1802">
        <v>0</v>
      </c>
      <c r="DB301" s="1802">
        <v>0</v>
      </c>
      <c r="DC301" s="1802">
        <v>0</v>
      </c>
      <c r="DD301" s="1802">
        <v>0</v>
      </c>
      <c r="DE301" s="1802">
        <v>0</v>
      </c>
      <c r="DF301" s="1802">
        <v>0</v>
      </c>
      <c r="DG301" s="1802">
        <v>0</v>
      </c>
      <c r="DH301" s="1802">
        <v>0</v>
      </c>
      <c r="DI301" s="1802">
        <v>0</v>
      </c>
      <c r="DJ301" s="1802">
        <v>0</v>
      </c>
      <c r="DK301" s="1802">
        <v>0</v>
      </c>
      <c r="DL301" s="1802">
        <v>0</v>
      </c>
      <c r="DM301" s="1802">
        <v>0</v>
      </c>
      <c r="DN301" s="1802">
        <v>0</v>
      </c>
      <c r="DO301" s="1802">
        <v>0</v>
      </c>
      <c r="DP301" s="1802">
        <v>0</v>
      </c>
      <c r="DQ301" s="1802">
        <v>0</v>
      </c>
      <c r="DR301" s="1802">
        <v>0</v>
      </c>
      <c r="DS301" s="1802">
        <v>0</v>
      </c>
      <c r="DT301" s="1802">
        <v>0</v>
      </c>
      <c r="DU301" s="1802">
        <v>0</v>
      </c>
      <c r="DV301" s="1802">
        <v>0</v>
      </c>
      <c r="DW301" s="1802">
        <v>0</v>
      </c>
      <c r="DX301" s="1802">
        <v>0</v>
      </c>
      <c r="DY301" s="1802">
        <v>0</v>
      </c>
      <c r="DZ301" s="1802">
        <v>0</v>
      </c>
      <c r="EA301" s="1802">
        <v>0</v>
      </c>
      <c r="EB301" s="1802">
        <v>0</v>
      </c>
      <c r="EC301" s="1802">
        <v>0</v>
      </c>
      <c r="ED301" s="1802">
        <v>0</v>
      </c>
      <c r="EE301" s="1802">
        <v>0</v>
      </c>
      <c r="EF301" s="1802">
        <v>0</v>
      </c>
      <c r="EG301" s="1802">
        <v>0</v>
      </c>
      <c r="EH301" s="1802">
        <v>0</v>
      </c>
      <c r="EI301" s="1802">
        <v>0</v>
      </c>
      <c r="EJ301" s="1802">
        <v>0</v>
      </c>
      <c r="EK301" s="1802">
        <v>0</v>
      </c>
      <c r="EL301" s="1802">
        <v>0</v>
      </c>
      <c r="EM301" s="1802">
        <v>0</v>
      </c>
      <c r="EN301" s="1802">
        <v>0</v>
      </c>
      <c r="EO301" s="1802">
        <v>0</v>
      </c>
      <c r="EP301" s="1802">
        <v>0</v>
      </c>
      <c r="EQ301" s="1802">
        <v>0</v>
      </c>
      <c r="ER301" s="1802">
        <v>0</v>
      </c>
      <c r="ES301" s="1802">
        <v>0</v>
      </c>
      <c r="ET301" s="1802">
        <v>0</v>
      </c>
      <c r="EU301" s="1802">
        <v>0</v>
      </c>
      <c r="EV301" s="1802">
        <v>0</v>
      </c>
      <c r="EW301" s="1802">
        <v>0</v>
      </c>
      <c r="EX301" s="1802">
        <v>0</v>
      </c>
      <c r="EY301" s="1802">
        <v>0</v>
      </c>
      <c r="EZ301" s="1802">
        <v>0</v>
      </c>
      <c r="FA301" s="1802">
        <v>0</v>
      </c>
      <c r="FB301" s="1802">
        <v>0</v>
      </c>
      <c r="FC301" s="1802">
        <v>0</v>
      </c>
      <c r="FD301" s="1802">
        <v>0</v>
      </c>
      <c r="FE301" s="1802">
        <v>0</v>
      </c>
      <c r="FF301" s="1802">
        <v>0</v>
      </c>
      <c r="FG301" s="1802">
        <v>0</v>
      </c>
      <c r="FH301" s="1802">
        <v>0</v>
      </c>
      <c r="FI301" s="1802">
        <v>0</v>
      </c>
      <c r="FJ301" s="1802">
        <v>0</v>
      </c>
      <c r="FK301" s="1802">
        <v>0</v>
      </c>
      <c r="FL301" s="1802">
        <v>0</v>
      </c>
      <c r="FM301" s="1802">
        <v>0</v>
      </c>
      <c r="FN301" s="1802">
        <v>0</v>
      </c>
      <c r="FO301" s="1802">
        <v>0</v>
      </c>
      <c r="FP301" s="1802">
        <v>0</v>
      </c>
      <c r="FQ301" s="1802">
        <v>0</v>
      </c>
      <c r="FR301" s="1802">
        <v>0</v>
      </c>
      <c r="FS301" s="1802">
        <v>0</v>
      </c>
      <c r="FT301" s="1802">
        <v>0</v>
      </c>
      <c r="FU301" s="1802">
        <v>0</v>
      </c>
      <c r="FV301" s="1802">
        <v>0</v>
      </c>
      <c r="FW301" s="1802">
        <v>0</v>
      </c>
      <c r="FX301" s="1802">
        <v>0</v>
      </c>
      <c r="FY301" s="1802">
        <v>0</v>
      </c>
      <c r="FZ301" s="1802">
        <v>0</v>
      </c>
      <c r="GA301" s="1802">
        <v>0</v>
      </c>
      <c r="GB301" s="1802">
        <v>0</v>
      </c>
      <c r="GC301" s="1802">
        <v>0</v>
      </c>
      <c r="GD301" s="1802">
        <v>0</v>
      </c>
      <c r="GE301" s="1802">
        <v>0</v>
      </c>
      <c r="GF301" s="1802">
        <v>0</v>
      </c>
      <c r="GG301" s="1802">
        <v>0</v>
      </c>
      <c r="GH301" s="1802">
        <v>0</v>
      </c>
      <c r="GI301" s="1802">
        <v>0</v>
      </c>
      <c r="GJ301" s="1802">
        <v>0</v>
      </c>
      <c r="GK301" s="1802">
        <v>0</v>
      </c>
      <c r="GL301" s="1802">
        <v>0</v>
      </c>
      <c r="GM301" s="1802">
        <v>0</v>
      </c>
      <c r="GN301" s="1802">
        <v>0</v>
      </c>
      <c r="GO301" s="1802">
        <v>0</v>
      </c>
      <c r="GP301" s="1802">
        <v>0</v>
      </c>
      <c r="GQ301" s="1802">
        <v>0</v>
      </c>
      <c r="GR301" s="1802">
        <v>0</v>
      </c>
      <c r="GS301" s="1802">
        <v>0</v>
      </c>
      <c r="GT301" s="1802">
        <v>0</v>
      </c>
      <c r="GU301" s="1802">
        <v>0</v>
      </c>
      <c r="GV301" s="1802">
        <v>0</v>
      </c>
      <c r="GW301" s="1802">
        <v>0</v>
      </c>
      <c r="GX301" s="1802">
        <v>0</v>
      </c>
      <c r="GY301" s="1802">
        <v>0</v>
      </c>
      <c r="GZ301" s="1802">
        <v>0</v>
      </c>
      <c r="HA301" s="1802">
        <v>0</v>
      </c>
      <c r="HB301" s="1802">
        <v>0</v>
      </c>
      <c r="HC301" s="1802">
        <v>0</v>
      </c>
      <c r="HD301" s="1802">
        <v>0</v>
      </c>
      <c r="HE301" s="1802">
        <v>0</v>
      </c>
    </row>
    <row r="302" spans="1:213" ht="15" customHeight="1" thickBot="1" x14ac:dyDescent="0.25">
      <c r="A302" s="1964"/>
      <c r="B302" s="1989"/>
      <c r="C302" s="1822" t="s">
        <v>930</v>
      </c>
      <c r="D302" s="1883"/>
      <c r="E302" s="1984"/>
      <c r="F302" s="1836">
        <v>0</v>
      </c>
      <c r="G302" s="1802">
        <v>0</v>
      </c>
      <c r="H302" s="1802">
        <v>0</v>
      </c>
      <c r="I302" s="1802">
        <v>0</v>
      </c>
      <c r="J302" s="1802">
        <v>0</v>
      </c>
      <c r="K302" s="1802">
        <v>0</v>
      </c>
      <c r="L302" s="1802">
        <v>0</v>
      </c>
      <c r="M302" s="1802">
        <v>0</v>
      </c>
      <c r="N302" s="1802">
        <v>0</v>
      </c>
      <c r="O302" s="1802">
        <v>0</v>
      </c>
      <c r="P302" s="1802">
        <v>0</v>
      </c>
      <c r="Q302" s="1802">
        <v>0</v>
      </c>
      <c r="R302" s="1802">
        <v>0</v>
      </c>
      <c r="S302" s="1802">
        <v>0</v>
      </c>
      <c r="T302" s="1802">
        <v>0</v>
      </c>
      <c r="U302" s="1802">
        <v>0</v>
      </c>
      <c r="V302" s="1802">
        <v>0</v>
      </c>
      <c r="W302" s="1802">
        <v>0</v>
      </c>
      <c r="X302" s="1802">
        <v>0</v>
      </c>
      <c r="Y302" s="1802">
        <v>0</v>
      </c>
      <c r="Z302" s="1802">
        <v>0</v>
      </c>
      <c r="AA302" s="1802">
        <v>0</v>
      </c>
      <c r="AB302" s="1802">
        <v>0</v>
      </c>
      <c r="AC302" s="1802">
        <v>0</v>
      </c>
      <c r="AD302" s="1802">
        <v>0</v>
      </c>
      <c r="AE302" s="1802">
        <v>0</v>
      </c>
      <c r="AF302" s="1802">
        <v>0</v>
      </c>
      <c r="AG302" s="1802">
        <v>0</v>
      </c>
      <c r="AH302" s="1802">
        <v>0</v>
      </c>
      <c r="AI302" s="1802">
        <v>0</v>
      </c>
      <c r="AJ302" s="1802">
        <v>0</v>
      </c>
      <c r="AK302" s="1802">
        <v>0</v>
      </c>
      <c r="AL302" s="1802">
        <v>0</v>
      </c>
      <c r="AM302" s="1802">
        <v>0</v>
      </c>
      <c r="AN302" s="1802">
        <v>0</v>
      </c>
      <c r="AO302" s="1802">
        <v>0</v>
      </c>
      <c r="AP302" s="1802">
        <v>0</v>
      </c>
      <c r="AQ302" s="1802">
        <v>0</v>
      </c>
      <c r="AR302" s="1802">
        <v>0</v>
      </c>
      <c r="AS302" s="1802">
        <v>0</v>
      </c>
      <c r="AT302" s="1802">
        <v>0</v>
      </c>
      <c r="AU302" s="1802">
        <v>0</v>
      </c>
      <c r="AV302" s="1802">
        <v>0</v>
      </c>
      <c r="AW302" s="1802">
        <v>0</v>
      </c>
      <c r="AX302" s="1802">
        <v>0</v>
      </c>
      <c r="AY302" s="1802">
        <v>0</v>
      </c>
      <c r="AZ302" s="1802">
        <v>0</v>
      </c>
      <c r="BA302" s="1802">
        <v>0</v>
      </c>
      <c r="BB302" s="1802">
        <v>0</v>
      </c>
      <c r="BC302" s="1802">
        <v>0</v>
      </c>
      <c r="BD302" s="1802">
        <v>0</v>
      </c>
      <c r="BE302" s="1802">
        <v>0</v>
      </c>
      <c r="BF302" s="1802">
        <v>0</v>
      </c>
      <c r="BG302" s="1802">
        <v>0</v>
      </c>
      <c r="BH302" s="1802">
        <v>0</v>
      </c>
      <c r="BI302" s="1802">
        <v>0</v>
      </c>
      <c r="BJ302" s="1802">
        <v>0</v>
      </c>
      <c r="BK302" s="1802">
        <v>0</v>
      </c>
      <c r="BL302" s="1802">
        <v>0</v>
      </c>
      <c r="BM302" s="1802">
        <v>0</v>
      </c>
      <c r="BN302" s="1802">
        <v>0</v>
      </c>
      <c r="BO302" s="1802">
        <v>0</v>
      </c>
      <c r="BP302" s="1802">
        <v>0</v>
      </c>
      <c r="BQ302" s="1802">
        <v>0</v>
      </c>
      <c r="BR302" s="1802">
        <v>0</v>
      </c>
      <c r="BS302" s="1802">
        <v>0</v>
      </c>
      <c r="BT302" s="1802">
        <v>0</v>
      </c>
      <c r="BU302" s="1802">
        <v>0</v>
      </c>
      <c r="BV302" s="1802">
        <v>0</v>
      </c>
      <c r="BW302" s="1802">
        <v>0</v>
      </c>
      <c r="BX302" s="1802">
        <v>0</v>
      </c>
      <c r="BY302" s="1802">
        <v>0</v>
      </c>
      <c r="BZ302" s="1802">
        <v>0</v>
      </c>
      <c r="CA302" s="1802">
        <v>0</v>
      </c>
      <c r="CB302" s="1802">
        <v>0</v>
      </c>
      <c r="CC302" s="1802">
        <v>0</v>
      </c>
      <c r="CD302" s="1802">
        <v>0</v>
      </c>
      <c r="CE302" s="1802">
        <v>0</v>
      </c>
      <c r="CF302" s="1802">
        <v>0</v>
      </c>
      <c r="CG302" s="1802">
        <v>0</v>
      </c>
      <c r="CH302" s="1802">
        <v>0</v>
      </c>
      <c r="CI302" s="1802">
        <v>0</v>
      </c>
      <c r="CJ302" s="1802">
        <v>0</v>
      </c>
      <c r="CK302" s="1802">
        <v>0</v>
      </c>
      <c r="CL302" s="1802">
        <v>0</v>
      </c>
      <c r="CM302" s="1802">
        <v>0</v>
      </c>
      <c r="CN302" s="1802">
        <v>0</v>
      </c>
      <c r="CO302" s="1802">
        <v>0</v>
      </c>
      <c r="CP302" s="1802">
        <v>0</v>
      </c>
      <c r="CQ302" s="1802">
        <v>0</v>
      </c>
      <c r="CR302" s="1802">
        <v>0</v>
      </c>
      <c r="CS302" s="1802">
        <v>0</v>
      </c>
      <c r="CT302" s="1802">
        <v>0</v>
      </c>
      <c r="CU302" s="1802">
        <v>0</v>
      </c>
      <c r="CV302" s="1802">
        <v>0</v>
      </c>
      <c r="CW302" s="1802">
        <v>0</v>
      </c>
      <c r="CX302" s="1802">
        <v>0</v>
      </c>
      <c r="CY302" s="1802">
        <v>0</v>
      </c>
      <c r="CZ302" s="1802">
        <v>0</v>
      </c>
      <c r="DA302" s="1802">
        <v>0</v>
      </c>
      <c r="DB302" s="1802">
        <v>0</v>
      </c>
      <c r="DC302" s="1802">
        <v>0</v>
      </c>
      <c r="DD302" s="1802">
        <v>0</v>
      </c>
      <c r="DE302" s="1802">
        <v>0</v>
      </c>
      <c r="DF302" s="1802">
        <v>0</v>
      </c>
      <c r="DG302" s="1802">
        <v>0</v>
      </c>
      <c r="DH302" s="1802">
        <v>0</v>
      </c>
      <c r="DI302" s="1802">
        <v>0</v>
      </c>
      <c r="DJ302" s="1802">
        <v>0</v>
      </c>
      <c r="DK302" s="1802">
        <v>0</v>
      </c>
      <c r="DL302" s="1802">
        <v>0</v>
      </c>
      <c r="DM302" s="1802">
        <v>0</v>
      </c>
      <c r="DN302" s="1802">
        <v>0</v>
      </c>
      <c r="DO302" s="1802">
        <v>0</v>
      </c>
      <c r="DP302" s="1802">
        <v>0</v>
      </c>
      <c r="DQ302" s="1802">
        <v>0</v>
      </c>
      <c r="DR302" s="1802">
        <v>0</v>
      </c>
      <c r="DS302" s="1802">
        <v>0</v>
      </c>
      <c r="DT302" s="1802">
        <v>0</v>
      </c>
      <c r="DU302" s="1802">
        <v>0</v>
      </c>
      <c r="DV302" s="1802">
        <v>0</v>
      </c>
      <c r="DW302" s="1802">
        <v>0</v>
      </c>
      <c r="DX302" s="1802">
        <v>0</v>
      </c>
      <c r="DY302" s="1802">
        <v>0</v>
      </c>
      <c r="DZ302" s="1802">
        <v>0</v>
      </c>
      <c r="EA302" s="1802">
        <v>0</v>
      </c>
      <c r="EB302" s="1802">
        <v>0</v>
      </c>
      <c r="EC302" s="1802">
        <v>0</v>
      </c>
      <c r="ED302" s="1802">
        <v>0</v>
      </c>
      <c r="EE302" s="1802">
        <v>0</v>
      </c>
      <c r="EF302" s="1802">
        <v>0</v>
      </c>
      <c r="EG302" s="1802">
        <v>0</v>
      </c>
      <c r="EH302" s="1802">
        <v>0</v>
      </c>
      <c r="EI302" s="1802">
        <v>0</v>
      </c>
      <c r="EJ302" s="1802">
        <v>0</v>
      </c>
      <c r="EK302" s="1802">
        <v>0</v>
      </c>
      <c r="EL302" s="1802">
        <v>0</v>
      </c>
      <c r="EM302" s="1802">
        <v>0</v>
      </c>
      <c r="EN302" s="1802">
        <v>0</v>
      </c>
      <c r="EO302" s="1802">
        <v>0</v>
      </c>
      <c r="EP302" s="1802">
        <v>0</v>
      </c>
      <c r="EQ302" s="1802">
        <v>0</v>
      </c>
      <c r="ER302" s="1802">
        <v>0</v>
      </c>
      <c r="ES302" s="1802">
        <v>0</v>
      </c>
      <c r="ET302" s="1802">
        <v>0</v>
      </c>
      <c r="EU302" s="1802">
        <v>0</v>
      </c>
      <c r="EV302" s="1802">
        <v>0</v>
      </c>
      <c r="EW302" s="1802">
        <v>0</v>
      </c>
      <c r="EX302" s="1802">
        <v>0</v>
      </c>
      <c r="EY302" s="1802">
        <v>0</v>
      </c>
      <c r="EZ302" s="1802">
        <v>0</v>
      </c>
      <c r="FA302" s="1802">
        <v>0</v>
      </c>
      <c r="FB302" s="1802">
        <v>0</v>
      </c>
      <c r="FC302" s="1802">
        <v>0</v>
      </c>
      <c r="FD302" s="1802">
        <v>0</v>
      </c>
      <c r="FE302" s="1802">
        <v>0</v>
      </c>
      <c r="FF302" s="1802">
        <v>0</v>
      </c>
      <c r="FG302" s="1802">
        <v>0</v>
      </c>
      <c r="FH302" s="1802">
        <v>0</v>
      </c>
      <c r="FI302" s="1802">
        <v>0</v>
      </c>
      <c r="FJ302" s="1802">
        <v>0</v>
      </c>
      <c r="FK302" s="1802">
        <v>0</v>
      </c>
      <c r="FL302" s="1802">
        <v>0</v>
      </c>
      <c r="FM302" s="1802">
        <v>0</v>
      </c>
      <c r="FN302" s="1802">
        <v>0</v>
      </c>
      <c r="FO302" s="1802">
        <v>0</v>
      </c>
      <c r="FP302" s="1802">
        <v>0</v>
      </c>
      <c r="FQ302" s="1802">
        <v>0</v>
      </c>
      <c r="FR302" s="1802">
        <v>0</v>
      </c>
      <c r="FS302" s="1802">
        <v>0</v>
      </c>
      <c r="FT302" s="1802">
        <v>0</v>
      </c>
      <c r="FU302" s="1802">
        <v>0</v>
      </c>
      <c r="FV302" s="1802">
        <v>0</v>
      </c>
      <c r="FW302" s="1802">
        <v>0</v>
      </c>
      <c r="FX302" s="1802">
        <v>0</v>
      </c>
      <c r="FY302" s="1802">
        <v>0</v>
      </c>
      <c r="FZ302" s="1802">
        <v>0</v>
      </c>
      <c r="GA302" s="1802">
        <v>0</v>
      </c>
      <c r="GB302" s="1802">
        <v>0</v>
      </c>
      <c r="GC302" s="1802">
        <v>0</v>
      </c>
      <c r="GD302" s="1802">
        <v>0</v>
      </c>
      <c r="GE302" s="1802">
        <v>0</v>
      </c>
      <c r="GF302" s="1802">
        <v>0</v>
      </c>
      <c r="GG302" s="1802">
        <v>0</v>
      </c>
      <c r="GH302" s="1802">
        <v>0</v>
      </c>
      <c r="GI302" s="1802">
        <v>0</v>
      </c>
      <c r="GJ302" s="1802">
        <v>0</v>
      </c>
      <c r="GK302" s="1802">
        <v>0</v>
      </c>
      <c r="GL302" s="1802">
        <v>0</v>
      </c>
      <c r="GM302" s="1802">
        <v>0</v>
      </c>
      <c r="GN302" s="1802">
        <v>0</v>
      </c>
      <c r="GO302" s="1802">
        <v>0</v>
      </c>
      <c r="GP302" s="1802">
        <v>0</v>
      </c>
      <c r="GQ302" s="1802">
        <v>0</v>
      </c>
      <c r="GR302" s="1802">
        <v>0</v>
      </c>
      <c r="GS302" s="1802">
        <v>0</v>
      </c>
      <c r="GT302" s="1802">
        <v>0</v>
      </c>
      <c r="GU302" s="1802">
        <v>0</v>
      </c>
      <c r="GV302" s="1802">
        <v>0</v>
      </c>
      <c r="GW302" s="1802">
        <v>0</v>
      </c>
      <c r="GX302" s="1802">
        <v>0</v>
      </c>
      <c r="GY302" s="1802">
        <v>0</v>
      </c>
      <c r="GZ302" s="1802">
        <v>0</v>
      </c>
      <c r="HA302" s="1802">
        <v>0</v>
      </c>
      <c r="HB302" s="1802">
        <v>0</v>
      </c>
      <c r="HC302" s="1802">
        <v>0</v>
      </c>
      <c r="HD302" s="1802">
        <v>0</v>
      </c>
      <c r="HE302" s="1802">
        <v>0</v>
      </c>
    </row>
    <row r="303" spans="1:213" ht="21" customHeight="1" thickBot="1" x14ac:dyDescent="0.25">
      <c r="A303" s="1968" t="s">
        <v>290</v>
      </c>
      <c r="B303" s="1988" t="s">
        <v>19</v>
      </c>
      <c r="C303" s="1699" t="s">
        <v>892</v>
      </c>
      <c r="D303" s="1880"/>
      <c r="E303" s="1984"/>
      <c r="F303" s="1865"/>
      <c r="G303" s="1866"/>
      <c r="H303" s="1866"/>
      <c r="I303" s="1866"/>
      <c r="J303" s="1866"/>
      <c r="K303" s="1866"/>
      <c r="L303" s="1866"/>
      <c r="M303" s="1866"/>
      <c r="N303" s="1866"/>
      <c r="O303" s="1866"/>
      <c r="P303" s="1866"/>
      <c r="Q303" s="1866"/>
      <c r="R303" s="1866"/>
      <c r="S303" s="1866"/>
      <c r="T303" s="1866"/>
      <c r="U303" s="1866"/>
      <c r="V303" s="1866"/>
      <c r="W303" s="1866"/>
      <c r="X303" s="1866"/>
      <c r="Y303" s="1866"/>
      <c r="Z303" s="1866"/>
      <c r="AA303" s="1866"/>
      <c r="AB303" s="1866"/>
      <c r="AC303" s="1866"/>
      <c r="AD303" s="1866"/>
      <c r="AE303" s="1866"/>
      <c r="AF303" s="1866"/>
      <c r="AG303" s="1866"/>
      <c r="AH303" s="1866"/>
      <c r="AI303" s="1866"/>
      <c r="AJ303" s="1866"/>
      <c r="AK303" s="1866"/>
      <c r="AL303" s="1866"/>
      <c r="AM303" s="1866"/>
      <c r="AN303" s="1866"/>
      <c r="AO303" s="1866"/>
      <c r="AP303" s="1866"/>
      <c r="AQ303" s="1866"/>
      <c r="AR303" s="1866"/>
      <c r="AS303" s="1866"/>
      <c r="AT303" s="1866"/>
      <c r="AU303" s="1866"/>
      <c r="AV303" s="1866"/>
      <c r="AW303" s="1866"/>
      <c r="AX303" s="1866"/>
      <c r="AY303" s="1866"/>
      <c r="AZ303" s="1866"/>
      <c r="BA303" s="1866"/>
      <c r="BB303" s="1866"/>
      <c r="BC303" s="1866"/>
      <c r="BD303" s="1866"/>
      <c r="BE303" s="1866"/>
      <c r="BF303" s="1866"/>
      <c r="BG303" s="1866"/>
      <c r="BH303" s="1866"/>
      <c r="BI303" s="1866"/>
      <c r="BJ303" s="1866"/>
      <c r="BK303" s="1866"/>
      <c r="BL303" s="1866"/>
      <c r="BM303" s="1866"/>
      <c r="BN303" s="1866"/>
      <c r="BO303" s="1866"/>
      <c r="BP303" s="1866"/>
      <c r="BQ303" s="1866"/>
      <c r="BR303" s="1866"/>
      <c r="BS303" s="1866"/>
      <c r="BT303" s="1866"/>
      <c r="BU303" s="1866"/>
      <c r="BV303" s="1866"/>
      <c r="BW303" s="1866"/>
      <c r="BX303" s="1866"/>
      <c r="BY303" s="1866"/>
      <c r="BZ303" s="1866"/>
      <c r="CA303" s="1866"/>
      <c r="CB303" s="1866"/>
      <c r="CC303" s="1866"/>
      <c r="CD303" s="1866"/>
      <c r="CE303" s="1866"/>
      <c r="CF303" s="1866"/>
      <c r="CG303" s="1866"/>
      <c r="CH303" s="1866"/>
      <c r="CI303" s="1866"/>
      <c r="CJ303" s="1866"/>
      <c r="CK303" s="1866"/>
      <c r="CL303" s="1866"/>
      <c r="CM303" s="1866"/>
      <c r="CN303" s="1866"/>
      <c r="CO303" s="1866"/>
      <c r="CP303" s="1866"/>
      <c r="CQ303" s="1866"/>
      <c r="CR303" s="1866"/>
      <c r="CS303" s="1866"/>
      <c r="CT303" s="1866"/>
      <c r="CU303" s="1866"/>
      <c r="CV303" s="1866"/>
      <c r="CW303" s="1866"/>
      <c r="CX303" s="1866"/>
      <c r="CY303" s="1866"/>
      <c r="CZ303" s="1866"/>
      <c r="DA303" s="1866"/>
      <c r="DB303" s="1866"/>
      <c r="DC303" s="1866"/>
      <c r="DD303" s="1866"/>
      <c r="DE303" s="1866"/>
      <c r="DF303" s="1866"/>
      <c r="DG303" s="1866"/>
      <c r="DH303" s="1866"/>
      <c r="DI303" s="1866"/>
      <c r="DJ303" s="1866"/>
      <c r="DK303" s="1866"/>
      <c r="DL303" s="1866"/>
      <c r="DM303" s="1866"/>
      <c r="DN303" s="1866"/>
      <c r="DO303" s="1866"/>
      <c r="DP303" s="1866"/>
      <c r="DQ303" s="1866"/>
      <c r="DR303" s="1866"/>
      <c r="DS303" s="1866"/>
      <c r="DT303" s="1866"/>
      <c r="DU303" s="1866"/>
      <c r="DV303" s="1866"/>
      <c r="DW303" s="1866"/>
      <c r="DX303" s="1866"/>
      <c r="DY303" s="1866"/>
      <c r="DZ303" s="1866"/>
      <c r="EA303" s="1866"/>
      <c r="EB303" s="1866"/>
      <c r="EC303" s="1866"/>
      <c r="ED303" s="1866"/>
      <c r="EE303" s="1866"/>
      <c r="EF303" s="1866"/>
      <c r="EG303" s="1866"/>
      <c r="EH303" s="1866"/>
      <c r="EI303" s="1866"/>
      <c r="EJ303" s="1866"/>
      <c r="EK303" s="1866"/>
      <c r="EL303" s="1866"/>
      <c r="EM303" s="1866"/>
      <c r="EN303" s="1866"/>
      <c r="EO303" s="1866"/>
      <c r="EP303" s="1866"/>
      <c r="EQ303" s="1866"/>
      <c r="ER303" s="1866"/>
      <c r="ES303" s="1866"/>
      <c r="ET303" s="1866"/>
      <c r="EU303" s="1866"/>
      <c r="EV303" s="1866"/>
      <c r="EW303" s="1866"/>
      <c r="EX303" s="1866"/>
      <c r="EY303" s="1866"/>
      <c r="EZ303" s="1866"/>
      <c r="FA303" s="1866"/>
      <c r="FB303" s="1866"/>
      <c r="FC303" s="1866"/>
      <c r="FD303" s="1866"/>
      <c r="FE303" s="1866"/>
      <c r="FF303" s="1866"/>
      <c r="FG303" s="1866"/>
      <c r="FH303" s="1866"/>
      <c r="FI303" s="1866"/>
      <c r="FJ303" s="1866"/>
      <c r="FK303" s="1866"/>
      <c r="FL303" s="1866"/>
      <c r="FM303" s="1866"/>
      <c r="FN303" s="1866"/>
      <c r="FO303" s="1866"/>
      <c r="FP303" s="1866"/>
      <c r="FQ303" s="1866"/>
      <c r="FR303" s="1866"/>
      <c r="FS303" s="1866"/>
      <c r="FT303" s="1866"/>
      <c r="FU303" s="1866"/>
      <c r="FV303" s="1866"/>
      <c r="FW303" s="1866"/>
      <c r="FX303" s="1866"/>
      <c r="FY303" s="1866"/>
      <c r="FZ303" s="1866"/>
      <c r="GA303" s="1866"/>
      <c r="GB303" s="1866"/>
      <c r="GC303" s="1866"/>
      <c r="GD303" s="1866"/>
      <c r="GE303" s="1866"/>
      <c r="GF303" s="1866"/>
      <c r="GG303" s="1866"/>
      <c r="GH303" s="1866"/>
      <c r="GI303" s="1866"/>
      <c r="GJ303" s="1866"/>
      <c r="GK303" s="1866"/>
      <c r="GL303" s="1866"/>
      <c r="GM303" s="1866"/>
      <c r="GN303" s="1866"/>
      <c r="GO303" s="1866"/>
      <c r="GP303" s="1866"/>
      <c r="GQ303" s="1866"/>
      <c r="GR303" s="1866"/>
      <c r="GS303" s="1866"/>
      <c r="GT303" s="1866"/>
      <c r="GU303" s="1866"/>
      <c r="GV303" s="1866"/>
      <c r="GW303" s="1866"/>
      <c r="GX303" s="1866"/>
      <c r="GY303" s="1866"/>
      <c r="GZ303" s="1866"/>
      <c r="HA303" s="1866"/>
      <c r="HB303" s="1866"/>
      <c r="HC303" s="1866"/>
      <c r="HD303" s="1866"/>
      <c r="HE303" s="1866"/>
    </row>
    <row r="304" spans="1:213" ht="15" customHeight="1" x14ac:dyDescent="0.2">
      <c r="A304" s="1966"/>
      <c r="B304" s="1994"/>
      <c r="C304" s="1705" t="s">
        <v>896</v>
      </c>
      <c r="D304" s="1883"/>
      <c r="E304" s="1996"/>
      <c r="F304" s="1838">
        <v>0</v>
      </c>
      <c r="G304" s="1804">
        <v>0</v>
      </c>
      <c r="H304" s="1804">
        <v>0</v>
      </c>
      <c r="I304" s="1804">
        <v>0</v>
      </c>
      <c r="J304" s="1804">
        <v>0</v>
      </c>
      <c r="K304" s="1804">
        <v>0</v>
      </c>
      <c r="L304" s="1804">
        <v>0</v>
      </c>
      <c r="M304" s="1804">
        <v>0</v>
      </c>
      <c r="N304" s="1804">
        <v>0</v>
      </c>
      <c r="O304" s="1804">
        <v>0</v>
      </c>
      <c r="P304" s="1804">
        <v>0</v>
      </c>
      <c r="Q304" s="1804">
        <v>0</v>
      </c>
      <c r="R304" s="1804">
        <v>0</v>
      </c>
      <c r="S304" s="1804">
        <v>0</v>
      </c>
      <c r="T304" s="1804">
        <v>0</v>
      </c>
      <c r="U304" s="1804">
        <v>0</v>
      </c>
      <c r="V304" s="1804">
        <v>0</v>
      </c>
      <c r="W304" s="1804">
        <v>0</v>
      </c>
      <c r="X304" s="1804">
        <v>0</v>
      </c>
      <c r="Y304" s="1804">
        <v>0</v>
      </c>
      <c r="Z304" s="1804">
        <v>0</v>
      </c>
      <c r="AA304" s="1804">
        <v>0</v>
      </c>
      <c r="AB304" s="1804">
        <v>0</v>
      </c>
      <c r="AC304" s="1804">
        <v>0</v>
      </c>
      <c r="AD304" s="1804">
        <v>0</v>
      </c>
      <c r="AE304" s="1804">
        <v>0</v>
      </c>
      <c r="AF304" s="1804">
        <v>0</v>
      </c>
      <c r="AG304" s="1804">
        <v>0</v>
      </c>
      <c r="AH304" s="1804">
        <v>0</v>
      </c>
      <c r="AI304" s="1804">
        <v>0</v>
      </c>
      <c r="AJ304" s="1804">
        <v>0</v>
      </c>
      <c r="AK304" s="1804">
        <v>0</v>
      </c>
      <c r="AL304" s="1804">
        <v>0</v>
      </c>
      <c r="AM304" s="1804">
        <v>0</v>
      </c>
      <c r="AN304" s="1804">
        <v>0</v>
      </c>
      <c r="AO304" s="1804">
        <v>0</v>
      </c>
      <c r="AP304" s="1804">
        <v>0</v>
      </c>
      <c r="AQ304" s="1804">
        <v>0</v>
      </c>
      <c r="AR304" s="1804">
        <v>0</v>
      </c>
      <c r="AS304" s="1804">
        <v>0</v>
      </c>
      <c r="AT304" s="1804">
        <v>0</v>
      </c>
      <c r="AU304" s="1804">
        <v>0</v>
      </c>
      <c r="AV304" s="1804">
        <v>0</v>
      </c>
      <c r="AW304" s="1804">
        <v>0</v>
      </c>
      <c r="AX304" s="1804">
        <v>0</v>
      </c>
      <c r="AY304" s="1804">
        <v>0</v>
      </c>
      <c r="AZ304" s="1804">
        <v>0</v>
      </c>
      <c r="BA304" s="1804">
        <v>0</v>
      </c>
      <c r="BB304" s="1804">
        <v>0</v>
      </c>
      <c r="BC304" s="1804">
        <v>0</v>
      </c>
      <c r="BD304" s="1804">
        <v>0</v>
      </c>
      <c r="BE304" s="1804">
        <v>0</v>
      </c>
      <c r="BF304" s="1804">
        <v>0</v>
      </c>
      <c r="BG304" s="1804">
        <v>0</v>
      </c>
      <c r="BH304" s="1804">
        <v>0</v>
      </c>
      <c r="BI304" s="1804">
        <v>0</v>
      </c>
      <c r="BJ304" s="1804">
        <v>0</v>
      </c>
      <c r="BK304" s="1804">
        <v>0</v>
      </c>
      <c r="BL304" s="1804">
        <v>0</v>
      </c>
      <c r="BM304" s="1804">
        <v>0</v>
      </c>
      <c r="BN304" s="1804">
        <v>0</v>
      </c>
      <c r="BO304" s="1804">
        <v>0</v>
      </c>
      <c r="BP304" s="1804">
        <v>0</v>
      </c>
      <c r="BQ304" s="1804">
        <v>0</v>
      </c>
      <c r="BR304" s="1804">
        <v>0</v>
      </c>
      <c r="BS304" s="1804">
        <v>0</v>
      </c>
      <c r="BT304" s="1804">
        <v>0</v>
      </c>
      <c r="BU304" s="1804">
        <v>0</v>
      </c>
      <c r="BV304" s="1804">
        <v>0</v>
      </c>
      <c r="BW304" s="1804">
        <v>0</v>
      </c>
      <c r="BX304" s="1804">
        <v>0</v>
      </c>
      <c r="BY304" s="1804">
        <v>0</v>
      </c>
      <c r="BZ304" s="1804">
        <v>0</v>
      </c>
      <c r="CA304" s="1804">
        <v>0</v>
      </c>
      <c r="CB304" s="1804">
        <v>0</v>
      </c>
      <c r="CC304" s="1804">
        <v>0</v>
      </c>
      <c r="CD304" s="1804">
        <v>0</v>
      </c>
      <c r="CE304" s="1804">
        <v>0</v>
      </c>
      <c r="CF304" s="1804">
        <v>0</v>
      </c>
      <c r="CG304" s="1804">
        <v>0</v>
      </c>
      <c r="CH304" s="1804">
        <v>0</v>
      </c>
      <c r="CI304" s="1804">
        <v>0</v>
      </c>
      <c r="CJ304" s="1804">
        <v>0</v>
      </c>
      <c r="CK304" s="1804">
        <v>0</v>
      </c>
      <c r="CL304" s="1804">
        <v>0</v>
      </c>
      <c r="CM304" s="1804">
        <v>0</v>
      </c>
      <c r="CN304" s="1804">
        <v>0</v>
      </c>
      <c r="CO304" s="1804">
        <v>0</v>
      </c>
      <c r="CP304" s="1804">
        <v>0</v>
      </c>
      <c r="CQ304" s="1804">
        <v>0</v>
      </c>
      <c r="CR304" s="1804">
        <v>0</v>
      </c>
      <c r="CS304" s="1804">
        <v>0</v>
      </c>
      <c r="CT304" s="1804">
        <v>0</v>
      </c>
      <c r="CU304" s="1804">
        <v>0</v>
      </c>
      <c r="CV304" s="1804">
        <v>0</v>
      </c>
      <c r="CW304" s="1804">
        <v>0</v>
      </c>
      <c r="CX304" s="1804">
        <v>0</v>
      </c>
      <c r="CY304" s="1804">
        <v>0</v>
      </c>
      <c r="CZ304" s="1804">
        <v>0</v>
      </c>
      <c r="DA304" s="1804">
        <v>0</v>
      </c>
      <c r="DB304" s="1804">
        <v>0</v>
      </c>
      <c r="DC304" s="1804">
        <v>0</v>
      </c>
      <c r="DD304" s="1804">
        <v>0</v>
      </c>
      <c r="DE304" s="1804">
        <v>0</v>
      </c>
      <c r="DF304" s="1804">
        <v>0</v>
      </c>
      <c r="DG304" s="1804">
        <v>0</v>
      </c>
      <c r="DH304" s="1804">
        <v>0</v>
      </c>
      <c r="DI304" s="1804">
        <v>0</v>
      </c>
      <c r="DJ304" s="1804">
        <v>0</v>
      </c>
      <c r="DK304" s="1804">
        <v>0</v>
      </c>
      <c r="DL304" s="1804">
        <v>0</v>
      </c>
      <c r="DM304" s="1804">
        <v>0</v>
      </c>
      <c r="DN304" s="1804">
        <v>0</v>
      </c>
      <c r="DO304" s="1804">
        <v>0</v>
      </c>
      <c r="DP304" s="1804">
        <v>0</v>
      </c>
      <c r="DQ304" s="1804">
        <v>0</v>
      </c>
      <c r="DR304" s="1804">
        <v>0</v>
      </c>
      <c r="DS304" s="1804">
        <v>0</v>
      </c>
      <c r="DT304" s="1804">
        <v>0</v>
      </c>
      <c r="DU304" s="1804">
        <v>0</v>
      </c>
      <c r="DV304" s="1804">
        <v>0</v>
      </c>
      <c r="DW304" s="1804">
        <v>0</v>
      </c>
      <c r="DX304" s="1804">
        <v>0</v>
      </c>
      <c r="DY304" s="1804">
        <v>0</v>
      </c>
      <c r="DZ304" s="1804">
        <v>0</v>
      </c>
      <c r="EA304" s="1804">
        <v>0</v>
      </c>
      <c r="EB304" s="1804">
        <v>0</v>
      </c>
      <c r="EC304" s="1804">
        <v>0</v>
      </c>
      <c r="ED304" s="1804">
        <v>0</v>
      </c>
      <c r="EE304" s="1804">
        <v>0</v>
      </c>
      <c r="EF304" s="1804">
        <v>0</v>
      </c>
      <c r="EG304" s="1804">
        <v>0</v>
      </c>
      <c r="EH304" s="1804">
        <v>0</v>
      </c>
      <c r="EI304" s="1804">
        <v>0</v>
      </c>
      <c r="EJ304" s="1804">
        <v>0</v>
      </c>
      <c r="EK304" s="1804">
        <v>0</v>
      </c>
      <c r="EL304" s="1804">
        <v>0</v>
      </c>
      <c r="EM304" s="1804">
        <v>0</v>
      </c>
      <c r="EN304" s="1804">
        <v>0</v>
      </c>
      <c r="EO304" s="1804">
        <v>0</v>
      </c>
      <c r="EP304" s="1804">
        <v>0</v>
      </c>
      <c r="EQ304" s="1804">
        <v>0</v>
      </c>
      <c r="ER304" s="1804">
        <v>0</v>
      </c>
      <c r="ES304" s="1804">
        <v>0</v>
      </c>
      <c r="ET304" s="1804">
        <v>0</v>
      </c>
      <c r="EU304" s="1804">
        <v>0</v>
      </c>
      <c r="EV304" s="1804">
        <v>0</v>
      </c>
      <c r="EW304" s="1804">
        <v>0</v>
      </c>
      <c r="EX304" s="1804">
        <v>0</v>
      </c>
      <c r="EY304" s="1804">
        <v>0</v>
      </c>
      <c r="EZ304" s="1804">
        <v>0</v>
      </c>
      <c r="FA304" s="1804">
        <v>0</v>
      </c>
      <c r="FB304" s="1804">
        <v>0</v>
      </c>
      <c r="FC304" s="1804">
        <v>0</v>
      </c>
      <c r="FD304" s="1804">
        <v>0</v>
      </c>
      <c r="FE304" s="1804">
        <v>0</v>
      </c>
      <c r="FF304" s="1804">
        <v>0</v>
      </c>
      <c r="FG304" s="1804">
        <v>0</v>
      </c>
      <c r="FH304" s="1804">
        <v>0</v>
      </c>
      <c r="FI304" s="1804">
        <v>0</v>
      </c>
      <c r="FJ304" s="1804">
        <v>0</v>
      </c>
      <c r="FK304" s="1804">
        <v>0</v>
      </c>
      <c r="FL304" s="1804">
        <v>0</v>
      </c>
      <c r="FM304" s="1804">
        <v>0</v>
      </c>
      <c r="FN304" s="1804">
        <v>0</v>
      </c>
      <c r="FO304" s="1804">
        <v>0</v>
      </c>
      <c r="FP304" s="1804">
        <v>0</v>
      </c>
      <c r="FQ304" s="1804">
        <v>0</v>
      </c>
      <c r="FR304" s="1804">
        <v>0</v>
      </c>
      <c r="FS304" s="1804">
        <v>0</v>
      </c>
      <c r="FT304" s="1804">
        <v>0</v>
      </c>
      <c r="FU304" s="1804">
        <v>0</v>
      </c>
      <c r="FV304" s="1804">
        <v>0</v>
      </c>
      <c r="FW304" s="1804">
        <v>0</v>
      </c>
      <c r="FX304" s="1804">
        <v>0</v>
      </c>
      <c r="FY304" s="1804">
        <v>0</v>
      </c>
      <c r="FZ304" s="1804">
        <v>0</v>
      </c>
      <c r="GA304" s="1804">
        <v>0</v>
      </c>
      <c r="GB304" s="1804">
        <v>0</v>
      </c>
      <c r="GC304" s="1804">
        <v>0</v>
      </c>
      <c r="GD304" s="1804">
        <v>0</v>
      </c>
      <c r="GE304" s="1804">
        <v>0</v>
      </c>
      <c r="GF304" s="1804">
        <v>0</v>
      </c>
      <c r="GG304" s="1804">
        <v>0</v>
      </c>
      <c r="GH304" s="1804">
        <v>0</v>
      </c>
      <c r="GI304" s="1804">
        <v>0</v>
      </c>
      <c r="GJ304" s="1804">
        <v>0</v>
      </c>
      <c r="GK304" s="1804">
        <v>0</v>
      </c>
      <c r="GL304" s="1804">
        <v>0</v>
      </c>
      <c r="GM304" s="1804">
        <v>0</v>
      </c>
      <c r="GN304" s="1804">
        <v>0</v>
      </c>
      <c r="GO304" s="1804">
        <v>0</v>
      </c>
      <c r="GP304" s="1804">
        <v>0</v>
      </c>
      <c r="GQ304" s="1804">
        <v>0</v>
      </c>
      <c r="GR304" s="1804">
        <v>0</v>
      </c>
      <c r="GS304" s="1804">
        <v>0</v>
      </c>
      <c r="GT304" s="1804">
        <v>0</v>
      </c>
      <c r="GU304" s="1804">
        <v>0</v>
      </c>
      <c r="GV304" s="1804">
        <v>0</v>
      </c>
      <c r="GW304" s="1804">
        <v>0</v>
      </c>
      <c r="GX304" s="1804">
        <v>0</v>
      </c>
      <c r="GY304" s="1804">
        <v>0</v>
      </c>
      <c r="GZ304" s="1804">
        <v>0</v>
      </c>
      <c r="HA304" s="1804">
        <v>0</v>
      </c>
      <c r="HB304" s="1804">
        <v>0</v>
      </c>
      <c r="HC304" s="1804">
        <v>0</v>
      </c>
      <c r="HD304" s="1804">
        <v>0</v>
      </c>
      <c r="HE304" s="1804">
        <v>0</v>
      </c>
    </row>
    <row r="305" spans="1:213" ht="15" customHeight="1" x14ac:dyDescent="0.2">
      <c r="A305" s="1966"/>
      <c r="B305" s="1994"/>
      <c r="C305" s="1818" t="s">
        <v>897</v>
      </c>
      <c r="D305" s="1883"/>
      <c r="E305" s="1996"/>
      <c r="F305" s="1838">
        <v>0</v>
      </c>
      <c r="G305" s="1804">
        <v>0</v>
      </c>
      <c r="H305" s="1804">
        <v>0</v>
      </c>
      <c r="I305" s="1804">
        <v>0</v>
      </c>
      <c r="J305" s="1804">
        <v>0</v>
      </c>
      <c r="K305" s="1804">
        <v>0</v>
      </c>
      <c r="L305" s="1804">
        <v>0</v>
      </c>
      <c r="M305" s="1804">
        <v>0</v>
      </c>
      <c r="N305" s="1804">
        <v>0</v>
      </c>
      <c r="O305" s="1804">
        <v>0</v>
      </c>
      <c r="P305" s="1804">
        <v>0</v>
      </c>
      <c r="Q305" s="1804">
        <v>0</v>
      </c>
      <c r="R305" s="1804">
        <v>0</v>
      </c>
      <c r="S305" s="1804">
        <v>0</v>
      </c>
      <c r="T305" s="1804">
        <v>0</v>
      </c>
      <c r="U305" s="1804">
        <v>0</v>
      </c>
      <c r="V305" s="1804">
        <v>0</v>
      </c>
      <c r="W305" s="1804">
        <v>0</v>
      </c>
      <c r="X305" s="1804">
        <v>0</v>
      </c>
      <c r="Y305" s="1804">
        <v>0</v>
      </c>
      <c r="Z305" s="1804">
        <v>0</v>
      </c>
      <c r="AA305" s="1804">
        <v>0</v>
      </c>
      <c r="AB305" s="1804">
        <v>0</v>
      </c>
      <c r="AC305" s="1804">
        <v>0</v>
      </c>
      <c r="AD305" s="1804">
        <v>0</v>
      </c>
      <c r="AE305" s="1804">
        <v>0</v>
      </c>
      <c r="AF305" s="1804">
        <v>0</v>
      </c>
      <c r="AG305" s="1804">
        <v>0</v>
      </c>
      <c r="AH305" s="1804">
        <v>0</v>
      </c>
      <c r="AI305" s="1804">
        <v>0</v>
      </c>
      <c r="AJ305" s="1804">
        <v>0</v>
      </c>
      <c r="AK305" s="1804">
        <v>0</v>
      </c>
      <c r="AL305" s="1804">
        <v>0</v>
      </c>
      <c r="AM305" s="1804">
        <v>0</v>
      </c>
      <c r="AN305" s="1804">
        <v>0</v>
      </c>
      <c r="AO305" s="1804">
        <v>0</v>
      </c>
      <c r="AP305" s="1804">
        <v>0</v>
      </c>
      <c r="AQ305" s="1804">
        <v>0</v>
      </c>
      <c r="AR305" s="1804">
        <v>0</v>
      </c>
      <c r="AS305" s="1804">
        <v>0</v>
      </c>
      <c r="AT305" s="1804">
        <v>0</v>
      </c>
      <c r="AU305" s="1804">
        <v>0</v>
      </c>
      <c r="AV305" s="1804">
        <v>0</v>
      </c>
      <c r="AW305" s="1804">
        <v>0</v>
      </c>
      <c r="AX305" s="1804">
        <v>0</v>
      </c>
      <c r="AY305" s="1804">
        <v>0</v>
      </c>
      <c r="AZ305" s="1804">
        <v>0</v>
      </c>
      <c r="BA305" s="1804">
        <v>0</v>
      </c>
      <c r="BB305" s="1804">
        <v>0</v>
      </c>
      <c r="BC305" s="1804">
        <v>0</v>
      </c>
      <c r="BD305" s="1804">
        <v>0</v>
      </c>
      <c r="BE305" s="1804">
        <v>0</v>
      </c>
      <c r="BF305" s="1804">
        <v>0</v>
      </c>
      <c r="BG305" s="1804">
        <v>0</v>
      </c>
      <c r="BH305" s="1804">
        <v>0</v>
      </c>
      <c r="BI305" s="1804">
        <v>0</v>
      </c>
      <c r="BJ305" s="1804">
        <v>0</v>
      </c>
      <c r="BK305" s="1804">
        <v>0</v>
      </c>
      <c r="BL305" s="1804">
        <v>0</v>
      </c>
      <c r="BM305" s="1804">
        <v>0</v>
      </c>
      <c r="BN305" s="1804">
        <v>0</v>
      </c>
      <c r="BO305" s="1804">
        <v>0</v>
      </c>
      <c r="BP305" s="1804">
        <v>0</v>
      </c>
      <c r="BQ305" s="1804">
        <v>0</v>
      </c>
      <c r="BR305" s="1804">
        <v>0</v>
      </c>
      <c r="BS305" s="1804">
        <v>0</v>
      </c>
      <c r="BT305" s="1804">
        <v>0</v>
      </c>
      <c r="BU305" s="1804">
        <v>0</v>
      </c>
      <c r="BV305" s="1804">
        <v>0</v>
      </c>
      <c r="BW305" s="1804">
        <v>0</v>
      </c>
      <c r="BX305" s="1804">
        <v>0</v>
      </c>
      <c r="BY305" s="1804">
        <v>0</v>
      </c>
      <c r="BZ305" s="1804">
        <v>0</v>
      </c>
      <c r="CA305" s="1804">
        <v>0</v>
      </c>
      <c r="CB305" s="1804">
        <v>0</v>
      </c>
      <c r="CC305" s="1804">
        <v>0</v>
      </c>
      <c r="CD305" s="1804">
        <v>0</v>
      </c>
      <c r="CE305" s="1804">
        <v>0</v>
      </c>
      <c r="CF305" s="1804">
        <v>0</v>
      </c>
      <c r="CG305" s="1804">
        <v>0</v>
      </c>
      <c r="CH305" s="1804">
        <v>0</v>
      </c>
      <c r="CI305" s="1804">
        <v>0</v>
      </c>
      <c r="CJ305" s="1804">
        <v>0</v>
      </c>
      <c r="CK305" s="1804">
        <v>0</v>
      </c>
      <c r="CL305" s="1804">
        <v>0</v>
      </c>
      <c r="CM305" s="1804">
        <v>0</v>
      </c>
      <c r="CN305" s="1804">
        <v>0</v>
      </c>
      <c r="CO305" s="1804">
        <v>0</v>
      </c>
      <c r="CP305" s="1804">
        <v>0</v>
      </c>
      <c r="CQ305" s="1804">
        <v>0</v>
      </c>
      <c r="CR305" s="1804">
        <v>0</v>
      </c>
      <c r="CS305" s="1804">
        <v>0</v>
      </c>
      <c r="CT305" s="1804">
        <v>0</v>
      </c>
      <c r="CU305" s="1804">
        <v>0</v>
      </c>
      <c r="CV305" s="1804">
        <v>0</v>
      </c>
      <c r="CW305" s="1804">
        <v>0</v>
      </c>
      <c r="CX305" s="1804">
        <v>0</v>
      </c>
      <c r="CY305" s="1804">
        <v>0</v>
      </c>
      <c r="CZ305" s="1804">
        <v>0</v>
      </c>
      <c r="DA305" s="1804">
        <v>0</v>
      </c>
      <c r="DB305" s="1804">
        <v>0</v>
      </c>
      <c r="DC305" s="1804">
        <v>0</v>
      </c>
      <c r="DD305" s="1804">
        <v>0</v>
      </c>
      <c r="DE305" s="1804">
        <v>0</v>
      </c>
      <c r="DF305" s="1804">
        <v>0</v>
      </c>
      <c r="DG305" s="1804">
        <v>0</v>
      </c>
      <c r="DH305" s="1804">
        <v>0</v>
      </c>
      <c r="DI305" s="1804">
        <v>0</v>
      </c>
      <c r="DJ305" s="1804">
        <v>0</v>
      </c>
      <c r="DK305" s="1804">
        <v>0</v>
      </c>
      <c r="DL305" s="1804">
        <v>0</v>
      </c>
      <c r="DM305" s="1804">
        <v>0</v>
      </c>
      <c r="DN305" s="1804">
        <v>0</v>
      </c>
      <c r="DO305" s="1804">
        <v>0</v>
      </c>
      <c r="DP305" s="1804">
        <v>0</v>
      </c>
      <c r="DQ305" s="1804">
        <v>0</v>
      </c>
      <c r="DR305" s="1804">
        <v>0</v>
      </c>
      <c r="DS305" s="1804">
        <v>0</v>
      </c>
      <c r="DT305" s="1804">
        <v>0</v>
      </c>
      <c r="DU305" s="1804">
        <v>0</v>
      </c>
      <c r="DV305" s="1804">
        <v>0</v>
      </c>
      <c r="DW305" s="1804">
        <v>0</v>
      </c>
      <c r="DX305" s="1804">
        <v>0</v>
      </c>
      <c r="DY305" s="1804">
        <v>0</v>
      </c>
      <c r="DZ305" s="1804">
        <v>0</v>
      </c>
      <c r="EA305" s="1804">
        <v>0</v>
      </c>
      <c r="EB305" s="1804">
        <v>0</v>
      </c>
      <c r="EC305" s="1804">
        <v>0</v>
      </c>
      <c r="ED305" s="1804">
        <v>0</v>
      </c>
      <c r="EE305" s="1804">
        <v>0</v>
      </c>
      <c r="EF305" s="1804">
        <v>0</v>
      </c>
      <c r="EG305" s="1804">
        <v>0</v>
      </c>
      <c r="EH305" s="1804">
        <v>0</v>
      </c>
      <c r="EI305" s="1804">
        <v>0</v>
      </c>
      <c r="EJ305" s="1804">
        <v>0</v>
      </c>
      <c r="EK305" s="1804">
        <v>0</v>
      </c>
      <c r="EL305" s="1804">
        <v>0</v>
      </c>
      <c r="EM305" s="1804">
        <v>0</v>
      </c>
      <c r="EN305" s="1804">
        <v>0</v>
      </c>
      <c r="EO305" s="1804">
        <v>0</v>
      </c>
      <c r="EP305" s="1804">
        <v>0</v>
      </c>
      <c r="EQ305" s="1804">
        <v>0</v>
      </c>
      <c r="ER305" s="1804">
        <v>0</v>
      </c>
      <c r="ES305" s="1804">
        <v>0</v>
      </c>
      <c r="ET305" s="1804">
        <v>0</v>
      </c>
      <c r="EU305" s="1804">
        <v>0</v>
      </c>
      <c r="EV305" s="1804">
        <v>0</v>
      </c>
      <c r="EW305" s="1804">
        <v>0</v>
      </c>
      <c r="EX305" s="1804">
        <v>0</v>
      </c>
      <c r="EY305" s="1804">
        <v>0</v>
      </c>
      <c r="EZ305" s="1804">
        <v>0</v>
      </c>
      <c r="FA305" s="1804">
        <v>0</v>
      </c>
      <c r="FB305" s="1804">
        <v>0</v>
      </c>
      <c r="FC305" s="1804">
        <v>0</v>
      </c>
      <c r="FD305" s="1804">
        <v>0</v>
      </c>
      <c r="FE305" s="1804">
        <v>0</v>
      </c>
      <c r="FF305" s="1804">
        <v>0</v>
      </c>
      <c r="FG305" s="1804">
        <v>0</v>
      </c>
      <c r="FH305" s="1804">
        <v>0</v>
      </c>
      <c r="FI305" s="1804">
        <v>0</v>
      </c>
      <c r="FJ305" s="1804">
        <v>0</v>
      </c>
      <c r="FK305" s="1804">
        <v>0</v>
      </c>
      <c r="FL305" s="1804">
        <v>0</v>
      </c>
      <c r="FM305" s="1804">
        <v>0</v>
      </c>
      <c r="FN305" s="1804">
        <v>0</v>
      </c>
      <c r="FO305" s="1804">
        <v>0</v>
      </c>
      <c r="FP305" s="1804">
        <v>0</v>
      </c>
      <c r="FQ305" s="1804">
        <v>0</v>
      </c>
      <c r="FR305" s="1804">
        <v>0</v>
      </c>
      <c r="FS305" s="1804">
        <v>0</v>
      </c>
      <c r="FT305" s="1804">
        <v>0</v>
      </c>
      <c r="FU305" s="1804">
        <v>0</v>
      </c>
      <c r="FV305" s="1804">
        <v>0</v>
      </c>
      <c r="FW305" s="1804">
        <v>0</v>
      </c>
      <c r="FX305" s="1804">
        <v>0</v>
      </c>
      <c r="FY305" s="1804">
        <v>0</v>
      </c>
      <c r="FZ305" s="1804">
        <v>0</v>
      </c>
      <c r="GA305" s="1804">
        <v>0</v>
      </c>
      <c r="GB305" s="1804">
        <v>0</v>
      </c>
      <c r="GC305" s="1804">
        <v>0</v>
      </c>
      <c r="GD305" s="1804">
        <v>0</v>
      </c>
      <c r="GE305" s="1804">
        <v>0</v>
      </c>
      <c r="GF305" s="1804">
        <v>0</v>
      </c>
      <c r="GG305" s="1804">
        <v>0</v>
      </c>
      <c r="GH305" s="1804">
        <v>0</v>
      </c>
      <c r="GI305" s="1804">
        <v>0</v>
      </c>
      <c r="GJ305" s="1804">
        <v>0</v>
      </c>
      <c r="GK305" s="1804">
        <v>0</v>
      </c>
      <c r="GL305" s="1804">
        <v>0</v>
      </c>
      <c r="GM305" s="1804">
        <v>0</v>
      </c>
      <c r="GN305" s="1804">
        <v>0</v>
      </c>
      <c r="GO305" s="1804">
        <v>0</v>
      </c>
      <c r="GP305" s="1804">
        <v>0</v>
      </c>
      <c r="GQ305" s="1804">
        <v>0</v>
      </c>
      <c r="GR305" s="1804">
        <v>0</v>
      </c>
      <c r="GS305" s="1804">
        <v>0</v>
      </c>
      <c r="GT305" s="1804">
        <v>0</v>
      </c>
      <c r="GU305" s="1804">
        <v>0</v>
      </c>
      <c r="GV305" s="1804">
        <v>0</v>
      </c>
      <c r="GW305" s="1804">
        <v>0</v>
      </c>
      <c r="GX305" s="1804">
        <v>0</v>
      </c>
      <c r="GY305" s="1804">
        <v>0</v>
      </c>
      <c r="GZ305" s="1804">
        <v>0</v>
      </c>
      <c r="HA305" s="1804">
        <v>0</v>
      </c>
      <c r="HB305" s="1804">
        <v>0</v>
      </c>
      <c r="HC305" s="1804">
        <v>0</v>
      </c>
      <c r="HD305" s="1804">
        <v>0</v>
      </c>
      <c r="HE305" s="1804">
        <v>0</v>
      </c>
    </row>
    <row r="306" spans="1:213" ht="15" customHeight="1" thickBot="1" x14ac:dyDescent="0.25">
      <c r="A306" s="1967"/>
      <c r="B306" s="1952"/>
      <c r="C306" s="1697" t="s">
        <v>898</v>
      </c>
      <c r="D306" s="1882"/>
      <c r="E306" s="1996"/>
      <c r="F306" s="1838">
        <v>0</v>
      </c>
      <c r="G306" s="1804">
        <v>0</v>
      </c>
      <c r="H306" s="1804">
        <v>0</v>
      </c>
      <c r="I306" s="1804">
        <v>0</v>
      </c>
      <c r="J306" s="1804">
        <v>0</v>
      </c>
      <c r="K306" s="1804">
        <v>0</v>
      </c>
      <c r="L306" s="1804">
        <v>0</v>
      </c>
      <c r="M306" s="1804">
        <v>0</v>
      </c>
      <c r="N306" s="1804">
        <v>0</v>
      </c>
      <c r="O306" s="1804">
        <v>0</v>
      </c>
      <c r="P306" s="1804">
        <v>0</v>
      </c>
      <c r="Q306" s="1804">
        <v>0</v>
      </c>
      <c r="R306" s="1804">
        <v>0</v>
      </c>
      <c r="S306" s="1804">
        <v>0</v>
      </c>
      <c r="T306" s="1804">
        <v>0</v>
      </c>
      <c r="U306" s="1804">
        <v>0</v>
      </c>
      <c r="V306" s="1804">
        <v>0</v>
      </c>
      <c r="W306" s="1804">
        <v>0</v>
      </c>
      <c r="X306" s="1804">
        <v>0</v>
      </c>
      <c r="Y306" s="1804">
        <v>0</v>
      </c>
      <c r="Z306" s="1804">
        <v>0</v>
      </c>
      <c r="AA306" s="1804">
        <v>0</v>
      </c>
      <c r="AB306" s="1804">
        <v>0</v>
      </c>
      <c r="AC306" s="1804">
        <v>0</v>
      </c>
      <c r="AD306" s="1804">
        <v>0</v>
      </c>
      <c r="AE306" s="1804">
        <v>0</v>
      </c>
      <c r="AF306" s="1804">
        <v>0</v>
      </c>
      <c r="AG306" s="1804">
        <v>0</v>
      </c>
      <c r="AH306" s="1804">
        <v>0</v>
      </c>
      <c r="AI306" s="1804">
        <v>0</v>
      </c>
      <c r="AJ306" s="1804">
        <v>0</v>
      </c>
      <c r="AK306" s="1804">
        <v>0</v>
      </c>
      <c r="AL306" s="1804">
        <v>0</v>
      </c>
      <c r="AM306" s="1804">
        <v>0</v>
      </c>
      <c r="AN306" s="1804">
        <v>0</v>
      </c>
      <c r="AO306" s="1804">
        <v>0</v>
      </c>
      <c r="AP306" s="1804">
        <v>0</v>
      </c>
      <c r="AQ306" s="1804">
        <v>0</v>
      </c>
      <c r="AR306" s="1804">
        <v>0</v>
      </c>
      <c r="AS306" s="1804">
        <v>0</v>
      </c>
      <c r="AT306" s="1804">
        <v>0</v>
      </c>
      <c r="AU306" s="1804">
        <v>0</v>
      </c>
      <c r="AV306" s="1804">
        <v>0</v>
      </c>
      <c r="AW306" s="1804">
        <v>0</v>
      </c>
      <c r="AX306" s="1804">
        <v>0</v>
      </c>
      <c r="AY306" s="1804">
        <v>0</v>
      </c>
      <c r="AZ306" s="1804">
        <v>0</v>
      </c>
      <c r="BA306" s="1804">
        <v>0</v>
      </c>
      <c r="BB306" s="1804">
        <v>0</v>
      </c>
      <c r="BC306" s="1804">
        <v>0</v>
      </c>
      <c r="BD306" s="1804">
        <v>0</v>
      </c>
      <c r="BE306" s="1804">
        <v>0</v>
      </c>
      <c r="BF306" s="1804">
        <v>0</v>
      </c>
      <c r="BG306" s="1804">
        <v>0</v>
      </c>
      <c r="BH306" s="1804">
        <v>0</v>
      </c>
      <c r="BI306" s="1804">
        <v>0</v>
      </c>
      <c r="BJ306" s="1804">
        <v>0</v>
      </c>
      <c r="BK306" s="1804">
        <v>0</v>
      </c>
      <c r="BL306" s="1804">
        <v>0</v>
      </c>
      <c r="BM306" s="1804">
        <v>0</v>
      </c>
      <c r="BN306" s="1804">
        <v>0</v>
      </c>
      <c r="BO306" s="1804">
        <v>0</v>
      </c>
      <c r="BP306" s="1804">
        <v>0</v>
      </c>
      <c r="BQ306" s="1804">
        <v>0</v>
      </c>
      <c r="BR306" s="1804">
        <v>0</v>
      </c>
      <c r="BS306" s="1804">
        <v>0</v>
      </c>
      <c r="BT306" s="1804">
        <v>0</v>
      </c>
      <c r="BU306" s="1804">
        <v>0</v>
      </c>
      <c r="BV306" s="1804">
        <v>0</v>
      </c>
      <c r="BW306" s="1804">
        <v>0</v>
      </c>
      <c r="BX306" s="1804">
        <v>0</v>
      </c>
      <c r="BY306" s="1804">
        <v>0</v>
      </c>
      <c r="BZ306" s="1804">
        <v>0</v>
      </c>
      <c r="CA306" s="1804">
        <v>0</v>
      </c>
      <c r="CB306" s="1804">
        <v>0</v>
      </c>
      <c r="CC306" s="1804">
        <v>0</v>
      </c>
      <c r="CD306" s="1804">
        <v>0</v>
      </c>
      <c r="CE306" s="1804">
        <v>0</v>
      </c>
      <c r="CF306" s="1804">
        <v>0</v>
      </c>
      <c r="CG306" s="1804">
        <v>0</v>
      </c>
      <c r="CH306" s="1804">
        <v>0</v>
      </c>
      <c r="CI306" s="1804">
        <v>0</v>
      </c>
      <c r="CJ306" s="1804">
        <v>0</v>
      </c>
      <c r="CK306" s="1804">
        <v>0</v>
      </c>
      <c r="CL306" s="1804">
        <v>0</v>
      </c>
      <c r="CM306" s="1804">
        <v>0</v>
      </c>
      <c r="CN306" s="1804">
        <v>0</v>
      </c>
      <c r="CO306" s="1804">
        <v>0</v>
      </c>
      <c r="CP306" s="1804">
        <v>0</v>
      </c>
      <c r="CQ306" s="1804">
        <v>0</v>
      </c>
      <c r="CR306" s="1804">
        <v>0</v>
      </c>
      <c r="CS306" s="1804">
        <v>0</v>
      </c>
      <c r="CT306" s="1804">
        <v>0</v>
      </c>
      <c r="CU306" s="1804">
        <v>0</v>
      </c>
      <c r="CV306" s="1804">
        <v>0</v>
      </c>
      <c r="CW306" s="1804">
        <v>0</v>
      </c>
      <c r="CX306" s="1804">
        <v>0</v>
      </c>
      <c r="CY306" s="1804">
        <v>0</v>
      </c>
      <c r="CZ306" s="1804">
        <v>0</v>
      </c>
      <c r="DA306" s="1804">
        <v>0</v>
      </c>
      <c r="DB306" s="1804">
        <v>0</v>
      </c>
      <c r="DC306" s="1804">
        <v>0</v>
      </c>
      <c r="DD306" s="1804">
        <v>0</v>
      </c>
      <c r="DE306" s="1804">
        <v>0</v>
      </c>
      <c r="DF306" s="1804">
        <v>0</v>
      </c>
      <c r="DG306" s="1804">
        <v>0</v>
      </c>
      <c r="DH306" s="1804">
        <v>0</v>
      </c>
      <c r="DI306" s="1804">
        <v>0</v>
      </c>
      <c r="DJ306" s="1804">
        <v>0</v>
      </c>
      <c r="DK306" s="1804">
        <v>0</v>
      </c>
      <c r="DL306" s="1804">
        <v>0</v>
      </c>
      <c r="DM306" s="1804">
        <v>0</v>
      </c>
      <c r="DN306" s="1804">
        <v>0</v>
      </c>
      <c r="DO306" s="1804">
        <v>0</v>
      </c>
      <c r="DP306" s="1804">
        <v>0</v>
      </c>
      <c r="DQ306" s="1804">
        <v>0</v>
      </c>
      <c r="DR306" s="1804">
        <v>0</v>
      </c>
      <c r="DS306" s="1804">
        <v>0</v>
      </c>
      <c r="DT306" s="1804">
        <v>0</v>
      </c>
      <c r="DU306" s="1804">
        <v>0</v>
      </c>
      <c r="DV306" s="1804">
        <v>0</v>
      </c>
      <c r="DW306" s="1804">
        <v>0</v>
      </c>
      <c r="DX306" s="1804">
        <v>0</v>
      </c>
      <c r="DY306" s="1804">
        <v>0</v>
      </c>
      <c r="DZ306" s="1804">
        <v>0</v>
      </c>
      <c r="EA306" s="1804">
        <v>0</v>
      </c>
      <c r="EB306" s="1804">
        <v>0</v>
      </c>
      <c r="EC306" s="1804">
        <v>0</v>
      </c>
      <c r="ED306" s="1804">
        <v>0</v>
      </c>
      <c r="EE306" s="1804">
        <v>0</v>
      </c>
      <c r="EF306" s="1804">
        <v>0</v>
      </c>
      <c r="EG306" s="1804">
        <v>0</v>
      </c>
      <c r="EH306" s="1804">
        <v>0</v>
      </c>
      <c r="EI306" s="1804">
        <v>0</v>
      </c>
      <c r="EJ306" s="1804">
        <v>0</v>
      </c>
      <c r="EK306" s="1804">
        <v>0</v>
      </c>
      <c r="EL306" s="1804">
        <v>0</v>
      </c>
      <c r="EM306" s="1804">
        <v>0</v>
      </c>
      <c r="EN306" s="1804">
        <v>0</v>
      </c>
      <c r="EO306" s="1804">
        <v>0</v>
      </c>
      <c r="EP306" s="1804">
        <v>0</v>
      </c>
      <c r="EQ306" s="1804">
        <v>0</v>
      </c>
      <c r="ER306" s="1804">
        <v>0</v>
      </c>
      <c r="ES306" s="1804">
        <v>0</v>
      </c>
      <c r="ET306" s="1804">
        <v>0</v>
      </c>
      <c r="EU306" s="1804">
        <v>0</v>
      </c>
      <c r="EV306" s="1804">
        <v>0</v>
      </c>
      <c r="EW306" s="1804">
        <v>0</v>
      </c>
      <c r="EX306" s="1804">
        <v>0</v>
      </c>
      <c r="EY306" s="1804">
        <v>0</v>
      </c>
      <c r="EZ306" s="1804">
        <v>0</v>
      </c>
      <c r="FA306" s="1804">
        <v>0</v>
      </c>
      <c r="FB306" s="1804">
        <v>0</v>
      </c>
      <c r="FC306" s="1804">
        <v>0</v>
      </c>
      <c r="FD306" s="1804">
        <v>0</v>
      </c>
      <c r="FE306" s="1804">
        <v>0</v>
      </c>
      <c r="FF306" s="1804">
        <v>0</v>
      </c>
      <c r="FG306" s="1804">
        <v>0</v>
      </c>
      <c r="FH306" s="1804">
        <v>0</v>
      </c>
      <c r="FI306" s="1804">
        <v>0</v>
      </c>
      <c r="FJ306" s="1804">
        <v>0</v>
      </c>
      <c r="FK306" s="1804">
        <v>0</v>
      </c>
      <c r="FL306" s="1804">
        <v>0</v>
      </c>
      <c r="FM306" s="1804">
        <v>0</v>
      </c>
      <c r="FN306" s="1804">
        <v>0</v>
      </c>
      <c r="FO306" s="1804">
        <v>0</v>
      </c>
      <c r="FP306" s="1804">
        <v>0</v>
      </c>
      <c r="FQ306" s="1804">
        <v>0</v>
      </c>
      <c r="FR306" s="1804">
        <v>0</v>
      </c>
      <c r="FS306" s="1804">
        <v>0</v>
      </c>
      <c r="FT306" s="1804">
        <v>0</v>
      </c>
      <c r="FU306" s="1804">
        <v>0</v>
      </c>
      <c r="FV306" s="1804">
        <v>0</v>
      </c>
      <c r="FW306" s="1804">
        <v>0</v>
      </c>
      <c r="FX306" s="1804">
        <v>0</v>
      </c>
      <c r="FY306" s="1804">
        <v>0</v>
      </c>
      <c r="FZ306" s="1804">
        <v>0</v>
      </c>
      <c r="GA306" s="1804">
        <v>0</v>
      </c>
      <c r="GB306" s="1804">
        <v>0</v>
      </c>
      <c r="GC306" s="1804">
        <v>0</v>
      </c>
      <c r="GD306" s="1804">
        <v>0</v>
      </c>
      <c r="GE306" s="1804">
        <v>0</v>
      </c>
      <c r="GF306" s="1804">
        <v>0</v>
      </c>
      <c r="GG306" s="1804">
        <v>0</v>
      </c>
      <c r="GH306" s="1804">
        <v>0</v>
      </c>
      <c r="GI306" s="1804">
        <v>0</v>
      </c>
      <c r="GJ306" s="1804">
        <v>0</v>
      </c>
      <c r="GK306" s="1804">
        <v>0</v>
      </c>
      <c r="GL306" s="1804">
        <v>0</v>
      </c>
      <c r="GM306" s="1804">
        <v>0</v>
      </c>
      <c r="GN306" s="1804">
        <v>0</v>
      </c>
      <c r="GO306" s="1804">
        <v>0</v>
      </c>
      <c r="GP306" s="1804">
        <v>0</v>
      </c>
      <c r="GQ306" s="1804">
        <v>0</v>
      </c>
      <c r="GR306" s="1804">
        <v>0</v>
      </c>
      <c r="GS306" s="1804">
        <v>0</v>
      </c>
      <c r="GT306" s="1804">
        <v>0</v>
      </c>
      <c r="GU306" s="1804">
        <v>0</v>
      </c>
      <c r="GV306" s="1804">
        <v>0</v>
      </c>
      <c r="GW306" s="1804">
        <v>0</v>
      </c>
      <c r="GX306" s="1804">
        <v>0</v>
      </c>
      <c r="GY306" s="1804">
        <v>0</v>
      </c>
      <c r="GZ306" s="1804">
        <v>0</v>
      </c>
      <c r="HA306" s="1804">
        <v>0</v>
      </c>
      <c r="HB306" s="1804">
        <v>0</v>
      </c>
      <c r="HC306" s="1804">
        <v>0</v>
      </c>
      <c r="HD306" s="1804">
        <v>0</v>
      </c>
      <c r="HE306" s="1804">
        <v>0</v>
      </c>
    </row>
    <row r="307" spans="1:213" ht="21" customHeight="1" thickBot="1" x14ac:dyDescent="0.25">
      <c r="A307" s="1995" t="s">
        <v>49</v>
      </c>
      <c r="B307" s="1970" t="s">
        <v>1380</v>
      </c>
      <c r="C307" s="1693" t="s">
        <v>977</v>
      </c>
      <c r="D307" s="1880"/>
      <c r="E307" s="1996"/>
      <c r="F307" s="1865"/>
      <c r="G307" s="1866"/>
      <c r="H307" s="1866"/>
      <c r="I307" s="1866"/>
      <c r="J307" s="1866"/>
      <c r="K307" s="1866"/>
      <c r="L307" s="1866"/>
      <c r="M307" s="1866"/>
      <c r="N307" s="1866"/>
      <c r="O307" s="1866"/>
      <c r="P307" s="1866"/>
      <c r="Q307" s="1866"/>
      <c r="R307" s="1866"/>
      <c r="S307" s="1866"/>
      <c r="T307" s="1866"/>
      <c r="U307" s="1866"/>
      <c r="V307" s="1866"/>
      <c r="W307" s="1866"/>
      <c r="X307" s="1866"/>
      <c r="Y307" s="1866"/>
      <c r="Z307" s="1866"/>
      <c r="AA307" s="1866"/>
      <c r="AB307" s="1866"/>
      <c r="AC307" s="1866"/>
      <c r="AD307" s="1866"/>
      <c r="AE307" s="1866"/>
      <c r="AF307" s="1866"/>
      <c r="AG307" s="1866"/>
      <c r="AH307" s="1866"/>
      <c r="AI307" s="1866"/>
      <c r="AJ307" s="1866"/>
      <c r="AK307" s="1866"/>
      <c r="AL307" s="1866"/>
      <c r="AM307" s="1866"/>
      <c r="AN307" s="1866"/>
      <c r="AO307" s="1866"/>
      <c r="AP307" s="1866"/>
      <c r="AQ307" s="1866"/>
      <c r="AR307" s="1866"/>
      <c r="AS307" s="1866"/>
      <c r="AT307" s="1866"/>
      <c r="AU307" s="1866"/>
      <c r="AV307" s="1866"/>
      <c r="AW307" s="1866"/>
      <c r="AX307" s="1866"/>
      <c r="AY307" s="1866"/>
      <c r="AZ307" s="1866"/>
      <c r="BA307" s="1866"/>
      <c r="BB307" s="1866"/>
      <c r="BC307" s="1866"/>
      <c r="BD307" s="1866"/>
      <c r="BE307" s="1866"/>
      <c r="BF307" s="1866"/>
      <c r="BG307" s="1866"/>
      <c r="BH307" s="1866"/>
      <c r="BI307" s="1866"/>
      <c r="BJ307" s="1866"/>
      <c r="BK307" s="1866"/>
      <c r="BL307" s="1866"/>
      <c r="BM307" s="1866"/>
      <c r="BN307" s="1866"/>
      <c r="BO307" s="1866"/>
      <c r="BP307" s="1866"/>
      <c r="BQ307" s="1866"/>
      <c r="BR307" s="1866"/>
      <c r="BS307" s="1866"/>
      <c r="BT307" s="1866"/>
      <c r="BU307" s="1866"/>
      <c r="BV307" s="1866"/>
      <c r="BW307" s="1866"/>
      <c r="BX307" s="1866"/>
      <c r="BY307" s="1866"/>
      <c r="BZ307" s="1866"/>
      <c r="CA307" s="1866"/>
      <c r="CB307" s="1866"/>
      <c r="CC307" s="1866"/>
      <c r="CD307" s="1866"/>
      <c r="CE307" s="1866"/>
      <c r="CF307" s="1866"/>
      <c r="CG307" s="1866"/>
      <c r="CH307" s="1866"/>
      <c r="CI307" s="1866"/>
      <c r="CJ307" s="1866"/>
      <c r="CK307" s="1866"/>
      <c r="CL307" s="1866"/>
      <c r="CM307" s="1866"/>
      <c r="CN307" s="1866"/>
      <c r="CO307" s="1866"/>
      <c r="CP307" s="1866"/>
      <c r="CQ307" s="1866"/>
      <c r="CR307" s="1866"/>
      <c r="CS307" s="1866"/>
      <c r="CT307" s="1866"/>
      <c r="CU307" s="1866"/>
      <c r="CV307" s="1866"/>
      <c r="CW307" s="1866"/>
      <c r="CX307" s="1866"/>
      <c r="CY307" s="1866"/>
      <c r="CZ307" s="1866"/>
      <c r="DA307" s="1866"/>
      <c r="DB307" s="1866"/>
      <c r="DC307" s="1866"/>
      <c r="DD307" s="1866"/>
      <c r="DE307" s="1866"/>
      <c r="DF307" s="1866"/>
      <c r="DG307" s="1866"/>
      <c r="DH307" s="1866"/>
      <c r="DI307" s="1866"/>
      <c r="DJ307" s="1866"/>
      <c r="DK307" s="1866"/>
      <c r="DL307" s="1866"/>
      <c r="DM307" s="1866"/>
      <c r="DN307" s="1866"/>
      <c r="DO307" s="1866"/>
      <c r="DP307" s="1866"/>
      <c r="DQ307" s="1866"/>
      <c r="DR307" s="1866"/>
      <c r="DS307" s="1866"/>
      <c r="DT307" s="1866"/>
      <c r="DU307" s="1866"/>
      <c r="DV307" s="1866"/>
      <c r="DW307" s="1866"/>
      <c r="DX307" s="1866"/>
      <c r="DY307" s="1866"/>
      <c r="DZ307" s="1866"/>
      <c r="EA307" s="1866"/>
      <c r="EB307" s="1866"/>
      <c r="EC307" s="1866"/>
      <c r="ED307" s="1866"/>
      <c r="EE307" s="1866"/>
      <c r="EF307" s="1866"/>
      <c r="EG307" s="1866"/>
      <c r="EH307" s="1866"/>
      <c r="EI307" s="1866"/>
      <c r="EJ307" s="1866"/>
      <c r="EK307" s="1866"/>
      <c r="EL307" s="1866"/>
      <c r="EM307" s="1866"/>
      <c r="EN307" s="1866"/>
      <c r="EO307" s="1866"/>
      <c r="EP307" s="1866"/>
      <c r="EQ307" s="1866"/>
      <c r="ER307" s="1866"/>
      <c r="ES307" s="1866"/>
      <c r="ET307" s="1866"/>
      <c r="EU307" s="1866"/>
      <c r="EV307" s="1866"/>
      <c r="EW307" s="1866"/>
      <c r="EX307" s="1866"/>
      <c r="EY307" s="1866"/>
      <c r="EZ307" s="1866"/>
      <c r="FA307" s="1866"/>
      <c r="FB307" s="1866"/>
      <c r="FC307" s="1866"/>
      <c r="FD307" s="1866"/>
      <c r="FE307" s="1866"/>
      <c r="FF307" s="1866"/>
      <c r="FG307" s="1866"/>
      <c r="FH307" s="1866"/>
      <c r="FI307" s="1866"/>
      <c r="FJ307" s="1866"/>
      <c r="FK307" s="1866"/>
      <c r="FL307" s="1866"/>
      <c r="FM307" s="1866"/>
      <c r="FN307" s="1866"/>
      <c r="FO307" s="1866"/>
      <c r="FP307" s="1866"/>
      <c r="FQ307" s="1866"/>
      <c r="FR307" s="1866"/>
      <c r="FS307" s="1866"/>
      <c r="FT307" s="1866"/>
      <c r="FU307" s="1866"/>
      <c r="FV307" s="1866"/>
      <c r="FW307" s="1866"/>
      <c r="FX307" s="1866"/>
      <c r="FY307" s="1866"/>
      <c r="FZ307" s="1866"/>
      <c r="GA307" s="1866"/>
      <c r="GB307" s="1866"/>
      <c r="GC307" s="1866"/>
      <c r="GD307" s="1866"/>
      <c r="GE307" s="1866"/>
      <c r="GF307" s="1866"/>
      <c r="GG307" s="1866"/>
      <c r="GH307" s="1866"/>
      <c r="GI307" s="1866"/>
      <c r="GJ307" s="1866"/>
      <c r="GK307" s="1866"/>
      <c r="GL307" s="1866"/>
      <c r="GM307" s="1866"/>
      <c r="GN307" s="1866"/>
      <c r="GO307" s="1866"/>
      <c r="GP307" s="1866"/>
      <c r="GQ307" s="1866"/>
      <c r="GR307" s="1866"/>
      <c r="GS307" s="1866"/>
      <c r="GT307" s="1866"/>
      <c r="GU307" s="1866"/>
      <c r="GV307" s="1866"/>
      <c r="GW307" s="1866"/>
      <c r="GX307" s="1866"/>
      <c r="GY307" s="1866"/>
      <c r="GZ307" s="1866"/>
      <c r="HA307" s="1866"/>
      <c r="HB307" s="1866"/>
      <c r="HC307" s="1866"/>
      <c r="HD307" s="1866"/>
      <c r="HE307" s="1866"/>
    </row>
    <row r="308" spans="1:213" ht="27" customHeight="1" x14ac:dyDescent="0.2">
      <c r="A308" s="1995"/>
      <c r="B308" s="1970"/>
      <c r="C308" s="1713" t="s">
        <v>978</v>
      </c>
      <c r="D308" s="1889"/>
      <c r="E308" s="1996"/>
      <c r="F308" s="1838">
        <v>0</v>
      </c>
      <c r="G308" s="1804">
        <v>0</v>
      </c>
      <c r="H308" s="1804">
        <v>0</v>
      </c>
      <c r="I308" s="1804">
        <v>0</v>
      </c>
      <c r="J308" s="1804">
        <v>0</v>
      </c>
      <c r="K308" s="1804">
        <v>0</v>
      </c>
      <c r="L308" s="1804">
        <v>0</v>
      </c>
      <c r="M308" s="1804">
        <v>0</v>
      </c>
      <c r="N308" s="1804">
        <v>0</v>
      </c>
      <c r="O308" s="1804">
        <v>0</v>
      </c>
      <c r="P308" s="1804">
        <v>0</v>
      </c>
      <c r="Q308" s="1804">
        <v>0</v>
      </c>
      <c r="R308" s="1804">
        <v>0</v>
      </c>
      <c r="S308" s="1804">
        <v>0</v>
      </c>
      <c r="T308" s="1804">
        <v>0</v>
      </c>
      <c r="U308" s="1804">
        <v>0</v>
      </c>
      <c r="V308" s="1804">
        <v>0</v>
      </c>
      <c r="W308" s="1804">
        <v>0</v>
      </c>
      <c r="X308" s="1804">
        <v>0</v>
      </c>
      <c r="Y308" s="1804">
        <v>0</v>
      </c>
      <c r="Z308" s="1804">
        <v>0</v>
      </c>
      <c r="AA308" s="1804">
        <v>0</v>
      </c>
      <c r="AB308" s="1804">
        <v>0</v>
      </c>
      <c r="AC308" s="1804">
        <v>0</v>
      </c>
      <c r="AD308" s="1804">
        <v>0</v>
      </c>
      <c r="AE308" s="1804">
        <v>0</v>
      </c>
      <c r="AF308" s="1804">
        <v>0</v>
      </c>
      <c r="AG308" s="1804">
        <v>0</v>
      </c>
      <c r="AH308" s="1804">
        <v>0</v>
      </c>
      <c r="AI308" s="1804">
        <v>0</v>
      </c>
      <c r="AJ308" s="1804">
        <v>0</v>
      </c>
      <c r="AK308" s="1804">
        <v>0</v>
      </c>
      <c r="AL308" s="1804">
        <v>0</v>
      </c>
      <c r="AM308" s="1804">
        <v>0</v>
      </c>
      <c r="AN308" s="1804">
        <v>0</v>
      </c>
      <c r="AO308" s="1804">
        <v>0</v>
      </c>
      <c r="AP308" s="1804">
        <v>0</v>
      </c>
      <c r="AQ308" s="1804">
        <v>0</v>
      </c>
      <c r="AR308" s="1804">
        <v>0</v>
      </c>
      <c r="AS308" s="1804">
        <v>0</v>
      </c>
      <c r="AT308" s="1804">
        <v>0</v>
      </c>
      <c r="AU308" s="1804">
        <v>0</v>
      </c>
      <c r="AV308" s="1804">
        <v>0</v>
      </c>
      <c r="AW308" s="1804">
        <v>0</v>
      </c>
      <c r="AX308" s="1804">
        <v>0</v>
      </c>
      <c r="AY308" s="1804">
        <v>0</v>
      </c>
      <c r="AZ308" s="1804">
        <v>0</v>
      </c>
      <c r="BA308" s="1804">
        <v>0</v>
      </c>
      <c r="BB308" s="1804">
        <v>0</v>
      </c>
      <c r="BC308" s="1804">
        <v>0</v>
      </c>
      <c r="BD308" s="1804">
        <v>0</v>
      </c>
      <c r="BE308" s="1804">
        <v>0</v>
      </c>
      <c r="BF308" s="1804">
        <v>0</v>
      </c>
      <c r="BG308" s="1804">
        <v>0</v>
      </c>
      <c r="BH308" s="1804">
        <v>0</v>
      </c>
      <c r="BI308" s="1804">
        <v>0</v>
      </c>
      <c r="BJ308" s="1804">
        <v>0</v>
      </c>
      <c r="BK308" s="1804">
        <v>0</v>
      </c>
      <c r="BL308" s="1804">
        <v>0</v>
      </c>
      <c r="BM308" s="1804">
        <v>0</v>
      </c>
      <c r="BN308" s="1804">
        <v>0</v>
      </c>
      <c r="BO308" s="1804">
        <v>0</v>
      </c>
      <c r="BP308" s="1804">
        <v>0</v>
      </c>
      <c r="BQ308" s="1804">
        <v>0</v>
      </c>
      <c r="BR308" s="1804">
        <v>0</v>
      </c>
      <c r="BS308" s="1804">
        <v>0</v>
      </c>
      <c r="BT308" s="1804">
        <v>0</v>
      </c>
      <c r="BU308" s="1804">
        <v>0</v>
      </c>
      <c r="BV308" s="1804">
        <v>0</v>
      </c>
      <c r="BW308" s="1804">
        <v>0</v>
      </c>
      <c r="BX308" s="1804">
        <v>0</v>
      </c>
      <c r="BY308" s="1804">
        <v>0</v>
      </c>
      <c r="BZ308" s="1804">
        <v>0</v>
      </c>
      <c r="CA308" s="1804">
        <v>0</v>
      </c>
      <c r="CB308" s="1804">
        <v>0</v>
      </c>
      <c r="CC308" s="1804">
        <v>0</v>
      </c>
      <c r="CD308" s="1804">
        <v>0</v>
      </c>
      <c r="CE308" s="1804">
        <v>0</v>
      </c>
      <c r="CF308" s="1804">
        <v>0</v>
      </c>
      <c r="CG308" s="1804">
        <v>0</v>
      </c>
      <c r="CH308" s="1804">
        <v>0</v>
      </c>
      <c r="CI308" s="1804">
        <v>0</v>
      </c>
      <c r="CJ308" s="1804">
        <v>0</v>
      </c>
      <c r="CK308" s="1804">
        <v>0</v>
      </c>
      <c r="CL308" s="1804">
        <v>0</v>
      </c>
      <c r="CM308" s="1804">
        <v>0</v>
      </c>
      <c r="CN308" s="1804">
        <v>0</v>
      </c>
      <c r="CO308" s="1804">
        <v>0</v>
      </c>
      <c r="CP308" s="1804">
        <v>0</v>
      </c>
      <c r="CQ308" s="1804">
        <v>0</v>
      </c>
      <c r="CR308" s="1804">
        <v>0</v>
      </c>
      <c r="CS308" s="1804">
        <v>0</v>
      </c>
      <c r="CT308" s="1804">
        <v>0</v>
      </c>
      <c r="CU308" s="1804">
        <v>0</v>
      </c>
      <c r="CV308" s="1804">
        <v>0</v>
      </c>
      <c r="CW308" s="1804">
        <v>0</v>
      </c>
      <c r="CX308" s="1804">
        <v>0</v>
      </c>
      <c r="CY308" s="1804">
        <v>0</v>
      </c>
      <c r="CZ308" s="1804">
        <v>0</v>
      </c>
      <c r="DA308" s="1804">
        <v>0</v>
      </c>
      <c r="DB308" s="1804">
        <v>0</v>
      </c>
      <c r="DC308" s="1804">
        <v>0</v>
      </c>
      <c r="DD308" s="1804">
        <v>0</v>
      </c>
      <c r="DE308" s="1804">
        <v>0</v>
      </c>
      <c r="DF308" s="1804">
        <v>0</v>
      </c>
      <c r="DG308" s="1804">
        <v>0</v>
      </c>
      <c r="DH308" s="1804">
        <v>0</v>
      </c>
      <c r="DI308" s="1804">
        <v>0</v>
      </c>
      <c r="DJ308" s="1804">
        <v>0</v>
      </c>
      <c r="DK308" s="1804">
        <v>0</v>
      </c>
      <c r="DL308" s="1804">
        <v>0</v>
      </c>
      <c r="DM308" s="1804">
        <v>0</v>
      </c>
      <c r="DN308" s="1804">
        <v>0</v>
      </c>
      <c r="DO308" s="1804">
        <v>0</v>
      </c>
      <c r="DP308" s="1804">
        <v>0</v>
      </c>
      <c r="DQ308" s="1804">
        <v>0</v>
      </c>
      <c r="DR308" s="1804">
        <v>0</v>
      </c>
      <c r="DS308" s="1804">
        <v>0</v>
      </c>
      <c r="DT308" s="1804">
        <v>0</v>
      </c>
      <c r="DU308" s="1804">
        <v>0</v>
      </c>
      <c r="DV308" s="1804">
        <v>0</v>
      </c>
      <c r="DW308" s="1804">
        <v>0</v>
      </c>
      <c r="DX308" s="1804">
        <v>0</v>
      </c>
      <c r="DY308" s="1804">
        <v>0</v>
      </c>
      <c r="DZ308" s="1804">
        <v>0</v>
      </c>
      <c r="EA308" s="1804">
        <v>0</v>
      </c>
      <c r="EB308" s="1804">
        <v>0</v>
      </c>
      <c r="EC308" s="1804">
        <v>0</v>
      </c>
      <c r="ED308" s="1804">
        <v>0</v>
      </c>
      <c r="EE308" s="1804">
        <v>0</v>
      </c>
      <c r="EF308" s="1804">
        <v>0</v>
      </c>
      <c r="EG308" s="1804">
        <v>0</v>
      </c>
      <c r="EH308" s="1804">
        <v>0</v>
      </c>
      <c r="EI308" s="1804">
        <v>0</v>
      </c>
      <c r="EJ308" s="1804">
        <v>0</v>
      </c>
      <c r="EK308" s="1804">
        <v>0</v>
      </c>
      <c r="EL308" s="1804">
        <v>0</v>
      </c>
      <c r="EM308" s="1804">
        <v>0</v>
      </c>
      <c r="EN308" s="1804">
        <v>0</v>
      </c>
      <c r="EO308" s="1804">
        <v>0</v>
      </c>
      <c r="EP308" s="1804">
        <v>0</v>
      </c>
      <c r="EQ308" s="1804">
        <v>0</v>
      </c>
      <c r="ER308" s="1804">
        <v>0</v>
      </c>
      <c r="ES308" s="1804">
        <v>0</v>
      </c>
      <c r="ET308" s="1804">
        <v>0</v>
      </c>
      <c r="EU308" s="1804">
        <v>0</v>
      </c>
      <c r="EV308" s="1804">
        <v>0</v>
      </c>
      <c r="EW308" s="1804">
        <v>0</v>
      </c>
      <c r="EX308" s="1804">
        <v>0</v>
      </c>
      <c r="EY308" s="1804">
        <v>0</v>
      </c>
      <c r="EZ308" s="1804">
        <v>0</v>
      </c>
      <c r="FA308" s="1804">
        <v>0</v>
      </c>
      <c r="FB308" s="1804">
        <v>0</v>
      </c>
      <c r="FC308" s="1804">
        <v>0</v>
      </c>
      <c r="FD308" s="1804">
        <v>0</v>
      </c>
      <c r="FE308" s="1804">
        <v>0</v>
      </c>
      <c r="FF308" s="1804">
        <v>0</v>
      </c>
      <c r="FG308" s="1804">
        <v>0</v>
      </c>
      <c r="FH308" s="1804">
        <v>0</v>
      </c>
      <c r="FI308" s="1804">
        <v>0</v>
      </c>
      <c r="FJ308" s="1804">
        <v>0</v>
      </c>
      <c r="FK308" s="1804">
        <v>0</v>
      </c>
      <c r="FL308" s="1804">
        <v>0</v>
      </c>
      <c r="FM308" s="1804">
        <v>0</v>
      </c>
      <c r="FN308" s="1804">
        <v>0</v>
      </c>
      <c r="FO308" s="1804">
        <v>0</v>
      </c>
      <c r="FP308" s="1804">
        <v>0</v>
      </c>
      <c r="FQ308" s="1804">
        <v>0</v>
      </c>
      <c r="FR308" s="1804">
        <v>0</v>
      </c>
      <c r="FS308" s="1804">
        <v>0</v>
      </c>
      <c r="FT308" s="1804">
        <v>0</v>
      </c>
      <c r="FU308" s="1804">
        <v>0</v>
      </c>
      <c r="FV308" s="1804">
        <v>0</v>
      </c>
      <c r="FW308" s="1804">
        <v>0</v>
      </c>
      <c r="FX308" s="1804">
        <v>0</v>
      </c>
      <c r="FY308" s="1804">
        <v>0</v>
      </c>
      <c r="FZ308" s="1804">
        <v>0</v>
      </c>
      <c r="GA308" s="1804">
        <v>0</v>
      </c>
      <c r="GB308" s="1804">
        <v>0</v>
      </c>
      <c r="GC308" s="1804">
        <v>0</v>
      </c>
      <c r="GD308" s="1804">
        <v>0</v>
      </c>
      <c r="GE308" s="1804">
        <v>0</v>
      </c>
      <c r="GF308" s="1804">
        <v>0</v>
      </c>
      <c r="GG308" s="1804">
        <v>0</v>
      </c>
      <c r="GH308" s="1804">
        <v>0</v>
      </c>
      <c r="GI308" s="1804">
        <v>0</v>
      </c>
      <c r="GJ308" s="1804">
        <v>0</v>
      </c>
      <c r="GK308" s="1804">
        <v>0</v>
      </c>
      <c r="GL308" s="1804">
        <v>0</v>
      </c>
      <c r="GM308" s="1804">
        <v>0</v>
      </c>
      <c r="GN308" s="1804">
        <v>0</v>
      </c>
      <c r="GO308" s="1804">
        <v>0</v>
      </c>
      <c r="GP308" s="1804">
        <v>0</v>
      </c>
      <c r="GQ308" s="1804">
        <v>0</v>
      </c>
      <c r="GR308" s="1804">
        <v>0</v>
      </c>
      <c r="GS308" s="1804">
        <v>0</v>
      </c>
      <c r="GT308" s="1804">
        <v>0</v>
      </c>
      <c r="GU308" s="1804">
        <v>0</v>
      </c>
      <c r="GV308" s="1804">
        <v>0</v>
      </c>
      <c r="GW308" s="1804">
        <v>0</v>
      </c>
      <c r="GX308" s="1804">
        <v>0</v>
      </c>
      <c r="GY308" s="1804">
        <v>0</v>
      </c>
      <c r="GZ308" s="1804">
        <v>0</v>
      </c>
      <c r="HA308" s="1804">
        <v>0</v>
      </c>
      <c r="HB308" s="1804">
        <v>0</v>
      </c>
      <c r="HC308" s="1804">
        <v>0</v>
      </c>
      <c r="HD308" s="1804">
        <v>0</v>
      </c>
      <c r="HE308" s="1804">
        <v>0</v>
      </c>
    </row>
    <row r="309" spans="1:213" ht="15" customHeight="1" x14ac:dyDescent="0.2">
      <c r="A309" s="1995"/>
      <c r="B309" s="1970"/>
      <c r="C309" s="1816" t="s">
        <v>979</v>
      </c>
      <c r="D309" s="1886"/>
      <c r="E309" s="1996"/>
      <c r="F309" s="1838">
        <v>0</v>
      </c>
      <c r="G309" s="1804">
        <v>0</v>
      </c>
      <c r="H309" s="1804">
        <v>0</v>
      </c>
      <c r="I309" s="1804">
        <v>0</v>
      </c>
      <c r="J309" s="1804">
        <v>0</v>
      </c>
      <c r="K309" s="1804">
        <v>0</v>
      </c>
      <c r="L309" s="1804">
        <v>0</v>
      </c>
      <c r="M309" s="1804">
        <v>0</v>
      </c>
      <c r="N309" s="1804">
        <v>0</v>
      </c>
      <c r="O309" s="1804">
        <v>0</v>
      </c>
      <c r="P309" s="1804">
        <v>0</v>
      </c>
      <c r="Q309" s="1804">
        <v>0</v>
      </c>
      <c r="R309" s="1804">
        <v>0</v>
      </c>
      <c r="S309" s="1804">
        <v>0</v>
      </c>
      <c r="T309" s="1804">
        <v>0</v>
      </c>
      <c r="U309" s="1804">
        <v>0</v>
      </c>
      <c r="V309" s="1804">
        <v>0</v>
      </c>
      <c r="W309" s="1804">
        <v>0</v>
      </c>
      <c r="X309" s="1804">
        <v>0</v>
      </c>
      <c r="Y309" s="1804">
        <v>0</v>
      </c>
      <c r="Z309" s="1804">
        <v>0</v>
      </c>
      <c r="AA309" s="1804">
        <v>0</v>
      </c>
      <c r="AB309" s="1804">
        <v>0</v>
      </c>
      <c r="AC309" s="1804">
        <v>0</v>
      </c>
      <c r="AD309" s="1804">
        <v>0</v>
      </c>
      <c r="AE309" s="1804">
        <v>0</v>
      </c>
      <c r="AF309" s="1804">
        <v>0</v>
      </c>
      <c r="AG309" s="1804">
        <v>0</v>
      </c>
      <c r="AH309" s="1804">
        <v>0</v>
      </c>
      <c r="AI309" s="1804">
        <v>0</v>
      </c>
      <c r="AJ309" s="1804">
        <v>0</v>
      </c>
      <c r="AK309" s="1804">
        <v>0</v>
      </c>
      <c r="AL309" s="1804">
        <v>0</v>
      </c>
      <c r="AM309" s="1804">
        <v>0</v>
      </c>
      <c r="AN309" s="1804">
        <v>0</v>
      </c>
      <c r="AO309" s="1804">
        <v>0</v>
      </c>
      <c r="AP309" s="1804">
        <v>0</v>
      </c>
      <c r="AQ309" s="1804">
        <v>0</v>
      </c>
      <c r="AR309" s="1804">
        <v>0</v>
      </c>
      <c r="AS309" s="1804">
        <v>0</v>
      </c>
      <c r="AT309" s="1804">
        <v>0</v>
      </c>
      <c r="AU309" s="1804">
        <v>0</v>
      </c>
      <c r="AV309" s="1804">
        <v>0</v>
      </c>
      <c r="AW309" s="1804">
        <v>0</v>
      </c>
      <c r="AX309" s="1804">
        <v>0</v>
      </c>
      <c r="AY309" s="1804">
        <v>0</v>
      </c>
      <c r="AZ309" s="1804">
        <v>0</v>
      </c>
      <c r="BA309" s="1804">
        <v>0</v>
      </c>
      <c r="BB309" s="1804">
        <v>0</v>
      </c>
      <c r="BC309" s="1804">
        <v>0</v>
      </c>
      <c r="BD309" s="1804">
        <v>0</v>
      </c>
      <c r="BE309" s="1804">
        <v>0</v>
      </c>
      <c r="BF309" s="1804">
        <v>0</v>
      </c>
      <c r="BG309" s="1804">
        <v>0</v>
      </c>
      <c r="BH309" s="1804">
        <v>0</v>
      </c>
      <c r="BI309" s="1804">
        <v>0</v>
      </c>
      <c r="BJ309" s="1804">
        <v>0</v>
      </c>
      <c r="BK309" s="1804">
        <v>0</v>
      </c>
      <c r="BL309" s="1804">
        <v>0</v>
      </c>
      <c r="BM309" s="1804">
        <v>0</v>
      </c>
      <c r="BN309" s="1804">
        <v>0</v>
      </c>
      <c r="BO309" s="1804">
        <v>0</v>
      </c>
      <c r="BP309" s="1804">
        <v>0</v>
      </c>
      <c r="BQ309" s="1804">
        <v>0</v>
      </c>
      <c r="BR309" s="1804">
        <v>0</v>
      </c>
      <c r="BS309" s="1804">
        <v>0</v>
      </c>
      <c r="BT309" s="1804">
        <v>0</v>
      </c>
      <c r="BU309" s="1804">
        <v>0</v>
      </c>
      <c r="BV309" s="1804">
        <v>0</v>
      </c>
      <c r="BW309" s="1804">
        <v>0</v>
      </c>
      <c r="BX309" s="1804">
        <v>0</v>
      </c>
      <c r="BY309" s="1804">
        <v>0</v>
      </c>
      <c r="BZ309" s="1804">
        <v>0</v>
      </c>
      <c r="CA309" s="1804">
        <v>0</v>
      </c>
      <c r="CB309" s="1804">
        <v>0</v>
      </c>
      <c r="CC309" s="1804">
        <v>0</v>
      </c>
      <c r="CD309" s="1804">
        <v>0</v>
      </c>
      <c r="CE309" s="1804">
        <v>0</v>
      </c>
      <c r="CF309" s="1804">
        <v>0</v>
      </c>
      <c r="CG309" s="1804">
        <v>0</v>
      </c>
      <c r="CH309" s="1804">
        <v>0</v>
      </c>
      <c r="CI309" s="1804">
        <v>0</v>
      </c>
      <c r="CJ309" s="1804">
        <v>0</v>
      </c>
      <c r="CK309" s="1804">
        <v>0</v>
      </c>
      <c r="CL309" s="1804">
        <v>0</v>
      </c>
      <c r="CM309" s="1804">
        <v>0</v>
      </c>
      <c r="CN309" s="1804">
        <v>0</v>
      </c>
      <c r="CO309" s="1804">
        <v>0</v>
      </c>
      <c r="CP309" s="1804">
        <v>0</v>
      </c>
      <c r="CQ309" s="1804">
        <v>0</v>
      </c>
      <c r="CR309" s="1804">
        <v>0</v>
      </c>
      <c r="CS309" s="1804">
        <v>0</v>
      </c>
      <c r="CT309" s="1804">
        <v>0</v>
      </c>
      <c r="CU309" s="1804">
        <v>0</v>
      </c>
      <c r="CV309" s="1804">
        <v>0</v>
      </c>
      <c r="CW309" s="1804">
        <v>0</v>
      </c>
      <c r="CX309" s="1804">
        <v>0</v>
      </c>
      <c r="CY309" s="1804">
        <v>0</v>
      </c>
      <c r="CZ309" s="1804">
        <v>0</v>
      </c>
      <c r="DA309" s="1804">
        <v>0</v>
      </c>
      <c r="DB309" s="1804">
        <v>0</v>
      </c>
      <c r="DC309" s="1804">
        <v>0</v>
      </c>
      <c r="DD309" s="1804">
        <v>0</v>
      </c>
      <c r="DE309" s="1804">
        <v>0</v>
      </c>
      <c r="DF309" s="1804">
        <v>0</v>
      </c>
      <c r="DG309" s="1804">
        <v>0</v>
      </c>
      <c r="DH309" s="1804">
        <v>0</v>
      </c>
      <c r="DI309" s="1804">
        <v>0</v>
      </c>
      <c r="DJ309" s="1804">
        <v>0</v>
      </c>
      <c r="DK309" s="1804">
        <v>0</v>
      </c>
      <c r="DL309" s="1804">
        <v>0</v>
      </c>
      <c r="DM309" s="1804">
        <v>0</v>
      </c>
      <c r="DN309" s="1804">
        <v>0</v>
      </c>
      <c r="DO309" s="1804">
        <v>0</v>
      </c>
      <c r="DP309" s="1804">
        <v>0</v>
      </c>
      <c r="DQ309" s="1804">
        <v>0</v>
      </c>
      <c r="DR309" s="1804">
        <v>0</v>
      </c>
      <c r="DS309" s="1804">
        <v>0</v>
      </c>
      <c r="DT309" s="1804">
        <v>0</v>
      </c>
      <c r="DU309" s="1804">
        <v>0</v>
      </c>
      <c r="DV309" s="1804">
        <v>0</v>
      </c>
      <c r="DW309" s="1804">
        <v>0</v>
      </c>
      <c r="DX309" s="1804">
        <v>0</v>
      </c>
      <c r="DY309" s="1804">
        <v>0</v>
      </c>
      <c r="DZ309" s="1804">
        <v>0</v>
      </c>
      <c r="EA309" s="1804">
        <v>0</v>
      </c>
      <c r="EB309" s="1804">
        <v>0</v>
      </c>
      <c r="EC309" s="1804">
        <v>0</v>
      </c>
      <c r="ED309" s="1804">
        <v>0</v>
      </c>
      <c r="EE309" s="1804">
        <v>0</v>
      </c>
      <c r="EF309" s="1804">
        <v>0</v>
      </c>
      <c r="EG309" s="1804">
        <v>0</v>
      </c>
      <c r="EH309" s="1804">
        <v>0</v>
      </c>
      <c r="EI309" s="1804">
        <v>0</v>
      </c>
      <c r="EJ309" s="1804">
        <v>0</v>
      </c>
      <c r="EK309" s="1804">
        <v>0</v>
      </c>
      <c r="EL309" s="1804">
        <v>0</v>
      </c>
      <c r="EM309" s="1804">
        <v>0</v>
      </c>
      <c r="EN309" s="1804">
        <v>0</v>
      </c>
      <c r="EO309" s="1804">
        <v>0</v>
      </c>
      <c r="EP309" s="1804">
        <v>0</v>
      </c>
      <c r="EQ309" s="1804">
        <v>0</v>
      </c>
      <c r="ER309" s="1804">
        <v>0</v>
      </c>
      <c r="ES309" s="1804">
        <v>0</v>
      </c>
      <c r="ET309" s="1804">
        <v>0</v>
      </c>
      <c r="EU309" s="1804">
        <v>0</v>
      </c>
      <c r="EV309" s="1804">
        <v>0</v>
      </c>
      <c r="EW309" s="1804">
        <v>0</v>
      </c>
      <c r="EX309" s="1804">
        <v>0</v>
      </c>
      <c r="EY309" s="1804">
        <v>0</v>
      </c>
      <c r="EZ309" s="1804">
        <v>0</v>
      </c>
      <c r="FA309" s="1804">
        <v>0</v>
      </c>
      <c r="FB309" s="1804">
        <v>0</v>
      </c>
      <c r="FC309" s="1804">
        <v>0</v>
      </c>
      <c r="FD309" s="1804">
        <v>0</v>
      </c>
      <c r="FE309" s="1804">
        <v>0</v>
      </c>
      <c r="FF309" s="1804">
        <v>0</v>
      </c>
      <c r="FG309" s="1804">
        <v>0</v>
      </c>
      <c r="FH309" s="1804">
        <v>0</v>
      </c>
      <c r="FI309" s="1804">
        <v>0</v>
      </c>
      <c r="FJ309" s="1804">
        <v>0</v>
      </c>
      <c r="FK309" s="1804">
        <v>0</v>
      </c>
      <c r="FL309" s="1804">
        <v>0</v>
      </c>
      <c r="FM309" s="1804">
        <v>0</v>
      </c>
      <c r="FN309" s="1804">
        <v>0</v>
      </c>
      <c r="FO309" s="1804">
        <v>0</v>
      </c>
      <c r="FP309" s="1804">
        <v>0</v>
      </c>
      <c r="FQ309" s="1804">
        <v>0</v>
      </c>
      <c r="FR309" s="1804">
        <v>0</v>
      </c>
      <c r="FS309" s="1804">
        <v>0</v>
      </c>
      <c r="FT309" s="1804">
        <v>0</v>
      </c>
      <c r="FU309" s="1804">
        <v>0</v>
      </c>
      <c r="FV309" s="1804">
        <v>0</v>
      </c>
      <c r="FW309" s="1804">
        <v>0</v>
      </c>
      <c r="FX309" s="1804">
        <v>0</v>
      </c>
      <c r="FY309" s="1804">
        <v>0</v>
      </c>
      <c r="FZ309" s="1804">
        <v>0</v>
      </c>
      <c r="GA309" s="1804">
        <v>0</v>
      </c>
      <c r="GB309" s="1804">
        <v>0</v>
      </c>
      <c r="GC309" s="1804">
        <v>0</v>
      </c>
      <c r="GD309" s="1804">
        <v>0</v>
      </c>
      <c r="GE309" s="1804">
        <v>0</v>
      </c>
      <c r="GF309" s="1804">
        <v>0</v>
      </c>
      <c r="GG309" s="1804">
        <v>0</v>
      </c>
      <c r="GH309" s="1804">
        <v>0</v>
      </c>
      <c r="GI309" s="1804">
        <v>0</v>
      </c>
      <c r="GJ309" s="1804">
        <v>0</v>
      </c>
      <c r="GK309" s="1804">
        <v>0</v>
      </c>
      <c r="GL309" s="1804">
        <v>0</v>
      </c>
      <c r="GM309" s="1804">
        <v>0</v>
      </c>
      <c r="GN309" s="1804">
        <v>0</v>
      </c>
      <c r="GO309" s="1804">
        <v>0</v>
      </c>
      <c r="GP309" s="1804">
        <v>0</v>
      </c>
      <c r="GQ309" s="1804">
        <v>0</v>
      </c>
      <c r="GR309" s="1804">
        <v>0</v>
      </c>
      <c r="GS309" s="1804">
        <v>0</v>
      </c>
      <c r="GT309" s="1804">
        <v>0</v>
      </c>
      <c r="GU309" s="1804">
        <v>0</v>
      </c>
      <c r="GV309" s="1804">
        <v>0</v>
      </c>
      <c r="GW309" s="1804">
        <v>0</v>
      </c>
      <c r="GX309" s="1804">
        <v>0</v>
      </c>
      <c r="GY309" s="1804">
        <v>0</v>
      </c>
      <c r="GZ309" s="1804">
        <v>0</v>
      </c>
      <c r="HA309" s="1804">
        <v>0</v>
      </c>
      <c r="HB309" s="1804">
        <v>0</v>
      </c>
      <c r="HC309" s="1804">
        <v>0</v>
      </c>
      <c r="HD309" s="1804">
        <v>0</v>
      </c>
      <c r="HE309" s="1804">
        <v>0</v>
      </c>
    </row>
    <row r="310" spans="1:213" ht="16.5" customHeight="1" x14ac:dyDescent="0.2">
      <c r="A310" s="1995"/>
      <c r="B310" s="1970"/>
      <c r="C310" s="1816" t="s">
        <v>980</v>
      </c>
      <c r="D310" s="1886"/>
      <c r="E310" s="1996"/>
      <c r="F310" s="1838">
        <v>0</v>
      </c>
      <c r="G310" s="1804">
        <v>0</v>
      </c>
      <c r="H310" s="1804">
        <v>0</v>
      </c>
      <c r="I310" s="1804">
        <v>0</v>
      </c>
      <c r="J310" s="1804">
        <v>0</v>
      </c>
      <c r="K310" s="1804">
        <v>0</v>
      </c>
      <c r="L310" s="1804">
        <v>0</v>
      </c>
      <c r="M310" s="1804">
        <v>0</v>
      </c>
      <c r="N310" s="1804">
        <v>0</v>
      </c>
      <c r="O310" s="1804">
        <v>0</v>
      </c>
      <c r="P310" s="1804">
        <v>0</v>
      </c>
      <c r="Q310" s="1804">
        <v>0</v>
      </c>
      <c r="R310" s="1804">
        <v>0</v>
      </c>
      <c r="S310" s="1804">
        <v>0</v>
      </c>
      <c r="T310" s="1804">
        <v>0</v>
      </c>
      <c r="U310" s="1804">
        <v>0</v>
      </c>
      <c r="V310" s="1804">
        <v>0</v>
      </c>
      <c r="W310" s="1804">
        <v>0</v>
      </c>
      <c r="X310" s="1804">
        <v>0</v>
      </c>
      <c r="Y310" s="1804">
        <v>0</v>
      </c>
      <c r="Z310" s="1804">
        <v>0</v>
      </c>
      <c r="AA310" s="1804">
        <v>0</v>
      </c>
      <c r="AB310" s="1804">
        <v>0</v>
      </c>
      <c r="AC310" s="1804">
        <v>0</v>
      </c>
      <c r="AD310" s="1804">
        <v>0</v>
      </c>
      <c r="AE310" s="1804">
        <v>0</v>
      </c>
      <c r="AF310" s="1804">
        <v>0</v>
      </c>
      <c r="AG310" s="1804">
        <v>0</v>
      </c>
      <c r="AH310" s="1804">
        <v>0</v>
      </c>
      <c r="AI310" s="1804">
        <v>0</v>
      </c>
      <c r="AJ310" s="1804">
        <v>0</v>
      </c>
      <c r="AK310" s="1804">
        <v>0</v>
      </c>
      <c r="AL310" s="1804">
        <v>0</v>
      </c>
      <c r="AM310" s="1804">
        <v>0</v>
      </c>
      <c r="AN310" s="1804">
        <v>0</v>
      </c>
      <c r="AO310" s="1804">
        <v>0</v>
      </c>
      <c r="AP310" s="1804">
        <v>0</v>
      </c>
      <c r="AQ310" s="1804">
        <v>0</v>
      </c>
      <c r="AR310" s="1804">
        <v>0</v>
      </c>
      <c r="AS310" s="1804">
        <v>0</v>
      </c>
      <c r="AT310" s="1804">
        <v>0</v>
      </c>
      <c r="AU310" s="1804">
        <v>0</v>
      </c>
      <c r="AV310" s="1804">
        <v>0</v>
      </c>
      <c r="AW310" s="1804">
        <v>0</v>
      </c>
      <c r="AX310" s="1804">
        <v>0</v>
      </c>
      <c r="AY310" s="1804">
        <v>0</v>
      </c>
      <c r="AZ310" s="1804">
        <v>0</v>
      </c>
      <c r="BA310" s="1804">
        <v>0</v>
      </c>
      <c r="BB310" s="1804">
        <v>0</v>
      </c>
      <c r="BC310" s="1804">
        <v>0</v>
      </c>
      <c r="BD310" s="1804">
        <v>0</v>
      </c>
      <c r="BE310" s="1804">
        <v>0</v>
      </c>
      <c r="BF310" s="1804">
        <v>0</v>
      </c>
      <c r="BG310" s="1804">
        <v>0</v>
      </c>
      <c r="BH310" s="1804">
        <v>0</v>
      </c>
      <c r="BI310" s="1804">
        <v>0</v>
      </c>
      <c r="BJ310" s="1804">
        <v>0</v>
      </c>
      <c r="BK310" s="1804">
        <v>0</v>
      </c>
      <c r="BL310" s="1804">
        <v>0</v>
      </c>
      <c r="BM310" s="1804">
        <v>0</v>
      </c>
      <c r="BN310" s="1804">
        <v>0</v>
      </c>
      <c r="BO310" s="1804">
        <v>0</v>
      </c>
      <c r="BP310" s="1804">
        <v>0</v>
      </c>
      <c r="BQ310" s="1804">
        <v>0</v>
      </c>
      <c r="BR310" s="1804">
        <v>0</v>
      </c>
      <c r="BS310" s="1804">
        <v>0</v>
      </c>
      <c r="BT310" s="1804">
        <v>0</v>
      </c>
      <c r="BU310" s="1804">
        <v>0</v>
      </c>
      <c r="BV310" s="1804">
        <v>0</v>
      </c>
      <c r="BW310" s="1804">
        <v>0</v>
      </c>
      <c r="BX310" s="1804">
        <v>0</v>
      </c>
      <c r="BY310" s="1804">
        <v>0</v>
      </c>
      <c r="BZ310" s="1804">
        <v>0</v>
      </c>
      <c r="CA310" s="1804">
        <v>0</v>
      </c>
      <c r="CB310" s="1804">
        <v>0</v>
      </c>
      <c r="CC310" s="1804">
        <v>0</v>
      </c>
      <c r="CD310" s="1804">
        <v>0</v>
      </c>
      <c r="CE310" s="1804">
        <v>0</v>
      </c>
      <c r="CF310" s="1804">
        <v>0</v>
      </c>
      <c r="CG310" s="1804">
        <v>0</v>
      </c>
      <c r="CH310" s="1804">
        <v>0</v>
      </c>
      <c r="CI310" s="1804">
        <v>0</v>
      </c>
      <c r="CJ310" s="1804">
        <v>0</v>
      </c>
      <c r="CK310" s="1804">
        <v>0</v>
      </c>
      <c r="CL310" s="1804">
        <v>0</v>
      </c>
      <c r="CM310" s="1804">
        <v>0</v>
      </c>
      <c r="CN310" s="1804">
        <v>0</v>
      </c>
      <c r="CO310" s="1804">
        <v>0</v>
      </c>
      <c r="CP310" s="1804">
        <v>0</v>
      </c>
      <c r="CQ310" s="1804">
        <v>0</v>
      </c>
      <c r="CR310" s="1804">
        <v>0</v>
      </c>
      <c r="CS310" s="1804">
        <v>0</v>
      </c>
      <c r="CT310" s="1804">
        <v>0</v>
      </c>
      <c r="CU310" s="1804">
        <v>0</v>
      </c>
      <c r="CV310" s="1804">
        <v>0</v>
      </c>
      <c r="CW310" s="1804">
        <v>0</v>
      </c>
      <c r="CX310" s="1804">
        <v>0</v>
      </c>
      <c r="CY310" s="1804">
        <v>0</v>
      </c>
      <c r="CZ310" s="1804">
        <v>0</v>
      </c>
      <c r="DA310" s="1804">
        <v>0</v>
      </c>
      <c r="DB310" s="1804">
        <v>0</v>
      </c>
      <c r="DC310" s="1804">
        <v>0</v>
      </c>
      <c r="DD310" s="1804">
        <v>0</v>
      </c>
      <c r="DE310" s="1804">
        <v>0</v>
      </c>
      <c r="DF310" s="1804">
        <v>0</v>
      </c>
      <c r="DG310" s="1804">
        <v>0</v>
      </c>
      <c r="DH310" s="1804">
        <v>0</v>
      </c>
      <c r="DI310" s="1804">
        <v>0</v>
      </c>
      <c r="DJ310" s="1804">
        <v>0</v>
      </c>
      <c r="DK310" s="1804">
        <v>0</v>
      </c>
      <c r="DL310" s="1804">
        <v>0</v>
      </c>
      <c r="DM310" s="1804">
        <v>0</v>
      </c>
      <c r="DN310" s="1804">
        <v>0</v>
      </c>
      <c r="DO310" s="1804">
        <v>0</v>
      </c>
      <c r="DP310" s="1804">
        <v>0</v>
      </c>
      <c r="DQ310" s="1804">
        <v>0</v>
      </c>
      <c r="DR310" s="1804">
        <v>0</v>
      </c>
      <c r="DS310" s="1804">
        <v>0</v>
      </c>
      <c r="DT310" s="1804">
        <v>0</v>
      </c>
      <c r="DU310" s="1804">
        <v>0</v>
      </c>
      <c r="DV310" s="1804">
        <v>0</v>
      </c>
      <c r="DW310" s="1804">
        <v>0</v>
      </c>
      <c r="DX310" s="1804">
        <v>0</v>
      </c>
      <c r="DY310" s="1804">
        <v>0</v>
      </c>
      <c r="DZ310" s="1804">
        <v>0</v>
      </c>
      <c r="EA310" s="1804">
        <v>0</v>
      </c>
      <c r="EB310" s="1804">
        <v>0</v>
      </c>
      <c r="EC310" s="1804">
        <v>0</v>
      </c>
      <c r="ED310" s="1804">
        <v>0</v>
      </c>
      <c r="EE310" s="1804">
        <v>0</v>
      </c>
      <c r="EF310" s="1804">
        <v>0</v>
      </c>
      <c r="EG310" s="1804">
        <v>0</v>
      </c>
      <c r="EH310" s="1804">
        <v>0</v>
      </c>
      <c r="EI310" s="1804">
        <v>0</v>
      </c>
      <c r="EJ310" s="1804">
        <v>0</v>
      </c>
      <c r="EK310" s="1804">
        <v>0</v>
      </c>
      <c r="EL310" s="1804">
        <v>0</v>
      </c>
      <c r="EM310" s="1804">
        <v>0</v>
      </c>
      <c r="EN310" s="1804">
        <v>0</v>
      </c>
      <c r="EO310" s="1804">
        <v>0</v>
      </c>
      <c r="EP310" s="1804">
        <v>0</v>
      </c>
      <c r="EQ310" s="1804">
        <v>0</v>
      </c>
      <c r="ER310" s="1804">
        <v>0</v>
      </c>
      <c r="ES310" s="1804">
        <v>0</v>
      </c>
      <c r="ET310" s="1804">
        <v>0</v>
      </c>
      <c r="EU310" s="1804">
        <v>0</v>
      </c>
      <c r="EV310" s="1804">
        <v>0</v>
      </c>
      <c r="EW310" s="1804">
        <v>0</v>
      </c>
      <c r="EX310" s="1804">
        <v>0</v>
      </c>
      <c r="EY310" s="1804">
        <v>0</v>
      </c>
      <c r="EZ310" s="1804">
        <v>0</v>
      </c>
      <c r="FA310" s="1804">
        <v>0</v>
      </c>
      <c r="FB310" s="1804">
        <v>0</v>
      </c>
      <c r="FC310" s="1804">
        <v>0</v>
      </c>
      <c r="FD310" s="1804">
        <v>0</v>
      </c>
      <c r="FE310" s="1804">
        <v>0</v>
      </c>
      <c r="FF310" s="1804">
        <v>0</v>
      </c>
      <c r="FG310" s="1804">
        <v>0</v>
      </c>
      <c r="FH310" s="1804">
        <v>0</v>
      </c>
      <c r="FI310" s="1804">
        <v>0</v>
      </c>
      <c r="FJ310" s="1804">
        <v>0</v>
      </c>
      <c r="FK310" s="1804">
        <v>0</v>
      </c>
      <c r="FL310" s="1804">
        <v>0</v>
      </c>
      <c r="FM310" s="1804">
        <v>0</v>
      </c>
      <c r="FN310" s="1804">
        <v>0</v>
      </c>
      <c r="FO310" s="1804">
        <v>0</v>
      </c>
      <c r="FP310" s="1804">
        <v>0</v>
      </c>
      <c r="FQ310" s="1804">
        <v>0</v>
      </c>
      <c r="FR310" s="1804">
        <v>0</v>
      </c>
      <c r="FS310" s="1804">
        <v>0</v>
      </c>
      <c r="FT310" s="1804">
        <v>0</v>
      </c>
      <c r="FU310" s="1804">
        <v>0</v>
      </c>
      <c r="FV310" s="1804">
        <v>0</v>
      </c>
      <c r="FW310" s="1804">
        <v>0</v>
      </c>
      <c r="FX310" s="1804">
        <v>0</v>
      </c>
      <c r="FY310" s="1804">
        <v>0</v>
      </c>
      <c r="FZ310" s="1804">
        <v>0</v>
      </c>
      <c r="GA310" s="1804">
        <v>0</v>
      </c>
      <c r="GB310" s="1804">
        <v>0</v>
      </c>
      <c r="GC310" s="1804">
        <v>0</v>
      </c>
      <c r="GD310" s="1804">
        <v>0</v>
      </c>
      <c r="GE310" s="1804">
        <v>0</v>
      </c>
      <c r="GF310" s="1804">
        <v>0</v>
      </c>
      <c r="GG310" s="1804">
        <v>0</v>
      </c>
      <c r="GH310" s="1804">
        <v>0</v>
      </c>
      <c r="GI310" s="1804">
        <v>0</v>
      </c>
      <c r="GJ310" s="1804">
        <v>0</v>
      </c>
      <c r="GK310" s="1804">
        <v>0</v>
      </c>
      <c r="GL310" s="1804">
        <v>0</v>
      </c>
      <c r="GM310" s="1804">
        <v>0</v>
      </c>
      <c r="GN310" s="1804">
        <v>0</v>
      </c>
      <c r="GO310" s="1804">
        <v>0</v>
      </c>
      <c r="GP310" s="1804">
        <v>0</v>
      </c>
      <c r="GQ310" s="1804">
        <v>0</v>
      </c>
      <c r="GR310" s="1804">
        <v>0</v>
      </c>
      <c r="GS310" s="1804">
        <v>0</v>
      </c>
      <c r="GT310" s="1804">
        <v>0</v>
      </c>
      <c r="GU310" s="1804">
        <v>0</v>
      </c>
      <c r="GV310" s="1804">
        <v>0</v>
      </c>
      <c r="GW310" s="1804">
        <v>0</v>
      </c>
      <c r="GX310" s="1804">
        <v>0</v>
      </c>
      <c r="GY310" s="1804">
        <v>0</v>
      </c>
      <c r="GZ310" s="1804">
        <v>0</v>
      </c>
      <c r="HA310" s="1804">
        <v>0</v>
      </c>
      <c r="HB310" s="1804">
        <v>0</v>
      </c>
      <c r="HC310" s="1804">
        <v>0</v>
      </c>
      <c r="HD310" s="1804">
        <v>0</v>
      </c>
      <c r="HE310" s="1804">
        <v>0</v>
      </c>
    </row>
    <row r="311" spans="1:213" ht="15" customHeight="1" thickBot="1" x14ac:dyDescent="0.25">
      <c r="A311" s="1995"/>
      <c r="B311" s="1970"/>
      <c r="C311" s="1691" t="s">
        <v>981</v>
      </c>
      <c r="D311" s="1886"/>
      <c r="E311" s="1996"/>
      <c r="F311" s="1838">
        <v>0</v>
      </c>
      <c r="G311" s="1804">
        <v>0</v>
      </c>
      <c r="H311" s="1804">
        <v>0</v>
      </c>
      <c r="I311" s="1804">
        <v>0</v>
      </c>
      <c r="J311" s="1804">
        <v>0</v>
      </c>
      <c r="K311" s="1804">
        <v>0</v>
      </c>
      <c r="L311" s="1804">
        <v>0</v>
      </c>
      <c r="M311" s="1804">
        <v>0</v>
      </c>
      <c r="N311" s="1804">
        <v>0</v>
      </c>
      <c r="O311" s="1804">
        <v>0</v>
      </c>
      <c r="P311" s="1804">
        <v>0</v>
      </c>
      <c r="Q311" s="1804">
        <v>0</v>
      </c>
      <c r="R311" s="1804">
        <v>0</v>
      </c>
      <c r="S311" s="1804">
        <v>0</v>
      </c>
      <c r="T311" s="1804">
        <v>0</v>
      </c>
      <c r="U311" s="1804">
        <v>0</v>
      </c>
      <c r="V311" s="1804">
        <v>0</v>
      </c>
      <c r="W311" s="1804">
        <v>0</v>
      </c>
      <c r="X311" s="1804">
        <v>0</v>
      </c>
      <c r="Y311" s="1804">
        <v>0</v>
      </c>
      <c r="Z311" s="1804">
        <v>0</v>
      </c>
      <c r="AA311" s="1804">
        <v>0</v>
      </c>
      <c r="AB311" s="1804">
        <v>0</v>
      </c>
      <c r="AC311" s="1804">
        <v>0</v>
      </c>
      <c r="AD311" s="1804">
        <v>0</v>
      </c>
      <c r="AE311" s="1804">
        <v>0</v>
      </c>
      <c r="AF311" s="1804">
        <v>0</v>
      </c>
      <c r="AG311" s="1804">
        <v>0</v>
      </c>
      <c r="AH311" s="1804">
        <v>0</v>
      </c>
      <c r="AI311" s="1804">
        <v>0</v>
      </c>
      <c r="AJ311" s="1804">
        <v>0</v>
      </c>
      <c r="AK311" s="1804">
        <v>0</v>
      </c>
      <c r="AL311" s="1804">
        <v>0</v>
      </c>
      <c r="AM311" s="1804">
        <v>0</v>
      </c>
      <c r="AN311" s="1804">
        <v>0</v>
      </c>
      <c r="AO311" s="1804">
        <v>0</v>
      </c>
      <c r="AP311" s="1804">
        <v>0</v>
      </c>
      <c r="AQ311" s="1804">
        <v>0</v>
      </c>
      <c r="AR311" s="1804">
        <v>0</v>
      </c>
      <c r="AS311" s="1804">
        <v>0</v>
      </c>
      <c r="AT311" s="1804">
        <v>0</v>
      </c>
      <c r="AU311" s="1804">
        <v>0</v>
      </c>
      <c r="AV311" s="1804">
        <v>0</v>
      </c>
      <c r="AW311" s="1804">
        <v>0</v>
      </c>
      <c r="AX311" s="1804">
        <v>0</v>
      </c>
      <c r="AY311" s="1804">
        <v>0</v>
      </c>
      <c r="AZ311" s="1804">
        <v>0</v>
      </c>
      <c r="BA311" s="1804">
        <v>0</v>
      </c>
      <c r="BB311" s="1804">
        <v>0</v>
      </c>
      <c r="BC311" s="1804">
        <v>0</v>
      </c>
      <c r="BD311" s="1804">
        <v>0</v>
      </c>
      <c r="BE311" s="1804">
        <v>0</v>
      </c>
      <c r="BF311" s="1804">
        <v>0</v>
      </c>
      <c r="BG311" s="1804">
        <v>0</v>
      </c>
      <c r="BH311" s="1804">
        <v>0</v>
      </c>
      <c r="BI311" s="1804">
        <v>0</v>
      </c>
      <c r="BJ311" s="1804">
        <v>0</v>
      </c>
      <c r="BK311" s="1804">
        <v>0</v>
      </c>
      <c r="BL311" s="1804">
        <v>0</v>
      </c>
      <c r="BM311" s="1804">
        <v>0</v>
      </c>
      <c r="BN311" s="1804">
        <v>0</v>
      </c>
      <c r="BO311" s="1804">
        <v>0</v>
      </c>
      <c r="BP311" s="1804">
        <v>0</v>
      </c>
      <c r="BQ311" s="1804">
        <v>0</v>
      </c>
      <c r="BR311" s="1804">
        <v>0</v>
      </c>
      <c r="BS311" s="1804">
        <v>0</v>
      </c>
      <c r="BT311" s="1804">
        <v>0</v>
      </c>
      <c r="BU311" s="1804">
        <v>0</v>
      </c>
      <c r="BV311" s="1804">
        <v>0</v>
      </c>
      <c r="BW311" s="1804">
        <v>0</v>
      </c>
      <c r="BX311" s="1804">
        <v>0</v>
      </c>
      <c r="BY311" s="1804">
        <v>0</v>
      </c>
      <c r="BZ311" s="1804">
        <v>0</v>
      </c>
      <c r="CA311" s="1804">
        <v>0</v>
      </c>
      <c r="CB311" s="1804">
        <v>0</v>
      </c>
      <c r="CC311" s="1804">
        <v>0</v>
      </c>
      <c r="CD311" s="1804">
        <v>0</v>
      </c>
      <c r="CE311" s="1804">
        <v>0</v>
      </c>
      <c r="CF311" s="1804">
        <v>0</v>
      </c>
      <c r="CG311" s="1804">
        <v>0</v>
      </c>
      <c r="CH311" s="1804">
        <v>0</v>
      </c>
      <c r="CI311" s="1804">
        <v>0</v>
      </c>
      <c r="CJ311" s="1804">
        <v>0</v>
      </c>
      <c r="CK311" s="1804">
        <v>0</v>
      </c>
      <c r="CL311" s="1804">
        <v>0</v>
      </c>
      <c r="CM311" s="1804">
        <v>0</v>
      </c>
      <c r="CN311" s="1804">
        <v>0</v>
      </c>
      <c r="CO311" s="1804">
        <v>0</v>
      </c>
      <c r="CP311" s="1804">
        <v>0</v>
      </c>
      <c r="CQ311" s="1804">
        <v>0</v>
      </c>
      <c r="CR311" s="1804">
        <v>0</v>
      </c>
      <c r="CS311" s="1804">
        <v>0</v>
      </c>
      <c r="CT311" s="1804">
        <v>0</v>
      </c>
      <c r="CU311" s="1804">
        <v>0</v>
      </c>
      <c r="CV311" s="1804">
        <v>0</v>
      </c>
      <c r="CW311" s="1804">
        <v>0</v>
      </c>
      <c r="CX311" s="1804">
        <v>0</v>
      </c>
      <c r="CY311" s="1804">
        <v>0</v>
      </c>
      <c r="CZ311" s="1804">
        <v>0</v>
      </c>
      <c r="DA311" s="1804">
        <v>0</v>
      </c>
      <c r="DB311" s="1804">
        <v>0</v>
      </c>
      <c r="DC311" s="1804">
        <v>0</v>
      </c>
      <c r="DD311" s="1804">
        <v>0</v>
      </c>
      <c r="DE311" s="1804">
        <v>0</v>
      </c>
      <c r="DF311" s="1804">
        <v>0</v>
      </c>
      <c r="DG311" s="1804">
        <v>0</v>
      </c>
      <c r="DH311" s="1804">
        <v>0</v>
      </c>
      <c r="DI311" s="1804">
        <v>0</v>
      </c>
      <c r="DJ311" s="1804">
        <v>0</v>
      </c>
      <c r="DK311" s="1804">
        <v>0</v>
      </c>
      <c r="DL311" s="1804">
        <v>0</v>
      </c>
      <c r="DM311" s="1804">
        <v>0</v>
      </c>
      <c r="DN311" s="1804">
        <v>0</v>
      </c>
      <c r="DO311" s="1804">
        <v>0</v>
      </c>
      <c r="DP311" s="1804">
        <v>0</v>
      </c>
      <c r="DQ311" s="1804">
        <v>0</v>
      </c>
      <c r="DR311" s="1804">
        <v>0</v>
      </c>
      <c r="DS311" s="1804">
        <v>0</v>
      </c>
      <c r="DT311" s="1804">
        <v>0</v>
      </c>
      <c r="DU311" s="1804">
        <v>0</v>
      </c>
      <c r="DV311" s="1804">
        <v>0</v>
      </c>
      <c r="DW311" s="1804">
        <v>0</v>
      </c>
      <c r="DX311" s="1804">
        <v>0</v>
      </c>
      <c r="DY311" s="1804">
        <v>0</v>
      </c>
      <c r="DZ311" s="1804">
        <v>0</v>
      </c>
      <c r="EA311" s="1804">
        <v>0</v>
      </c>
      <c r="EB311" s="1804">
        <v>0</v>
      </c>
      <c r="EC311" s="1804">
        <v>0</v>
      </c>
      <c r="ED311" s="1804">
        <v>0</v>
      </c>
      <c r="EE311" s="1804">
        <v>0</v>
      </c>
      <c r="EF311" s="1804">
        <v>0</v>
      </c>
      <c r="EG311" s="1804">
        <v>0</v>
      </c>
      <c r="EH311" s="1804">
        <v>0</v>
      </c>
      <c r="EI311" s="1804">
        <v>0</v>
      </c>
      <c r="EJ311" s="1804">
        <v>0</v>
      </c>
      <c r="EK311" s="1804">
        <v>0</v>
      </c>
      <c r="EL311" s="1804">
        <v>0</v>
      </c>
      <c r="EM311" s="1804">
        <v>0</v>
      </c>
      <c r="EN311" s="1804">
        <v>0</v>
      </c>
      <c r="EO311" s="1804">
        <v>0</v>
      </c>
      <c r="EP311" s="1804">
        <v>0</v>
      </c>
      <c r="EQ311" s="1804">
        <v>0</v>
      </c>
      <c r="ER311" s="1804">
        <v>0</v>
      </c>
      <c r="ES311" s="1804">
        <v>0</v>
      </c>
      <c r="ET311" s="1804">
        <v>0</v>
      </c>
      <c r="EU311" s="1804">
        <v>0</v>
      </c>
      <c r="EV311" s="1804">
        <v>0</v>
      </c>
      <c r="EW311" s="1804">
        <v>0</v>
      </c>
      <c r="EX311" s="1804">
        <v>0</v>
      </c>
      <c r="EY311" s="1804">
        <v>0</v>
      </c>
      <c r="EZ311" s="1804">
        <v>0</v>
      </c>
      <c r="FA311" s="1804">
        <v>0</v>
      </c>
      <c r="FB311" s="1804">
        <v>0</v>
      </c>
      <c r="FC311" s="1804">
        <v>0</v>
      </c>
      <c r="FD311" s="1804">
        <v>0</v>
      </c>
      <c r="FE311" s="1804">
        <v>0</v>
      </c>
      <c r="FF311" s="1804">
        <v>0</v>
      </c>
      <c r="FG311" s="1804">
        <v>0</v>
      </c>
      <c r="FH311" s="1804">
        <v>0</v>
      </c>
      <c r="FI311" s="1804">
        <v>0</v>
      </c>
      <c r="FJ311" s="1804">
        <v>0</v>
      </c>
      <c r="FK311" s="1804">
        <v>0</v>
      </c>
      <c r="FL311" s="1804">
        <v>0</v>
      </c>
      <c r="FM311" s="1804">
        <v>0</v>
      </c>
      <c r="FN311" s="1804">
        <v>0</v>
      </c>
      <c r="FO311" s="1804">
        <v>0</v>
      </c>
      <c r="FP311" s="1804">
        <v>0</v>
      </c>
      <c r="FQ311" s="1804">
        <v>0</v>
      </c>
      <c r="FR311" s="1804">
        <v>0</v>
      </c>
      <c r="FS311" s="1804">
        <v>0</v>
      </c>
      <c r="FT311" s="1804">
        <v>0</v>
      </c>
      <c r="FU311" s="1804">
        <v>0</v>
      </c>
      <c r="FV311" s="1804">
        <v>0</v>
      </c>
      <c r="FW311" s="1804">
        <v>0</v>
      </c>
      <c r="FX311" s="1804">
        <v>0</v>
      </c>
      <c r="FY311" s="1804">
        <v>0</v>
      </c>
      <c r="FZ311" s="1804">
        <v>0</v>
      </c>
      <c r="GA311" s="1804">
        <v>0</v>
      </c>
      <c r="GB311" s="1804">
        <v>0</v>
      </c>
      <c r="GC311" s="1804">
        <v>0</v>
      </c>
      <c r="GD311" s="1804">
        <v>0</v>
      </c>
      <c r="GE311" s="1804">
        <v>0</v>
      </c>
      <c r="GF311" s="1804">
        <v>0</v>
      </c>
      <c r="GG311" s="1804">
        <v>0</v>
      </c>
      <c r="GH311" s="1804">
        <v>0</v>
      </c>
      <c r="GI311" s="1804">
        <v>0</v>
      </c>
      <c r="GJ311" s="1804">
        <v>0</v>
      </c>
      <c r="GK311" s="1804">
        <v>0</v>
      </c>
      <c r="GL311" s="1804">
        <v>0</v>
      </c>
      <c r="GM311" s="1804">
        <v>0</v>
      </c>
      <c r="GN311" s="1804">
        <v>0</v>
      </c>
      <c r="GO311" s="1804">
        <v>0</v>
      </c>
      <c r="GP311" s="1804">
        <v>0</v>
      </c>
      <c r="GQ311" s="1804">
        <v>0</v>
      </c>
      <c r="GR311" s="1804">
        <v>0</v>
      </c>
      <c r="GS311" s="1804">
        <v>0</v>
      </c>
      <c r="GT311" s="1804">
        <v>0</v>
      </c>
      <c r="GU311" s="1804">
        <v>0</v>
      </c>
      <c r="GV311" s="1804">
        <v>0</v>
      </c>
      <c r="GW311" s="1804">
        <v>0</v>
      </c>
      <c r="GX311" s="1804">
        <v>0</v>
      </c>
      <c r="GY311" s="1804">
        <v>0</v>
      </c>
      <c r="GZ311" s="1804">
        <v>0</v>
      </c>
      <c r="HA311" s="1804">
        <v>0</v>
      </c>
      <c r="HB311" s="1804">
        <v>0</v>
      </c>
      <c r="HC311" s="1804">
        <v>0</v>
      </c>
      <c r="HD311" s="1804">
        <v>0</v>
      </c>
      <c r="HE311" s="1804">
        <v>0</v>
      </c>
    </row>
    <row r="312" spans="1:213" ht="21" customHeight="1" thickBot="1" x14ac:dyDescent="0.25">
      <c r="A312" s="1963" t="s">
        <v>25</v>
      </c>
      <c r="B312" s="1988" t="s">
        <v>983</v>
      </c>
      <c r="C312" s="1832" t="s">
        <v>780</v>
      </c>
      <c r="D312" s="1880"/>
      <c r="E312" s="1984"/>
      <c r="F312" s="1865"/>
      <c r="G312" s="1866"/>
      <c r="H312" s="1866"/>
      <c r="I312" s="1866"/>
      <c r="J312" s="1866"/>
      <c r="K312" s="1866"/>
      <c r="L312" s="1866"/>
      <c r="M312" s="1866"/>
      <c r="N312" s="1866"/>
      <c r="O312" s="1866"/>
      <c r="P312" s="1866"/>
      <c r="Q312" s="1866"/>
      <c r="R312" s="1866"/>
      <c r="S312" s="1866"/>
      <c r="T312" s="1866"/>
      <c r="U312" s="1866"/>
      <c r="V312" s="1866"/>
      <c r="W312" s="1866"/>
      <c r="X312" s="1866"/>
      <c r="Y312" s="1866"/>
      <c r="Z312" s="1866"/>
      <c r="AA312" s="1866"/>
      <c r="AB312" s="1866"/>
      <c r="AC312" s="1866"/>
      <c r="AD312" s="1866"/>
      <c r="AE312" s="1866"/>
      <c r="AF312" s="1866"/>
      <c r="AG312" s="1866"/>
      <c r="AH312" s="1866"/>
      <c r="AI312" s="1866"/>
      <c r="AJ312" s="1866"/>
      <c r="AK312" s="1866"/>
      <c r="AL312" s="1866"/>
      <c r="AM312" s="1866"/>
      <c r="AN312" s="1866"/>
      <c r="AO312" s="1866"/>
      <c r="AP312" s="1866"/>
      <c r="AQ312" s="1866"/>
      <c r="AR312" s="1866"/>
      <c r="AS312" s="1866"/>
      <c r="AT312" s="1866"/>
      <c r="AU312" s="1866"/>
      <c r="AV312" s="1866"/>
      <c r="AW312" s="1866"/>
      <c r="AX312" s="1866"/>
      <c r="AY312" s="1866"/>
      <c r="AZ312" s="1866"/>
      <c r="BA312" s="1866"/>
      <c r="BB312" s="1866"/>
      <c r="BC312" s="1866"/>
      <c r="BD312" s="1866"/>
      <c r="BE312" s="1866"/>
      <c r="BF312" s="1866"/>
      <c r="BG312" s="1866"/>
      <c r="BH312" s="1866"/>
      <c r="BI312" s="1866"/>
      <c r="BJ312" s="1866"/>
      <c r="BK312" s="1866"/>
      <c r="BL312" s="1866"/>
      <c r="BM312" s="1866"/>
      <c r="BN312" s="1866"/>
      <c r="BO312" s="1866"/>
      <c r="BP312" s="1866"/>
      <c r="BQ312" s="1866"/>
      <c r="BR312" s="1866"/>
      <c r="BS312" s="1866"/>
      <c r="BT312" s="1866"/>
      <c r="BU312" s="1866"/>
      <c r="BV312" s="1866"/>
      <c r="BW312" s="1866"/>
      <c r="BX312" s="1866"/>
      <c r="BY312" s="1866"/>
      <c r="BZ312" s="1866"/>
      <c r="CA312" s="1866"/>
      <c r="CB312" s="1866"/>
      <c r="CC312" s="1866"/>
      <c r="CD312" s="1866"/>
      <c r="CE312" s="1866"/>
      <c r="CF312" s="1866"/>
      <c r="CG312" s="1866"/>
      <c r="CH312" s="1866"/>
      <c r="CI312" s="1866"/>
      <c r="CJ312" s="1866"/>
      <c r="CK312" s="1866"/>
      <c r="CL312" s="1866"/>
      <c r="CM312" s="1866"/>
      <c r="CN312" s="1866"/>
      <c r="CO312" s="1866"/>
      <c r="CP312" s="1866"/>
      <c r="CQ312" s="1866"/>
      <c r="CR312" s="1866"/>
      <c r="CS312" s="1866"/>
      <c r="CT312" s="1866"/>
      <c r="CU312" s="1866"/>
      <c r="CV312" s="1866"/>
      <c r="CW312" s="1866"/>
      <c r="CX312" s="1866"/>
      <c r="CY312" s="1866"/>
      <c r="CZ312" s="1866"/>
      <c r="DA312" s="1866"/>
      <c r="DB312" s="1866"/>
      <c r="DC312" s="1866"/>
      <c r="DD312" s="1866"/>
      <c r="DE312" s="1866"/>
      <c r="DF312" s="1866"/>
      <c r="DG312" s="1866"/>
      <c r="DH312" s="1866"/>
      <c r="DI312" s="1866"/>
      <c r="DJ312" s="1866"/>
      <c r="DK312" s="1866"/>
      <c r="DL312" s="1866"/>
      <c r="DM312" s="1866"/>
      <c r="DN312" s="1866"/>
      <c r="DO312" s="1866"/>
      <c r="DP312" s="1866"/>
      <c r="DQ312" s="1866"/>
      <c r="DR312" s="1866"/>
      <c r="DS312" s="1866"/>
      <c r="DT312" s="1866"/>
      <c r="DU312" s="1866"/>
      <c r="DV312" s="1866"/>
      <c r="DW312" s="1866"/>
      <c r="DX312" s="1866"/>
      <c r="DY312" s="1866"/>
      <c r="DZ312" s="1866"/>
      <c r="EA312" s="1866"/>
      <c r="EB312" s="1866"/>
      <c r="EC312" s="1866"/>
      <c r="ED312" s="1866"/>
      <c r="EE312" s="1866"/>
      <c r="EF312" s="1866"/>
      <c r="EG312" s="1866"/>
      <c r="EH312" s="1866"/>
      <c r="EI312" s="1866"/>
      <c r="EJ312" s="1866"/>
      <c r="EK312" s="1866"/>
      <c r="EL312" s="1866"/>
      <c r="EM312" s="1866"/>
      <c r="EN312" s="1866"/>
      <c r="EO312" s="1866"/>
      <c r="EP312" s="1866"/>
      <c r="EQ312" s="1866"/>
      <c r="ER312" s="1866"/>
      <c r="ES312" s="1866"/>
      <c r="ET312" s="1866"/>
      <c r="EU312" s="1866"/>
      <c r="EV312" s="1866"/>
      <c r="EW312" s="1866"/>
      <c r="EX312" s="1866"/>
      <c r="EY312" s="1866"/>
      <c r="EZ312" s="1866"/>
      <c r="FA312" s="1866"/>
      <c r="FB312" s="1866"/>
      <c r="FC312" s="1866"/>
      <c r="FD312" s="1866"/>
      <c r="FE312" s="1866"/>
      <c r="FF312" s="1866"/>
      <c r="FG312" s="1866"/>
      <c r="FH312" s="1866"/>
      <c r="FI312" s="1866"/>
      <c r="FJ312" s="1866"/>
      <c r="FK312" s="1866"/>
      <c r="FL312" s="1866"/>
      <c r="FM312" s="1866"/>
      <c r="FN312" s="1866"/>
      <c r="FO312" s="1866"/>
      <c r="FP312" s="1866"/>
      <c r="FQ312" s="1866"/>
      <c r="FR312" s="1866"/>
      <c r="FS312" s="1866"/>
      <c r="FT312" s="1866"/>
      <c r="FU312" s="1866"/>
      <c r="FV312" s="1866"/>
      <c r="FW312" s="1866"/>
      <c r="FX312" s="1866"/>
      <c r="FY312" s="1866"/>
      <c r="FZ312" s="1866"/>
      <c r="GA312" s="1866"/>
      <c r="GB312" s="1866"/>
      <c r="GC312" s="1866"/>
      <c r="GD312" s="1866"/>
      <c r="GE312" s="1866"/>
      <c r="GF312" s="1866"/>
      <c r="GG312" s="1866"/>
      <c r="GH312" s="1866"/>
      <c r="GI312" s="1866"/>
      <c r="GJ312" s="1866"/>
      <c r="GK312" s="1866"/>
      <c r="GL312" s="1866"/>
      <c r="GM312" s="1866"/>
      <c r="GN312" s="1866"/>
      <c r="GO312" s="1866"/>
      <c r="GP312" s="1866"/>
      <c r="GQ312" s="1866"/>
      <c r="GR312" s="1866"/>
      <c r="GS312" s="1866"/>
      <c r="GT312" s="1866"/>
      <c r="GU312" s="1866"/>
      <c r="GV312" s="1866"/>
      <c r="GW312" s="1866"/>
      <c r="GX312" s="1866"/>
      <c r="GY312" s="1866"/>
      <c r="GZ312" s="1866"/>
      <c r="HA312" s="1866"/>
      <c r="HB312" s="1866"/>
      <c r="HC312" s="1866"/>
      <c r="HD312" s="1866"/>
      <c r="HE312" s="1866"/>
    </row>
    <row r="313" spans="1:213" ht="15" customHeight="1" x14ac:dyDescent="0.2">
      <c r="A313" s="1964"/>
      <c r="B313" s="1989"/>
      <c r="C313" s="1714" t="s">
        <v>758</v>
      </c>
      <c r="D313" s="1886"/>
      <c r="E313" s="1984"/>
      <c r="F313" s="1838">
        <v>0</v>
      </c>
      <c r="G313" s="1804">
        <v>0</v>
      </c>
      <c r="H313" s="1804">
        <v>0</v>
      </c>
      <c r="I313" s="1804">
        <v>0</v>
      </c>
      <c r="J313" s="1804">
        <v>0</v>
      </c>
      <c r="K313" s="1804">
        <v>0</v>
      </c>
      <c r="L313" s="1804">
        <v>0</v>
      </c>
      <c r="M313" s="1804">
        <v>0</v>
      </c>
      <c r="N313" s="1804">
        <v>0</v>
      </c>
      <c r="O313" s="1804">
        <v>0</v>
      </c>
      <c r="P313" s="1804">
        <v>0</v>
      </c>
      <c r="Q313" s="1804">
        <v>0</v>
      </c>
      <c r="R313" s="1804">
        <v>0</v>
      </c>
      <c r="S313" s="1804">
        <v>0</v>
      </c>
      <c r="T313" s="1804">
        <v>0</v>
      </c>
      <c r="U313" s="1804">
        <v>0</v>
      </c>
      <c r="V313" s="1804">
        <v>0</v>
      </c>
      <c r="W313" s="1804">
        <v>0</v>
      </c>
      <c r="X313" s="1804">
        <v>0</v>
      </c>
      <c r="Y313" s="1804">
        <v>0</v>
      </c>
      <c r="Z313" s="1804">
        <v>0</v>
      </c>
      <c r="AA313" s="1804">
        <v>0</v>
      </c>
      <c r="AB313" s="1804">
        <v>0</v>
      </c>
      <c r="AC313" s="1804">
        <v>0</v>
      </c>
      <c r="AD313" s="1804">
        <v>0</v>
      </c>
      <c r="AE313" s="1804">
        <v>0</v>
      </c>
      <c r="AF313" s="1804">
        <v>0</v>
      </c>
      <c r="AG313" s="1804">
        <v>0</v>
      </c>
      <c r="AH313" s="1804">
        <v>0</v>
      </c>
      <c r="AI313" s="1804">
        <v>0</v>
      </c>
      <c r="AJ313" s="1804">
        <v>0</v>
      </c>
      <c r="AK313" s="1804">
        <v>0</v>
      </c>
      <c r="AL313" s="1804">
        <v>0</v>
      </c>
      <c r="AM313" s="1804">
        <v>0</v>
      </c>
      <c r="AN313" s="1804">
        <v>0</v>
      </c>
      <c r="AO313" s="1804">
        <v>0</v>
      </c>
      <c r="AP313" s="1804">
        <v>0</v>
      </c>
      <c r="AQ313" s="1804">
        <v>0</v>
      </c>
      <c r="AR313" s="1804">
        <v>0</v>
      </c>
      <c r="AS313" s="1804">
        <v>0</v>
      </c>
      <c r="AT313" s="1804">
        <v>0</v>
      </c>
      <c r="AU313" s="1804">
        <v>0</v>
      </c>
      <c r="AV313" s="1804">
        <v>0</v>
      </c>
      <c r="AW313" s="1804">
        <v>0</v>
      </c>
      <c r="AX313" s="1804">
        <v>0</v>
      </c>
      <c r="AY313" s="1804">
        <v>0</v>
      </c>
      <c r="AZ313" s="1804">
        <v>0</v>
      </c>
      <c r="BA313" s="1804">
        <v>0</v>
      </c>
      <c r="BB313" s="1804">
        <v>0</v>
      </c>
      <c r="BC313" s="1804">
        <v>0</v>
      </c>
      <c r="BD313" s="1804">
        <v>0</v>
      </c>
      <c r="BE313" s="1804">
        <v>0</v>
      </c>
      <c r="BF313" s="1804">
        <v>0</v>
      </c>
      <c r="BG313" s="1804">
        <v>0</v>
      </c>
      <c r="BH313" s="1804">
        <v>0</v>
      </c>
      <c r="BI313" s="1804">
        <v>0</v>
      </c>
      <c r="BJ313" s="1804">
        <v>0</v>
      </c>
      <c r="BK313" s="1804">
        <v>0</v>
      </c>
      <c r="BL313" s="1804">
        <v>0</v>
      </c>
      <c r="BM313" s="1804">
        <v>0</v>
      </c>
      <c r="BN313" s="1804">
        <v>0</v>
      </c>
      <c r="BO313" s="1804">
        <v>0</v>
      </c>
      <c r="BP313" s="1804">
        <v>0</v>
      </c>
      <c r="BQ313" s="1804">
        <v>0</v>
      </c>
      <c r="BR313" s="1804">
        <v>0</v>
      </c>
      <c r="BS313" s="1804">
        <v>0</v>
      </c>
      <c r="BT313" s="1804">
        <v>0</v>
      </c>
      <c r="BU313" s="1804">
        <v>0</v>
      </c>
      <c r="BV313" s="1804">
        <v>0</v>
      </c>
      <c r="BW313" s="1804">
        <v>0</v>
      </c>
      <c r="BX313" s="1804">
        <v>0</v>
      </c>
      <c r="BY313" s="1804">
        <v>0</v>
      </c>
      <c r="BZ313" s="1804">
        <v>0</v>
      </c>
      <c r="CA313" s="1804">
        <v>0</v>
      </c>
      <c r="CB313" s="1804">
        <v>0</v>
      </c>
      <c r="CC313" s="1804">
        <v>0</v>
      </c>
      <c r="CD313" s="1804">
        <v>0</v>
      </c>
      <c r="CE313" s="1804">
        <v>0</v>
      </c>
      <c r="CF313" s="1804">
        <v>0</v>
      </c>
      <c r="CG313" s="1804">
        <v>0</v>
      </c>
      <c r="CH313" s="1804">
        <v>0</v>
      </c>
      <c r="CI313" s="1804">
        <v>0</v>
      </c>
      <c r="CJ313" s="1804">
        <v>0</v>
      </c>
      <c r="CK313" s="1804">
        <v>0</v>
      </c>
      <c r="CL313" s="1804">
        <v>0</v>
      </c>
      <c r="CM313" s="1804">
        <v>0</v>
      </c>
      <c r="CN313" s="1804">
        <v>0</v>
      </c>
      <c r="CO313" s="1804">
        <v>0</v>
      </c>
      <c r="CP313" s="1804">
        <v>0</v>
      </c>
      <c r="CQ313" s="1804">
        <v>0</v>
      </c>
      <c r="CR313" s="1804">
        <v>0</v>
      </c>
      <c r="CS313" s="1804">
        <v>0</v>
      </c>
      <c r="CT313" s="1804">
        <v>0</v>
      </c>
      <c r="CU313" s="1804">
        <v>0</v>
      </c>
      <c r="CV313" s="1804">
        <v>0</v>
      </c>
      <c r="CW313" s="1804">
        <v>0</v>
      </c>
      <c r="CX313" s="1804">
        <v>0</v>
      </c>
      <c r="CY313" s="1804">
        <v>0</v>
      </c>
      <c r="CZ313" s="1804">
        <v>0</v>
      </c>
      <c r="DA313" s="1804">
        <v>0</v>
      </c>
      <c r="DB313" s="1804">
        <v>0</v>
      </c>
      <c r="DC313" s="1804">
        <v>0</v>
      </c>
      <c r="DD313" s="1804">
        <v>0</v>
      </c>
      <c r="DE313" s="1804">
        <v>0</v>
      </c>
      <c r="DF313" s="1804">
        <v>0</v>
      </c>
      <c r="DG313" s="1804">
        <v>0</v>
      </c>
      <c r="DH313" s="1804">
        <v>0</v>
      </c>
      <c r="DI313" s="1804">
        <v>0</v>
      </c>
      <c r="DJ313" s="1804">
        <v>0</v>
      </c>
      <c r="DK313" s="1804">
        <v>0</v>
      </c>
      <c r="DL313" s="1804">
        <v>0</v>
      </c>
      <c r="DM313" s="1804">
        <v>0</v>
      </c>
      <c r="DN313" s="1804">
        <v>0</v>
      </c>
      <c r="DO313" s="1804">
        <v>0</v>
      </c>
      <c r="DP313" s="1804">
        <v>0</v>
      </c>
      <c r="DQ313" s="1804">
        <v>0</v>
      </c>
      <c r="DR313" s="1804">
        <v>0</v>
      </c>
      <c r="DS313" s="1804">
        <v>0</v>
      </c>
      <c r="DT313" s="1804">
        <v>0</v>
      </c>
      <c r="DU313" s="1804">
        <v>0</v>
      </c>
      <c r="DV313" s="1804">
        <v>0</v>
      </c>
      <c r="DW313" s="1804">
        <v>0</v>
      </c>
      <c r="DX313" s="1804">
        <v>0</v>
      </c>
      <c r="DY313" s="1804">
        <v>0</v>
      </c>
      <c r="DZ313" s="1804">
        <v>0</v>
      </c>
      <c r="EA313" s="1804">
        <v>0</v>
      </c>
      <c r="EB313" s="1804">
        <v>0</v>
      </c>
      <c r="EC313" s="1804">
        <v>0</v>
      </c>
      <c r="ED313" s="1804">
        <v>0</v>
      </c>
      <c r="EE313" s="1804">
        <v>0</v>
      </c>
      <c r="EF313" s="1804">
        <v>0</v>
      </c>
      <c r="EG313" s="1804">
        <v>0</v>
      </c>
      <c r="EH313" s="1804">
        <v>0</v>
      </c>
      <c r="EI313" s="1804">
        <v>0</v>
      </c>
      <c r="EJ313" s="1804">
        <v>0</v>
      </c>
      <c r="EK313" s="1804">
        <v>0</v>
      </c>
      <c r="EL313" s="1804">
        <v>0</v>
      </c>
      <c r="EM313" s="1804">
        <v>0</v>
      </c>
      <c r="EN313" s="1804">
        <v>0</v>
      </c>
      <c r="EO313" s="1804">
        <v>0</v>
      </c>
      <c r="EP313" s="1804">
        <v>0</v>
      </c>
      <c r="EQ313" s="1804">
        <v>0</v>
      </c>
      <c r="ER313" s="1804">
        <v>0</v>
      </c>
      <c r="ES313" s="1804">
        <v>0</v>
      </c>
      <c r="ET313" s="1804">
        <v>0</v>
      </c>
      <c r="EU313" s="1804">
        <v>0</v>
      </c>
      <c r="EV313" s="1804">
        <v>0</v>
      </c>
      <c r="EW313" s="1804">
        <v>0</v>
      </c>
      <c r="EX313" s="1804">
        <v>0</v>
      </c>
      <c r="EY313" s="1804">
        <v>0</v>
      </c>
      <c r="EZ313" s="1804">
        <v>0</v>
      </c>
      <c r="FA313" s="1804">
        <v>0</v>
      </c>
      <c r="FB313" s="1804">
        <v>0</v>
      </c>
      <c r="FC313" s="1804">
        <v>0</v>
      </c>
      <c r="FD313" s="1804">
        <v>0</v>
      </c>
      <c r="FE313" s="1804">
        <v>0</v>
      </c>
      <c r="FF313" s="1804">
        <v>0</v>
      </c>
      <c r="FG313" s="1804">
        <v>0</v>
      </c>
      <c r="FH313" s="1804">
        <v>0</v>
      </c>
      <c r="FI313" s="1804">
        <v>0</v>
      </c>
      <c r="FJ313" s="1804">
        <v>0</v>
      </c>
      <c r="FK313" s="1804">
        <v>0</v>
      </c>
      <c r="FL313" s="1804">
        <v>0</v>
      </c>
      <c r="FM313" s="1804">
        <v>0</v>
      </c>
      <c r="FN313" s="1804">
        <v>0</v>
      </c>
      <c r="FO313" s="1804">
        <v>0</v>
      </c>
      <c r="FP313" s="1804">
        <v>0</v>
      </c>
      <c r="FQ313" s="1804">
        <v>0</v>
      </c>
      <c r="FR313" s="1804">
        <v>0</v>
      </c>
      <c r="FS313" s="1804">
        <v>0</v>
      </c>
      <c r="FT313" s="1804">
        <v>0</v>
      </c>
      <c r="FU313" s="1804">
        <v>0</v>
      </c>
      <c r="FV313" s="1804">
        <v>0</v>
      </c>
      <c r="FW313" s="1804">
        <v>0</v>
      </c>
      <c r="FX313" s="1804">
        <v>0</v>
      </c>
      <c r="FY313" s="1804">
        <v>0</v>
      </c>
      <c r="FZ313" s="1804">
        <v>0</v>
      </c>
      <c r="GA313" s="1804">
        <v>0</v>
      </c>
      <c r="GB313" s="1804">
        <v>0</v>
      </c>
      <c r="GC313" s="1804">
        <v>0</v>
      </c>
      <c r="GD313" s="1804">
        <v>0</v>
      </c>
      <c r="GE313" s="1804">
        <v>0</v>
      </c>
      <c r="GF313" s="1804">
        <v>0</v>
      </c>
      <c r="GG313" s="1804">
        <v>0</v>
      </c>
      <c r="GH313" s="1804">
        <v>0</v>
      </c>
      <c r="GI313" s="1804">
        <v>0</v>
      </c>
      <c r="GJ313" s="1804">
        <v>0</v>
      </c>
      <c r="GK313" s="1804">
        <v>0</v>
      </c>
      <c r="GL313" s="1804">
        <v>0</v>
      </c>
      <c r="GM313" s="1804">
        <v>0</v>
      </c>
      <c r="GN313" s="1804">
        <v>0</v>
      </c>
      <c r="GO313" s="1804">
        <v>0</v>
      </c>
      <c r="GP313" s="1804">
        <v>0</v>
      </c>
      <c r="GQ313" s="1804">
        <v>0</v>
      </c>
      <c r="GR313" s="1804">
        <v>0</v>
      </c>
      <c r="GS313" s="1804">
        <v>0</v>
      </c>
      <c r="GT313" s="1804">
        <v>0</v>
      </c>
      <c r="GU313" s="1804">
        <v>0</v>
      </c>
      <c r="GV313" s="1804">
        <v>0</v>
      </c>
      <c r="GW313" s="1804">
        <v>0</v>
      </c>
      <c r="GX313" s="1804">
        <v>0</v>
      </c>
      <c r="GY313" s="1804">
        <v>0</v>
      </c>
      <c r="GZ313" s="1804">
        <v>0</v>
      </c>
      <c r="HA313" s="1804">
        <v>0</v>
      </c>
      <c r="HB313" s="1804">
        <v>0</v>
      </c>
      <c r="HC313" s="1804">
        <v>0</v>
      </c>
      <c r="HD313" s="1804">
        <v>0</v>
      </c>
      <c r="HE313" s="1804">
        <v>0</v>
      </c>
    </row>
    <row r="314" spans="1:213" ht="15" customHeight="1" x14ac:dyDescent="0.2">
      <c r="A314" s="1964"/>
      <c r="B314" s="1989"/>
      <c r="C314" s="1833" t="s">
        <v>759</v>
      </c>
      <c r="D314" s="1886"/>
      <c r="E314" s="1984"/>
      <c r="F314" s="1838">
        <v>0</v>
      </c>
      <c r="G314" s="1804">
        <v>0</v>
      </c>
      <c r="H314" s="1804">
        <v>0</v>
      </c>
      <c r="I314" s="1804">
        <v>0</v>
      </c>
      <c r="J314" s="1804">
        <v>0</v>
      </c>
      <c r="K314" s="1804">
        <v>0</v>
      </c>
      <c r="L314" s="1804">
        <v>0</v>
      </c>
      <c r="M314" s="1804">
        <v>0</v>
      </c>
      <c r="N314" s="1804">
        <v>0</v>
      </c>
      <c r="O314" s="1804">
        <v>0</v>
      </c>
      <c r="P314" s="1804">
        <v>0</v>
      </c>
      <c r="Q314" s="1804">
        <v>0</v>
      </c>
      <c r="R314" s="1804">
        <v>0</v>
      </c>
      <c r="S314" s="1804">
        <v>0</v>
      </c>
      <c r="T314" s="1804">
        <v>0</v>
      </c>
      <c r="U314" s="1804">
        <v>0</v>
      </c>
      <c r="V314" s="1804">
        <v>0</v>
      </c>
      <c r="W314" s="1804">
        <v>0</v>
      </c>
      <c r="X314" s="1804">
        <v>0</v>
      </c>
      <c r="Y314" s="1804">
        <v>0</v>
      </c>
      <c r="Z314" s="1804">
        <v>0</v>
      </c>
      <c r="AA314" s="1804">
        <v>0</v>
      </c>
      <c r="AB314" s="1804">
        <v>0</v>
      </c>
      <c r="AC314" s="1804">
        <v>0</v>
      </c>
      <c r="AD314" s="1804">
        <v>0</v>
      </c>
      <c r="AE314" s="1804">
        <v>0</v>
      </c>
      <c r="AF314" s="1804">
        <v>0</v>
      </c>
      <c r="AG314" s="1804">
        <v>0</v>
      </c>
      <c r="AH314" s="1804">
        <v>0</v>
      </c>
      <c r="AI314" s="1804">
        <v>0</v>
      </c>
      <c r="AJ314" s="1804">
        <v>0</v>
      </c>
      <c r="AK314" s="1804">
        <v>0</v>
      </c>
      <c r="AL314" s="1804">
        <v>0</v>
      </c>
      <c r="AM314" s="1804">
        <v>0</v>
      </c>
      <c r="AN314" s="1804">
        <v>0</v>
      </c>
      <c r="AO314" s="1804">
        <v>0</v>
      </c>
      <c r="AP314" s="1804">
        <v>0</v>
      </c>
      <c r="AQ314" s="1804">
        <v>0</v>
      </c>
      <c r="AR314" s="1804">
        <v>0</v>
      </c>
      <c r="AS314" s="1804">
        <v>0</v>
      </c>
      <c r="AT314" s="1804">
        <v>0</v>
      </c>
      <c r="AU314" s="1804">
        <v>0</v>
      </c>
      <c r="AV314" s="1804">
        <v>0</v>
      </c>
      <c r="AW314" s="1804">
        <v>0</v>
      </c>
      <c r="AX314" s="1804">
        <v>0</v>
      </c>
      <c r="AY314" s="1804">
        <v>0</v>
      </c>
      <c r="AZ314" s="1804">
        <v>0</v>
      </c>
      <c r="BA314" s="1804">
        <v>0</v>
      </c>
      <c r="BB314" s="1804">
        <v>0</v>
      </c>
      <c r="BC314" s="1804">
        <v>0</v>
      </c>
      <c r="BD314" s="1804">
        <v>0</v>
      </c>
      <c r="BE314" s="1804">
        <v>0</v>
      </c>
      <c r="BF314" s="1804">
        <v>0</v>
      </c>
      <c r="BG314" s="1804">
        <v>0</v>
      </c>
      <c r="BH314" s="1804">
        <v>0</v>
      </c>
      <c r="BI314" s="1804">
        <v>0</v>
      </c>
      <c r="BJ314" s="1804">
        <v>0</v>
      </c>
      <c r="BK314" s="1804">
        <v>0</v>
      </c>
      <c r="BL314" s="1804">
        <v>0</v>
      </c>
      <c r="BM314" s="1804">
        <v>0</v>
      </c>
      <c r="BN314" s="1804">
        <v>0</v>
      </c>
      <c r="BO314" s="1804">
        <v>0</v>
      </c>
      <c r="BP314" s="1804">
        <v>0</v>
      </c>
      <c r="BQ314" s="1804">
        <v>0</v>
      </c>
      <c r="BR314" s="1804">
        <v>0</v>
      </c>
      <c r="BS314" s="1804">
        <v>0</v>
      </c>
      <c r="BT314" s="1804">
        <v>0</v>
      </c>
      <c r="BU314" s="1804">
        <v>0</v>
      </c>
      <c r="BV314" s="1804">
        <v>0</v>
      </c>
      <c r="BW314" s="1804">
        <v>0</v>
      </c>
      <c r="BX314" s="1804">
        <v>0</v>
      </c>
      <c r="BY314" s="1804">
        <v>0</v>
      </c>
      <c r="BZ314" s="1804">
        <v>0</v>
      </c>
      <c r="CA314" s="1804">
        <v>0</v>
      </c>
      <c r="CB314" s="1804">
        <v>0</v>
      </c>
      <c r="CC314" s="1804">
        <v>0</v>
      </c>
      <c r="CD314" s="1804">
        <v>0</v>
      </c>
      <c r="CE314" s="1804">
        <v>0</v>
      </c>
      <c r="CF314" s="1804">
        <v>0</v>
      </c>
      <c r="CG314" s="1804">
        <v>0</v>
      </c>
      <c r="CH314" s="1804">
        <v>0</v>
      </c>
      <c r="CI314" s="1804">
        <v>0</v>
      </c>
      <c r="CJ314" s="1804">
        <v>0</v>
      </c>
      <c r="CK314" s="1804">
        <v>0</v>
      </c>
      <c r="CL314" s="1804">
        <v>0</v>
      </c>
      <c r="CM314" s="1804">
        <v>0</v>
      </c>
      <c r="CN314" s="1804">
        <v>0</v>
      </c>
      <c r="CO314" s="1804">
        <v>0</v>
      </c>
      <c r="CP314" s="1804">
        <v>0</v>
      </c>
      <c r="CQ314" s="1804">
        <v>0</v>
      </c>
      <c r="CR314" s="1804">
        <v>0</v>
      </c>
      <c r="CS314" s="1804">
        <v>0</v>
      </c>
      <c r="CT314" s="1804">
        <v>0</v>
      </c>
      <c r="CU314" s="1804">
        <v>0</v>
      </c>
      <c r="CV314" s="1804">
        <v>0</v>
      </c>
      <c r="CW314" s="1804">
        <v>0</v>
      </c>
      <c r="CX314" s="1804">
        <v>0</v>
      </c>
      <c r="CY314" s="1804">
        <v>0</v>
      </c>
      <c r="CZ314" s="1804">
        <v>0</v>
      </c>
      <c r="DA314" s="1804">
        <v>0</v>
      </c>
      <c r="DB314" s="1804">
        <v>0</v>
      </c>
      <c r="DC314" s="1804">
        <v>0</v>
      </c>
      <c r="DD314" s="1804">
        <v>0</v>
      </c>
      <c r="DE314" s="1804">
        <v>0</v>
      </c>
      <c r="DF314" s="1804">
        <v>0</v>
      </c>
      <c r="DG314" s="1804">
        <v>0</v>
      </c>
      <c r="DH314" s="1804">
        <v>0</v>
      </c>
      <c r="DI314" s="1804">
        <v>0</v>
      </c>
      <c r="DJ314" s="1804">
        <v>0</v>
      </c>
      <c r="DK314" s="1804">
        <v>0</v>
      </c>
      <c r="DL314" s="1804">
        <v>0</v>
      </c>
      <c r="DM314" s="1804">
        <v>0</v>
      </c>
      <c r="DN314" s="1804">
        <v>0</v>
      </c>
      <c r="DO314" s="1804">
        <v>0</v>
      </c>
      <c r="DP314" s="1804">
        <v>0</v>
      </c>
      <c r="DQ314" s="1804">
        <v>0</v>
      </c>
      <c r="DR314" s="1804">
        <v>0</v>
      </c>
      <c r="DS314" s="1804">
        <v>0</v>
      </c>
      <c r="DT314" s="1804">
        <v>0</v>
      </c>
      <c r="DU314" s="1804">
        <v>0</v>
      </c>
      <c r="DV314" s="1804">
        <v>0</v>
      </c>
      <c r="DW314" s="1804">
        <v>0</v>
      </c>
      <c r="DX314" s="1804">
        <v>0</v>
      </c>
      <c r="DY314" s="1804">
        <v>0</v>
      </c>
      <c r="DZ314" s="1804">
        <v>0</v>
      </c>
      <c r="EA314" s="1804">
        <v>0</v>
      </c>
      <c r="EB314" s="1804">
        <v>0</v>
      </c>
      <c r="EC314" s="1804">
        <v>0</v>
      </c>
      <c r="ED314" s="1804">
        <v>0</v>
      </c>
      <c r="EE314" s="1804">
        <v>0</v>
      </c>
      <c r="EF314" s="1804">
        <v>0</v>
      </c>
      <c r="EG314" s="1804">
        <v>0</v>
      </c>
      <c r="EH314" s="1804">
        <v>0</v>
      </c>
      <c r="EI314" s="1804">
        <v>0</v>
      </c>
      <c r="EJ314" s="1804">
        <v>0</v>
      </c>
      <c r="EK314" s="1804">
        <v>0</v>
      </c>
      <c r="EL314" s="1804">
        <v>0</v>
      </c>
      <c r="EM314" s="1804">
        <v>0</v>
      </c>
      <c r="EN314" s="1804">
        <v>0</v>
      </c>
      <c r="EO314" s="1804">
        <v>0</v>
      </c>
      <c r="EP314" s="1804">
        <v>0</v>
      </c>
      <c r="EQ314" s="1804">
        <v>0</v>
      </c>
      <c r="ER314" s="1804">
        <v>0</v>
      </c>
      <c r="ES314" s="1804">
        <v>0</v>
      </c>
      <c r="ET314" s="1804">
        <v>0</v>
      </c>
      <c r="EU314" s="1804">
        <v>0</v>
      </c>
      <c r="EV314" s="1804">
        <v>0</v>
      </c>
      <c r="EW314" s="1804">
        <v>0</v>
      </c>
      <c r="EX314" s="1804">
        <v>0</v>
      </c>
      <c r="EY314" s="1804">
        <v>0</v>
      </c>
      <c r="EZ314" s="1804">
        <v>0</v>
      </c>
      <c r="FA314" s="1804">
        <v>0</v>
      </c>
      <c r="FB314" s="1804">
        <v>0</v>
      </c>
      <c r="FC314" s="1804">
        <v>0</v>
      </c>
      <c r="FD314" s="1804">
        <v>0</v>
      </c>
      <c r="FE314" s="1804">
        <v>0</v>
      </c>
      <c r="FF314" s="1804">
        <v>0</v>
      </c>
      <c r="FG314" s="1804">
        <v>0</v>
      </c>
      <c r="FH314" s="1804">
        <v>0</v>
      </c>
      <c r="FI314" s="1804">
        <v>0</v>
      </c>
      <c r="FJ314" s="1804">
        <v>0</v>
      </c>
      <c r="FK314" s="1804">
        <v>0</v>
      </c>
      <c r="FL314" s="1804">
        <v>0</v>
      </c>
      <c r="FM314" s="1804">
        <v>0</v>
      </c>
      <c r="FN314" s="1804">
        <v>0</v>
      </c>
      <c r="FO314" s="1804">
        <v>0</v>
      </c>
      <c r="FP314" s="1804">
        <v>0</v>
      </c>
      <c r="FQ314" s="1804">
        <v>0</v>
      </c>
      <c r="FR314" s="1804">
        <v>0</v>
      </c>
      <c r="FS314" s="1804">
        <v>0</v>
      </c>
      <c r="FT314" s="1804">
        <v>0</v>
      </c>
      <c r="FU314" s="1804">
        <v>0</v>
      </c>
      <c r="FV314" s="1804">
        <v>0</v>
      </c>
      <c r="FW314" s="1804">
        <v>0</v>
      </c>
      <c r="FX314" s="1804">
        <v>0</v>
      </c>
      <c r="FY314" s="1804">
        <v>0</v>
      </c>
      <c r="FZ314" s="1804">
        <v>0</v>
      </c>
      <c r="GA314" s="1804">
        <v>0</v>
      </c>
      <c r="GB314" s="1804">
        <v>0</v>
      </c>
      <c r="GC314" s="1804">
        <v>0</v>
      </c>
      <c r="GD314" s="1804">
        <v>0</v>
      </c>
      <c r="GE314" s="1804">
        <v>0</v>
      </c>
      <c r="GF314" s="1804">
        <v>0</v>
      </c>
      <c r="GG314" s="1804">
        <v>0</v>
      </c>
      <c r="GH314" s="1804">
        <v>0</v>
      </c>
      <c r="GI314" s="1804">
        <v>0</v>
      </c>
      <c r="GJ314" s="1804">
        <v>0</v>
      </c>
      <c r="GK314" s="1804">
        <v>0</v>
      </c>
      <c r="GL314" s="1804">
        <v>0</v>
      </c>
      <c r="GM314" s="1804">
        <v>0</v>
      </c>
      <c r="GN314" s="1804">
        <v>0</v>
      </c>
      <c r="GO314" s="1804">
        <v>0</v>
      </c>
      <c r="GP314" s="1804">
        <v>0</v>
      </c>
      <c r="GQ314" s="1804">
        <v>0</v>
      </c>
      <c r="GR314" s="1804">
        <v>0</v>
      </c>
      <c r="GS314" s="1804">
        <v>0</v>
      </c>
      <c r="GT314" s="1804">
        <v>0</v>
      </c>
      <c r="GU314" s="1804">
        <v>0</v>
      </c>
      <c r="GV314" s="1804">
        <v>0</v>
      </c>
      <c r="GW314" s="1804">
        <v>0</v>
      </c>
      <c r="GX314" s="1804">
        <v>0</v>
      </c>
      <c r="GY314" s="1804">
        <v>0</v>
      </c>
      <c r="GZ314" s="1804">
        <v>0</v>
      </c>
      <c r="HA314" s="1804">
        <v>0</v>
      </c>
      <c r="HB314" s="1804">
        <v>0</v>
      </c>
      <c r="HC314" s="1804">
        <v>0</v>
      </c>
      <c r="HD314" s="1804">
        <v>0</v>
      </c>
      <c r="HE314" s="1804">
        <v>0</v>
      </c>
    </row>
    <row r="315" spans="1:213" ht="15" customHeight="1" x14ac:dyDescent="0.2">
      <c r="A315" s="1964"/>
      <c r="B315" s="1989"/>
      <c r="C315" s="1833" t="s">
        <v>760</v>
      </c>
      <c r="D315" s="1886"/>
      <c r="E315" s="1984"/>
      <c r="F315" s="1838">
        <v>0</v>
      </c>
      <c r="G315" s="1804">
        <v>0</v>
      </c>
      <c r="H315" s="1804">
        <v>0</v>
      </c>
      <c r="I315" s="1804">
        <v>0</v>
      </c>
      <c r="J315" s="1804">
        <v>0</v>
      </c>
      <c r="K315" s="1804">
        <v>0</v>
      </c>
      <c r="L315" s="1804">
        <v>0</v>
      </c>
      <c r="M315" s="1804">
        <v>0</v>
      </c>
      <c r="N315" s="1804">
        <v>0</v>
      </c>
      <c r="O315" s="1804">
        <v>0</v>
      </c>
      <c r="P315" s="1804">
        <v>0</v>
      </c>
      <c r="Q315" s="1804">
        <v>0</v>
      </c>
      <c r="R315" s="1804">
        <v>0</v>
      </c>
      <c r="S315" s="1804">
        <v>0</v>
      </c>
      <c r="T315" s="1804">
        <v>0</v>
      </c>
      <c r="U315" s="1804">
        <v>0</v>
      </c>
      <c r="V315" s="1804">
        <v>0</v>
      </c>
      <c r="W315" s="1804">
        <v>0</v>
      </c>
      <c r="X315" s="1804">
        <v>0</v>
      </c>
      <c r="Y315" s="1804">
        <v>0</v>
      </c>
      <c r="Z315" s="1804">
        <v>0</v>
      </c>
      <c r="AA315" s="1804">
        <v>0</v>
      </c>
      <c r="AB315" s="1804">
        <v>0</v>
      </c>
      <c r="AC315" s="1804">
        <v>0</v>
      </c>
      <c r="AD315" s="1804">
        <v>0</v>
      </c>
      <c r="AE315" s="1804">
        <v>0</v>
      </c>
      <c r="AF315" s="1804">
        <v>0</v>
      </c>
      <c r="AG315" s="1804">
        <v>0</v>
      </c>
      <c r="AH315" s="1804">
        <v>0</v>
      </c>
      <c r="AI315" s="1804">
        <v>0</v>
      </c>
      <c r="AJ315" s="1804">
        <v>0</v>
      </c>
      <c r="AK315" s="1804">
        <v>0</v>
      </c>
      <c r="AL315" s="1804">
        <v>0</v>
      </c>
      <c r="AM315" s="1804">
        <v>0</v>
      </c>
      <c r="AN315" s="1804">
        <v>0</v>
      </c>
      <c r="AO315" s="1804">
        <v>0</v>
      </c>
      <c r="AP315" s="1804">
        <v>0</v>
      </c>
      <c r="AQ315" s="1804">
        <v>0</v>
      </c>
      <c r="AR315" s="1804">
        <v>0</v>
      </c>
      <c r="AS315" s="1804">
        <v>0</v>
      </c>
      <c r="AT315" s="1804">
        <v>0</v>
      </c>
      <c r="AU315" s="1804">
        <v>0</v>
      </c>
      <c r="AV315" s="1804">
        <v>0</v>
      </c>
      <c r="AW315" s="1804">
        <v>0</v>
      </c>
      <c r="AX315" s="1804">
        <v>0</v>
      </c>
      <c r="AY315" s="1804">
        <v>0</v>
      </c>
      <c r="AZ315" s="1804">
        <v>0</v>
      </c>
      <c r="BA315" s="1804">
        <v>0</v>
      </c>
      <c r="BB315" s="1804">
        <v>0</v>
      </c>
      <c r="BC315" s="1804">
        <v>0</v>
      </c>
      <c r="BD315" s="1804">
        <v>0</v>
      </c>
      <c r="BE315" s="1804">
        <v>0</v>
      </c>
      <c r="BF315" s="1804">
        <v>0</v>
      </c>
      <c r="BG315" s="1804">
        <v>0</v>
      </c>
      <c r="BH315" s="1804">
        <v>0</v>
      </c>
      <c r="BI315" s="1804">
        <v>0</v>
      </c>
      <c r="BJ315" s="1804">
        <v>0</v>
      </c>
      <c r="BK315" s="1804">
        <v>0</v>
      </c>
      <c r="BL315" s="1804">
        <v>0</v>
      </c>
      <c r="BM315" s="1804">
        <v>0</v>
      </c>
      <c r="BN315" s="1804">
        <v>0</v>
      </c>
      <c r="BO315" s="1804">
        <v>0</v>
      </c>
      <c r="BP315" s="1804">
        <v>0</v>
      </c>
      <c r="BQ315" s="1804">
        <v>0</v>
      </c>
      <c r="BR315" s="1804">
        <v>0</v>
      </c>
      <c r="BS315" s="1804">
        <v>0</v>
      </c>
      <c r="BT315" s="1804">
        <v>0</v>
      </c>
      <c r="BU315" s="1804">
        <v>0</v>
      </c>
      <c r="BV315" s="1804">
        <v>0</v>
      </c>
      <c r="BW315" s="1804">
        <v>0</v>
      </c>
      <c r="BX315" s="1804">
        <v>0</v>
      </c>
      <c r="BY315" s="1804">
        <v>0</v>
      </c>
      <c r="BZ315" s="1804">
        <v>0</v>
      </c>
      <c r="CA315" s="1804">
        <v>0</v>
      </c>
      <c r="CB315" s="1804">
        <v>0</v>
      </c>
      <c r="CC315" s="1804">
        <v>0</v>
      </c>
      <c r="CD315" s="1804">
        <v>0</v>
      </c>
      <c r="CE315" s="1804">
        <v>0</v>
      </c>
      <c r="CF315" s="1804">
        <v>0</v>
      </c>
      <c r="CG315" s="1804">
        <v>0</v>
      </c>
      <c r="CH315" s="1804">
        <v>0</v>
      </c>
      <c r="CI315" s="1804">
        <v>0</v>
      </c>
      <c r="CJ315" s="1804">
        <v>0</v>
      </c>
      <c r="CK315" s="1804">
        <v>0</v>
      </c>
      <c r="CL315" s="1804">
        <v>0</v>
      </c>
      <c r="CM315" s="1804">
        <v>0</v>
      </c>
      <c r="CN315" s="1804">
        <v>0</v>
      </c>
      <c r="CO315" s="1804">
        <v>0</v>
      </c>
      <c r="CP315" s="1804">
        <v>0</v>
      </c>
      <c r="CQ315" s="1804">
        <v>0</v>
      </c>
      <c r="CR315" s="1804">
        <v>0</v>
      </c>
      <c r="CS315" s="1804">
        <v>0</v>
      </c>
      <c r="CT315" s="1804">
        <v>0</v>
      </c>
      <c r="CU315" s="1804">
        <v>0</v>
      </c>
      <c r="CV315" s="1804">
        <v>0</v>
      </c>
      <c r="CW315" s="1804">
        <v>0</v>
      </c>
      <c r="CX315" s="1804">
        <v>0</v>
      </c>
      <c r="CY315" s="1804">
        <v>0</v>
      </c>
      <c r="CZ315" s="1804">
        <v>0</v>
      </c>
      <c r="DA315" s="1804">
        <v>0</v>
      </c>
      <c r="DB315" s="1804">
        <v>0</v>
      </c>
      <c r="DC315" s="1804">
        <v>0</v>
      </c>
      <c r="DD315" s="1804">
        <v>0</v>
      </c>
      <c r="DE315" s="1804">
        <v>0</v>
      </c>
      <c r="DF315" s="1804">
        <v>0</v>
      </c>
      <c r="DG315" s="1804">
        <v>0</v>
      </c>
      <c r="DH315" s="1804">
        <v>0</v>
      </c>
      <c r="DI315" s="1804">
        <v>0</v>
      </c>
      <c r="DJ315" s="1804">
        <v>0</v>
      </c>
      <c r="DK315" s="1804">
        <v>0</v>
      </c>
      <c r="DL315" s="1804">
        <v>0</v>
      </c>
      <c r="DM315" s="1804">
        <v>0</v>
      </c>
      <c r="DN315" s="1804">
        <v>0</v>
      </c>
      <c r="DO315" s="1804">
        <v>0</v>
      </c>
      <c r="DP315" s="1804">
        <v>0</v>
      </c>
      <c r="DQ315" s="1804">
        <v>0</v>
      </c>
      <c r="DR315" s="1804">
        <v>0</v>
      </c>
      <c r="DS315" s="1804">
        <v>0</v>
      </c>
      <c r="DT315" s="1804">
        <v>0</v>
      </c>
      <c r="DU315" s="1804">
        <v>0</v>
      </c>
      <c r="DV315" s="1804">
        <v>0</v>
      </c>
      <c r="DW315" s="1804">
        <v>0</v>
      </c>
      <c r="DX315" s="1804">
        <v>0</v>
      </c>
      <c r="DY315" s="1804">
        <v>0</v>
      </c>
      <c r="DZ315" s="1804">
        <v>0</v>
      </c>
      <c r="EA315" s="1804">
        <v>0</v>
      </c>
      <c r="EB315" s="1804">
        <v>0</v>
      </c>
      <c r="EC315" s="1804">
        <v>0</v>
      </c>
      <c r="ED315" s="1804">
        <v>0</v>
      </c>
      <c r="EE315" s="1804">
        <v>0</v>
      </c>
      <c r="EF315" s="1804">
        <v>0</v>
      </c>
      <c r="EG315" s="1804">
        <v>0</v>
      </c>
      <c r="EH315" s="1804">
        <v>0</v>
      </c>
      <c r="EI315" s="1804">
        <v>0</v>
      </c>
      <c r="EJ315" s="1804">
        <v>0</v>
      </c>
      <c r="EK315" s="1804">
        <v>0</v>
      </c>
      <c r="EL315" s="1804">
        <v>0</v>
      </c>
      <c r="EM315" s="1804">
        <v>0</v>
      </c>
      <c r="EN315" s="1804">
        <v>0</v>
      </c>
      <c r="EO315" s="1804">
        <v>0</v>
      </c>
      <c r="EP315" s="1804">
        <v>0</v>
      </c>
      <c r="EQ315" s="1804">
        <v>0</v>
      </c>
      <c r="ER315" s="1804">
        <v>0</v>
      </c>
      <c r="ES315" s="1804">
        <v>0</v>
      </c>
      <c r="ET315" s="1804">
        <v>0</v>
      </c>
      <c r="EU315" s="1804">
        <v>0</v>
      </c>
      <c r="EV315" s="1804">
        <v>0</v>
      </c>
      <c r="EW315" s="1804">
        <v>0</v>
      </c>
      <c r="EX315" s="1804">
        <v>0</v>
      </c>
      <c r="EY315" s="1804">
        <v>0</v>
      </c>
      <c r="EZ315" s="1804">
        <v>0</v>
      </c>
      <c r="FA315" s="1804">
        <v>0</v>
      </c>
      <c r="FB315" s="1804">
        <v>0</v>
      </c>
      <c r="FC315" s="1804">
        <v>0</v>
      </c>
      <c r="FD315" s="1804">
        <v>0</v>
      </c>
      <c r="FE315" s="1804">
        <v>0</v>
      </c>
      <c r="FF315" s="1804">
        <v>0</v>
      </c>
      <c r="FG315" s="1804">
        <v>0</v>
      </c>
      <c r="FH315" s="1804">
        <v>0</v>
      </c>
      <c r="FI315" s="1804">
        <v>0</v>
      </c>
      <c r="FJ315" s="1804">
        <v>0</v>
      </c>
      <c r="FK315" s="1804">
        <v>0</v>
      </c>
      <c r="FL315" s="1804">
        <v>0</v>
      </c>
      <c r="FM315" s="1804">
        <v>0</v>
      </c>
      <c r="FN315" s="1804">
        <v>0</v>
      </c>
      <c r="FO315" s="1804">
        <v>0</v>
      </c>
      <c r="FP315" s="1804">
        <v>0</v>
      </c>
      <c r="FQ315" s="1804">
        <v>0</v>
      </c>
      <c r="FR315" s="1804">
        <v>0</v>
      </c>
      <c r="FS315" s="1804">
        <v>0</v>
      </c>
      <c r="FT315" s="1804">
        <v>0</v>
      </c>
      <c r="FU315" s="1804">
        <v>0</v>
      </c>
      <c r="FV315" s="1804">
        <v>0</v>
      </c>
      <c r="FW315" s="1804">
        <v>0</v>
      </c>
      <c r="FX315" s="1804">
        <v>0</v>
      </c>
      <c r="FY315" s="1804">
        <v>0</v>
      </c>
      <c r="FZ315" s="1804">
        <v>0</v>
      </c>
      <c r="GA315" s="1804">
        <v>0</v>
      </c>
      <c r="GB315" s="1804">
        <v>0</v>
      </c>
      <c r="GC315" s="1804">
        <v>0</v>
      </c>
      <c r="GD315" s="1804">
        <v>0</v>
      </c>
      <c r="GE315" s="1804">
        <v>0</v>
      </c>
      <c r="GF315" s="1804">
        <v>0</v>
      </c>
      <c r="GG315" s="1804">
        <v>0</v>
      </c>
      <c r="GH315" s="1804">
        <v>0</v>
      </c>
      <c r="GI315" s="1804">
        <v>0</v>
      </c>
      <c r="GJ315" s="1804">
        <v>0</v>
      </c>
      <c r="GK315" s="1804">
        <v>0</v>
      </c>
      <c r="GL315" s="1804">
        <v>0</v>
      </c>
      <c r="GM315" s="1804">
        <v>0</v>
      </c>
      <c r="GN315" s="1804">
        <v>0</v>
      </c>
      <c r="GO315" s="1804">
        <v>0</v>
      </c>
      <c r="GP315" s="1804">
        <v>0</v>
      </c>
      <c r="GQ315" s="1804">
        <v>0</v>
      </c>
      <c r="GR315" s="1804">
        <v>0</v>
      </c>
      <c r="GS315" s="1804">
        <v>0</v>
      </c>
      <c r="GT315" s="1804">
        <v>0</v>
      </c>
      <c r="GU315" s="1804">
        <v>0</v>
      </c>
      <c r="GV315" s="1804">
        <v>0</v>
      </c>
      <c r="GW315" s="1804">
        <v>0</v>
      </c>
      <c r="GX315" s="1804">
        <v>0</v>
      </c>
      <c r="GY315" s="1804">
        <v>0</v>
      </c>
      <c r="GZ315" s="1804">
        <v>0</v>
      </c>
      <c r="HA315" s="1804">
        <v>0</v>
      </c>
      <c r="HB315" s="1804">
        <v>0</v>
      </c>
      <c r="HC315" s="1804">
        <v>0</v>
      </c>
      <c r="HD315" s="1804">
        <v>0</v>
      </c>
      <c r="HE315" s="1804">
        <v>0</v>
      </c>
    </row>
    <row r="316" spans="1:213" ht="15" customHeight="1" x14ac:dyDescent="0.2">
      <c r="A316" s="1964"/>
      <c r="B316" s="1989"/>
      <c r="C316" s="1833" t="s">
        <v>761</v>
      </c>
      <c r="D316" s="1886"/>
      <c r="E316" s="1984"/>
      <c r="F316" s="1838">
        <v>0</v>
      </c>
      <c r="G316" s="1804">
        <v>0</v>
      </c>
      <c r="H316" s="1804">
        <v>0</v>
      </c>
      <c r="I316" s="1804">
        <v>0</v>
      </c>
      <c r="J316" s="1804">
        <v>0</v>
      </c>
      <c r="K316" s="1804">
        <v>0</v>
      </c>
      <c r="L316" s="1804">
        <v>0</v>
      </c>
      <c r="M316" s="1804">
        <v>0</v>
      </c>
      <c r="N316" s="1804">
        <v>0</v>
      </c>
      <c r="O316" s="1804">
        <v>0</v>
      </c>
      <c r="P316" s="1804">
        <v>0</v>
      </c>
      <c r="Q316" s="1804">
        <v>0</v>
      </c>
      <c r="R316" s="1804">
        <v>0</v>
      </c>
      <c r="S316" s="1804">
        <v>0</v>
      </c>
      <c r="T316" s="1804">
        <v>0</v>
      </c>
      <c r="U316" s="1804">
        <v>0</v>
      </c>
      <c r="V316" s="1804">
        <v>0</v>
      </c>
      <c r="W316" s="1804">
        <v>0</v>
      </c>
      <c r="X316" s="1804">
        <v>0</v>
      </c>
      <c r="Y316" s="1804">
        <v>0</v>
      </c>
      <c r="Z316" s="1804">
        <v>0</v>
      </c>
      <c r="AA316" s="1804">
        <v>0</v>
      </c>
      <c r="AB316" s="1804">
        <v>0</v>
      </c>
      <c r="AC316" s="1804">
        <v>0</v>
      </c>
      <c r="AD316" s="1804">
        <v>0</v>
      </c>
      <c r="AE316" s="1804">
        <v>0</v>
      </c>
      <c r="AF316" s="1804">
        <v>0</v>
      </c>
      <c r="AG316" s="1804">
        <v>0</v>
      </c>
      <c r="AH316" s="1804">
        <v>0</v>
      </c>
      <c r="AI316" s="1804">
        <v>0</v>
      </c>
      <c r="AJ316" s="1804">
        <v>0</v>
      </c>
      <c r="AK316" s="1804">
        <v>0</v>
      </c>
      <c r="AL316" s="1804">
        <v>0</v>
      </c>
      <c r="AM316" s="1804">
        <v>0</v>
      </c>
      <c r="AN316" s="1804">
        <v>0</v>
      </c>
      <c r="AO316" s="1804">
        <v>0</v>
      </c>
      <c r="AP316" s="1804">
        <v>0</v>
      </c>
      <c r="AQ316" s="1804">
        <v>0</v>
      </c>
      <c r="AR316" s="1804">
        <v>0</v>
      </c>
      <c r="AS316" s="1804">
        <v>0</v>
      </c>
      <c r="AT316" s="1804">
        <v>0</v>
      </c>
      <c r="AU316" s="1804">
        <v>0</v>
      </c>
      <c r="AV316" s="1804">
        <v>0</v>
      </c>
      <c r="AW316" s="1804">
        <v>0</v>
      </c>
      <c r="AX316" s="1804">
        <v>0</v>
      </c>
      <c r="AY316" s="1804">
        <v>0</v>
      </c>
      <c r="AZ316" s="1804">
        <v>0</v>
      </c>
      <c r="BA316" s="1804">
        <v>0</v>
      </c>
      <c r="BB316" s="1804">
        <v>0</v>
      </c>
      <c r="BC316" s="1804">
        <v>0</v>
      </c>
      <c r="BD316" s="1804">
        <v>0</v>
      </c>
      <c r="BE316" s="1804">
        <v>0</v>
      </c>
      <c r="BF316" s="1804">
        <v>0</v>
      </c>
      <c r="BG316" s="1804">
        <v>0</v>
      </c>
      <c r="BH316" s="1804">
        <v>0</v>
      </c>
      <c r="BI316" s="1804">
        <v>0</v>
      </c>
      <c r="BJ316" s="1804">
        <v>0</v>
      </c>
      <c r="BK316" s="1804">
        <v>0</v>
      </c>
      <c r="BL316" s="1804">
        <v>0</v>
      </c>
      <c r="BM316" s="1804">
        <v>0</v>
      </c>
      <c r="BN316" s="1804">
        <v>0</v>
      </c>
      <c r="BO316" s="1804">
        <v>0</v>
      </c>
      <c r="BP316" s="1804">
        <v>0</v>
      </c>
      <c r="BQ316" s="1804">
        <v>0</v>
      </c>
      <c r="BR316" s="1804">
        <v>0</v>
      </c>
      <c r="BS316" s="1804">
        <v>0</v>
      </c>
      <c r="BT316" s="1804">
        <v>0</v>
      </c>
      <c r="BU316" s="1804">
        <v>0</v>
      </c>
      <c r="BV316" s="1804">
        <v>0</v>
      </c>
      <c r="BW316" s="1804">
        <v>0</v>
      </c>
      <c r="BX316" s="1804">
        <v>0</v>
      </c>
      <c r="BY316" s="1804">
        <v>0</v>
      </c>
      <c r="BZ316" s="1804">
        <v>0</v>
      </c>
      <c r="CA316" s="1804">
        <v>0</v>
      </c>
      <c r="CB316" s="1804">
        <v>0</v>
      </c>
      <c r="CC316" s="1804">
        <v>0</v>
      </c>
      <c r="CD316" s="1804">
        <v>0</v>
      </c>
      <c r="CE316" s="1804">
        <v>0</v>
      </c>
      <c r="CF316" s="1804">
        <v>0</v>
      </c>
      <c r="CG316" s="1804">
        <v>0</v>
      </c>
      <c r="CH316" s="1804">
        <v>0</v>
      </c>
      <c r="CI316" s="1804">
        <v>0</v>
      </c>
      <c r="CJ316" s="1804">
        <v>0</v>
      </c>
      <c r="CK316" s="1804">
        <v>0</v>
      </c>
      <c r="CL316" s="1804">
        <v>0</v>
      </c>
      <c r="CM316" s="1804">
        <v>0</v>
      </c>
      <c r="CN316" s="1804">
        <v>0</v>
      </c>
      <c r="CO316" s="1804">
        <v>0</v>
      </c>
      <c r="CP316" s="1804">
        <v>0</v>
      </c>
      <c r="CQ316" s="1804">
        <v>0</v>
      </c>
      <c r="CR316" s="1804">
        <v>0</v>
      </c>
      <c r="CS316" s="1804">
        <v>0</v>
      </c>
      <c r="CT316" s="1804">
        <v>0</v>
      </c>
      <c r="CU316" s="1804">
        <v>0</v>
      </c>
      <c r="CV316" s="1804">
        <v>0</v>
      </c>
      <c r="CW316" s="1804">
        <v>0</v>
      </c>
      <c r="CX316" s="1804">
        <v>0</v>
      </c>
      <c r="CY316" s="1804">
        <v>0</v>
      </c>
      <c r="CZ316" s="1804">
        <v>0</v>
      </c>
      <c r="DA316" s="1804">
        <v>0</v>
      </c>
      <c r="DB316" s="1804">
        <v>0</v>
      </c>
      <c r="DC316" s="1804">
        <v>0</v>
      </c>
      <c r="DD316" s="1804">
        <v>0</v>
      </c>
      <c r="DE316" s="1804">
        <v>0</v>
      </c>
      <c r="DF316" s="1804">
        <v>0</v>
      </c>
      <c r="DG316" s="1804">
        <v>0</v>
      </c>
      <c r="DH316" s="1804">
        <v>0</v>
      </c>
      <c r="DI316" s="1804">
        <v>0</v>
      </c>
      <c r="DJ316" s="1804">
        <v>0</v>
      </c>
      <c r="DK316" s="1804">
        <v>0</v>
      </c>
      <c r="DL316" s="1804">
        <v>0</v>
      </c>
      <c r="DM316" s="1804">
        <v>0</v>
      </c>
      <c r="DN316" s="1804">
        <v>0</v>
      </c>
      <c r="DO316" s="1804">
        <v>0</v>
      </c>
      <c r="DP316" s="1804">
        <v>0</v>
      </c>
      <c r="DQ316" s="1804">
        <v>0</v>
      </c>
      <c r="DR316" s="1804">
        <v>0</v>
      </c>
      <c r="DS316" s="1804">
        <v>0</v>
      </c>
      <c r="DT316" s="1804">
        <v>0</v>
      </c>
      <c r="DU316" s="1804">
        <v>0</v>
      </c>
      <c r="DV316" s="1804">
        <v>0</v>
      </c>
      <c r="DW316" s="1804">
        <v>0</v>
      </c>
      <c r="DX316" s="1804">
        <v>0</v>
      </c>
      <c r="DY316" s="1804">
        <v>0</v>
      </c>
      <c r="DZ316" s="1804">
        <v>0</v>
      </c>
      <c r="EA316" s="1804">
        <v>0</v>
      </c>
      <c r="EB316" s="1804">
        <v>0</v>
      </c>
      <c r="EC316" s="1804">
        <v>0</v>
      </c>
      <c r="ED316" s="1804">
        <v>0</v>
      </c>
      <c r="EE316" s="1804">
        <v>0</v>
      </c>
      <c r="EF316" s="1804">
        <v>0</v>
      </c>
      <c r="EG316" s="1804">
        <v>0</v>
      </c>
      <c r="EH316" s="1804">
        <v>0</v>
      </c>
      <c r="EI316" s="1804">
        <v>0</v>
      </c>
      <c r="EJ316" s="1804">
        <v>0</v>
      </c>
      <c r="EK316" s="1804">
        <v>0</v>
      </c>
      <c r="EL316" s="1804">
        <v>0</v>
      </c>
      <c r="EM316" s="1804">
        <v>0</v>
      </c>
      <c r="EN316" s="1804">
        <v>0</v>
      </c>
      <c r="EO316" s="1804">
        <v>0</v>
      </c>
      <c r="EP316" s="1804">
        <v>0</v>
      </c>
      <c r="EQ316" s="1804">
        <v>0</v>
      </c>
      <c r="ER316" s="1804">
        <v>0</v>
      </c>
      <c r="ES316" s="1804">
        <v>0</v>
      </c>
      <c r="ET316" s="1804">
        <v>0</v>
      </c>
      <c r="EU316" s="1804">
        <v>0</v>
      </c>
      <c r="EV316" s="1804">
        <v>0</v>
      </c>
      <c r="EW316" s="1804">
        <v>0</v>
      </c>
      <c r="EX316" s="1804">
        <v>0</v>
      </c>
      <c r="EY316" s="1804">
        <v>0</v>
      </c>
      <c r="EZ316" s="1804">
        <v>0</v>
      </c>
      <c r="FA316" s="1804">
        <v>0</v>
      </c>
      <c r="FB316" s="1804">
        <v>0</v>
      </c>
      <c r="FC316" s="1804">
        <v>0</v>
      </c>
      <c r="FD316" s="1804">
        <v>0</v>
      </c>
      <c r="FE316" s="1804">
        <v>0</v>
      </c>
      <c r="FF316" s="1804">
        <v>0</v>
      </c>
      <c r="FG316" s="1804">
        <v>0</v>
      </c>
      <c r="FH316" s="1804">
        <v>0</v>
      </c>
      <c r="FI316" s="1804">
        <v>0</v>
      </c>
      <c r="FJ316" s="1804">
        <v>0</v>
      </c>
      <c r="FK316" s="1804">
        <v>0</v>
      </c>
      <c r="FL316" s="1804">
        <v>0</v>
      </c>
      <c r="FM316" s="1804">
        <v>0</v>
      </c>
      <c r="FN316" s="1804">
        <v>0</v>
      </c>
      <c r="FO316" s="1804">
        <v>0</v>
      </c>
      <c r="FP316" s="1804">
        <v>0</v>
      </c>
      <c r="FQ316" s="1804">
        <v>0</v>
      </c>
      <c r="FR316" s="1804">
        <v>0</v>
      </c>
      <c r="FS316" s="1804">
        <v>0</v>
      </c>
      <c r="FT316" s="1804">
        <v>0</v>
      </c>
      <c r="FU316" s="1804">
        <v>0</v>
      </c>
      <c r="FV316" s="1804">
        <v>0</v>
      </c>
      <c r="FW316" s="1804">
        <v>0</v>
      </c>
      <c r="FX316" s="1804">
        <v>0</v>
      </c>
      <c r="FY316" s="1804">
        <v>0</v>
      </c>
      <c r="FZ316" s="1804">
        <v>0</v>
      </c>
      <c r="GA316" s="1804">
        <v>0</v>
      </c>
      <c r="GB316" s="1804">
        <v>0</v>
      </c>
      <c r="GC316" s="1804">
        <v>0</v>
      </c>
      <c r="GD316" s="1804">
        <v>0</v>
      </c>
      <c r="GE316" s="1804">
        <v>0</v>
      </c>
      <c r="GF316" s="1804">
        <v>0</v>
      </c>
      <c r="GG316" s="1804">
        <v>0</v>
      </c>
      <c r="GH316" s="1804">
        <v>0</v>
      </c>
      <c r="GI316" s="1804">
        <v>0</v>
      </c>
      <c r="GJ316" s="1804">
        <v>0</v>
      </c>
      <c r="GK316" s="1804">
        <v>0</v>
      </c>
      <c r="GL316" s="1804">
        <v>0</v>
      </c>
      <c r="GM316" s="1804">
        <v>0</v>
      </c>
      <c r="GN316" s="1804">
        <v>0</v>
      </c>
      <c r="GO316" s="1804">
        <v>0</v>
      </c>
      <c r="GP316" s="1804">
        <v>0</v>
      </c>
      <c r="GQ316" s="1804">
        <v>0</v>
      </c>
      <c r="GR316" s="1804">
        <v>0</v>
      </c>
      <c r="GS316" s="1804">
        <v>0</v>
      </c>
      <c r="GT316" s="1804">
        <v>0</v>
      </c>
      <c r="GU316" s="1804">
        <v>0</v>
      </c>
      <c r="GV316" s="1804">
        <v>0</v>
      </c>
      <c r="GW316" s="1804">
        <v>0</v>
      </c>
      <c r="GX316" s="1804">
        <v>0</v>
      </c>
      <c r="GY316" s="1804">
        <v>0</v>
      </c>
      <c r="GZ316" s="1804">
        <v>0</v>
      </c>
      <c r="HA316" s="1804">
        <v>0</v>
      </c>
      <c r="HB316" s="1804">
        <v>0</v>
      </c>
      <c r="HC316" s="1804">
        <v>0</v>
      </c>
      <c r="HD316" s="1804">
        <v>0</v>
      </c>
      <c r="HE316" s="1804">
        <v>0</v>
      </c>
    </row>
    <row r="317" spans="1:213" ht="15" customHeight="1" thickBot="1" x14ac:dyDescent="0.25">
      <c r="A317" s="1965"/>
      <c r="B317" s="1991"/>
      <c r="C317" s="1715" t="s">
        <v>1381</v>
      </c>
      <c r="D317" s="1886"/>
      <c r="E317" s="1984"/>
      <c r="F317" s="1838">
        <v>0</v>
      </c>
      <c r="G317" s="1804">
        <v>0</v>
      </c>
      <c r="H317" s="1804">
        <v>0</v>
      </c>
      <c r="I317" s="1804">
        <v>0</v>
      </c>
      <c r="J317" s="1804">
        <v>0</v>
      </c>
      <c r="K317" s="1804">
        <v>0</v>
      </c>
      <c r="L317" s="1804">
        <v>0</v>
      </c>
      <c r="M317" s="1804">
        <v>0</v>
      </c>
      <c r="N317" s="1804">
        <v>0</v>
      </c>
      <c r="O317" s="1804">
        <v>0</v>
      </c>
      <c r="P317" s="1804">
        <v>0</v>
      </c>
      <c r="Q317" s="1804">
        <v>0</v>
      </c>
      <c r="R317" s="1804">
        <v>0</v>
      </c>
      <c r="S317" s="1804">
        <v>0</v>
      </c>
      <c r="T317" s="1804">
        <v>0</v>
      </c>
      <c r="U317" s="1804">
        <v>0</v>
      </c>
      <c r="V317" s="1804">
        <v>0</v>
      </c>
      <c r="W317" s="1804">
        <v>0</v>
      </c>
      <c r="X317" s="1804">
        <v>0</v>
      </c>
      <c r="Y317" s="1804">
        <v>0</v>
      </c>
      <c r="Z317" s="1804">
        <v>0</v>
      </c>
      <c r="AA317" s="1804">
        <v>0</v>
      </c>
      <c r="AB317" s="1804">
        <v>0</v>
      </c>
      <c r="AC317" s="1804">
        <v>0</v>
      </c>
      <c r="AD317" s="1804">
        <v>0</v>
      </c>
      <c r="AE317" s="1804">
        <v>0</v>
      </c>
      <c r="AF317" s="1804">
        <v>0</v>
      </c>
      <c r="AG317" s="1804">
        <v>0</v>
      </c>
      <c r="AH317" s="1804">
        <v>0</v>
      </c>
      <c r="AI317" s="1804">
        <v>0</v>
      </c>
      <c r="AJ317" s="1804">
        <v>0</v>
      </c>
      <c r="AK317" s="1804">
        <v>0</v>
      </c>
      <c r="AL317" s="1804">
        <v>0</v>
      </c>
      <c r="AM317" s="1804">
        <v>0</v>
      </c>
      <c r="AN317" s="1804">
        <v>0</v>
      </c>
      <c r="AO317" s="1804">
        <v>0</v>
      </c>
      <c r="AP317" s="1804">
        <v>0</v>
      </c>
      <c r="AQ317" s="1804">
        <v>0</v>
      </c>
      <c r="AR317" s="1804">
        <v>0</v>
      </c>
      <c r="AS317" s="1804">
        <v>0</v>
      </c>
      <c r="AT317" s="1804">
        <v>0</v>
      </c>
      <c r="AU317" s="1804">
        <v>0</v>
      </c>
      <c r="AV317" s="1804">
        <v>0</v>
      </c>
      <c r="AW317" s="1804">
        <v>0</v>
      </c>
      <c r="AX317" s="1804">
        <v>0</v>
      </c>
      <c r="AY317" s="1804">
        <v>0</v>
      </c>
      <c r="AZ317" s="1804">
        <v>0</v>
      </c>
      <c r="BA317" s="1804">
        <v>0</v>
      </c>
      <c r="BB317" s="1804">
        <v>0</v>
      </c>
      <c r="BC317" s="1804">
        <v>0</v>
      </c>
      <c r="BD317" s="1804">
        <v>0</v>
      </c>
      <c r="BE317" s="1804">
        <v>0</v>
      </c>
      <c r="BF317" s="1804">
        <v>0</v>
      </c>
      <c r="BG317" s="1804">
        <v>0</v>
      </c>
      <c r="BH317" s="1804">
        <v>0</v>
      </c>
      <c r="BI317" s="1804">
        <v>0</v>
      </c>
      <c r="BJ317" s="1804">
        <v>0</v>
      </c>
      <c r="BK317" s="1804">
        <v>0</v>
      </c>
      <c r="BL317" s="1804">
        <v>0</v>
      </c>
      <c r="BM317" s="1804">
        <v>0</v>
      </c>
      <c r="BN317" s="1804">
        <v>0</v>
      </c>
      <c r="BO317" s="1804">
        <v>0</v>
      </c>
      <c r="BP317" s="1804">
        <v>0</v>
      </c>
      <c r="BQ317" s="1804">
        <v>0</v>
      </c>
      <c r="BR317" s="1804">
        <v>0</v>
      </c>
      <c r="BS317" s="1804">
        <v>0</v>
      </c>
      <c r="BT317" s="1804">
        <v>0</v>
      </c>
      <c r="BU317" s="1804">
        <v>0</v>
      </c>
      <c r="BV317" s="1804">
        <v>0</v>
      </c>
      <c r="BW317" s="1804">
        <v>0</v>
      </c>
      <c r="BX317" s="1804">
        <v>0</v>
      </c>
      <c r="BY317" s="1804">
        <v>0</v>
      </c>
      <c r="BZ317" s="1804">
        <v>0</v>
      </c>
      <c r="CA317" s="1804">
        <v>0</v>
      </c>
      <c r="CB317" s="1804">
        <v>0</v>
      </c>
      <c r="CC317" s="1804">
        <v>0</v>
      </c>
      <c r="CD317" s="1804">
        <v>0</v>
      </c>
      <c r="CE317" s="1804">
        <v>0</v>
      </c>
      <c r="CF317" s="1804">
        <v>0</v>
      </c>
      <c r="CG317" s="1804">
        <v>0</v>
      </c>
      <c r="CH317" s="1804">
        <v>0</v>
      </c>
      <c r="CI317" s="1804">
        <v>0</v>
      </c>
      <c r="CJ317" s="1804">
        <v>0</v>
      </c>
      <c r="CK317" s="1804">
        <v>0</v>
      </c>
      <c r="CL317" s="1804">
        <v>0</v>
      </c>
      <c r="CM317" s="1804">
        <v>0</v>
      </c>
      <c r="CN317" s="1804">
        <v>0</v>
      </c>
      <c r="CO317" s="1804">
        <v>0</v>
      </c>
      <c r="CP317" s="1804">
        <v>0</v>
      </c>
      <c r="CQ317" s="1804">
        <v>0</v>
      </c>
      <c r="CR317" s="1804">
        <v>0</v>
      </c>
      <c r="CS317" s="1804">
        <v>0</v>
      </c>
      <c r="CT317" s="1804">
        <v>0</v>
      </c>
      <c r="CU317" s="1804">
        <v>0</v>
      </c>
      <c r="CV317" s="1804">
        <v>0</v>
      </c>
      <c r="CW317" s="1804">
        <v>0</v>
      </c>
      <c r="CX317" s="1804">
        <v>0</v>
      </c>
      <c r="CY317" s="1804">
        <v>0</v>
      </c>
      <c r="CZ317" s="1804">
        <v>0</v>
      </c>
      <c r="DA317" s="1804">
        <v>0</v>
      </c>
      <c r="DB317" s="1804">
        <v>0</v>
      </c>
      <c r="DC317" s="1804">
        <v>0</v>
      </c>
      <c r="DD317" s="1804">
        <v>0</v>
      </c>
      <c r="DE317" s="1804">
        <v>0</v>
      </c>
      <c r="DF317" s="1804">
        <v>0</v>
      </c>
      <c r="DG317" s="1804">
        <v>0</v>
      </c>
      <c r="DH317" s="1804">
        <v>0</v>
      </c>
      <c r="DI317" s="1804">
        <v>0</v>
      </c>
      <c r="DJ317" s="1804">
        <v>0</v>
      </c>
      <c r="DK317" s="1804">
        <v>0</v>
      </c>
      <c r="DL317" s="1804">
        <v>0</v>
      </c>
      <c r="DM317" s="1804">
        <v>0</v>
      </c>
      <c r="DN317" s="1804">
        <v>0</v>
      </c>
      <c r="DO317" s="1804">
        <v>0</v>
      </c>
      <c r="DP317" s="1804">
        <v>0</v>
      </c>
      <c r="DQ317" s="1804">
        <v>0</v>
      </c>
      <c r="DR317" s="1804">
        <v>0</v>
      </c>
      <c r="DS317" s="1804">
        <v>0</v>
      </c>
      <c r="DT317" s="1804">
        <v>0</v>
      </c>
      <c r="DU317" s="1804">
        <v>0</v>
      </c>
      <c r="DV317" s="1804">
        <v>0</v>
      </c>
      <c r="DW317" s="1804">
        <v>0</v>
      </c>
      <c r="DX317" s="1804">
        <v>0</v>
      </c>
      <c r="DY317" s="1804">
        <v>0</v>
      </c>
      <c r="DZ317" s="1804">
        <v>0</v>
      </c>
      <c r="EA317" s="1804">
        <v>0</v>
      </c>
      <c r="EB317" s="1804">
        <v>0</v>
      </c>
      <c r="EC317" s="1804">
        <v>0</v>
      </c>
      <c r="ED317" s="1804">
        <v>0</v>
      </c>
      <c r="EE317" s="1804">
        <v>0</v>
      </c>
      <c r="EF317" s="1804">
        <v>0</v>
      </c>
      <c r="EG317" s="1804">
        <v>0</v>
      </c>
      <c r="EH317" s="1804">
        <v>0</v>
      </c>
      <c r="EI317" s="1804">
        <v>0</v>
      </c>
      <c r="EJ317" s="1804">
        <v>0</v>
      </c>
      <c r="EK317" s="1804">
        <v>0</v>
      </c>
      <c r="EL317" s="1804">
        <v>0</v>
      </c>
      <c r="EM317" s="1804">
        <v>0</v>
      </c>
      <c r="EN317" s="1804">
        <v>0</v>
      </c>
      <c r="EO317" s="1804">
        <v>0</v>
      </c>
      <c r="EP317" s="1804">
        <v>0</v>
      </c>
      <c r="EQ317" s="1804">
        <v>0</v>
      </c>
      <c r="ER317" s="1804">
        <v>0</v>
      </c>
      <c r="ES317" s="1804">
        <v>0</v>
      </c>
      <c r="ET317" s="1804">
        <v>0</v>
      </c>
      <c r="EU317" s="1804">
        <v>0</v>
      </c>
      <c r="EV317" s="1804">
        <v>0</v>
      </c>
      <c r="EW317" s="1804">
        <v>0</v>
      </c>
      <c r="EX317" s="1804">
        <v>0</v>
      </c>
      <c r="EY317" s="1804">
        <v>0</v>
      </c>
      <c r="EZ317" s="1804">
        <v>0</v>
      </c>
      <c r="FA317" s="1804">
        <v>0</v>
      </c>
      <c r="FB317" s="1804">
        <v>0</v>
      </c>
      <c r="FC317" s="1804">
        <v>0</v>
      </c>
      <c r="FD317" s="1804">
        <v>0</v>
      </c>
      <c r="FE317" s="1804">
        <v>0</v>
      </c>
      <c r="FF317" s="1804">
        <v>0</v>
      </c>
      <c r="FG317" s="1804">
        <v>0</v>
      </c>
      <c r="FH317" s="1804">
        <v>0</v>
      </c>
      <c r="FI317" s="1804">
        <v>0</v>
      </c>
      <c r="FJ317" s="1804">
        <v>0</v>
      </c>
      <c r="FK317" s="1804">
        <v>0</v>
      </c>
      <c r="FL317" s="1804">
        <v>0</v>
      </c>
      <c r="FM317" s="1804">
        <v>0</v>
      </c>
      <c r="FN317" s="1804">
        <v>0</v>
      </c>
      <c r="FO317" s="1804">
        <v>0</v>
      </c>
      <c r="FP317" s="1804">
        <v>0</v>
      </c>
      <c r="FQ317" s="1804">
        <v>0</v>
      </c>
      <c r="FR317" s="1804">
        <v>0</v>
      </c>
      <c r="FS317" s="1804">
        <v>0</v>
      </c>
      <c r="FT317" s="1804">
        <v>0</v>
      </c>
      <c r="FU317" s="1804">
        <v>0</v>
      </c>
      <c r="FV317" s="1804">
        <v>0</v>
      </c>
      <c r="FW317" s="1804">
        <v>0</v>
      </c>
      <c r="FX317" s="1804">
        <v>0</v>
      </c>
      <c r="FY317" s="1804">
        <v>0</v>
      </c>
      <c r="FZ317" s="1804">
        <v>0</v>
      </c>
      <c r="GA317" s="1804">
        <v>0</v>
      </c>
      <c r="GB317" s="1804">
        <v>0</v>
      </c>
      <c r="GC317" s="1804">
        <v>0</v>
      </c>
      <c r="GD317" s="1804">
        <v>0</v>
      </c>
      <c r="GE317" s="1804">
        <v>0</v>
      </c>
      <c r="GF317" s="1804">
        <v>0</v>
      </c>
      <c r="GG317" s="1804">
        <v>0</v>
      </c>
      <c r="GH317" s="1804">
        <v>0</v>
      </c>
      <c r="GI317" s="1804">
        <v>0</v>
      </c>
      <c r="GJ317" s="1804">
        <v>0</v>
      </c>
      <c r="GK317" s="1804">
        <v>0</v>
      </c>
      <c r="GL317" s="1804">
        <v>0</v>
      </c>
      <c r="GM317" s="1804">
        <v>0</v>
      </c>
      <c r="GN317" s="1804">
        <v>0</v>
      </c>
      <c r="GO317" s="1804">
        <v>0</v>
      </c>
      <c r="GP317" s="1804">
        <v>0</v>
      </c>
      <c r="GQ317" s="1804">
        <v>0</v>
      </c>
      <c r="GR317" s="1804">
        <v>0</v>
      </c>
      <c r="GS317" s="1804">
        <v>0</v>
      </c>
      <c r="GT317" s="1804">
        <v>0</v>
      </c>
      <c r="GU317" s="1804">
        <v>0</v>
      </c>
      <c r="GV317" s="1804">
        <v>0</v>
      </c>
      <c r="GW317" s="1804">
        <v>0</v>
      </c>
      <c r="GX317" s="1804">
        <v>0</v>
      </c>
      <c r="GY317" s="1804">
        <v>0</v>
      </c>
      <c r="GZ317" s="1804">
        <v>0</v>
      </c>
      <c r="HA317" s="1804">
        <v>0</v>
      </c>
      <c r="HB317" s="1804">
        <v>0</v>
      </c>
      <c r="HC317" s="1804">
        <v>0</v>
      </c>
      <c r="HD317" s="1804">
        <v>0</v>
      </c>
      <c r="HE317" s="1804">
        <v>0</v>
      </c>
    </row>
    <row r="318" spans="1:213" ht="21" customHeight="1" thickBot="1" x14ac:dyDescent="0.25">
      <c r="A318" s="1963" t="s">
        <v>1082</v>
      </c>
      <c r="B318" s="1988" t="s">
        <v>1084</v>
      </c>
      <c r="C318" s="1832" t="s">
        <v>1083</v>
      </c>
      <c r="D318" s="1880"/>
      <c r="E318" s="1984"/>
      <c r="F318" s="1865"/>
      <c r="G318" s="1866"/>
      <c r="H318" s="1866"/>
      <c r="I318" s="1866"/>
      <c r="J318" s="1866"/>
      <c r="K318" s="1866"/>
      <c r="L318" s="1866"/>
      <c r="M318" s="1866"/>
      <c r="N318" s="1866"/>
      <c r="O318" s="1866"/>
      <c r="P318" s="1866"/>
      <c r="Q318" s="1866"/>
      <c r="R318" s="1866"/>
      <c r="S318" s="1866"/>
      <c r="T318" s="1866"/>
      <c r="U318" s="1866"/>
      <c r="V318" s="1866"/>
      <c r="W318" s="1866"/>
      <c r="X318" s="1866"/>
      <c r="Y318" s="1866"/>
      <c r="Z318" s="1866"/>
      <c r="AA318" s="1866"/>
      <c r="AB318" s="1866"/>
      <c r="AC318" s="1866"/>
      <c r="AD318" s="1866"/>
      <c r="AE318" s="1866"/>
      <c r="AF318" s="1866"/>
      <c r="AG318" s="1866"/>
      <c r="AH318" s="1866"/>
      <c r="AI318" s="1866"/>
      <c r="AJ318" s="1866"/>
      <c r="AK318" s="1866"/>
      <c r="AL318" s="1866"/>
      <c r="AM318" s="1866"/>
      <c r="AN318" s="1866"/>
      <c r="AO318" s="1866"/>
      <c r="AP318" s="1866"/>
      <c r="AQ318" s="1866"/>
      <c r="AR318" s="1866"/>
      <c r="AS318" s="1866"/>
      <c r="AT318" s="1866"/>
      <c r="AU318" s="1866"/>
      <c r="AV318" s="1866"/>
      <c r="AW318" s="1866"/>
      <c r="AX318" s="1866"/>
      <c r="AY318" s="1866"/>
      <c r="AZ318" s="1866"/>
      <c r="BA318" s="1866"/>
      <c r="BB318" s="1866"/>
      <c r="BC318" s="1866"/>
      <c r="BD318" s="1866"/>
      <c r="BE318" s="1866"/>
      <c r="BF318" s="1866"/>
      <c r="BG318" s="1866"/>
      <c r="BH318" s="1866"/>
      <c r="BI318" s="1866"/>
      <c r="BJ318" s="1866"/>
      <c r="BK318" s="1866"/>
      <c r="BL318" s="1866"/>
      <c r="BM318" s="1866"/>
      <c r="BN318" s="1866"/>
      <c r="BO318" s="1866"/>
      <c r="BP318" s="1866"/>
      <c r="BQ318" s="1866"/>
      <c r="BR318" s="1866"/>
      <c r="BS318" s="1866"/>
      <c r="BT318" s="1866"/>
      <c r="BU318" s="1866"/>
      <c r="BV318" s="1866"/>
      <c r="BW318" s="1866"/>
      <c r="BX318" s="1866"/>
      <c r="BY318" s="1866"/>
      <c r="BZ318" s="1866"/>
      <c r="CA318" s="1866"/>
      <c r="CB318" s="1866"/>
      <c r="CC318" s="1866"/>
      <c r="CD318" s="1866"/>
      <c r="CE318" s="1866"/>
      <c r="CF318" s="1866"/>
      <c r="CG318" s="1866"/>
      <c r="CH318" s="1866"/>
      <c r="CI318" s="1866"/>
      <c r="CJ318" s="1866"/>
      <c r="CK318" s="1866"/>
      <c r="CL318" s="1866"/>
      <c r="CM318" s="1866"/>
      <c r="CN318" s="1866"/>
      <c r="CO318" s="1866"/>
      <c r="CP318" s="1866"/>
      <c r="CQ318" s="1866"/>
      <c r="CR318" s="1866"/>
      <c r="CS318" s="1866"/>
      <c r="CT318" s="1866"/>
      <c r="CU318" s="1866"/>
      <c r="CV318" s="1866"/>
      <c r="CW318" s="1866"/>
      <c r="CX318" s="1866"/>
      <c r="CY318" s="1866"/>
      <c r="CZ318" s="1866"/>
      <c r="DA318" s="1866"/>
      <c r="DB318" s="1866"/>
      <c r="DC318" s="1866"/>
      <c r="DD318" s="1866"/>
      <c r="DE318" s="1866"/>
      <c r="DF318" s="1866"/>
      <c r="DG318" s="1866"/>
      <c r="DH318" s="1866"/>
      <c r="DI318" s="1866"/>
      <c r="DJ318" s="1866"/>
      <c r="DK318" s="1866"/>
      <c r="DL318" s="1866"/>
      <c r="DM318" s="1866"/>
      <c r="DN318" s="1866"/>
      <c r="DO318" s="1866"/>
      <c r="DP318" s="1866"/>
      <c r="DQ318" s="1866"/>
      <c r="DR318" s="1866"/>
      <c r="DS318" s="1866"/>
      <c r="DT318" s="1866"/>
      <c r="DU318" s="1866"/>
      <c r="DV318" s="1866"/>
      <c r="DW318" s="1866"/>
      <c r="DX318" s="1866"/>
      <c r="DY318" s="1866"/>
      <c r="DZ318" s="1866"/>
      <c r="EA318" s="1866"/>
      <c r="EB318" s="1866"/>
      <c r="EC318" s="1866"/>
      <c r="ED318" s="1866"/>
      <c r="EE318" s="1866"/>
      <c r="EF318" s="1866"/>
      <c r="EG318" s="1866"/>
      <c r="EH318" s="1866"/>
      <c r="EI318" s="1866"/>
      <c r="EJ318" s="1866"/>
      <c r="EK318" s="1866"/>
      <c r="EL318" s="1866"/>
      <c r="EM318" s="1866"/>
      <c r="EN318" s="1866"/>
      <c r="EO318" s="1866"/>
      <c r="EP318" s="1866"/>
      <c r="EQ318" s="1866"/>
      <c r="ER318" s="1866"/>
      <c r="ES318" s="1866"/>
      <c r="ET318" s="1866"/>
      <c r="EU318" s="1866"/>
      <c r="EV318" s="1866"/>
      <c r="EW318" s="1866"/>
      <c r="EX318" s="1866"/>
      <c r="EY318" s="1866"/>
      <c r="EZ318" s="1866"/>
      <c r="FA318" s="1866"/>
      <c r="FB318" s="1866"/>
      <c r="FC318" s="1866"/>
      <c r="FD318" s="1866"/>
      <c r="FE318" s="1866"/>
      <c r="FF318" s="1866"/>
      <c r="FG318" s="1866"/>
      <c r="FH318" s="1866"/>
      <c r="FI318" s="1866"/>
      <c r="FJ318" s="1866"/>
      <c r="FK318" s="1866"/>
      <c r="FL318" s="1866"/>
      <c r="FM318" s="1866"/>
      <c r="FN318" s="1866"/>
      <c r="FO318" s="1866"/>
      <c r="FP318" s="1866"/>
      <c r="FQ318" s="1866"/>
      <c r="FR318" s="1866"/>
      <c r="FS318" s="1866"/>
      <c r="FT318" s="1866"/>
      <c r="FU318" s="1866"/>
      <c r="FV318" s="1866"/>
      <c r="FW318" s="1866"/>
      <c r="FX318" s="1866"/>
      <c r="FY318" s="1866"/>
      <c r="FZ318" s="1866"/>
      <c r="GA318" s="1866"/>
      <c r="GB318" s="1866"/>
      <c r="GC318" s="1866"/>
      <c r="GD318" s="1866"/>
      <c r="GE318" s="1866"/>
      <c r="GF318" s="1866"/>
      <c r="GG318" s="1866"/>
      <c r="GH318" s="1866"/>
      <c r="GI318" s="1866"/>
      <c r="GJ318" s="1866"/>
      <c r="GK318" s="1866"/>
      <c r="GL318" s="1866"/>
      <c r="GM318" s="1866"/>
      <c r="GN318" s="1866"/>
      <c r="GO318" s="1866"/>
      <c r="GP318" s="1866"/>
      <c r="GQ318" s="1866"/>
      <c r="GR318" s="1866"/>
      <c r="GS318" s="1866"/>
      <c r="GT318" s="1866"/>
      <c r="GU318" s="1866"/>
      <c r="GV318" s="1866"/>
      <c r="GW318" s="1866"/>
      <c r="GX318" s="1866"/>
      <c r="GY318" s="1866"/>
      <c r="GZ318" s="1866"/>
      <c r="HA318" s="1866"/>
      <c r="HB318" s="1866"/>
      <c r="HC318" s="1866"/>
      <c r="HD318" s="1866"/>
      <c r="HE318" s="1866"/>
    </row>
    <row r="319" spans="1:213" ht="15" customHeight="1" x14ac:dyDescent="0.2">
      <c r="A319" s="1964"/>
      <c r="B319" s="1989"/>
      <c r="C319" s="1714" t="s">
        <v>1090</v>
      </c>
      <c r="D319" s="1886"/>
      <c r="E319" s="1984"/>
      <c r="F319" s="1838">
        <v>0</v>
      </c>
      <c r="G319" s="1804">
        <v>0</v>
      </c>
      <c r="H319" s="1804">
        <v>0</v>
      </c>
      <c r="I319" s="1804">
        <v>0</v>
      </c>
      <c r="J319" s="1804">
        <v>0</v>
      </c>
      <c r="K319" s="1804">
        <v>0</v>
      </c>
      <c r="L319" s="1804">
        <v>0</v>
      </c>
      <c r="M319" s="1804">
        <v>0</v>
      </c>
      <c r="N319" s="1804">
        <v>0</v>
      </c>
      <c r="O319" s="1804">
        <v>0</v>
      </c>
      <c r="P319" s="1804">
        <v>0</v>
      </c>
      <c r="Q319" s="1804">
        <v>0</v>
      </c>
      <c r="R319" s="1804">
        <v>0</v>
      </c>
      <c r="S319" s="1804">
        <v>0</v>
      </c>
      <c r="T319" s="1804">
        <v>0</v>
      </c>
      <c r="U319" s="1804">
        <v>0</v>
      </c>
      <c r="V319" s="1804">
        <v>0</v>
      </c>
      <c r="W319" s="1804">
        <v>0</v>
      </c>
      <c r="X319" s="1804">
        <v>0</v>
      </c>
      <c r="Y319" s="1804">
        <v>0</v>
      </c>
      <c r="Z319" s="1804">
        <v>0</v>
      </c>
      <c r="AA319" s="1804">
        <v>0</v>
      </c>
      <c r="AB319" s="1804">
        <v>0</v>
      </c>
      <c r="AC319" s="1804">
        <v>0</v>
      </c>
      <c r="AD319" s="1804">
        <v>0</v>
      </c>
      <c r="AE319" s="1804">
        <v>0</v>
      </c>
      <c r="AF319" s="1804">
        <v>0</v>
      </c>
      <c r="AG319" s="1804">
        <v>0</v>
      </c>
      <c r="AH319" s="1804">
        <v>0</v>
      </c>
      <c r="AI319" s="1804">
        <v>0</v>
      </c>
      <c r="AJ319" s="1804">
        <v>0</v>
      </c>
      <c r="AK319" s="1804">
        <v>0</v>
      </c>
      <c r="AL319" s="1804">
        <v>0</v>
      </c>
      <c r="AM319" s="1804">
        <v>0</v>
      </c>
      <c r="AN319" s="1804">
        <v>0</v>
      </c>
      <c r="AO319" s="1804">
        <v>0</v>
      </c>
      <c r="AP319" s="1804">
        <v>0</v>
      </c>
      <c r="AQ319" s="1804">
        <v>0</v>
      </c>
      <c r="AR319" s="1804">
        <v>0</v>
      </c>
      <c r="AS319" s="1804">
        <v>0</v>
      </c>
      <c r="AT319" s="1804">
        <v>0</v>
      </c>
      <c r="AU319" s="1804">
        <v>0</v>
      </c>
      <c r="AV319" s="1804">
        <v>0</v>
      </c>
      <c r="AW319" s="1804">
        <v>0</v>
      </c>
      <c r="AX319" s="1804">
        <v>0</v>
      </c>
      <c r="AY319" s="1804">
        <v>0</v>
      </c>
      <c r="AZ319" s="1804">
        <v>0</v>
      </c>
      <c r="BA319" s="1804">
        <v>0</v>
      </c>
      <c r="BB319" s="1804">
        <v>0</v>
      </c>
      <c r="BC319" s="1804">
        <v>0</v>
      </c>
      <c r="BD319" s="1804">
        <v>0</v>
      </c>
      <c r="BE319" s="1804">
        <v>0</v>
      </c>
      <c r="BF319" s="1804">
        <v>0</v>
      </c>
      <c r="BG319" s="1804">
        <v>0</v>
      </c>
      <c r="BH319" s="1804">
        <v>0</v>
      </c>
      <c r="BI319" s="1804">
        <v>0</v>
      </c>
      <c r="BJ319" s="1804">
        <v>0</v>
      </c>
      <c r="BK319" s="1804">
        <v>0</v>
      </c>
      <c r="BL319" s="1804">
        <v>0</v>
      </c>
      <c r="BM319" s="1804">
        <v>0</v>
      </c>
      <c r="BN319" s="1804">
        <v>0</v>
      </c>
      <c r="BO319" s="1804">
        <v>0</v>
      </c>
      <c r="BP319" s="1804">
        <v>0</v>
      </c>
      <c r="BQ319" s="1804">
        <v>0</v>
      </c>
      <c r="BR319" s="1804">
        <v>0</v>
      </c>
      <c r="BS319" s="1804">
        <v>0</v>
      </c>
      <c r="BT319" s="1804">
        <v>0</v>
      </c>
      <c r="BU319" s="1804">
        <v>0</v>
      </c>
      <c r="BV319" s="1804">
        <v>0</v>
      </c>
      <c r="BW319" s="1804">
        <v>0</v>
      </c>
      <c r="BX319" s="1804">
        <v>0</v>
      </c>
      <c r="BY319" s="1804">
        <v>0</v>
      </c>
      <c r="BZ319" s="1804">
        <v>0</v>
      </c>
      <c r="CA319" s="1804">
        <v>0</v>
      </c>
      <c r="CB319" s="1804">
        <v>0</v>
      </c>
      <c r="CC319" s="1804">
        <v>0</v>
      </c>
      <c r="CD319" s="1804">
        <v>0</v>
      </c>
      <c r="CE319" s="1804">
        <v>0</v>
      </c>
      <c r="CF319" s="1804">
        <v>0</v>
      </c>
      <c r="CG319" s="1804">
        <v>0</v>
      </c>
      <c r="CH319" s="1804">
        <v>0</v>
      </c>
      <c r="CI319" s="1804">
        <v>0</v>
      </c>
      <c r="CJ319" s="1804">
        <v>0</v>
      </c>
      <c r="CK319" s="1804">
        <v>0</v>
      </c>
      <c r="CL319" s="1804">
        <v>0</v>
      </c>
      <c r="CM319" s="1804">
        <v>0</v>
      </c>
      <c r="CN319" s="1804">
        <v>0</v>
      </c>
      <c r="CO319" s="1804">
        <v>0</v>
      </c>
      <c r="CP319" s="1804">
        <v>0</v>
      </c>
      <c r="CQ319" s="1804">
        <v>0</v>
      </c>
      <c r="CR319" s="1804">
        <v>0</v>
      </c>
      <c r="CS319" s="1804">
        <v>0</v>
      </c>
      <c r="CT319" s="1804">
        <v>0</v>
      </c>
      <c r="CU319" s="1804">
        <v>0</v>
      </c>
      <c r="CV319" s="1804">
        <v>0</v>
      </c>
      <c r="CW319" s="1804">
        <v>0</v>
      </c>
      <c r="CX319" s="1804">
        <v>0</v>
      </c>
      <c r="CY319" s="1804">
        <v>0</v>
      </c>
      <c r="CZ319" s="1804">
        <v>0</v>
      </c>
      <c r="DA319" s="1804">
        <v>0</v>
      </c>
      <c r="DB319" s="1804">
        <v>0</v>
      </c>
      <c r="DC319" s="1804">
        <v>0</v>
      </c>
      <c r="DD319" s="1804">
        <v>0</v>
      </c>
      <c r="DE319" s="1804">
        <v>0</v>
      </c>
      <c r="DF319" s="1804">
        <v>0</v>
      </c>
      <c r="DG319" s="1804">
        <v>0</v>
      </c>
      <c r="DH319" s="1804">
        <v>0</v>
      </c>
      <c r="DI319" s="1804">
        <v>0</v>
      </c>
      <c r="DJ319" s="1804">
        <v>0</v>
      </c>
      <c r="DK319" s="1804">
        <v>0</v>
      </c>
      <c r="DL319" s="1804">
        <v>0</v>
      </c>
      <c r="DM319" s="1804">
        <v>0</v>
      </c>
      <c r="DN319" s="1804">
        <v>0</v>
      </c>
      <c r="DO319" s="1804">
        <v>0</v>
      </c>
      <c r="DP319" s="1804">
        <v>0</v>
      </c>
      <c r="DQ319" s="1804">
        <v>0</v>
      </c>
      <c r="DR319" s="1804">
        <v>0</v>
      </c>
      <c r="DS319" s="1804">
        <v>0</v>
      </c>
      <c r="DT319" s="1804">
        <v>0</v>
      </c>
      <c r="DU319" s="1804">
        <v>0</v>
      </c>
      <c r="DV319" s="1804">
        <v>0</v>
      </c>
      <c r="DW319" s="1804">
        <v>0</v>
      </c>
      <c r="DX319" s="1804">
        <v>0</v>
      </c>
      <c r="DY319" s="1804">
        <v>0</v>
      </c>
      <c r="DZ319" s="1804">
        <v>0</v>
      </c>
      <c r="EA319" s="1804">
        <v>0</v>
      </c>
      <c r="EB319" s="1804">
        <v>0</v>
      </c>
      <c r="EC319" s="1804">
        <v>0</v>
      </c>
      <c r="ED319" s="1804">
        <v>0</v>
      </c>
      <c r="EE319" s="1804">
        <v>0</v>
      </c>
      <c r="EF319" s="1804">
        <v>0</v>
      </c>
      <c r="EG319" s="1804">
        <v>0</v>
      </c>
      <c r="EH319" s="1804">
        <v>0</v>
      </c>
      <c r="EI319" s="1804">
        <v>0</v>
      </c>
      <c r="EJ319" s="1804">
        <v>0</v>
      </c>
      <c r="EK319" s="1804">
        <v>0</v>
      </c>
      <c r="EL319" s="1804">
        <v>0</v>
      </c>
      <c r="EM319" s="1804">
        <v>0</v>
      </c>
      <c r="EN319" s="1804">
        <v>0</v>
      </c>
      <c r="EO319" s="1804">
        <v>0</v>
      </c>
      <c r="EP319" s="1804">
        <v>0</v>
      </c>
      <c r="EQ319" s="1804">
        <v>0</v>
      </c>
      <c r="ER319" s="1804">
        <v>0</v>
      </c>
      <c r="ES319" s="1804">
        <v>0</v>
      </c>
      <c r="ET319" s="1804">
        <v>0</v>
      </c>
      <c r="EU319" s="1804">
        <v>0</v>
      </c>
      <c r="EV319" s="1804">
        <v>0</v>
      </c>
      <c r="EW319" s="1804">
        <v>0</v>
      </c>
      <c r="EX319" s="1804">
        <v>0</v>
      </c>
      <c r="EY319" s="1804">
        <v>0</v>
      </c>
      <c r="EZ319" s="1804">
        <v>0</v>
      </c>
      <c r="FA319" s="1804">
        <v>0</v>
      </c>
      <c r="FB319" s="1804">
        <v>0</v>
      </c>
      <c r="FC319" s="1804">
        <v>0</v>
      </c>
      <c r="FD319" s="1804">
        <v>0</v>
      </c>
      <c r="FE319" s="1804">
        <v>0</v>
      </c>
      <c r="FF319" s="1804">
        <v>0</v>
      </c>
      <c r="FG319" s="1804">
        <v>0</v>
      </c>
      <c r="FH319" s="1804">
        <v>0</v>
      </c>
      <c r="FI319" s="1804">
        <v>0</v>
      </c>
      <c r="FJ319" s="1804">
        <v>0</v>
      </c>
      <c r="FK319" s="1804">
        <v>0</v>
      </c>
      <c r="FL319" s="1804">
        <v>0</v>
      </c>
      <c r="FM319" s="1804">
        <v>0</v>
      </c>
      <c r="FN319" s="1804">
        <v>0</v>
      </c>
      <c r="FO319" s="1804">
        <v>0</v>
      </c>
      <c r="FP319" s="1804">
        <v>0</v>
      </c>
      <c r="FQ319" s="1804">
        <v>0</v>
      </c>
      <c r="FR319" s="1804">
        <v>0</v>
      </c>
      <c r="FS319" s="1804">
        <v>0</v>
      </c>
      <c r="FT319" s="1804">
        <v>0</v>
      </c>
      <c r="FU319" s="1804">
        <v>0</v>
      </c>
      <c r="FV319" s="1804">
        <v>0</v>
      </c>
      <c r="FW319" s="1804">
        <v>0</v>
      </c>
      <c r="FX319" s="1804">
        <v>0</v>
      </c>
      <c r="FY319" s="1804">
        <v>0</v>
      </c>
      <c r="FZ319" s="1804">
        <v>0</v>
      </c>
      <c r="GA319" s="1804">
        <v>0</v>
      </c>
      <c r="GB319" s="1804">
        <v>0</v>
      </c>
      <c r="GC319" s="1804">
        <v>0</v>
      </c>
      <c r="GD319" s="1804">
        <v>0</v>
      </c>
      <c r="GE319" s="1804">
        <v>0</v>
      </c>
      <c r="GF319" s="1804">
        <v>0</v>
      </c>
      <c r="GG319" s="1804">
        <v>0</v>
      </c>
      <c r="GH319" s="1804">
        <v>0</v>
      </c>
      <c r="GI319" s="1804">
        <v>0</v>
      </c>
      <c r="GJ319" s="1804">
        <v>0</v>
      </c>
      <c r="GK319" s="1804">
        <v>0</v>
      </c>
      <c r="GL319" s="1804">
        <v>0</v>
      </c>
      <c r="GM319" s="1804">
        <v>0</v>
      </c>
      <c r="GN319" s="1804">
        <v>0</v>
      </c>
      <c r="GO319" s="1804">
        <v>0</v>
      </c>
      <c r="GP319" s="1804">
        <v>0</v>
      </c>
      <c r="GQ319" s="1804">
        <v>0</v>
      </c>
      <c r="GR319" s="1804">
        <v>0</v>
      </c>
      <c r="GS319" s="1804">
        <v>0</v>
      </c>
      <c r="GT319" s="1804">
        <v>0</v>
      </c>
      <c r="GU319" s="1804">
        <v>0</v>
      </c>
      <c r="GV319" s="1804">
        <v>0</v>
      </c>
      <c r="GW319" s="1804">
        <v>0</v>
      </c>
      <c r="GX319" s="1804">
        <v>0</v>
      </c>
      <c r="GY319" s="1804">
        <v>0</v>
      </c>
      <c r="GZ319" s="1804">
        <v>0</v>
      </c>
      <c r="HA319" s="1804">
        <v>0</v>
      </c>
      <c r="HB319" s="1804">
        <v>0</v>
      </c>
      <c r="HC319" s="1804">
        <v>0</v>
      </c>
      <c r="HD319" s="1804">
        <v>0</v>
      </c>
      <c r="HE319" s="1804">
        <v>0</v>
      </c>
    </row>
    <row r="320" spans="1:213" ht="15" customHeight="1" x14ac:dyDescent="0.2">
      <c r="A320" s="1964"/>
      <c r="B320" s="1989"/>
      <c r="C320" s="1833" t="s">
        <v>1091</v>
      </c>
      <c r="D320" s="1886"/>
      <c r="E320" s="1984"/>
      <c r="F320" s="1838">
        <v>0</v>
      </c>
      <c r="G320" s="1804">
        <v>0</v>
      </c>
      <c r="H320" s="1804">
        <v>0</v>
      </c>
      <c r="I320" s="1804">
        <v>0</v>
      </c>
      <c r="J320" s="1804">
        <v>0</v>
      </c>
      <c r="K320" s="1804">
        <v>0</v>
      </c>
      <c r="L320" s="1804">
        <v>0</v>
      </c>
      <c r="M320" s="1804">
        <v>0</v>
      </c>
      <c r="N320" s="1804">
        <v>0</v>
      </c>
      <c r="O320" s="1804">
        <v>0</v>
      </c>
      <c r="P320" s="1804">
        <v>0</v>
      </c>
      <c r="Q320" s="1804">
        <v>0</v>
      </c>
      <c r="R320" s="1804">
        <v>0</v>
      </c>
      <c r="S320" s="1804">
        <v>0</v>
      </c>
      <c r="T320" s="1804">
        <v>0</v>
      </c>
      <c r="U320" s="1804">
        <v>0</v>
      </c>
      <c r="V320" s="1804">
        <v>0</v>
      </c>
      <c r="W320" s="1804">
        <v>0</v>
      </c>
      <c r="X320" s="1804">
        <v>0</v>
      </c>
      <c r="Y320" s="1804">
        <v>0</v>
      </c>
      <c r="Z320" s="1804">
        <v>0</v>
      </c>
      <c r="AA320" s="1804">
        <v>0</v>
      </c>
      <c r="AB320" s="1804">
        <v>0</v>
      </c>
      <c r="AC320" s="1804">
        <v>0</v>
      </c>
      <c r="AD320" s="1804">
        <v>0</v>
      </c>
      <c r="AE320" s="1804">
        <v>0</v>
      </c>
      <c r="AF320" s="1804">
        <v>0</v>
      </c>
      <c r="AG320" s="1804">
        <v>0</v>
      </c>
      <c r="AH320" s="1804">
        <v>0</v>
      </c>
      <c r="AI320" s="1804">
        <v>0</v>
      </c>
      <c r="AJ320" s="1804">
        <v>0</v>
      </c>
      <c r="AK320" s="1804">
        <v>0</v>
      </c>
      <c r="AL320" s="1804">
        <v>0</v>
      </c>
      <c r="AM320" s="1804">
        <v>0</v>
      </c>
      <c r="AN320" s="1804">
        <v>0</v>
      </c>
      <c r="AO320" s="1804">
        <v>0</v>
      </c>
      <c r="AP320" s="1804">
        <v>0</v>
      </c>
      <c r="AQ320" s="1804">
        <v>0</v>
      </c>
      <c r="AR320" s="1804">
        <v>0</v>
      </c>
      <c r="AS320" s="1804">
        <v>0</v>
      </c>
      <c r="AT320" s="1804">
        <v>0</v>
      </c>
      <c r="AU320" s="1804">
        <v>0</v>
      </c>
      <c r="AV320" s="1804">
        <v>0</v>
      </c>
      <c r="AW320" s="1804">
        <v>0</v>
      </c>
      <c r="AX320" s="1804">
        <v>0</v>
      </c>
      <c r="AY320" s="1804">
        <v>0</v>
      </c>
      <c r="AZ320" s="1804">
        <v>0</v>
      </c>
      <c r="BA320" s="1804">
        <v>0</v>
      </c>
      <c r="BB320" s="1804">
        <v>0</v>
      </c>
      <c r="BC320" s="1804">
        <v>0</v>
      </c>
      <c r="BD320" s="1804">
        <v>0</v>
      </c>
      <c r="BE320" s="1804">
        <v>0</v>
      </c>
      <c r="BF320" s="1804">
        <v>0</v>
      </c>
      <c r="BG320" s="1804">
        <v>0</v>
      </c>
      <c r="BH320" s="1804">
        <v>0</v>
      </c>
      <c r="BI320" s="1804">
        <v>0</v>
      </c>
      <c r="BJ320" s="1804">
        <v>0</v>
      </c>
      <c r="BK320" s="1804">
        <v>0</v>
      </c>
      <c r="BL320" s="1804">
        <v>0</v>
      </c>
      <c r="BM320" s="1804">
        <v>0</v>
      </c>
      <c r="BN320" s="1804">
        <v>0</v>
      </c>
      <c r="BO320" s="1804">
        <v>0</v>
      </c>
      <c r="BP320" s="1804">
        <v>0</v>
      </c>
      <c r="BQ320" s="1804">
        <v>0</v>
      </c>
      <c r="BR320" s="1804">
        <v>0</v>
      </c>
      <c r="BS320" s="1804">
        <v>0</v>
      </c>
      <c r="BT320" s="1804">
        <v>0</v>
      </c>
      <c r="BU320" s="1804">
        <v>0</v>
      </c>
      <c r="BV320" s="1804">
        <v>0</v>
      </c>
      <c r="BW320" s="1804">
        <v>0</v>
      </c>
      <c r="BX320" s="1804">
        <v>0</v>
      </c>
      <c r="BY320" s="1804">
        <v>0</v>
      </c>
      <c r="BZ320" s="1804">
        <v>0</v>
      </c>
      <c r="CA320" s="1804">
        <v>0</v>
      </c>
      <c r="CB320" s="1804">
        <v>0</v>
      </c>
      <c r="CC320" s="1804">
        <v>0</v>
      </c>
      <c r="CD320" s="1804">
        <v>0</v>
      </c>
      <c r="CE320" s="1804">
        <v>0</v>
      </c>
      <c r="CF320" s="1804">
        <v>0</v>
      </c>
      <c r="CG320" s="1804">
        <v>0</v>
      </c>
      <c r="CH320" s="1804">
        <v>0</v>
      </c>
      <c r="CI320" s="1804">
        <v>0</v>
      </c>
      <c r="CJ320" s="1804">
        <v>0</v>
      </c>
      <c r="CK320" s="1804">
        <v>0</v>
      </c>
      <c r="CL320" s="1804">
        <v>0</v>
      </c>
      <c r="CM320" s="1804">
        <v>0</v>
      </c>
      <c r="CN320" s="1804">
        <v>0</v>
      </c>
      <c r="CO320" s="1804">
        <v>0</v>
      </c>
      <c r="CP320" s="1804">
        <v>0</v>
      </c>
      <c r="CQ320" s="1804">
        <v>0</v>
      </c>
      <c r="CR320" s="1804">
        <v>0</v>
      </c>
      <c r="CS320" s="1804">
        <v>0</v>
      </c>
      <c r="CT320" s="1804">
        <v>0</v>
      </c>
      <c r="CU320" s="1804">
        <v>0</v>
      </c>
      <c r="CV320" s="1804">
        <v>0</v>
      </c>
      <c r="CW320" s="1804">
        <v>0</v>
      </c>
      <c r="CX320" s="1804">
        <v>0</v>
      </c>
      <c r="CY320" s="1804">
        <v>0</v>
      </c>
      <c r="CZ320" s="1804">
        <v>0</v>
      </c>
      <c r="DA320" s="1804">
        <v>0</v>
      </c>
      <c r="DB320" s="1804">
        <v>0</v>
      </c>
      <c r="DC320" s="1804">
        <v>0</v>
      </c>
      <c r="DD320" s="1804">
        <v>0</v>
      </c>
      <c r="DE320" s="1804">
        <v>0</v>
      </c>
      <c r="DF320" s="1804">
        <v>0</v>
      </c>
      <c r="DG320" s="1804">
        <v>0</v>
      </c>
      <c r="DH320" s="1804">
        <v>0</v>
      </c>
      <c r="DI320" s="1804">
        <v>0</v>
      </c>
      <c r="DJ320" s="1804">
        <v>0</v>
      </c>
      <c r="DK320" s="1804">
        <v>0</v>
      </c>
      <c r="DL320" s="1804">
        <v>0</v>
      </c>
      <c r="DM320" s="1804">
        <v>0</v>
      </c>
      <c r="DN320" s="1804">
        <v>0</v>
      </c>
      <c r="DO320" s="1804">
        <v>0</v>
      </c>
      <c r="DP320" s="1804">
        <v>0</v>
      </c>
      <c r="DQ320" s="1804">
        <v>0</v>
      </c>
      <c r="DR320" s="1804">
        <v>0</v>
      </c>
      <c r="DS320" s="1804">
        <v>0</v>
      </c>
      <c r="DT320" s="1804">
        <v>0</v>
      </c>
      <c r="DU320" s="1804">
        <v>0</v>
      </c>
      <c r="DV320" s="1804">
        <v>0</v>
      </c>
      <c r="DW320" s="1804">
        <v>0</v>
      </c>
      <c r="DX320" s="1804">
        <v>0</v>
      </c>
      <c r="DY320" s="1804">
        <v>0</v>
      </c>
      <c r="DZ320" s="1804">
        <v>0</v>
      </c>
      <c r="EA320" s="1804">
        <v>0</v>
      </c>
      <c r="EB320" s="1804">
        <v>0</v>
      </c>
      <c r="EC320" s="1804">
        <v>0</v>
      </c>
      <c r="ED320" s="1804">
        <v>0</v>
      </c>
      <c r="EE320" s="1804">
        <v>0</v>
      </c>
      <c r="EF320" s="1804">
        <v>0</v>
      </c>
      <c r="EG320" s="1804">
        <v>0</v>
      </c>
      <c r="EH320" s="1804">
        <v>0</v>
      </c>
      <c r="EI320" s="1804">
        <v>0</v>
      </c>
      <c r="EJ320" s="1804">
        <v>0</v>
      </c>
      <c r="EK320" s="1804">
        <v>0</v>
      </c>
      <c r="EL320" s="1804">
        <v>0</v>
      </c>
      <c r="EM320" s="1804">
        <v>0</v>
      </c>
      <c r="EN320" s="1804">
        <v>0</v>
      </c>
      <c r="EO320" s="1804">
        <v>0</v>
      </c>
      <c r="EP320" s="1804">
        <v>0</v>
      </c>
      <c r="EQ320" s="1804">
        <v>0</v>
      </c>
      <c r="ER320" s="1804">
        <v>0</v>
      </c>
      <c r="ES320" s="1804">
        <v>0</v>
      </c>
      <c r="ET320" s="1804">
        <v>0</v>
      </c>
      <c r="EU320" s="1804">
        <v>0</v>
      </c>
      <c r="EV320" s="1804">
        <v>0</v>
      </c>
      <c r="EW320" s="1804">
        <v>0</v>
      </c>
      <c r="EX320" s="1804">
        <v>0</v>
      </c>
      <c r="EY320" s="1804">
        <v>0</v>
      </c>
      <c r="EZ320" s="1804">
        <v>0</v>
      </c>
      <c r="FA320" s="1804">
        <v>0</v>
      </c>
      <c r="FB320" s="1804">
        <v>0</v>
      </c>
      <c r="FC320" s="1804">
        <v>0</v>
      </c>
      <c r="FD320" s="1804">
        <v>0</v>
      </c>
      <c r="FE320" s="1804">
        <v>0</v>
      </c>
      <c r="FF320" s="1804">
        <v>0</v>
      </c>
      <c r="FG320" s="1804">
        <v>0</v>
      </c>
      <c r="FH320" s="1804">
        <v>0</v>
      </c>
      <c r="FI320" s="1804">
        <v>0</v>
      </c>
      <c r="FJ320" s="1804">
        <v>0</v>
      </c>
      <c r="FK320" s="1804">
        <v>0</v>
      </c>
      <c r="FL320" s="1804">
        <v>0</v>
      </c>
      <c r="FM320" s="1804">
        <v>0</v>
      </c>
      <c r="FN320" s="1804">
        <v>0</v>
      </c>
      <c r="FO320" s="1804">
        <v>0</v>
      </c>
      <c r="FP320" s="1804">
        <v>0</v>
      </c>
      <c r="FQ320" s="1804">
        <v>0</v>
      </c>
      <c r="FR320" s="1804">
        <v>0</v>
      </c>
      <c r="FS320" s="1804">
        <v>0</v>
      </c>
      <c r="FT320" s="1804">
        <v>0</v>
      </c>
      <c r="FU320" s="1804">
        <v>0</v>
      </c>
      <c r="FV320" s="1804">
        <v>0</v>
      </c>
      <c r="FW320" s="1804">
        <v>0</v>
      </c>
      <c r="FX320" s="1804">
        <v>0</v>
      </c>
      <c r="FY320" s="1804">
        <v>0</v>
      </c>
      <c r="FZ320" s="1804">
        <v>0</v>
      </c>
      <c r="GA320" s="1804">
        <v>0</v>
      </c>
      <c r="GB320" s="1804">
        <v>0</v>
      </c>
      <c r="GC320" s="1804">
        <v>0</v>
      </c>
      <c r="GD320" s="1804">
        <v>0</v>
      </c>
      <c r="GE320" s="1804">
        <v>0</v>
      </c>
      <c r="GF320" s="1804">
        <v>0</v>
      </c>
      <c r="GG320" s="1804">
        <v>0</v>
      </c>
      <c r="GH320" s="1804">
        <v>0</v>
      </c>
      <c r="GI320" s="1804">
        <v>0</v>
      </c>
      <c r="GJ320" s="1804">
        <v>0</v>
      </c>
      <c r="GK320" s="1804">
        <v>0</v>
      </c>
      <c r="GL320" s="1804">
        <v>0</v>
      </c>
      <c r="GM320" s="1804">
        <v>0</v>
      </c>
      <c r="GN320" s="1804">
        <v>0</v>
      </c>
      <c r="GO320" s="1804">
        <v>0</v>
      </c>
      <c r="GP320" s="1804">
        <v>0</v>
      </c>
      <c r="GQ320" s="1804">
        <v>0</v>
      </c>
      <c r="GR320" s="1804">
        <v>0</v>
      </c>
      <c r="GS320" s="1804">
        <v>0</v>
      </c>
      <c r="GT320" s="1804">
        <v>0</v>
      </c>
      <c r="GU320" s="1804">
        <v>0</v>
      </c>
      <c r="GV320" s="1804">
        <v>0</v>
      </c>
      <c r="GW320" s="1804">
        <v>0</v>
      </c>
      <c r="GX320" s="1804">
        <v>0</v>
      </c>
      <c r="GY320" s="1804">
        <v>0</v>
      </c>
      <c r="GZ320" s="1804">
        <v>0</v>
      </c>
      <c r="HA320" s="1804">
        <v>0</v>
      </c>
      <c r="HB320" s="1804">
        <v>0</v>
      </c>
      <c r="HC320" s="1804">
        <v>0</v>
      </c>
      <c r="HD320" s="1804">
        <v>0</v>
      </c>
      <c r="HE320" s="1804">
        <v>0</v>
      </c>
    </row>
    <row r="321" spans="1:1291" ht="28.5" customHeight="1" x14ac:dyDescent="0.2">
      <c r="A321" s="1964"/>
      <c r="B321" s="1989"/>
      <c r="C321" s="1833" t="s">
        <v>1092</v>
      </c>
      <c r="D321" s="1886"/>
      <c r="E321" s="1984"/>
      <c r="F321" s="1838">
        <v>0</v>
      </c>
      <c r="G321" s="1804">
        <v>0</v>
      </c>
      <c r="H321" s="1804">
        <v>0</v>
      </c>
      <c r="I321" s="1804">
        <v>0</v>
      </c>
      <c r="J321" s="1804">
        <v>0</v>
      </c>
      <c r="K321" s="1804">
        <v>0</v>
      </c>
      <c r="L321" s="1804">
        <v>0</v>
      </c>
      <c r="M321" s="1804">
        <v>0</v>
      </c>
      <c r="N321" s="1804">
        <v>0</v>
      </c>
      <c r="O321" s="1804">
        <v>0</v>
      </c>
      <c r="P321" s="1804">
        <v>0</v>
      </c>
      <c r="Q321" s="1804">
        <v>0</v>
      </c>
      <c r="R321" s="1804">
        <v>0</v>
      </c>
      <c r="S321" s="1804">
        <v>0</v>
      </c>
      <c r="T321" s="1804">
        <v>0</v>
      </c>
      <c r="U321" s="1804">
        <v>0</v>
      </c>
      <c r="V321" s="1804">
        <v>0</v>
      </c>
      <c r="W321" s="1804">
        <v>0</v>
      </c>
      <c r="X321" s="1804">
        <v>0</v>
      </c>
      <c r="Y321" s="1804">
        <v>0</v>
      </c>
      <c r="Z321" s="1804">
        <v>0</v>
      </c>
      <c r="AA321" s="1804">
        <v>0</v>
      </c>
      <c r="AB321" s="1804">
        <v>0</v>
      </c>
      <c r="AC321" s="1804">
        <v>0</v>
      </c>
      <c r="AD321" s="1804">
        <v>0</v>
      </c>
      <c r="AE321" s="1804">
        <v>0</v>
      </c>
      <c r="AF321" s="1804">
        <v>0</v>
      </c>
      <c r="AG321" s="1804">
        <v>0</v>
      </c>
      <c r="AH321" s="1804">
        <v>0</v>
      </c>
      <c r="AI321" s="1804">
        <v>0</v>
      </c>
      <c r="AJ321" s="1804">
        <v>0</v>
      </c>
      <c r="AK321" s="1804">
        <v>0</v>
      </c>
      <c r="AL321" s="1804">
        <v>0</v>
      </c>
      <c r="AM321" s="1804">
        <v>0</v>
      </c>
      <c r="AN321" s="1804">
        <v>0</v>
      </c>
      <c r="AO321" s="1804">
        <v>0</v>
      </c>
      <c r="AP321" s="1804">
        <v>0</v>
      </c>
      <c r="AQ321" s="1804">
        <v>0</v>
      </c>
      <c r="AR321" s="1804">
        <v>0</v>
      </c>
      <c r="AS321" s="1804">
        <v>0</v>
      </c>
      <c r="AT321" s="1804">
        <v>0</v>
      </c>
      <c r="AU321" s="1804">
        <v>0</v>
      </c>
      <c r="AV321" s="1804">
        <v>0</v>
      </c>
      <c r="AW321" s="1804">
        <v>0</v>
      </c>
      <c r="AX321" s="1804">
        <v>0</v>
      </c>
      <c r="AY321" s="1804">
        <v>0</v>
      </c>
      <c r="AZ321" s="1804">
        <v>0</v>
      </c>
      <c r="BA321" s="1804">
        <v>0</v>
      </c>
      <c r="BB321" s="1804">
        <v>0</v>
      </c>
      <c r="BC321" s="1804">
        <v>0</v>
      </c>
      <c r="BD321" s="1804">
        <v>0</v>
      </c>
      <c r="BE321" s="1804">
        <v>0</v>
      </c>
      <c r="BF321" s="1804">
        <v>0</v>
      </c>
      <c r="BG321" s="1804">
        <v>0</v>
      </c>
      <c r="BH321" s="1804">
        <v>0</v>
      </c>
      <c r="BI321" s="1804">
        <v>0</v>
      </c>
      <c r="BJ321" s="1804">
        <v>0</v>
      </c>
      <c r="BK321" s="1804">
        <v>0</v>
      </c>
      <c r="BL321" s="1804">
        <v>0</v>
      </c>
      <c r="BM321" s="1804">
        <v>0</v>
      </c>
      <c r="BN321" s="1804">
        <v>0</v>
      </c>
      <c r="BO321" s="1804">
        <v>0</v>
      </c>
      <c r="BP321" s="1804">
        <v>0</v>
      </c>
      <c r="BQ321" s="1804">
        <v>0</v>
      </c>
      <c r="BR321" s="1804">
        <v>0</v>
      </c>
      <c r="BS321" s="1804">
        <v>0</v>
      </c>
      <c r="BT321" s="1804">
        <v>0</v>
      </c>
      <c r="BU321" s="1804">
        <v>0</v>
      </c>
      <c r="BV321" s="1804">
        <v>0</v>
      </c>
      <c r="BW321" s="1804">
        <v>0</v>
      </c>
      <c r="BX321" s="1804">
        <v>0</v>
      </c>
      <c r="BY321" s="1804">
        <v>0</v>
      </c>
      <c r="BZ321" s="1804">
        <v>0</v>
      </c>
      <c r="CA321" s="1804">
        <v>0</v>
      </c>
      <c r="CB321" s="1804">
        <v>0</v>
      </c>
      <c r="CC321" s="1804">
        <v>0</v>
      </c>
      <c r="CD321" s="1804">
        <v>0</v>
      </c>
      <c r="CE321" s="1804">
        <v>0</v>
      </c>
      <c r="CF321" s="1804">
        <v>0</v>
      </c>
      <c r="CG321" s="1804">
        <v>0</v>
      </c>
      <c r="CH321" s="1804">
        <v>0</v>
      </c>
      <c r="CI321" s="1804">
        <v>0</v>
      </c>
      <c r="CJ321" s="1804">
        <v>0</v>
      </c>
      <c r="CK321" s="1804">
        <v>0</v>
      </c>
      <c r="CL321" s="1804">
        <v>0</v>
      </c>
      <c r="CM321" s="1804">
        <v>0</v>
      </c>
      <c r="CN321" s="1804">
        <v>0</v>
      </c>
      <c r="CO321" s="1804">
        <v>0</v>
      </c>
      <c r="CP321" s="1804">
        <v>0</v>
      </c>
      <c r="CQ321" s="1804">
        <v>0</v>
      </c>
      <c r="CR321" s="1804">
        <v>0</v>
      </c>
      <c r="CS321" s="1804">
        <v>0</v>
      </c>
      <c r="CT321" s="1804">
        <v>0</v>
      </c>
      <c r="CU321" s="1804">
        <v>0</v>
      </c>
      <c r="CV321" s="1804">
        <v>0</v>
      </c>
      <c r="CW321" s="1804">
        <v>0</v>
      </c>
      <c r="CX321" s="1804">
        <v>0</v>
      </c>
      <c r="CY321" s="1804">
        <v>0</v>
      </c>
      <c r="CZ321" s="1804">
        <v>0</v>
      </c>
      <c r="DA321" s="1804">
        <v>0</v>
      </c>
      <c r="DB321" s="1804">
        <v>0</v>
      </c>
      <c r="DC321" s="1804">
        <v>0</v>
      </c>
      <c r="DD321" s="1804">
        <v>0</v>
      </c>
      <c r="DE321" s="1804">
        <v>0</v>
      </c>
      <c r="DF321" s="1804">
        <v>0</v>
      </c>
      <c r="DG321" s="1804">
        <v>0</v>
      </c>
      <c r="DH321" s="1804">
        <v>0</v>
      </c>
      <c r="DI321" s="1804">
        <v>0</v>
      </c>
      <c r="DJ321" s="1804">
        <v>0</v>
      </c>
      <c r="DK321" s="1804">
        <v>0</v>
      </c>
      <c r="DL321" s="1804">
        <v>0</v>
      </c>
      <c r="DM321" s="1804">
        <v>0</v>
      </c>
      <c r="DN321" s="1804">
        <v>0</v>
      </c>
      <c r="DO321" s="1804">
        <v>0</v>
      </c>
      <c r="DP321" s="1804">
        <v>0</v>
      </c>
      <c r="DQ321" s="1804">
        <v>0</v>
      </c>
      <c r="DR321" s="1804">
        <v>0</v>
      </c>
      <c r="DS321" s="1804">
        <v>0</v>
      </c>
      <c r="DT321" s="1804">
        <v>0</v>
      </c>
      <c r="DU321" s="1804">
        <v>0</v>
      </c>
      <c r="DV321" s="1804">
        <v>0</v>
      </c>
      <c r="DW321" s="1804">
        <v>0</v>
      </c>
      <c r="DX321" s="1804">
        <v>0</v>
      </c>
      <c r="DY321" s="1804">
        <v>0</v>
      </c>
      <c r="DZ321" s="1804">
        <v>0</v>
      </c>
      <c r="EA321" s="1804">
        <v>0</v>
      </c>
      <c r="EB321" s="1804">
        <v>0</v>
      </c>
      <c r="EC321" s="1804">
        <v>0</v>
      </c>
      <c r="ED321" s="1804">
        <v>0</v>
      </c>
      <c r="EE321" s="1804">
        <v>0</v>
      </c>
      <c r="EF321" s="1804">
        <v>0</v>
      </c>
      <c r="EG321" s="1804">
        <v>0</v>
      </c>
      <c r="EH321" s="1804">
        <v>0</v>
      </c>
      <c r="EI321" s="1804">
        <v>0</v>
      </c>
      <c r="EJ321" s="1804">
        <v>0</v>
      </c>
      <c r="EK321" s="1804">
        <v>0</v>
      </c>
      <c r="EL321" s="1804">
        <v>0</v>
      </c>
      <c r="EM321" s="1804">
        <v>0</v>
      </c>
      <c r="EN321" s="1804">
        <v>0</v>
      </c>
      <c r="EO321" s="1804">
        <v>0</v>
      </c>
      <c r="EP321" s="1804">
        <v>0</v>
      </c>
      <c r="EQ321" s="1804">
        <v>0</v>
      </c>
      <c r="ER321" s="1804">
        <v>0</v>
      </c>
      <c r="ES321" s="1804">
        <v>0</v>
      </c>
      <c r="ET321" s="1804">
        <v>0</v>
      </c>
      <c r="EU321" s="1804">
        <v>0</v>
      </c>
      <c r="EV321" s="1804">
        <v>0</v>
      </c>
      <c r="EW321" s="1804">
        <v>0</v>
      </c>
      <c r="EX321" s="1804">
        <v>0</v>
      </c>
      <c r="EY321" s="1804">
        <v>0</v>
      </c>
      <c r="EZ321" s="1804">
        <v>0</v>
      </c>
      <c r="FA321" s="1804">
        <v>0</v>
      </c>
      <c r="FB321" s="1804">
        <v>0</v>
      </c>
      <c r="FC321" s="1804">
        <v>0</v>
      </c>
      <c r="FD321" s="1804">
        <v>0</v>
      </c>
      <c r="FE321" s="1804">
        <v>0</v>
      </c>
      <c r="FF321" s="1804">
        <v>0</v>
      </c>
      <c r="FG321" s="1804">
        <v>0</v>
      </c>
      <c r="FH321" s="1804">
        <v>0</v>
      </c>
      <c r="FI321" s="1804">
        <v>0</v>
      </c>
      <c r="FJ321" s="1804">
        <v>0</v>
      </c>
      <c r="FK321" s="1804">
        <v>0</v>
      </c>
      <c r="FL321" s="1804">
        <v>0</v>
      </c>
      <c r="FM321" s="1804">
        <v>0</v>
      </c>
      <c r="FN321" s="1804">
        <v>0</v>
      </c>
      <c r="FO321" s="1804">
        <v>0</v>
      </c>
      <c r="FP321" s="1804">
        <v>0</v>
      </c>
      <c r="FQ321" s="1804">
        <v>0</v>
      </c>
      <c r="FR321" s="1804">
        <v>0</v>
      </c>
      <c r="FS321" s="1804">
        <v>0</v>
      </c>
      <c r="FT321" s="1804">
        <v>0</v>
      </c>
      <c r="FU321" s="1804">
        <v>0</v>
      </c>
      <c r="FV321" s="1804">
        <v>0</v>
      </c>
      <c r="FW321" s="1804">
        <v>0</v>
      </c>
      <c r="FX321" s="1804">
        <v>0</v>
      </c>
      <c r="FY321" s="1804">
        <v>0</v>
      </c>
      <c r="FZ321" s="1804">
        <v>0</v>
      </c>
      <c r="GA321" s="1804">
        <v>0</v>
      </c>
      <c r="GB321" s="1804">
        <v>0</v>
      </c>
      <c r="GC321" s="1804">
        <v>0</v>
      </c>
      <c r="GD321" s="1804">
        <v>0</v>
      </c>
      <c r="GE321" s="1804">
        <v>0</v>
      </c>
      <c r="GF321" s="1804">
        <v>0</v>
      </c>
      <c r="GG321" s="1804">
        <v>0</v>
      </c>
      <c r="GH321" s="1804">
        <v>0</v>
      </c>
      <c r="GI321" s="1804">
        <v>0</v>
      </c>
      <c r="GJ321" s="1804">
        <v>0</v>
      </c>
      <c r="GK321" s="1804">
        <v>0</v>
      </c>
      <c r="GL321" s="1804">
        <v>0</v>
      </c>
      <c r="GM321" s="1804">
        <v>0</v>
      </c>
      <c r="GN321" s="1804">
        <v>0</v>
      </c>
      <c r="GO321" s="1804">
        <v>0</v>
      </c>
      <c r="GP321" s="1804">
        <v>0</v>
      </c>
      <c r="GQ321" s="1804">
        <v>0</v>
      </c>
      <c r="GR321" s="1804">
        <v>0</v>
      </c>
      <c r="GS321" s="1804">
        <v>0</v>
      </c>
      <c r="GT321" s="1804">
        <v>0</v>
      </c>
      <c r="GU321" s="1804">
        <v>0</v>
      </c>
      <c r="GV321" s="1804">
        <v>0</v>
      </c>
      <c r="GW321" s="1804">
        <v>0</v>
      </c>
      <c r="GX321" s="1804">
        <v>0</v>
      </c>
      <c r="GY321" s="1804">
        <v>0</v>
      </c>
      <c r="GZ321" s="1804">
        <v>0</v>
      </c>
      <c r="HA321" s="1804">
        <v>0</v>
      </c>
      <c r="HB321" s="1804">
        <v>0</v>
      </c>
      <c r="HC321" s="1804">
        <v>0</v>
      </c>
      <c r="HD321" s="1804">
        <v>0</v>
      </c>
      <c r="HE321" s="1804">
        <v>0</v>
      </c>
    </row>
    <row r="322" spans="1:1291" ht="15" customHeight="1" thickBot="1" x14ac:dyDescent="0.25">
      <c r="A322" s="1965"/>
      <c r="B322" s="1991"/>
      <c r="C322" s="1715" t="s">
        <v>1081</v>
      </c>
      <c r="D322" s="1886"/>
      <c r="E322" s="1984"/>
      <c r="F322" s="1838">
        <v>0</v>
      </c>
      <c r="G322" s="1804">
        <v>0</v>
      </c>
      <c r="H322" s="1804">
        <v>0</v>
      </c>
      <c r="I322" s="1804">
        <v>0</v>
      </c>
      <c r="J322" s="1804">
        <v>0</v>
      </c>
      <c r="K322" s="1804">
        <v>0</v>
      </c>
      <c r="L322" s="1804">
        <v>0</v>
      </c>
      <c r="M322" s="1804">
        <v>0</v>
      </c>
      <c r="N322" s="1804">
        <v>0</v>
      </c>
      <c r="O322" s="1804">
        <v>0</v>
      </c>
      <c r="P322" s="1804">
        <v>0</v>
      </c>
      <c r="Q322" s="1804">
        <v>0</v>
      </c>
      <c r="R322" s="1804">
        <v>0</v>
      </c>
      <c r="S322" s="1804">
        <v>0</v>
      </c>
      <c r="T322" s="1804">
        <v>0</v>
      </c>
      <c r="U322" s="1804">
        <v>0</v>
      </c>
      <c r="V322" s="1804">
        <v>0</v>
      </c>
      <c r="W322" s="1804">
        <v>0</v>
      </c>
      <c r="X322" s="1804">
        <v>0</v>
      </c>
      <c r="Y322" s="1804">
        <v>0</v>
      </c>
      <c r="Z322" s="1804">
        <v>0</v>
      </c>
      <c r="AA322" s="1804">
        <v>0</v>
      </c>
      <c r="AB322" s="1804">
        <v>0</v>
      </c>
      <c r="AC322" s="1804">
        <v>0</v>
      </c>
      <c r="AD322" s="1804">
        <v>0</v>
      </c>
      <c r="AE322" s="1804">
        <v>0</v>
      </c>
      <c r="AF322" s="1804">
        <v>0</v>
      </c>
      <c r="AG322" s="1804">
        <v>0</v>
      </c>
      <c r="AH322" s="1804">
        <v>0</v>
      </c>
      <c r="AI322" s="1804">
        <v>0</v>
      </c>
      <c r="AJ322" s="1804">
        <v>0</v>
      </c>
      <c r="AK322" s="1804">
        <v>0</v>
      </c>
      <c r="AL322" s="1804">
        <v>0</v>
      </c>
      <c r="AM322" s="1804">
        <v>0</v>
      </c>
      <c r="AN322" s="1804">
        <v>0</v>
      </c>
      <c r="AO322" s="1804">
        <v>0</v>
      </c>
      <c r="AP322" s="1804">
        <v>0</v>
      </c>
      <c r="AQ322" s="1804">
        <v>0</v>
      </c>
      <c r="AR322" s="1804">
        <v>0</v>
      </c>
      <c r="AS322" s="1804">
        <v>0</v>
      </c>
      <c r="AT322" s="1804">
        <v>0</v>
      </c>
      <c r="AU322" s="1804">
        <v>0</v>
      </c>
      <c r="AV322" s="1804">
        <v>0</v>
      </c>
      <c r="AW322" s="1804">
        <v>0</v>
      </c>
      <c r="AX322" s="1804">
        <v>0</v>
      </c>
      <c r="AY322" s="1804">
        <v>0</v>
      </c>
      <c r="AZ322" s="1804">
        <v>0</v>
      </c>
      <c r="BA322" s="1804">
        <v>0</v>
      </c>
      <c r="BB322" s="1804">
        <v>0</v>
      </c>
      <c r="BC322" s="1804">
        <v>0</v>
      </c>
      <c r="BD322" s="1804">
        <v>0</v>
      </c>
      <c r="BE322" s="1804">
        <v>0</v>
      </c>
      <c r="BF322" s="1804">
        <v>0</v>
      </c>
      <c r="BG322" s="1804">
        <v>0</v>
      </c>
      <c r="BH322" s="1804">
        <v>0</v>
      </c>
      <c r="BI322" s="1804">
        <v>0</v>
      </c>
      <c r="BJ322" s="1804">
        <v>0</v>
      </c>
      <c r="BK322" s="1804">
        <v>0</v>
      </c>
      <c r="BL322" s="1804">
        <v>0</v>
      </c>
      <c r="BM322" s="1804">
        <v>0</v>
      </c>
      <c r="BN322" s="1804">
        <v>0</v>
      </c>
      <c r="BO322" s="1804">
        <v>0</v>
      </c>
      <c r="BP322" s="1804">
        <v>0</v>
      </c>
      <c r="BQ322" s="1804">
        <v>0</v>
      </c>
      <c r="BR322" s="1804">
        <v>0</v>
      </c>
      <c r="BS322" s="1804">
        <v>0</v>
      </c>
      <c r="BT322" s="1804">
        <v>0</v>
      </c>
      <c r="BU322" s="1804">
        <v>0</v>
      </c>
      <c r="BV322" s="1804">
        <v>0</v>
      </c>
      <c r="BW322" s="1804">
        <v>0</v>
      </c>
      <c r="BX322" s="1804">
        <v>0</v>
      </c>
      <c r="BY322" s="1804">
        <v>0</v>
      </c>
      <c r="BZ322" s="1804">
        <v>0</v>
      </c>
      <c r="CA322" s="1804">
        <v>0</v>
      </c>
      <c r="CB322" s="1804">
        <v>0</v>
      </c>
      <c r="CC322" s="1804">
        <v>0</v>
      </c>
      <c r="CD322" s="1804">
        <v>0</v>
      </c>
      <c r="CE322" s="1804">
        <v>0</v>
      </c>
      <c r="CF322" s="1804">
        <v>0</v>
      </c>
      <c r="CG322" s="1804">
        <v>0</v>
      </c>
      <c r="CH322" s="1804">
        <v>0</v>
      </c>
      <c r="CI322" s="1804">
        <v>0</v>
      </c>
      <c r="CJ322" s="1804">
        <v>0</v>
      </c>
      <c r="CK322" s="1804">
        <v>0</v>
      </c>
      <c r="CL322" s="1804">
        <v>0</v>
      </c>
      <c r="CM322" s="1804">
        <v>0</v>
      </c>
      <c r="CN322" s="1804">
        <v>0</v>
      </c>
      <c r="CO322" s="1804">
        <v>0</v>
      </c>
      <c r="CP322" s="1804">
        <v>0</v>
      </c>
      <c r="CQ322" s="1804">
        <v>0</v>
      </c>
      <c r="CR322" s="1804">
        <v>0</v>
      </c>
      <c r="CS322" s="1804">
        <v>0</v>
      </c>
      <c r="CT322" s="1804">
        <v>0</v>
      </c>
      <c r="CU322" s="1804">
        <v>0</v>
      </c>
      <c r="CV322" s="1804">
        <v>0</v>
      </c>
      <c r="CW322" s="1804">
        <v>0</v>
      </c>
      <c r="CX322" s="1804">
        <v>0</v>
      </c>
      <c r="CY322" s="1804">
        <v>0</v>
      </c>
      <c r="CZ322" s="1804">
        <v>0</v>
      </c>
      <c r="DA322" s="1804">
        <v>0</v>
      </c>
      <c r="DB322" s="1804">
        <v>0</v>
      </c>
      <c r="DC322" s="1804">
        <v>0</v>
      </c>
      <c r="DD322" s="1804">
        <v>0</v>
      </c>
      <c r="DE322" s="1804">
        <v>0</v>
      </c>
      <c r="DF322" s="1804">
        <v>0</v>
      </c>
      <c r="DG322" s="1804">
        <v>0</v>
      </c>
      <c r="DH322" s="1804">
        <v>0</v>
      </c>
      <c r="DI322" s="1804">
        <v>0</v>
      </c>
      <c r="DJ322" s="1804">
        <v>0</v>
      </c>
      <c r="DK322" s="1804">
        <v>0</v>
      </c>
      <c r="DL322" s="1804">
        <v>0</v>
      </c>
      <c r="DM322" s="1804">
        <v>0</v>
      </c>
      <c r="DN322" s="1804">
        <v>0</v>
      </c>
      <c r="DO322" s="1804">
        <v>0</v>
      </c>
      <c r="DP322" s="1804">
        <v>0</v>
      </c>
      <c r="DQ322" s="1804">
        <v>0</v>
      </c>
      <c r="DR322" s="1804">
        <v>0</v>
      </c>
      <c r="DS322" s="1804">
        <v>0</v>
      </c>
      <c r="DT322" s="1804">
        <v>0</v>
      </c>
      <c r="DU322" s="1804">
        <v>0</v>
      </c>
      <c r="DV322" s="1804">
        <v>0</v>
      </c>
      <c r="DW322" s="1804">
        <v>0</v>
      </c>
      <c r="DX322" s="1804">
        <v>0</v>
      </c>
      <c r="DY322" s="1804">
        <v>0</v>
      </c>
      <c r="DZ322" s="1804">
        <v>0</v>
      </c>
      <c r="EA322" s="1804">
        <v>0</v>
      </c>
      <c r="EB322" s="1804">
        <v>0</v>
      </c>
      <c r="EC322" s="1804">
        <v>0</v>
      </c>
      <c r="ED322" s="1804">
        <v>0</v>
      </c>
      <c r="EE322" s="1804">
        <v>0</v>
      </c>
      <c r="EF322" s="1804">
        <v>0</v>
      </c>
      <c r="EG322" s="1804">
        <v>0</v>
      </c>
      <c r="EH322" s="1804">
        <v>0</v>
      </c>
      <c r="EI322" s="1804">
        <v>0</v>
      </c>
      <c r="EJ322" s="1804">
        <v>0</v>
      </c>
      <c r="EK322" s="1804">
        <v>0</v>
      </c>
      <c r="EL322" s="1804">
        <v>0</v>
      </c>
      <c r="EM322" s="1804">
        <v>0</v>
      </c>
      <c r="EN322" s="1804">
        <v>0</v>
      </c>
      <c r="EO322" s="1804">
        <v>0</v>
      </c>
      <c r="EP322" s="1804">
        <v>0</v>
      </c>
      <c r="EQ322" s="1804">
        <v>0</v>
      </c>
      <c r="ER322" s="1804">
        <v>0</v>
      </c>
      <c r="ES322" s="1804">
        <v>0</v>
      </c>
      <c r="ET322" s="1804">
        <v>0</v>
      </c>
      <c r="EU322" s="1804">
        <v>0</v>
      </c>
      <c r="EV322" s="1804">
        <v>0</v>
      </c>
      <c r="EW322" s="1804">
        <v>0</v>
      </c>
      <c r="EX322" s="1804">
        <v>0</v>
      </c>
      <c r="EY322" s="1804">
        <v>0</v>
      </c>
      <c r="EZ322" s="1804">
        <v>0</v>
      </c>
      <c r="FA322" s="1804">
        <v>0</v>
      </c>
      <c r="FB322" s="1804">
        <v>0</v>
      </c>
      <c r="FC322" s="1804">
        <v>0</v>
      </c>
      <c r="FD322" s="1804">
        <v>0</v>
      </c>
      <c r="FE322" s="1804">
        <v>0</v>
      </c>
      <c r="FF322" s="1804">
        <v>0</v>
      </c>
      <c r="FG322" s="1804">
        <v>0</v>
      </c>
      <c r="FH322" s="1804">
        <v>0</v>
      </c>
      <c r="FI322" s="1804">
        <v>0</v>
      </c>
      <c r="FJ322" s="1804">
        <v>0</v>
      </c>
      <c r="FK322" s="1804">
        <v>0</v>
      </c>
      <c r="FL322" s="1804">
        <v>0</v>
      </c>
      <c r="FM322" s="1804">
        <v>0</v>
      </c>
      <c r="FN322" s="1804">
        <v>0</v>
      </c>
      <c r="FO322" s="1804">
        <v>0</v>
      </c>
      <c r="FP322" s="1804">
        <v>0</v>
      </c>
      <c r="FQ322" s="1804">
        <v>0</v>
      </c>
      <c r="FR322" s="1804">
        <v>0</v>
      </c>
      <c r="FS322" s="1804">
        <v>0</v>
      </c>
      <c r="FT322" s="1804">
        <v>0</v>
      </c>
      <c r="FU322" s="1804">
        <v>0</v>
      </c>
      <c r="FV322" s="1804">
        <v>0</v>
      </c>
      <c r="FW322" s="1804">
        <v>0</v>
      </c>
      <c r="FX322" s="1804">
        <v>0</v>
      </c>
      <c r="FY322" s="1804">
        <v>0</v>
      </c>
      <c r="FZ322" s="1804">
        <v>0</v>
      </c>
      <c r="GA322" s="1804">
        <v>0</v>
      </c>
      <c r="GB322" s="1804">
        <v>0</v>
      </c>
      <c r="GC322" s="1804">
        <v>0</v>
      </c>
      <c r="GD322" s="1804">
        <v>0</v>
      </c>
      <c r="GE322" s="1804">
        <v>0</v>
      </c>
      <c r="GF322" s="1804">
        <v>0</v>
      </c>
      <c r="GG322" s="1804">
        <v>0</v>
      </c>
      <c r="GH322" s="1804">
        <v>0</v>
      </c>
      <c r="GI322" s="1804">
        <v>0</v>
      </c>
      <c r="GJ322" s="1804">
        <v>0</v>
      </c>
      <c r="GK322" s="1804">
        <v>0</v>
      </c>
      <c r="GL322" s="1804">
        <v>0</v>
      </c>
      <c r="GM322" s="1804">
        <v>0</v>
      </c>
      <c r="GN322" s="1804">
        <v>0</v>
      </c>
      <c r="GO322" s="1804">
        <v>0</v>
      </c>
      <c r="GP322" s="1804">
        <v>0</v>
      </c>
      <c r="GQ322" s="1804">
        <v>0</v>
      </c>
      <c r="GR322" s="1804">
        <v>0</v>
      </c>
      <c r="GS322" s="1804">
        <v>0</v>
      </c>
      <c r="GT322" s="1804">
        <v>0</v>
      </c>
      <c r="GU322" s="1804">
        <v>0</v>
      </c>
      <c r="GV322" s="1804">
        <v>0</v>
      </c>
      <c r="GW322" s="1804">
        <v>0</v>
      </c>
      <c r="GX322" s="1804">
        <v>0</v>
      </c>
      <c r="GY322" s="1804">
        <v>0</v>
      </c>
      <c r="GZ322" s="1804">
        <v>0</v>
      </c>
      <c r="HA322" s="1804">
        <v>0</v>
      </c>
      <c r="HB322" s="1804">
        <v>0</v>
      </c>
      <c r="HC322" s="1804">
        <v>0</v>
      </c>
      <c r="HD322" s="1804">
        <v>0</v>
      </c>
      <c r="HE322" s="1804">
        <v>0</v>
      </c>
    </row>
    <row r="323" spans="1:1291" ht="45" customHeight="1" thickBot="1" x14ac:dyDescent="0.25">
      <c r="A323" s="1964" t="s">
        <v>1088</v>
      </c>
      <c r="B323" s="1989" t="s">
        <v>1382</v>
      </c>
      <c r="C323" s="1834" t="s">
        <v>1095</v>
      </c>
      <c r="D323" s="1880"/>
      <c r="E323" s="1984"/>
      <c r="F323" s="1865"/>
      <c r="G323" s="1866"/>
      <c r="H323" s="1866"/>
      <c r="I323" s="1866"/>
      <c r="J323" s="1866"/>
      <c r="K323" s="1866"/>
      <c r="L323" s="1866"/>
      <c r="M323" s="1866"/>
      <c r="N323" s="1866"/>
      <c r="O323" s="1866"/>
      <c r="P323" s="1866"/>
      <c r="Q323" s="1866"/>
      <c r="R323" s="1866"/>
      <c r="S323" s="1866"/>
      <c r="T323" s="1866"/>
      <c r="U323" s="1866"/>
      <c r="V323" s="1866"/>
      <c r="W323" s="1866"/>
      <c r="X323" s="1866"/>
      <c r="Y323" s="1866"/>
      <c r="Z323" s="1866"/>
      <c r="AA323" s="1866"/>
      <c r="AB323" s="1866"/>
      <c r="AC323" s="1866"/>
      <c r="AD323" s="1866"/>
      <c r="AE323" s="1866"/>
      <c r="AF323" s="1866"/>
      <c r="AG323" s="1866"/>
      <c r="AH323" s="1866"/>
      <c r="AI323" s="1866"/>
      <c r="AJ323" s="1866"/>
      <c r="AK323" s="1866"/>
      <c r="AL323" s="1866"/>
      <c r="AM323" s="1866"/>
      <c r="AN323" s="1866"/>
      <c r="AO323" s="1866"/>
      <c r="AP323" s="1866"/>
      <c r="AQ323" s="1866"/>
      <c r="AR323" s="1866"/>
      <c r="AS323" s="1866"/>
      <c r="AT323" s="1866"/>
      <c r="AU323" s="1866"/>
      <c r="AV323" s="1866"/>
      <c r="AW323" s="1866"/>
      <c r="AX323" s="1866"/>
      <c r="AY323" s="1866"/>
      <c r="AZ323" s="1866"/>
      <c r="BA323" s="1866"/>
      <c r="BB323" s="1866"/>
      <c r="BC323" s="1866"/>
      <c r="BD323" s="1866"/>
      <c r="BE323" s="1866"/>
      <c r="BF323" s="1866"/>
      <c r="BG323" s="1866"/>
      <c r="BH323" s="1866"/>
      <c r="BI323" s="1866"/>
      <c r="BJ323" s="1866"/>
      <c r="BK323" s="1866"/>
      <c r="BL323" s="1866"/>
      <c r="BM323" s="1866"/>
      <c r="BN323" s="1866"/>
      <c r="BO323" s="1866"/>
      <c r="BP323" s="1866"/>
      <c r="BQ323" s="1866"/>
      <c r="BR323" s="1866"/>
      <c r="BS323" s="1866"/>
      <c r="BT323" s="1866"/>
      <c r="BU323" s="1866"/>
      <c r="BV323" s="1866"/>
      <c r="BW323" s="1866"/>
      <c r="BX323" s="1866"/>
      <c r="BY323" s="1866"/>
      <c r="BZ323" s="1866"/>
      <c r="CA323" s="1866"/>
      <c r="CB323" s="1866"/>
      <c r="CC323" s="1866"/>
      <c r="CD323" s="1866"/>
      <c r="CE323" s="1866"/>
      <c r="CF323" s="1866"/>
      <c r="CG323" s="1866"/>
      <c r="CH323" s="1866"/>
      <c r="CI323" s="1866"/>
      <c r="CJ323" s="1866"/>
      <c r="CK323" s="1866"/>
      <c r="CL323" s="1866"/>
      <c r="CM323" s="1866"/>
      <c r="CN323" s="1866"/>
      <c r="CO323" s="1866"/>
      <c r="CP323" s="1866"/>
      <c r="CQ323" s="1866"/>
      <c r="CR323" s="1866"/>
      <c r="CS323" s="1866"/>
      <c r="CT323" s="1866"/>
      <c r="CU323" s="1866"/>
      <c r="CV323" s="1866"/>
      <c r="CW323" s="1866"/>
      <c r="CX323" s="1866"/>
      <c r="CY323" s="1866"/>
      <c r="CZ323" s="1866"/>
      <c r="DA323" s="1866"/>
      <c r="DB323" s="1866"/>
      <c r="DC323" s="1866"/>
      <c r="DD323" s="1866"/>
      <c r="DE323" s="1866"/>
      <c r="DF323" s="1866"/>
      <c r="DG323" s="1866"/>
      <c r="DH323" s="1866"/>
      <c r="DI323" s="1866"/>
      <c r="DJ323" s="1866"/>
      <c r="DK323" s="1866"/>
      <c r="DL323" s="1866"/>
      <c r="DM323" s="1866"/>
      <c r="DN323" s="1866"/>
      <c r="DO323" s="1866"/>
      <c r="DP323" s="1866"/>
      <c r="DQ323" s="1866"/>
      <c r="DR323" s="1866"/>
      <c r="DS323" s="1866"/>
      <c r="DT323" s="1866"/>
      <c r="DU323" s="1866"/>
      <c r="DV323" s="1866"/>
      <c r="DW323" s="1866"/>
      <c r="DX323" s="1866"/>
      <c r="DY323" s="1866"/>
      <c r="DZ323" s="1866"/>
      <c r="EA323" s="1866"/>
      <c r="EB323" s="1866"/>
      <c r="EC323" s="1866"/>
      <c r="ED323" s="1866"/>
      <c r="EE323" s="1866"/>
      <c r="EF323" s="1866"/>
      <c r="EG323" s="1866"/>
      <c r="EH323" s="1866"/>
      <c r="EI323" s="1866"/>
      <c r="EJ323" s="1866"/>
      <c r="EK323" s="1866"/>
      <c r="EL323" s="1866"/>
      <c r="EM323" s="1866"/>
      <c r="EN323" s="1866"/>
      <c r="EO323" s="1866"/>
      <c r="EP323" s="1866"/>
      <c r="EQ323" s="1866"/>
      <c r="ER323" s="1866"/>
      <c r="ES323" s="1866"/>
      <c r="ET323" s="1866"/>
      <c r="EU323" s="1866"/>
      <c r="EV323" s="1866"/>
      <c r="EW323" s="1866"/>
      <c r="EX323" s="1866"/>
      <c r="EY323" s="1866"/>
      <c r="EZ323" s="1866"/>
      <c r="FA323" s="1866"/>
      <c r="FB323" s="1866"/>
      <c r="FC323" s="1866"/>
      <c r="FD323" s="1866"/>
      <c r="FE323" s="1866"/>
      <c r="FF323" s="1866"/>
      <c r="FG323" s="1866"/>
      <c r="FH323" s="1866"/>
      <c r="FI323" s="1866"/>
      <c r="FJ323" s="1866"/>
      <c r="FK323" s="1866"/>
      <c r="FL323" s="1866"/>
      <c r="FM323" s="1866"/>
      <c r="FN323" s="1866"/>
      <c r="FO323" s="1866"/>
      <c r="FP323" s="1866"/>
      <c r="FQ323" s="1866"/>
      <c r="FR323" s="1866"/>
      <c r="FS323" s="1866"/>
      <c r="FT323" s="1866"/>
      <c r="FU323" s="1866"/>
      <c r="FV323" s="1866"/>
      <c r="FW323" s="1866"/>
      <c r="FX323" s="1866"/>
      <c r="FY323" s="1866"/>
      <c r="FZ323" s="1866"/>
      <c r="GA323" s="1866"/>
      <c r="GB323" s="1866"/>
      <c r="GC323" s="1866"/>
      <c r="GD323" s="1866"/>
      <c r="GE323" s="1866"/>
      <c r="GF323" s="1866"/>
      <c r="GG323" s="1866"/>
      <c r="GH323" s="1866"/>
      <c r="GI323" s="1866"/>
      <c r="GJ323" s="1866"/>
      <c r="GK323" s="1866"/>
      <c r="GL323" s="1866"/>
      <c r="GM323" s="1866"/>
      <c r="GN323" s="1866"/>
      <c r="GO323" s="1866"/>
      <c r="GP323" s="1866"/>
      <c r="GQ323" s="1866"/>
      <c r="GR323" s="1866"/>
      <c r="GS323" s="1866"/>
      <c r="GT323" s="1866"/>
      <c r="GU323" s="1866"/>
      <c r="GV323" s="1866"/>
      <c r="GW323" s="1866"/>
      <c r="GX323" s="1866"/>
      <c r="GY323" s="1866"/>
      <c r="GZ323" s="1866"/>
      <c r="HA323" s="1866"/>
      <c r="HB323" s="1866"/>
      <c r="HC323" s="1866"/>
      <c r="HD323" s="1866"/>
      <c r="HE323" s="1866"/>
    </row>
    <row r="324" spans="1:1291" ht="15" customHeight="1" x14ac:dyDescent="0.2">
      <c r="A324" s="1964"/>
      <c r="B324" s="1989"/>
      <c r="C324" s="1714" t="s">
        <v>1085</v>
      </c>
      <c r="D324" s="1886"/>
      <c r="E324" s="1984"/>
      <c r="F324" s="1838">
        <v>0</v>
      </c>
      <c r="G324" s="1804">
        <v>0</v>
      </c>
      <c r="H324" s="1804">
        <v>0</v>
      </c>
      <c r="I324" s="1804">
        <v>0</v>
      </c>
      <c r="J324" s="1804">
        <v>0</v>
      </c>
      <c r="K324" s="1804">
        <v>0</v>
      </c>
      <c r="L324" s="1804">
        <v>0</v>
      </c>
      <c r="M324" s="1804">
        <v>0</v>
      </c>
      <c r="N324" s="1804">
        <v>0</v>
      </c>
      <c r="O324" s="1804">
        <v>0</v>
      </c>
      <c r="P324" s="1804">
        <v>0</v>
      </c>
      <c r="Q324" s="1804">
        <v>0</v>
      </c>
      <c r="R324" s="1804">
        <v>0</v>
      </c>
      <c r="S324" s="1804">
        <v>0</v>
      </c>
      <c r="T324" s="1804">
        <v>0</v>
      </c>
      <c r="U324" s="1804">
        <v>0</v>
      </c>
      <c r="V324" s="1804">
        <v>0</v>
      </c>
      <c r="W324" s="1804">
        <v>0</v>
      </c>
      <c r="X324" s="1804">
        <v>0</v>
      </c>
      <c r="Y324" s="1804">
        <v>0</v>
      </c>
      <c r="Z324" s="1804">
        <v>0</v>
      </c>
      <c r="AA324" s="1804">
        <v>0</v>
      </c>
      <c r="AB324" s="1804">
        <v>0</v>
      </c>
      <c r="AC324" s="1804">
        <v>0</v>
      </c>
      <c r="AD324" s="1804">
        <v>0</v>
      </c>
      <c r="AE324" s="1804">
        <v>0</v>
      </c>
      <c r="AF324" s="1804">
        <v>0</v>
      </c>
      <c r="AG324" s="1804">
        <v>0</v>
      </c>
      <c r="AH324" s="1804">
        <v>0</v>
      </c>
      <c r="AI324" s="1804">
        <v>0</v>
      </c>
      <c r="AJ324" s="1804">
        <v>0</v>
      </c>
      <c r="AK324" s="1804">
        <v>0</v>
      </c>
      <c r="AL324" s="1804">
        <v>0</v>
      </c>
      <c r="AM324" s="1804">
        <v>0</v>
      </c>
      <c r="AN324" s="1804">
        <v>0</v>
      </c>
      <c r="AO324" s="1804">
        <v>0</v>
      </c>
      <c r="AP324" s="1804">
        <v>0</v>
      </c>
      <c r="AQ324" s="1804">
        <v>0</v>
      </c>
      <c r="AR324" s="1804">
        <v>0</v>
      </c>
      <c r="AS324" s="1804">
        <v>0</v>
      </c>
      <c r="AT324" s="1804">
        <v>0</v>
      </c>
      <c r="AU324" s="1804">
        <v>0</v>
      </c>
      <c r="AV324" s="1804">
        <v>0</v>
      </c>
      <c r="AW324" s="1804">
        <v>0</v>
      </c>
      <c r="AX324" s="1804">
        <v>0</v>
      </c>
      <c r="AY324" s="1804">
        <v>0</v>
      </c>
      <c r="AZ324" s="1804">
        <v>0</v>
      </c>
      <c r="BA324" s="1804">
        <v>0</v>
      </c>
      <c r="BB324" s="1804">
        <v>0</v>
      </c>
      <c r="BC324" s="1804">
        <v>0</v>
      </c>
      <c r="BD324" s="1804">
        <v>0</v>
      </c>
      <c r="BE324" s="1804">
        <v>0</v>
      </c>
      <c r="BF324" s="1804">
        <v>0</v>
      </c>
      <c r="BG324" s="1804">
        <v>0</v>
      </c>
      <c r="BH324" s="1804">
        <v>0</v>
      </c>
      <c r="BI324" s="1804">
        <v>0</v>
      </c>
      <c r="BJ324" s="1804">
        <v>0</v>
      </c>
      <c r="BK324" s="1804">
        <v>0</v>
      </c>
      <c r="BL324" s="1804">
        <v>0</v>
      </c>
      <c r="BM324" s="1804">
        <v>0</v>
      </c>
      <c r="BN324" s="1804">
        <v>0</v>
      </c>
      <c r="BO324" s="1804">
        <v>0</v>
      </c>
      <c r="BP324" s="1804">
        <v>0</v>
      </c>
      <c r="BQ324" s="1804">
        <v>0</v>
      </c>
      <c r="BR324" s="1804">
        <v>0</v>
      </c>
      <c r="BS324" s="1804">
        <v>0</v>
      </c>
      <c r="BT324" s="1804">
        <v>0</v>
      </c>
      <c r="BU324" s="1804">
        <v>0</v>
      </c>
      <c r="BV324" s="1804">
        <v>0</v>
      </c>
      <c r="BW324" s="1804">
        <v>0</v>
      </c>
      <c r="BX324" s="1804">
        <v>0</v>
      </c>
      <c r="BY324" s="1804">
        <v>0</v>
      </c>
      <c r="BZ324" s="1804">
        <v>0</v>
      </c>
      <c r="CA324" s="1804">
        <v>0</v>
      </c>
      <c r="CB324" s="1804">
        <v>0</v>
      </c>
      <c r="CC324" s="1804">
        <v>0</v>
      </c>
      <c r="CD324" s="1804">
        <v>0</v>
      </c>
      <c r="CE324" s="1804">
        <v>0</v>
      </c>
      <c r="CF324" s="1804">
        <v>0</v>
      </c>
      <c r="CG324" s="1804">
        <v>0</v>
      </c>
      <c r="CH324" s="1804">
        <v>0</v>
      </c>
      <c r="CI324" s="1804">
        <v>0</v>
      </c>
      <c r="CJ324" s="1804">
        <v>0</v>
      </c>
      <c r="CK324" s="1804">
        <v>0</v>
      </c>
      <c r="CL324" s="1804">
        <v>0</v>
      </c>
      <c r="CM324" s="1804">
        <v>0</v>
      </c>
      <c r="CN324" s="1804">
        <v>0</v>
      </c>
      <c r="CO324" s="1804">
        <v>0</v>
      </c>
      <c r="CP324" s="1804">
        <v>0</v>
      </c>
      <c r="CQ324" s="1804">
        <v>0</v>
      </c>
      <c r="CR324" s="1804">
        <v>0</v>
      </c>
      <c r="CS324" s="1804">
        <v>0</v>
      </c>
      <c r="CT324" s="1804">
        <v>0</v>
      </c>
      <c r="CU324" s="1804">
        <v>0</v>
      </c>
      <c r="CV324" s="1804">
        <v>0</v>
      </c>
      <c r="CW324" s="1804">
        <v>0</v>
      </c>
      <c r="CX324" s="1804">
        <v>0</v>
      </c>
      <c r="CY324" s="1804">
        <v>0</v>
      </c>
      <c r="CZ324" s="1804">
        <v>0</v>
      </c>
      <c r="DA324" s="1804">
        <v>0</v>
      </c>
      <c r="DB324" s="1804">
        <v>0</v>
      </c>
      <c r="DC324" s="1804">
        <v>0</v>
      </c>
      <c r="DD324" s="1804">
        <v>0</v>
      </c>
      <c r="DE324" s="1804">
        <v>0</v>
      </c>
      <c r="DF324" s="1804">
        <v>0</v>
      </c>
      <c r="DG324" s="1804">
        <v>0</v>
      </c>
      <c r="DH324" s="1804">
        <v>0</v>
      </c>
      <c r="DI324" s="1804">
        <v>0</v>
      </c>
      <c r="DJ324" s="1804">
        <v>0</v>
      </c>
      <c r="DK324" s="1804">
        <v>0</v>
      </c>
      <c r="DL324" s="1804">
        <v>0</v>
      </c>
      <c r="DM324" s="1804">
        <v>0</v>
      </c>
      <c r="DN324" s="1804">
        <v>0</v>
      </c>
      <c r="DO324" s="1804">
        <v>0</v>
      </c>
      <c r="DP324" s="1804">
        <v>0</v>
      </c>
      <c r="DQ324" s="1804">
        <v>0</v>
      </c>
      <c r="DR324" s="1804">
        <v>0</v>
      </c>
      <c r="DS324" s="1804">
        <v>0</v>
      </c>
      <c r="DT324" s="1804">
        <v>0</v>
      </c>
      <c r="DU324" s="1804">
        <v>0</v>
      </c>
      <c r="DV324" s="1804">
        <v>0</v>
      </c>
      <c r="DW324" s="1804">
        <v>0</v>
      </c>
      <c r="DX324" s="1804">
        <v>0</v>
      </c>
      <c r="DY324" s="1804">
        <v>0</v>
      </c>
      <c r="DZ324" s="1804">
        <v>0</v>
      </c>
      <c r="EA324" s="1804">
        <v>0</v>
      </c>
      <c r="EB324" s="1804">
        <v>0</v>
      </c>
      <c r="EC324" s="1804">
        <v>0</v>
      </c>
      <c r="ED324" s="1804">
        <v>0</v>
      </c>
      <c r="EE324" s="1804">
        <v>0</v>
      </c>
      <c r="EF324" s="1804">
        <v>0</v>
      </c>
      <c r="EG324" s="1804">
        <v>0</v>
      </c>
      <c r="EH324" s="1804">
        <v>0</v>
      </c>
      <c r="EI324" s="1804">
        <v>0</v>
      </c>
      <c r="EJ324" s="1804">
        <v>0</v>
      </c>
      <c r="EK324" s="1804">
        <v>0</v>
      </c>
      <c r="EL324" s="1804">
        <v>0</v>
      </c>
      <c r="EM324" s="1804">
        <v>0</v>
      </c>
      <c r="EN324" s="1804">
        <v>0</v>
      </c>
      <c r="EO324" s="1804">
        <v>0</v>
      </c>
      <c r="EP324" s="1804">
        <v>0</v>
      </c>
      <c r="EQ324" s="1804">
        <v>0</v>
      </c>
      <c r="ER324" s="1804">
        <v>0</v>
      </c>
      <c r="ES324" s="1804">
        <v>0</v>
      </c>
      <c r="ET324" s="1804">
        <v>0</v>
      </c>
      <c r="EU324" s="1804">
        <v>0</v>
      </c>
      <c r="EV324" s="1804">
        <v>0</v>
      </c>
      <c r="EW324" s="1804">
        <v>0</v>
      </c>
      <c r="EX324" s="1804">
        <v>0</v>
      </c>
      <c r="EY324" s="1804">
        <v>0</v>
      </c>
      <c r="EZ324" s="1804">
        <v>0</v>
      </c>
      <c r="FA324" s="1804">
        <v>0</v>
      </c>
      <c r="FB324" s="1804">
        <v>0</v>
      </c>
      <c r="FC324" s="1804">
        <v>0</v>
      </c>
      <c r="FD324" s="1804">
        <v>0</v>
      </c>
      <c r="FE324" s="1804">
        <v>0</v>
      </c>
      <c r="FF324" s="1804">
        <v>0</v>
      </c>
      <c r="FG324" s="1804">
        <v>0</v>
      </c>
      <c r="FH324" s="1804">
        <v>0</v>
      </c>
      <c r="FI324" s="1804">
        <v>0</v>
      </c>
      <c r="FJ324" s="1804">
        <v>0</v>
      </c>
      <c r="FK324" s="1804">
        <v>0</v>
      </c>
      <c r="FL324" s="1804">
        <v>0</v>
      </c>
      <c r="FM324" s="1804">
        <v>0</v>
      </c>
      <c r="FN324" s="1804">
        <v>0</v>
      </c>
      <c r="FO324" s="1804">
        <v>0</v>
      </c>
      <c r="FP324" s="1804">
        <v>0</v>
      </c>
      <c r="FQ324" s="1804">
        <v>0</v>
      </c>
      <c r="FR324" s="1804">
        <v>0</v>
      </c>
      <c r="FS324" s="1804">
        <v>0</v>
      </c>
      <c r="FT324" s="1804">
        <v>0</v>
      </c>
      <c r="FU324" s="1804">
        <v>0</v>
      </c>
      <c r="FV324" s="1804">
        <v>0</v>
      </c>
      <c r="FW324" s="1804">
        <v>0</v>
      </c>
      <c r="FX324" s="1804">
        <v>0</v>
      </c>
      <c r="FY324" s="1804">
        <v>0</v>
      </c>
      <c r="FZ324" s="1804">
        <v>0</v>
      </c>
      <c r="GA324" s="1804">
        <v>0</v>
      </c>
      <c r="GB324" s="1804">
        <v>0</v>
      </c>
      <c r="GC324" s="1804">
        <v>0</v>
      </c>
      <c r="GD324" s="1804">
        <v>0</v>
      </c>
      <c r="GE324" s="1804">
        <v>0</v>
      </c>
      <c r="GF324" s="1804">
        <v>0</v>
      </c>
      <c r="GG324" s="1804">
        <v>0</v>
      </c>
      <c r="GH324" s="1804">
        <v>0</v>
      </c>
      <c r="GI324" s="1804">
        <v>0</v>
      </c>
      <c r="GJ324" s="1804">
        <v>0</v>
      </c>
      <c r="GK324" s="1804">
        <v>0</v>
      </c>
      <c r="GL324" s="1804">
        <v>0</v>
      </c>
      <c r="GM324" s="1804">
        <v>0</v>
      </c>
      <c r="GN324" s="1804">
        <v>0</v>
      </c>
      <c r="GO324" s="1804">
        <v>0</v>
      </c>
      <c r="GP324" s="1804">
        <v>0</v>
      </c>
      <c r="GQ324" s="1804">
        <v>0</v>
      </c>
      <c r="GR324" s="1804">
        <v>0</v>
      </c>
      <c r="GS324" s="1804">
        <v>0</v>
      </c>
      <c r="GT324" s="1804">
        <v>0</v>
      </c>
      <c r="GU324" s="1804">
        <v>0</v>
      </c>
      <c r="GV324" s="1804">
        <v>0</v>
      </c>
      <c r="GW324" s="1804">
        <v>0</v>
      </c>
      <c r="GX324" s="1804">
        <v>0</v>
      </c>
      <c r="GY324" s="1804">
        <v>0</v>
      </c>
      <c r="GZ324" s="1804">
        <v>0</v>
      </c>
      <c r="HA324" s="1804">
        <v>0</v>
      </c>
      <c r="HB324" s="1804">
        <v>0</v>
      </c>
      <c r="HC324" s="1804">
        <v>0</v>
      </c>
      <c r="HD324" s="1804">
        <v>0</v>
      </c>
      <c r="HE324" s="1804">
        <v>0</v>
      </c>
    </row>
    <row r="325" spans="1:1291" ht="15" customHeight="1" x14ac:dyDescent="0.2">
      <c r="A325" s="1964"/>
      <c r="B325" s="1989"/>
      <c r="C325" s="1833" t="s">
        <v>1086</v>
      </c>
      <c r="D325" s="1886"/>
      <c r="E325" s="1984"/>
      <c r="F325" s="1838">
        <v>0</v>
      </c>
      <c r="G325" s="1804">
        <v>0</v>
      </c>
      <c r="H325" s="1804">
        <v>0</v>
      </c>
      <c r="I325" s="1804">
        <v>0</v>
      </c>
      <c r="J325" s="1804">
        <v>0</v>
      </c>
      <c r="K325" s="1804">
        <v>0</v>
      </c>
      <c r="L325" s="1804">
        <v>0</v>
      </c>
      <c r="M325" s="1804">
        <v>0</v>
      </c>
      <c r="N325" s="1804">
        <v>0</v>
      </c>
      <c r="O325" s="1804">
        <v>0</v>
      </c>
      <c r="P325" s="1804">
        <v>0</v>
      </c>
      <c r="Q325" s="1804">
        <v>0</v>
      </c>
      <c r="R325" s="1804">
        <v>0</v>
      </c>
      <c r="S325" s="1804">
        <v>0</v>
      </c>
      <c r="T325" s="1804">
        <v>0</v>
      </c>
      <c r="U325" s="1804">
        <v>0</v>
      </c>
      <c r="V325" s="1804">
        <v>0</v>
      </c>
      <c r="W325" s="1804">
        <v>0</v>
      </c>
      <c r="X325" s="1804">
        <v>0</v>
      </c>
      <c r="Y325" s="1804">
        <v>0</v>
      </c>
      <c r="Z325" s="1804">
        <v>0</v>
      </c>
      <c r="AA325" s="1804">
        <v>0</v>
      </c>
      <c r="AB325" s="1804">
        <v>0</v>
      </c>
      <c r="AC325" s="1804">
        <v>0</v>
      </c>
      <c r="AD325" s="1804">
        <v>0</v>
      </c>
      <c r="AE325" s="1804">
        <v>0</v>
      </c>
      <c r="AF325" s="1804">
        <v>0</v>
      </c>
      <c r="AG325" s="1804">
        <v>0</v>
      </c>
      <c r="AH325" s="1804">
        <v>0</v>
      </c>
      <c r="AI325" s="1804">
        <v>0</v>
      </c>
      <c r="AJ325" s="1804">
        <v>0</v>
      </c>
      <c r="AK325" s="1804">
        <v>0</v>
      </c>
      <c r="AL325" s="1804">
        <v>0</v>
      </c>
      <c r="AM325" s="1804">
        <v>0</v>
      </c>
      <c r="AN325" s="1804">
        <v>0</v>
      </c>
      <c r="AO325" s="1804">
        <v>0</v>
      </c>
      <c r="AP325" s="1804">
        <v>0</v>
      </c>
      <c r="AQ325" s="1804">
        <v>0</v>
      </c>
      <c r="AR325" s="1804">
        <v>0</v>
      </c>
      <c r="AS325" s="1804">
        <v>0</v>
      </c>
      <c r="AT325" s="1804">
        <v>0</v>
      </c>
      <c r="AU325" s="1804">
        <v>0</v>
      </c>
      <c r="AV325" s="1804">
        <v>0</v>
      </c>
      <c r="AW325" s="1804">
        <v>0</v>
      </c>
      <c r="AX325" s="1804">
        <v>0</v>
      </c>
      <c r="AY325" s="1804">
        <v>0</v>
      </c>
      <c r="AZ325" s="1804">
        <v>0</v>
      </c>
      <c r="BA325" s="1804">
        <v>0</v>
      </c>
      <c r="BB325" s="1804">
        <v>0</v>
      </c>
      <c r="BC325" s="1804">
        <v>0</v>
      </c>
      <c r="BD325" s="1804">
        <v>0</v>
      </c>
      <c r="BE325" s="1804">
        <v>0</v>
      </c>
      <c r="BF325" s="1804">
        <v>0</v>
      </c>
      <c r="BG325" s="1804">
        <v>0</v>
      </c>
      <c r="BH325" s="1804">
        <v>0</v>
      </c>
      <c r="BI325" s="1804">
        <v>0</v>
      </c>
      <c r="BJ325" s="1804">
        <v>0</v>
      </c>
      <c r="BK325" s="1804">
        <v>0</v>
      </c>
      <c r="BL325" s="1804">
        <v>0</v>
      </c>
      <c r="BM325" s="1804">
        <v>0</v>
      </c>
      <c r="BN325" s="1804">
        <v>0</v>
      </c>
      <c r="BO325" s="1804">
        <v>0</v>
      </c>
      <c r="BP325" s="1804">
        <v>0</v>
      </c>
      <c r="BQ325" s="1804">
        <v>0</v>
      </c>
      <c r="BR325" s="1804">
        <v>0</v>
      </c>
      <c r="BS325" s="1804">
        <v>0</v>
      </c>
      <c r="BT325" s="1804">
        <v>0</v>
      </c>
      <c r="BU325" s="1804">
        <v>0</v>
      </c>
      <c r="BV325" s="1804">
        <v>0</v>
      </c>
      <c r="BW325" s="1804">
        <v>0</v>
      </c>
      <c r="BX325" s="1804">
        <v>0</v>
      </c>
      <c r="BY325" s="1804">
        <v>0</v>
      </c>
      <c r="BZ325" s="1804">
        <v>0</v>
      </c>
      <c r="CA325" s="1804">
        <v>0</v>
      </c>
      <c r="CB325" s="1804">
        <v>0</v>
      </c>
      <c r="CC325" s="1804">
        <v>0</v>
      </c>
      <c r="CD325" s="1804">
        <v>0</v>
      </c>
      <c r="CE325" s="1804">
        <v>0</v>
      </c>
      <c r="CF325" s="1804">
        <v>0</v>
      </c>
      <c r="CG325" s="1804">
        <v>0</v>
      </c>
      <c r="CH325" s="1804">
        <v>0</v>
      </c>
      <c r="CI325" s="1804">
        <v>0</v>
      </c>
      <c r="CJ325" s="1804">
        <v>0</v>
      </c>
      <c r="CK325" s="1804">
        <v>0</v>
      </c>
      <c r="CL325" s="1804">
        <v>0</v>
      </c>
      <c r="CM325" s="1804">
        <v>0</v>
      </c>
      <c r="CN325" s="1804">
        <v>0</v>
      </c>
      <c r="CO325" s="1804">
        <v>0</v>
      </c>
      <c r="CP325" s="1804">
        <v>0</v>
      </c>
      <c r="CQ325" s="1804">
        <v>0</v>
      </c>
      <c r="CR325" s="1804">
        <v>0</v>
      </c>
      <c r="CS325" s="1804">
        <v>0</v>
      </c>
      <c r="CT325" s="1804">
        <v>0</v>
      </c>
      <c r="CU325" s="1804">
        <v>0</v>
      </c>
      <c r="CV325" s="1804">
        <v>0</v>
      </c>
      <c r="CW325" s="1804">
        <v>0</v>
      </c>
      <c r="CX325" s="1804">
        <v>0</v>
      </c>
      <c r="CY325" s="1804">
        <v>0</v>
      </c>
      <c r="CZ325" s="1804">
        <v>0</v>
      </c>
      <c r="DA325" s="1804">
        <v>0</v>
      </c>
      <c r="DB325" s="1804">
        <v>0</v>
      </c>
      <c r="DC325" s="1804">
        <v>0</v>
      </c>
      <c r="DD325" s="1804">
        <v>0</v>
      </c>
      <c r="DE325" s="1804">
        <v>0</v>
      </c>
      <c r="DF325" s="1804">
        <v>0</v>
      </c>
      <c r="DG325" s="1804">
        <v>0</v>
      </c>
      <c r="DH325" s="1804">
        <v>0</v>
      </c>
      <c r="DI325" s="1804">
        <v>0</v>
      </c>
      <c r="DJ325" s="1804">
        <v>0</v>
      </c>
      <c r="DK325" s="1804">
        <v>0</v>
      </c>
      <c r="DL325" s="1804">
        <v>0</v>
      </c>
      <c r="DM325" s="1804">
        <v>0</v>
      </c>
      <c r="DN325" s="1804">
        <v>0</v>
      </c>
      <c r="DO325" s="1804">
        <v>0</v>
      </c>
      <c r="DP325" s="1804">
        <v>0</v>
      </c>
      <c r="DQ325" s="1804">
        <v>0</v>
      </c>
      <c r="DR325" s="1804">
        <v>0</v>
      </c>
      <c r="DS325" s="1804">
        <v>0</v>
      </c>
      <c r="DT325" s="1804">
        <v>0</v>
      </c>
      <c r="DU325" s="1804">
        <v>0</v>
      </c>
      <c r="DV325" s="1804">
        <v>0</v>
      </c>
      <c r="DW325" s="1804">
        <v>0</v>
      </c>
      <c r="DX325" s="1804">
        <v>0</v>
      </c>
      <c r="DY325" s="1804">
        <v>0</v>
      </c>
      <c r="DZ325" s="1804">
        <v>0</v>
      </c>
      <c r="EA325" s="1804">
        <v>0</v>
      </c>
      <c r="EB325" s="1804">
        <v>0</v>
      </c>
      <c r="EC325" s="1804">
        <v>0</v>
      </c>
      <c r="ED325" s="1804">
        <v>0</v>
      </c>
      <c r="EE325" s="1804">
        <v>0</v>
      </c>
      <c r="EF325" s="1804">
        <v>0</v>
      </c>
      <c r="EG325" s="1804">
        <v>0</v>
      </c>
      <c r="EH325" s="1804">
        <v>0</v>
      </c>
      <c r="EI325" s="1804">
        <v>0</v>
      </c>
      <c r="EJ325" s="1804">
        <v>0</v>
      </c>
      <c r="EK325" s="1804">
        <v>0</v>
      </c>
      <c r="EL325" s="1804">
        <v>0</v>
      </c>
      <c r="EM325" s="1804">
        <v>0</v>
      </c>
      <c r="EN325" s="1804">
        <v>0</v>
      </c>
      <c r="EO325" s="1804">
        <v>0</v>
      </c>
      <c r="EP325" s="1804">
        <v>0</v>
      </c>
      <c r="EQ325" s="1804">
        <v>0</v>
      </c>
      <c r="ER325" s="1804">
        <v>0</v>
      </c>
      <c r="ES325" s="1804">
        <v>0</v>
      </c>
      <c r="ET325" s="1804">
        <v>0</v>
      </c>
      <c r="EU325" s="1804">
        <v>0</v>
      </c>
      <c r="EV325" s="1804">
        <v>0</v>
      </c>
      <c r="EW325" s="1804">
        <v>0</v>
      </c>
      <c r="EX325" s="1804">
        <v>0</v>
      </c>
      <c r="EY325" s="1804">
        <v>0</v>
      </c>
      <c r="EZ325" s="1804">
        <v>0</v>
      </c>
      <c r="FA325" s="1804">
        <v>0</v>
      </c>
      <c r="FB325" s="1804">
        <v>0</v>
      </c>
      <c r="FC325" s="1804">
        <v>0</v>
      </c>
      <c r="FD325" s="1804">
        <v>0</v>
      </c>
      <c r="FE325" s="1804">
        <v>0</v>
      </c>
      <c r="FF325" s="1804">
        <v>0</v>
      </c>
      <c r="FG325" s="1804">
        <v>0</v>
      </c>
      <c r="FH325" s="1804">
        <v>0</v>
      </c>
      <c r="FI325" s="1804">
        <v>0</v>
      </c>
      <c r="FJ325" s="1804">
        <v>0</v>
      </c>
      <c r="FK325" s="1804">
        <v>0</v>
      </c>
      <c r="FL325" s="1804">
        <v>0</v>
      </c>
      <c r="FM325" s="1804">
        <v>0</v>
      </c>
      <c r="FN325" s="1804">
        <v>0</v>
      </c>
      <c r="FO325" s="1804">
        <v>0</v>
      </c>
      <c r="FP325" s="1804">
        <v>0</v>
      </c>
      <c r="FQ325" s="1804">
        <v>0</v>
      </c>
      <c r="FR325" s="1804">
        <v>0</v>
      </c>
      <c r="FS325" s="1804">
        <v>0</v>
      </c>
      <c r="FT325" s="1804">
        <v>0</v>
      </c>
      <c r="FU325" s="1804">
        <v>0</v>
      </c>
      <c r="FV325" s="1804">
        <v>0</v>
      </c>
      <c r="FW325" s="1804">
        <v>0</v>
      </c>
      <c r="FX325" s="1804">
        <v>0</v>
      </c>
      <c r="FY325" s="1804">
        <v>0</v>
      </c>
      <c r="FZ325" s="1804">
        <v>0</v>
      </c>
      <c r="GA325" s="1804">
        <v>0</v>
      </c>
      <c r="GB325" s="1804">
        <v>0</v>
      </c>
      <c r="GC325" s="1804">
        <v>0</v>
      </c>
      <c r="GD325" s="1804">
        <v>0</v>
      </c>
      <c r="GE325" s="1804">
        <v>0</v>
      </c>
      <c r="GF325" s="1804">
        <v>0</v>
      </c>
      <c r="GG325" s="1804">
        <v>0</v>
      </c>
      <c r="GH325" s="1804">
        <v>0</v>
      </c>
      <c r="GI325" s="1804">
        <v>0</v>
      </c>
      <c r="GJ325" s="1804">
        <v>0</v>
      </c>
      <c r="GK325" s="1804">
        <v>0</v>
      </c>
      <c r="GL325" s="1804">
        <v>0</v>
      </c>
      <c r="GM325" s="1804">
        <v>0</v>
      </c>
      <c r="GN325" s="1804">
        <v>0</v>
      </c>
      <c r="GO325" s="1804">
        <v>0</v>
      </c>
      <c r="GP325" s="1804">
        <v>0</v>
      </c>
      <c r="GQ325" s="1804">
        <v>0</v>
      </c>
      <c r="GR325" s="1804">
        <v>0</v>
      </c>
      <c r="GS325" s="1804">
        <v>0</v>
      </c>
      <c r="GT325" s="1804">
        <v>0</v>
      </c>
      <c r="GU325" s="1804">
        <v>0</v>
      </c>
      <c r="GV325" s="1804">
        <v>0</v>
      </c>
      <c r="GW325" s="1804">
        <v>0</v>
      </c>
      <c r="GX325" s="1804">
        <v>0</v>
      </c>
      <c r="GY325" s="1804">
        <v>0</v>
      </c>
      <c r="GZ325" s="1804">
        <v>0</v>
      </c>
      <c r="HA325" s="1804">
        <v>0</v>
      </c>
      <c r="HB325" s="1804">
        <v>0</v>
      </c>
      <c r="HC325" s="1804">
        <v>0</v>
      </c>
      <c r="HD325" s="1804">
        <v>0</v>
      </c>
      <c r="HE325" s="1804">
        <v>0</v>
      </c>
    </row>
    <row r="326" spans="1:1291" ht="15" customHeight="1" x14ac:dyDescent="0.2">
      <c r="A326" s="1964"/>
      <c r="B326" s="1989"/>
      <c r="C326" s="1833" t="s">
        <v>1087</v>
      </c>
      <c r="D326" s="1886"/>
      <c r="E326" s="1984"/>
      <c r="F326" s="1838">
        <v>0</v>
      </c>
      <c r="G326" s="1804">
        <v>0</v>
      </c>
      <c r="H326" s="1804">
        <v>0</v>
      </c>
      <c r="I326" s="1804">
        <v>0</v>
      </c>
      <c r="J326" s="1804">
        <v>0</v>
      </c>
      <c r="K326" s="1804">
        <v>0</v>
      </c>
      <c r="L326" s="1804">
        <v>0</v>
      </c>
      <c r="M326" s="1804">
        <v>0</v>
      </c>
      <c r="N326" s="1804">
        <v>0</v>
      </c>
      <c r="O326" s="1804">
        <v>0</v>
      </c>
      <c r="P326" s="1804">
        <v>0</v>
      </c>
      <c r="Q326" s="1804">
        <v>0</v>
      </c>
      <c r="R326" s="1804">
        <v>0</v>
      </c>
      <c r="S326" s="1804">
        <v>0</v>
      </c>
      <c r="T326" s="1804">
        <v>0</v>
      </c>
      <c r="U326" s="1804">
        <v>0</v>
      </c>
      <c r="V326" s="1804">
        <v>0</v>
      </c>
      <c r="W326" s="1804">
        <v>0</v>
      </c>
      <c r="X326" s="1804">
        <v>0</v>
      </c>
      <c r="Y326" s="1804">
        <v>0</v>
      </c>
      <c r="Z326" s="1804">
        <v>0</v>
      </c>
      <c r="AA326" s="1804">
        <v>0</v>
      </c>
      <c r="AB326" s="1804">
        <v>0</v>
      </c>
      <c r="AC326" s="1804">
        <v>0</v>
      </c>
      <c r="AD326" s="1804">
        <v>0</v>
      </c>
      <c r="AE326" s="1804">
        <v>0</v>
      </c>
      <c r="AF326" s="1804">
        <v>0</v>
      </c>
      <c r="AG326" s="1804">
        <v>0</v>
      </c>
      <c r="AH326" s="1804">
        <v>0</v>
      </c>
      <c r="AI326" s="1804">
        <v>0</v>
      </c>
      <c r="AJ326" s="1804">
        <v>0</v>
      </c>
      <c r="AK326" s="1804">
        <v>0</v>
      </c>
      <c r="AL326" s="1804">
        <v>0</v>
      </c>
      <c r="AM326" s="1804">
        <v>0</v>
      </c>
      <c r="AN326" s="1804">
        <v>0</v>
      </c>
      <c r="AO326" s="1804">
        <v>0</v>
      </c>
      <c r="AP326" s="1804">
        <v>0</v>
      </c>
      <c r="AQ326" s="1804">
        <v>0</v>
      </c>
      <c r="AR326" s="1804">
        <v>0</v>
      </c>
      <c r="AS326" s="1804">
        <v>0</v>
      </c>
      <c r="AT326" s="1804">
        <v>0</v>
      </c>
      <c r="AU326" s="1804">
        <v>0</v>
      </c>
      <c r="AV326" s="1804">
        <v>0</v>
      </c>
      <c r="AW326" s="1804">
        <v>0</v>
      </c>
      <c r="AX326" s="1804">
        <v>0</v>
      </c>
      <c r="AY326" s="1804">
        <v>0</v>
      </c>
      <c r="AZ326" s="1804">
        <v>0</v>
      </c>
      <c r="BA326" s="1804">
        <v>0</v>
      </c>
      <c r="BB326" s="1804">
        <v>0</v>
      </c>
      <c r="BC326" s="1804">
        <v>0</v>
      </c>
      <c r="BD326" s="1804">
        <v>0</v>
      </c>
      <c r="BE326" s="1804">
        <v>0</v>
      </c>
      <c r="BF326" s="1804">
        <v>0</v>
      </c>
      <c r="BG326" s="1804">
        <v>0</v>
      </c>
      <c r="BH326" s="1804">
        <v>0</v>
      </c>
      <c r="BI326" s="1804">
        <v>0</v>
      </c>
      <c r="BJ326" s="1804">
        <v>0</v>
      </c>
      <c r="BK326" s="1804">
        <v>0</v>
      </c>
      <c r="BL326" s="1804">
        <v>0</v>
      </c>
      <c r="BM326" s="1804">
        <v>0</v>
      </c>
      <c r="BN326" s="1804">
        <v>0</v>
      </c>
      <c r="BO326" s="1804">
        <v>0</v>
      </c>
      <c r="BP326" s="1804">
        <v>0</v>
      </c>
      <c r="BQ326" s="1804">
        <v>0</v>
      </c>
      <c r="BR326" s="1804">
        <v>0</v>
      </c>
      <c r="BS326" s="1804">
        <v>0</v>
      </c>
      <c r="BT326" s="1804">
        <v>0</v>
      </c>
      <c r="BU326" s="1804">
        <v>0</v>
      </c>
      <c r="BV326" s="1804">
        <v>0</v>
      </c>
      <c r="BW326" s="1804">
        <v>0</v>
      </c>
      <c r="BX326" s="1804">
        <v>0</v>
      </c>
      <c r="BY326" s="1804">
        <v>0</v>
      </c>
      <c r="BZ326" s="1804">
        <v>0</v>
      </c>
      <c r="CA326" s="1804">
        <v>0</v>
      </c>
      <c r="CB326" s="1804">
        <v>0</v>
      </c>
      <c r="CC326" s="1804">
        <v>0</v>
      </c>
      <c r="CD326" s="1804">
        <v>0</v>
      </c>
      <c r="CE326" s="1804">
        <v>0</v>
      </c>
      <c r="CF326" s="1804">
        <v>0</v>
      </c>
      <c r="CG326" s="1804">
        <v>0</v>
      </c>
      <c r="CH326" s="1804">
        <v>0</v>
      </c>
      <c r="CI326" s="1804">
        <v>0</v>
      </c>
      <c r="CJ326" s="1804">
        <v>0</v>
      </c>
      <c r="CK326" s="1804">
        <v>0</v>
      </c>
      <c r="CL326" s="1804">
        <v>0</v>
      </c>
      <c r="CM326" s="1804">
        <v>0</v>
      </c>
      <c r="CN326" s="1804">
        <v>0</v>
      </c>
      <c r="CO326" s="1804">
        <v>0</v>
      </c>
      <c r="CP326" s="1804">
        <v>0</v>
      </c>
      <c r="CQ326" s="1804">
        <v>0</v>
      </c>
      <c r="CR326" s="1804">
        <v>0</v>
      </c>
      <c r="CS326" s="1804">
        <v>0</v>
      </c>
      <c r="CT326" s="1804">
        <v>0</v>
      </c>
      <c r="CU326" s="1804">
        <v>0</v>
      </c>
      <c r="CV326" s="1804">
        <v>0</v>
      </c>
      <c r="CW326" s="1804">
        <v>0</v>
      </c>
      <c r="CX326" s="1804">
        <v>0</v>
      </c>
      <c r="CY326" s="1804">
        <v>0</v>
      </c>
      <c r="CZ326" s="1804">
        <v>0</v>
      </c>
      <c r="DA326" s="1804">
        <v>0</v>
      </c>
      <c r="DB326" s="1804">
        <v>0</v>
      </c>
      <c r="DC326" s="1804">
        <v>0</v>
      </c>
      <c r="DD326" s="1804">
        <v>0</v>
      </c>
      <c r="DE326" s="1804">
        <v>0</v>
      </c>
      <c r="DF326" s="1804">
        <v>0</v>
      </c>
      <c r="DG326" s="1804">
        <v>0</v>
      </c>
      <c r="DH326" s="1804">
        <v>0</v>
      </c>
      <c r="DI326" s="1804">
        <v>0</v>
      </c>
      <c r="DJ326" s="1804">
        <v>0</v>
      </c>
      <c r="DK326" s="1804">
        <v>0</v>
      </c>
      <c r="DL326" s="1804">
        <v>0</v>
      </c>
      <c r="DM326" s="1804">
        <v>0</v>
      </c>
      <c r="DN326" s="1804">
        <v>0</v>
      </c>
      <c r="DO326" s="1804">
        <v>0</v>
      </c>
      <c r="DP326" s="1804">
        <v>0</v>
      </c>
      <c r="DQ326" s="1804">
        <v>0</v>
      </c>
      <c r="DR326" s="1804">
        <v>0</v>
      </c>
      <c r="DS326" s="1804">
        <v>0</v>
      </c>
      <c r="DT326" s="1804">
        <v>0</v>
      </c>
      <c r="DU326" s="1804">
        <v>0</v>
      </c>
      <c r="DV326" s="1804">
        <v>0</v>
      </c>
      <c r="DW326" s="1804">
        <v>0</v>
      </c>
      <c r="DX326" s="1804">
        <v>0</v>
      </c>
      <c r="DY326" s="1804">
        <v>0</v>
      </c>
      <c r="DZ326" s="1804">
        <v>0</v>
      </c>
      <c r="EA326" s="1804">
        <v>0</v>
      </c>
      <c r="EB326" s="1804">
        <v>0</v>
      </c>
      <c r="EC326" s="1804">
        <v>0</v>
      </c>
      <c r="ED326" s="1804">
        <v>0</v>
      </c>
      <c r="EE326" s="1804">
        <v>0</v>
      </c>
      <c r="EF326" s="1804">
        <v>0</v>
      </c>
      <c r="EG326" s="1804">
        <v>0</v>
      </c>
      <c r="EH326" s="1804">
        <v>0</v>
      </c>
      <c r="EI326" s="1804">
        <v>0</v>
      </c>
      <c r="EJ326" s="1804">
        <v>0</v>
      </c>
      <c r="EK326" s="1804">
        <v>0</v>
      </c>
      <c r="EL326" s="1804">
        <v>0</v>
      </c>
      <c r="EM326" s="1804">
        <v>0</v>
      </c>
      <c r="EN326" s="1804">
        <v>0</v>
      </c>
      <c r="EO326" s="1804">
        <v>0</v>
      </c>
      <c r="EP326" s="1804">
        <v>0</v>
      </c>
      <c r="EQ326" s="1804">
        <v>0</v>
      </c>
      <c r="ER326" s="1804">
        <v>0</v>
      </c>
      <c r="ES326" s="1804">
        <v>0</v>
      </c>
      <c r="ET326" s="1804">
        <v>0</v>
      </c>
      <c r="EU326" s="1804">
        <v>0</v>
      </c>
      <c r="EV326" s="1804">
        <v>0</v>
      </c>
      <c r="EW326" s="1804">
        <v>0</v>
      </c>
      <c r="EX326" s="1804">
        <v>0</v>
      </c>
      <c r="EY326" s="1804">
        <v>0</v>
      </c>
      <c r="EZ326" s="1804">
        <v>0</v>
      </c>
      <c r="FA326" s="1804">
        <v>0</v>
      </c>
      <c r="FB326" s="1804">
        <v>0</v>
      </c>
      <c r="FC326" s="1804">
        <v>0</v>
      </c>
      <c r="FD326" s="1804">
        <v>0</v>
      </c>
      <c r="FE326" s="1804">
        <v>0</v>
      </c>
      <c r="FF326" s="1804">
        <v>0</v>
      </c>
      <c r="FG326" s="1804">
        <v>0</v>
      </c>
      <c r="FH326" s="1804">
        <v>0</v>
      </c>
      <c r="FI326" s="1804">
        <v>0</v>
      </c>
      <c r="FJ326" s="1804">
        <v>0</v>
      </c>
      <c r="FK326" s="1804">
        <v>0</v>
      </c>
      <c r="FL326" s="1804">
        <v>0</v>
      </c>
      <c r="FM326" s="1804">
        <v>0</v>
      </c>
      <c r="FN326" s="1804">
        <v>0</v>
      </c>
      <c r="FO326" s="1804">
        <v>0</v>
      </c>
      <c r="FP326" s="1804">
        <v>0</v>
      </c>
      <c r="FQ326" s="1804">
        <v>0</v>
      </c>
      <c r="FR326" s="1804">
        <v>0</v>
      </c>
      <c r="FS326" s="1804">
        <v>0</v>
      </c>
      <c r="FT326" s="1804">
        <v>0</v>
      </c>
      <c r="FU326" s="1804">
        <v>0</v>
      </c>
      <c r="FV326" s="1804">
        <v>0</v>
      </c>
      <c r="FW326" s="1804">
        <v>0</v>
      </c>
      <c r="FX326" s="1804">
        <v>0</v>
      </c>
      <c r="FY326" s="1804">
        <v>0</v>
      </c>
      <c r="FZ326" s="1804">
        <v>0</v>
      </c>
      <c r="GA326" s="1804">
        <v>0</v>
      </c>
      <c r="GB326" s="1804">
        <v>0</v>
      </c>
      <c r="GC326" s="1804">
        <v>0</v>
      </c>
      <c r="GD326" s="1804">
        <v>0</v>
      </c>
      <c r="GE326" s="1804">
        <v>0</v>
      </c>
      <c r="GF326" s="1804">
        <v>0</v>
      </c>
      <c r="GG326" s="1804">
        <v>0</v>
      </c>
      <c r="GH326" s="1804">
        <v>0</v>
      </c>
      <c r="GI326" s="1804">
        <v>0</v>
      </c>
      <c r="GJ326" s="1804">
        <v>0</v>
      </c>
      <c r="GK326" s="1804">
        <v>0</v>
      </c>
      <c r="GL326" s="1804">
        <v>0</v>
      </c>
      <c r="GM326" s="1804">
        <v>0</v>
      </c>
      <c r="GN326" s="1804">
        <v>0</v>
      </c>
      <c r="GO326" s="1804">
        <v>0</v>
      </c>
      <c r="GP326" s="1804">
        <v>0</v>
      </c>
      <c r="GQ326" s="1804">
        <v>0</v>
      </c>
      <c r="GR326" s="1804">
        <v>0</v>
      </c>
      <c r="GS326" s="1804">
        <v>0</v>
      </c>
      <c r="GT326" s="1804">
        <v>0</v>
      </c>
      <c r="GU326" s="1804">
        <v>0</v>
      </c>
      <c r="GV326" s="1804">
        <v>0</v>
      </c>
      <c r="GW326" s="1804">
        <v>0</v>
      </c>
      <c r="GX326" s="1804">
        <v>0</v>
      </c>
      <c r="GY326" s="1804">
        <v>0</v>
      </c>
      <c r="GZ326" s="1804">
        <v>0</v>
      </c>
      <c r="HA326" s="1804">
        <v>0</v>
      </c>
      <c r="HB326" s="1804">
        <v>0</v>
      </c>
      <c r="HC326" s="1804">
        <v>0</v>
      </c>
      <c r="HD326" s="1804">
        <v>0</v>
      </c>
      <c r="HE326" s="1804">
        <v>0</v>
      </c>
      <c r="HF326" s="1873"/>
      <c r="HG326" s="1873"/>
      <c r="HH326" s="1873"/>
      <c r="HI326" s="1873"/>
      <c r="HJ326" s="1873"/>
      <c r="HK326" s="1873"/>
      <c r="HL326" s="1873"/>
      <c r="HM326" s="1873"/>
      <c r="HN326" s="1873"/>
      <c r="HO326" s="1873"/>
      <c r="HP326" s="1873"/>
      <c r="HQ326" s="1873"/>
      <c r="HR326" s="1873"/>
      <c r="HS326" s="1873"/>
      <c r="HT326" s="1873"/>
      <c r="HU326" s="1873"/>
      <c r="HV326" s="1873"/>
      <c r="HW326" s="1873"/>
      <c r="HX326" s="1873"/>
      <c r="HY326" s="1873"/>
      <c r="HZ326" s="1873"/>
      <c r="IA326" s="1873"/>
      <c r="IB326" s="1873"/>
      <c r="IC326" s="1873"/>
      <c r="ID326" s="1873"/>
      <c r="IE326" s="1873"/>
      <c r="IF326" s="1873"/>
    </row>
    <row r="327" spans="1:1291" ht="15" customHeight="1" thickBot="1" x14ac:dyDescent="0.25">
      <c r="A327" s="1964"/>
      <c r="B327" s="1989"/>
      <c r="C327" s="1835" t="s">
        <v>1383</v>
      </c>
      <c r="D327" s="1886"/>
      <c r="E327" s="1984"/>
      <c r="F327" s="1838">
        <v>0</v>
      </c>
      <c r="G327" s="1804">
        <v>0</v>
      </c>
      <c r="H327" s="1804">
        <v>0</v>
      </c>
      <c r="I327" s="1804">
        <v>0</v>
      </c>
      <c r="J327" s="1804">
        <v>0</v>
      </c>
      <c r="K327" s="1804">
        <v>0</v>
      </c>
      <c r="L327" s="1804">
        <v>0</v>
      </c>
      <c r="M327" s="1804">
        <v>0</v>
      </c>
      <c r="N327" s="1804">
        <v>0</v>
      </c>
      <c r="O327" s="1804">
        <v>0</v>
      </c>
      <c r="P327" s="1804">
        <v>0</v>
      </c>
      <c r="Q327" s="1804">
        <v>0</v>
      </c>
      <c r="R327" s="1804">
        <v>0</v>
      </c>
      <c r="S327" s="1804">
        <v>0</v>
      </c>
      <c r="T327" s="1804">
        <v>0</v>
      </c>
      <c r="U327" s="1804">
        <v>0</v>
      </c>
      <c r="V327" s="1804">
        <v>0</v>
      </c>
      <c r="W327" s="1804">
        <v>0</v>
      </c>
      <c r="X327" s="1804">
        <v>0</v>
      </c>
      <c r="Y327" s="1804">
        <v>0</v>
      </c>
      <c r="Z327" s="1804">
        <v>0</v>
      </c>
      <c r="AA327" s="1804">
        <v>0</v>
      </c>
      <c r="AB327" s="1804">
        <v>0</v>
      </c>
      <c r="AC327" s="1804">
        <v>0</v>
      </c>
      <c r="AD327" s="1804">
        <v>0</v>
      </c>
      <c r="AE327" s="1804">
        <v>0</v>
      </c>
      <c r="AF327" s="1804">
        <v>0</v>
      </c>
      <c r="AG327" s="1804">
        <v>0</v>
      </c>
      <c r="AH327" s="1804">
        <v>0</v>
      </c>
      <c r="AI327" s="1804">
        <v>0</v>
      </c>
      <c r="AJ327" s="1804">
        <v>0</v>
      </c>
      <c r="AK327" s="1804">
        <v>0</v>
      </c>
      <c r="AL327" s="1804">
        <v>0</v>
      </c>
      <c r="AM327" s="1804">
        <v>0</v>
      </c>
      <c r="AN327" s="1804">
        <v>0</v>
      </c>
      <c r="AO327" s="1804">
        <v>0</v>
      </c>
      <c r="AP327" s="1804">
        <v>0</v>
      </c>
      <c r="AQ327" s="1804">
        <v>0</v>
      </c>
      <c r="AR327" s="1804">
        <v>0</v>
      </c>
      <c r="AS327" s="1804">
        <v>0</v>
      </c>
      <c r="AT327" s="1804">
        <v>0</v>
      </c>
      <c r="AU327" s="1804">
        <v>0</v>
      </c>
      <c r="AV327" s="1804">
        <v>0</v>
      </c>
      <c r="AW327" s="1804">
        <v>0</v>
      </c>
      <c r="AX327" s="1804">
        <v>0</v>
      </c>
      <c r="AY327" s="1804">
        <v>0</v>
      </c>
      <c r="AZ327" s="1804">
        <v>0</v>
      </c>
      <c r="BA327" s="1804">
        <v>0</v>
      </c>
      <c r="BB327" s="1804">
        <v>0</v>
      </c>
      <c r="BC327" s="1804">
        <v>0</v>
      </c>
      <c r="BD327" s="1804">
        <v>0</v>
      </c>
      <c r="BE327" s="1804">
        <v>0</v>
      </c>
      <c r="BF327" s="1804">
        <v>0</v>
      </c>
      <c r="BG327" s="1804">
        <v>0</v>
      </c>
      <c r="BH327" s="1804">
        <v>0</v>
      </c>
      <c r="BI327" s="1804">
        <v>0</v>
      </c>
      <c r="BJ327" s="1804">
        <v>0</v>
      </c>
      <c r="BK327" s="1804">
        <v>0</v>
      </c>
      <c r="BL327" s="1804">
        <v>0</v>
      </c>
      <c r="BM327" s="1804">
        <v>0</v>
      </c>
      <c r="BN327" s="1804">
        <v>0</v>
      </c>
      <c r="BO327" s="1804">
        <v>0</v>
      </c>
      <c r="BP327" s="1804">
        <v>0</v>
      </c>
      <c r="BQ327" s="1804">
        <v>0</v>
      </c>
      <c r="BR327" s="1804">
        <v>0</v>
      </c>
      <c r="BS327" s="1804">
        <v>0</v>
      </c>
      <c r="BT327" s="1804">
        <v>0</v>
      </c>
      <c r="BU327" s="1804">
        <v>0</v>
      </c>
      <c r="BV327" s="1804">
        <v>0</v>
      </c>
      <c r="BW327" s="1804">
        <v>0</v>
      </c>
      <c r="BX327" s="1804">
        <v>0</v>
      </c>
      <c r="BY327" s="1804">
        <v>0</v>
      </c>
      <c r="BZ327" s="1804">
        <v>0</v>
      </c>
      <c r="CA327" s="1804">
        <v>0</v>
      </c>
      <c r="CB327" s="1804">
        <v>0</v>
      </c>
      <c r="CC327" s="1804">
        <v>0</v>
      </c>
      <c r="CD327" s="1804">
        <v>0</v>
      </c>
      <c r="CE327" s="1804">
        <v>0</v>
      </c>
      <c r="CF327" s="1804">
        <v>0</v>
      </c>
      <c r="CG327" s="1804">
        <v>0</v>
      </c>
      <c r="CH327" s="1804">
        <v>0</v>
      </c>
      <c r="CI327" s="1804">
        <v>0</v>
      </c>
      <c r="CJ327" s="1804">
        <v>0</v>
      </c>
      <c r="CK327" s="1804">
        <v>0</v>
      </c>
      <c r="CL327" s="1804">
        <v>0</v>
      </c>
      <c r="CM327" s="1804">
        <v>0</v>
      </c>
      <c r="CN327" s="1804">
        <v>0</v>
      </c>
      <c r="CO327" s="1804">
        <v>0</v>
      </c>
      <c r="CP327" s="1804">
        <v>0</v>
      </c>
      <c r="CQ327" s="1804">
        <v>0</v>
      </c>
      <c r="CR327" s="1804">
        <v>0</v>
      </c>
      <c r="CS327" s="1804">
        <v>0</v>
      </c>
      <c r="CT327" s="1804">
        <v>0</v>
      </c>
      <c r="CU327" s="1804">
        <v>0</v>
      </c>
      <c r="CV327" s="1804">
        <v>0</v>
      </c>
      <c r="CW327" s="1804">
        <v>0</v>
      </c>
      <c r="CX327" s="1804">
        <v>0</v>
      </c>
      <c r="CY327" s="1804">
        <v>0</v>
      </c>
      <c r="CZ327" s="1804">
        <v>0</v>
      </c>
      <c r="DA327" s="1804">
        <v>0</v>
      </c>
      <c r="DB327" s="1804">
        <v>0</v>
      </c>
      <c r="DC327" s="1804">
        <v>0</v>
      </c>
      <c r="DD327" s="1804">
        <v>0</v>
      </c>
      <c r="DE327" s="1804">
        <v>0</v>
      </c>
      <c r="DF327" s="1804">
        <v>0</v>
      </c>
      <c r="DG327" s="1804">
        <v>0</v>
      </c>
      <c r="DH327" s="1804">
        <v>0</v>
      </c>
      <c r="DI327" s="1804">
        <v>0</v>
      </c>
      <c r="DJ327" s="1804">
        <v>0</v>
      </c>
      <c r="DK327" s="1804">
        <v>0</v>
      </c>
      <c r="DL327" s="1804">
        <v>0</v>
      </c>
      <c r="DM327" s="1804">
        <v>0</v>
      </c>
      <c r="DN327" s="1804">
        <v>0</v>
      </c>
      <c r="DO327" s="1804">
        <v>0</v>
      </c>
      <c r="DP327" s="1804">
        <v>0</v>
      </c>
      <c r="DQ327" s="1804">
        <v>0</v>
      </c>
      <c r="DR327" s="1804">
        <v>0</v>
      </c>
      <c r="DS327" s="1804">
        <v>0</v>
      </c>
      <c r="DT327" s="1804">
        <v>0</v>
      </c>
      <c r="DU327" s="1804">
        <v>0</v>
      </c>
      <c r="DV327" s="1804">
        <v>0</v>
      </c>
      <c r="DW327" s="1804">
        <v>0</v>
      </c>
      <c r="DX327" s="1804">
        <v>0</v>
      </c>
      <c r="DY327" s="1804">
        <v>0</v>
      </c>
      <c r="DZ327" s="1804">
        <v>0</v>
      </c>
      <c r="EA327" s="1804">
        <v>0</v>
      </c>
      <c r="EB327" s="1804">
        <v>0</v>
      </c>
      <c r="EC327" s="1804">
        <v>0</v>
      </c>
      <c r="ED327" s="1804">
        <v>0</v>
      </c>
      <c r="EE327" s="1804">
        <v>0</v>
      </c>
      <c r="EF327" s="1804">
        <v>0</v>
      </c>
      <c r="EG327" s="1804">
        <v>0</v>
      </c>
      <c r="EH327" s="1804">
        <v>0</v>
      </c>
      <c r="EI327" s="1804">
        <v>0</v>
      </c>
      <c r="EJ327" s="1804">
        <v>0</v>
      </c>
      <c r="EK327" s="1804">
        <v>0</v>
      </c>
      <c r="EL327" s="1804">
        <v>0</v>
      </c>
      <c r="EM327" s="1804">
        <v>0</v>
      </c>
      <c r="EN327" s="1804">
        <v>0</v>
      </c>
      <c r="EO327" s="1804">
        <v>0</v>
      </c>
      <c r="EP327" s="1804">
        <v>0</v>
      </c>
      <c r="EQ327" s="1804">
        <v>0</v>
      </c>
      <c r="ER327" s="1804">
        <v>0</v>
      </c>
      <c r="ES327" s="1804">
        <v>0</v>
      </c>
      <c r="ET327" s="1804">
        <v>0</v>
      </c>
      <c r="EU327" s="1804">
        <v>0</v>
      </c>
      <c r="EV327" s="1804">
        <v>0</v>
      </c>
      <c r="EW327" s="1804">
        <v>0</v>
      </c>
      <c r="EX327" s="1804">
        <v>0</v>
      </c>
      <c r="EY327" s="1804">
        <v>0</v>
      </c>
      <c r="EZ327" s="1804">
        <v>0</v>
      </c>
      <c r="FA327" s="1804">
        <v>0</v>
      </c>
      <c r="FB327" s="1804">
        <v>0</v>
      </c>
      <c r="FC327" s="1804">
        <v>0</v>
      </c>
      <c r="FD327" s="1804">
        <v>0</v>
      </c>
      <c r="FE327" s="1804">
        <v>0</v>
      </c>
      <c r="FF327" s="1804">
        <v>0</v>
      </c>
      <c r="FG327" s="1804">
        <v>0</v>
      </c>
      <c r="FH327" s="1804">
        <v>0</v>
      </c>
      <c r="FI327" s="1804">
        <v>0</v>
      </c>
      <c r="FJ327" s="1804">
        <v>0</v>
      </c>
      <c r="FK327" s="1804">
        <v>0</v>
      </c>
      <c r="FL327" s="1804">
        <v>0</v>
      </c>
      <c r="FM327" s="1804">
        <v>0</v>
      </c>
      <c r="FN327" s="1804">
        <v>0</v>
      </c>
      <c r="FO327" s="1804">
        <v>0</v>
      </c>
      <c r="FP327" s="1804">
        <v>0</v>
      </c>
      <c r="FQ327" s="1804">
        <v>0</v>
      </c>
      <c r="FR327" s="1804">
        <v>0</v>
      </c>
      <c r="FS327" s="1804">
        <v>0</v>
      </c>
      <c r="FT327" s="1804">
        <v>0</v>
      </c>
      <c r="FU327" s="1804">
        <v>0</v>
      </c>
      <c r="FV327" s="1804">
        <v>0</v>
      </c>
      <c r="FW327" s="1804">
        <v>0</v>
      </c>
      <c r="FX327" s="1804">
        <v>0</v>
      </c>
      <c r="FY327" s="1804">
        <v>0</v>
      </c>
      <c r="FZ327" s="1804">
        <v>0</v>
      </c>
      <c r="GA327" s="1804">
        <v>0</v>
      </c>
      <c r="GB327" s="1804">
        <v>0</v>
      </c>
      <c r="GC327" s="1804">
        <v>0</v>
      </c>
      <c r="GD327" s="1804">
        <v>0</v>
      </c>
      <c r="GE327" s="1804">
        <v>0</v>
      </c>
      <c r="GF327" s="1804">
        <v>0</v>
      </c>
      <c r="GG327" s="1804">
        <v>0</v>
      </c>
      <c r="GH327" s="1804">
        <v>0</v>
      </c>
      <c r="GI327" s="1804">
        <v>0</v>
      </c>
      <c r="GJ327" s="1804">
        <v>0</v>
      </c>
      <c r="GK327" s="1804">
        <v>0</v>
      </c>
      <c r="GL327" s="1804">
        <v>0</v>
      </c>
      <c r="GM327" s="1804">
        <v>0</v>
      </c>
      <c r="GN327" s="1804">
        <v>0</v>
      </c>
      <c r="GO327" s="1804">
        <v>0</v>
      </c>
      <c r="GP327" s="1804">
        <v>0</v>
      </c>
      <c r="GQ327" s="1804">
        <v>0</v>
      </c>
      <c r="GR327" s="1804">
        <v>0</v>
      </c>
      <c r="GS327" s="1804">
        <v>0</v>
      </c>
      <c r="GT327" s="1804">
        <v>0</v>
      </c>
      <c r="GU327" s="1804">
        <v>0</v>
      </c>
      <c r="GV327" s="1804">
        <v>0</v>
      </c>
      <c r="GW327" s="1804">
        <v>0</v>
      </c>
      <c r="GX327" s="1804">
        <v>0</v>
      </c>
      <c r="GY327" s="1804">
        <v>0</v>
      </c>
      <c r="GZ327" s="1804">
        <v>0</v>
      </c>
      <c r="HA327" s="1804">
        <v>0</v>
      </c>
      <c r="HB327" s="1804">
        <v>0</v>
      </c>
      <c r="HC327" s="1804">
        <v>0</v>
      </c>
      <c r="HD327" s="1804">
        <v>0</v>
      </c>
      <c r="HE327" s="1804">
        <v>0</v>
      </c>
      <c r="HF327" s="1874"/>
      <c r="HG327" s="1874"/>
      <c r="HH327" s="1874"/>
      <c r="HI327" s="1874"/>
      <c r="HJ327" s="1874"/>
      <c r="HK327" s="1874"/>
      <c r="HL327" s="1874"/>
      <c r="HM327" s="1874"/>
      <c r="HN327" s="1874"/>
      <c r="HO327" s="1874"/>
      <c r="HP327" s="1874"/>
      <c r="HQ327" s="1874"/>
      <c r="HR327" s="1874"/>
      <c r="HS327" s="1874"/>
      <c r="HT327" s="1874"/>
      <c r="HU327" s="1874"/>
      <c r="HV327" s="1874"/>
      <c r="HW327" s="1874"/>
      <c r="HX327" s="1874"/>
      <c r="HY327" s="1874"/>
      <c r="HZ327" s="1874"/>
      <c r="IA327" s="1874"/>
      <c r="IB327" s="1874"/>
      <c r="IC327" s="1874"/>
      <c r="ID327" s="1874"/>
      <c r="IE327" s="1874"/>
      <c r="IF327" s="1874"/>
    </row>
    <row r="328" spans="1:1291" ht="45" customHeight="1" thickBot="1" x14ac:dyDescent="0.25">
      <c r="A328" s="1949" t="s">
        <v>1089</v>
      </c>
      <c r="B328" s="1969" t="s">
        <v>982</v>
      </c>
      <c r="C328" s="1693" t="s">
        <v>2408</v>
      </c>
      <c r="D328" s="1880"/>
      <c r="E328" s="1996"/>
      <c r="F328" s="1865"/>
      <c r="G328" s="1866"/>
      <c r="H328" s="1866"/>
      <c r="I328" s="1866"/>
      <c r="J328" s="1866"/>
      <c r="K328" s="1866"/>
      <c r="L328" s="1866"/>
      <c r="M328" s="1866"/>
      <c r="N328" s="1866"/>
      <c r="O328" s="1866"/>
      <c r="P328" s="1866"/>
      <c r="Q328" s="1866"/>
      <c r="R328" s="1866"/>
      <c r="S328" s="1866"/>
      <c r="T328" s="1866"/>
      <c r="U328" s="1866"/>
      <c r="V328" s="1866"/>
      <c r="W328" s="1866"/>
      <c r="X328" s="1866"/>
      <c r="Y328" s="1866"/>
      <c r="Z328" s="1866"/>
      <c r="AA328" s="1866"/>
      <c r="AB328" s="1866"/>
      <c r="AC328" s="1866"/>
      <c r="AD328" s="1866"/>
      <c r="AE328" s="1866"/>
      <c r="AF328" s="1866"/>
      <c r="AG328" s="1866"/>
      <c r="AH328" s="1866"/>
      <c r="AI328" s="1866"/>
      <c r="AJ328" s="1866"/>
      <c r="AK328" s="1866"/>
      <c r="AL328" s="1866"/>
      <c r="AM328" s="1866"/>
      <c r="AN328" s="1866"/>
      <c r="AO328" s="1866"/>
      <c r="AP328" s="1866"/>
      <c r="AQ328" s="1866"/>
      <c r="AR328" s="1866"/>
      <c r="AS328" s="1866"/>
      <c r="AT328" s="1866"/>
      <c r="AU328" s="1866"/>
      <c r="AV328" s="1866"/>
      <c r="AW328" s="1866"/>
      <c r="AX328" s="1866"/>
      <c r="AY328" s="1866"/>
      <c r="AZ328" s="1866"/>
      <c r="BA328" s="1866"/>
      <c r="BB328" s="1866"/>
      <c r="BC328" s="1866"/>
      <c r="BD328" s="1866"/>
      <c r="BE328" s="1866"/>
      <c r="BF328" s="1866"/>
      <c r="BG328" s="1866"/>
      <c r="BH328" s="1866"/>
      <c r="BI328" s="1866"/>
      <c r="BJ328" s="1866"/>
      <c r="BK328" s="1866"/>
      <c r="BL328" s="1866"/>
      <c r="BM328" s="1866"/>
      <c r="BN328" s="1866"/>
      <c r="BO328" s="1866"/>
      <c r="BP328" s="1866"/>
      <c r="BQ328" s="1866"/>
      <c r="BR328" s="1866"/>
      <c r="BS328" s="1866"/>
      <c r="BT328" s="1866"/>
      <c r="BU328" s="1866"/>
      <c r="BV328" s="1866"/>
      <c r="BW328" s="1866"/>
      <c r="BX328" s="1866"/>
      <c r="BY328" s="1866"/>
      <c r="BZ328" s="1866"/>
      <c r="CA328" s="1866"/>
      <c r="CB328" s="1866"/>
      <c r="CC328" s="1866"/>
      <c r="CD328" s="1866"/>
      <c r="CE328" s="1866"/>
      <c r="CF328" s="1866"/>
      <c r="CG328" s="1866"/>
      <c r="CH328" s="1866"/>
      <c r="CI328" s="1866"/>
      <c r="CJ328" s="1866"/>
      <c r="CK328" s="1866"/>
      <c r="CL328" s="1866"/>
      <c r="CM328" s="1866"/>
      <c r="CN328" s="1866"/>
      <c r="CO328" s="1866"/>
      <c r="CP328" s="1866"/>
      <c r="CQ328" s="1866"/>
      <c r="CR328" s="1866"/>
      <c r="CS328" s="1866"/>
      <c r="CT328" s="1866"/>
      <c r="CU328" s="1866"/>
      <c r="CV328" s="1866"/>
      <c r="CW328" s="1866"/>
      <c r="CX328" s="1866"/>
      <c r="CY328" s="1866"/>
      <c r="CZ328" s="1866"/>
      <c r="DA328" s="1866"/>
      <c r="DB328" s="1866"/>
      <c r="DC328" s="1866"/>
      <c r="DD328" s="1866"/>
      <c r="DE328" s="1866"/>
      <c r="DF328" s="1866"/>
      <c r="DG328" s="1866"/>
      <c r="DH328" s="1866"/>
      <c r="DI328" s="1866"/>
      <c r="DJ328" s="1866"/>
      <c r="DK328" s="1866"/>
      <c r="DL328" s="1866"/>
      <c r="DM328" s="1866"/>
      <c r="DN328" s="1866"/>
      <c r="DO328" s="1866"/>
      <c r="DP328" s="1866"/>
      <c r="DQ328" s="1866"/>
      <c r="DR328" s="1866"/>
      <c r="DS328" s="1866"/>
      <c r="DT328" s="1866"/>
      <c r="DU328" s="1866"/>
      <c r="DV328" s="1866"/>
      <c r="DW328" s="1866"/>
      <c r="DX328" s="1866"/>
      <c r="DY328" s="1866"/>
      <c r="DZ328" s="1866"/>
      <c r="EA328" s="1866"/>
      <c r="EB328" s="1866"/>
      <c r="EC328" s="1866"/>
      <c r="ED328" s="1866"/>
      <c r="EE328" s="1866"/>
      <c r="EF328" s="1866"/>
      <c r="EG328" s="1866"/>
      <c r="EH328" s="1866"/>
      <c r="EI328" s="1866"/>
      <c r="EJ328" s="1866"/>
      <c r="EK328" s="1866"/>
      <c r="EL328" s="1866"/>
      <c r="EM328" s="1866"/>
      <c r="EN328" s="1866"/>
      <c r="EO328" s="1866"/>
      <c r="EP328" s="1866"/>
      <c r="EQ328" s="1866"/>
      <c r="ER328" s="1866"/>
      <c r="ES328" s="1866"/>
      <c r="ET328" s="1866"/>
      <c r="EU328" s="1866"/>
      <c r="EV328" s="1866"/>
      <c r="EW328" s="1866"/>
      <c r="EX328" s="1866"/>
      <c r="EY328" s="1866"/>
      <c r="EZ328" s="1866"/>
      <c r="FA328" s="1866"/>
      <c r="FB328" s="1866"/>
      <c r="FC328" s="1866"/>
      <c r="FD328" s="1866"/>
      <c r="FE328" s="1866"/>
      <c r="FF328" s="1866"/>
      <c r="FG328" s="1866"/>
      <c r="FH328" s="1866"/>
      <c r="FI328" s="1866"/>
      <c r="FJ328" s="1866"/>
      <c r="FK328" s="1866"/>
      <c r="FL328" s="1866"/>
      <c r="FM328" s="1866"/>
      <c r="FN328" s="1866"/>
      <c r="FO328" s="1866"/>
      <c r="FP328" s="1866"/>
      <c r="FQ328" s="1866"/>
      <c r="FR328" s="1866"/>
      <c r="FS328" s="1866"/>
      <c r="FT328" s="1866"/>
      <c r="FU328" s="1866"/>
      <c r="FV328" s="1866"/>
      <c r="FW328" s="1866"/>
      <c r="FX328" s="1866"/>
      <c r="FY328" s="1866"/>
      <c r="FZ328" s="1866"/>
      <c r="GA328" s="1866"/>
      <c r="GB328" s="1866"/>
      <c r="GC328" s="1866"/>
      <c r="GD328" s="1866"/>
      <c r="GE328" s="1866"/>
      <c r="GF328" s="1866"/>
      <c r="GG328" s="1866"/>
      <c r="GH328" s="1866"/>
      <c r="GI328" s="1866"/>
      <c r="GJ328" s="1866"/>
      <c r="GK328" s="1866"/>
      <c r="GL328" s="1866"/>
      <c r="GM328" s="1866"/>
      <c r="GN328" s="1866"/>
      <c r="GO328" s="1866"/>
      <c r="GP328" s="1866"/>
      <c r="GQ328" s="1866"/>
      <c r="GR328" s="1866"/>
      <c r="GS328" s="1866"/>
      <c r="GT328" s="1866"/>
      <c r="GU328" s="1866"/>
      <c r="GV328" s="1866"/>
      <c r="GW328" s="1866"/>
      <c r="GX328" s="1866"/>
      <c r="GY328" s="1866"/>
      <c r="GZ328" s="1866"/>
      <c r="HA328" s="1866"/>
      <c r="HB328" s="1866"/>
      <c r="HC328" s="1866"/>
      <c r="HD328" s="1866"/>
      <c r="HE328" s="1866"/>
    </row>
    <row r="329" spans="1:1291" ht="15" customHeight="1" x14ac:dyDescent="0.2">
      <c r="A329" s="1995"/>
      <c r="B329" s="1970"/>
      <c r="C329" s="1707" t="s">
        <v>2407</v>
      </c>
      <c r="D329" s="1889"/>
      <c r="E329" s="1996"/>
      <c r="F329" s="1838">
        <v>0</v>
      </c>
      <c r="G329" s="1804">
        <v>0</v>
      </c>
      <c r="H329" s="1804">
        <v>0</v>
      </c>
      <c r="I329" s="1804">
        <v>0</v>
      </c>
      <c r="J329" s="1804">
        <v>0</v>
      </c>
      <c r="K329" s="1804">
        <v>0</v>
      </c>
      <c r="L329" s="1804">
        <v>0</v>
      </c>
      <c r="M329" s="1804">
        <v>0</v>
      </c>
      <c r="N329" s="1804">
        <v>0</v>
      </c>
      <c r="O329" s="1804">
        <v>0</v>
      </c>
      <c r="P329" s="1804">
        <v>0</v>
      </c>
      <c r="Q329" s="1804">
        <v>0</v>
      </c>
      <c r="R329" s="1804">
        <v>0</v>
      </c>
      <c r="S329" s="1804">
        <v>0</v>
      </c>
      <c r="T329" s="1804">
        <v>0</v>
      </c>
      <c r="U329" s="1804">
        <v>0</v>
      </c>
      <c r="V329" s="1804">
        <v>0</v>
      </c>
      <c r="W329" s="1804">
        <v>0</v>
      </c>
      <c r="X329" s="1804">
        <v>0</v>
      </c>
      <c r="Y329" s="1804">
        <v>0</v>
      </c>
      <c r="Z329" s="1804">
        <v>0</v>
      </c>
      <c r="AA329" s="1804">
        <v>0</v>
      </c>
      <c r="AB329" s="1804">
        <v>0</v>
      </c>
      <c r="AC329" s="1804">
        <v>0</v>
      </c>
      <c r="AD329" s="1804">
        <v>0</v>
      </c>
      <c r="AE329" s="1804">
        <v>0</v>
      </c>
      <c r="AF329" s="1804">
        <v>0</v>
      </c>
      <c r="AG329" s="1804">
        <v>0</v>
      </c>
      <c r="AH329" s="1804">
        <v>0</v>
      </c>
      <c r="AI329" s="1804">
        <v>0</v>
      </c>
      <c r="AJ329" s="1804">
        <v>0</v>
      </c>
      <c r="AK329" s="1804">
        <v>0</v>
      </c>
      <c r="AL329" s="1804">
        <v>0</v>
      </c>
      <c r="AM329" s="1804">
        <v>0</v>
      </c>
      <c r="AN329" s="1804">
        <v>0</v>
      </c>
      <c r="AO329" s="1804">
        <v>0</v>
      </c>
      <c r="AP329" s="1804">
        <v>0</v>
      </c>
      <c r="AQ329" s="1804">
        <v>0</v>
      </c>
      <c r="AR329" s="1804">
        <v>0</v>
      </c>
      <c r="AS329" s="1804">
        <v>0</v>
      </c>
      <c r="AT329" s="1804">
        <v>0</v>
      </c>
      <c r="AU329" s="1804">
        <v>0</v>
      </c>
      <c r="AV329" s="1804">
        <v>0</v>
      </c>
      <c r="AW329" s="1804">
        <v>0</v>
      </c>
      <c r="AX329" s="1804">
        <v>0</v>
      </c>
      <c r="AY329" s="1804">
        <v>0</v>
      </c>
      <c r="AZ329" s="1804">
        <v>0</v>
      </c>
      <c r="BA329" s="1804">
        <v>0</v>
      </c>
      <c r="BB329" s="1804">
        <v>0</v>
      </c>
      <c r="BC329" s="1804">
        <v>0</v>
      </c>
      <c r="BD329" s="1804">
        <v>0</v>
      </c>
      <c r="BE329" s="1804">
        <v>0</v>
      </c>
      <c r="BF329" s="1804">
        <v>0</v>
      </c>
      <c r="BG329" s="1804">
        <v>0</v>
      </c>
      <c r="BH329" s="1804">
        <v>0</v>
      </c>
      <c r="BI329" s="1804">
        <v>0</v>
      </c>
      <c r="BJ329" s="1804">
        <v>0</v>
      </c>
      <c r="BK329" s="1804">
        <v>0</v>
      </c>
      <c r="BL329" s="1804">
        <v>0</v>
      </c>
      <c r="BM329" s="1804">
        <v>0</v>
      </c>
      <c r="BN329" s="1804">
        <v>0</v>
      </c>
      <c r="BO329" s="1804">
        <v>0</v>
      </c>
      <c r="BP329" s="1804">
        <v>0</v>
      </c>
      <c r="BQ329" s="1804">
        <v>0</v>
      </c>
      <c r="BR329" s="1804">
        <v>0</v>
      </c>
      <c r="BS329" s="1804">
        <v>0</v>
      </c>
      <c r="BT329" s="1804">
        <v>0</v>
      </c>
      <c r="BU329" s="1804">
        <v>0</v>
      </c>
      <c r="BV329" s="1804">
        <v>0</v>
      </c>
      <c r="BW329" s="1804">
        <v>0</v>
      </c>
      <c r="BX329" s="1804">
        <v>0</v>
      </c>
      <c r="BY329" s="1804">
        <v>0</v>
      </c>
      <c r="BZ329" s="1804">
        <v>0</v>
      </c>
      <c r="CA329" s="1804">
        <v>0</v>
      </c>
      <c r="CB329" s="1804">
        <v>0</v>
      </c>
      <c r="CC329" s="1804">
        <v>0</v>
      </c>
      <c r="CD329" s="1804">
        <v>0</v>
      </c>
      <c r="CE329" s="1804">
        <v>0</v>
      </c>
      <c r="CF329" s="1804">
        <v>0</v>
      </c>
      <c r="CG329" s="1804">
        <v>0</v>
      </c>
      <c r="CH329" s="1804">
        <v>0</v>
      </c>
      <c r="CI329" s="1804">
        <v>0</v>
      </c>
      <c r="CJ329" s="1804">
        <v>0</v>
      </c>
      <c r="CK329" s="1804">
        <v>0</v>
      </c>
      <c r="CL329" s="1804">
        <v>0</v>
      </c>
      <c r="CM329" s="1804">
        <v>0</v>
      </c>
      <c r="CN329" s="1804">
        <v>0</v>
      </c>
      <c r="CO329" s="1804">
        <v>0</v>
      </c>
      <c r="CP329" s="1804">
        <v>0</v>
      </c>
      <c r="CQ329" s="1804">
        <v>0</v>
      </c>
      <c r="CR329" s="1804">
        <v>0</v>
      </c>
      <c r="CS329" s="1804">
        <v>0</v>
      </c>
      <c r="CT329" s="1804">
        <v>0</v>
      </c>
      <c r="CU329" s="1804">
        <v>0</v>
      </c>
      <c r="CV329" s="1804">
        <v>0</v>
      </c>
      <c r="CW329" s="1804">
        <v>0</v>
      </c>
      <c r="CX329" s="1804">
        <v>0</v>
      </c>
      <c r="CY329" s="1804">
        <v>0</v>
      </c>
      <c r="CZ329" s="1804">
        <v>0</v>
      </c>
      <c r="DA329" s="1804">
        <v>0</v>
      </c>
      <c r="DB329" s="1804">
        <v>0</v>
      </c>
      <c r="DC329" s="1804">
        <v>0</v>
      </c>
      <c r="DD329" s="1804">
        <v>0</v>
      </c>
      <c r="DE329" s="1804">
        <v>0</v>
      </c>
      <c r="DF329" s="1804">
        <v>0</v>
      </c>
      <c r="DG329" s="1804">
        <v>0</v>
      </c>
      <c r="DH329" s="1804">
        <v>0</v>
      </c>
      <c r="DI329" s="1804">
        <v>0</v>
      </c>
      <c r="DJ329" s="1804">
        <v>0</v>
      </c>
      <c r="DK329" s="1804">
        <v>0</v>
      </c>
      <c r="DL329" s="1804">
        <v>0</v>
      </c>
      <c r="DM329" s="1804">
        <v>0</v>
      </c>
      <c r="DN329" s="1804">
        <v>0</v>
      </c>
      <c r="DO329" s="1804">
        <v>0</v>
      </c>
      <c r="DP329" s="1804">
        <v>0</v>
      </c>
      <c r="DQ329" s="1804">
        <v>0</v>
      </c>
      <c r="DR329" s="1804">
        <v>0</v>
      </c>
      <c r="DS329" s="1804">
        <v>0</v>
      </c>
      <c r="DT329" s="1804">
        <v>0</v>
      </c>
      <c r="DU329" s="1804">
        <v>0</v>
      </c>
      <c r="DV329" s="1804">
        <v>0</v>
      </c>
      <c r="DW329" s="1804">
        <v>0</v>
      </c>
      <c r="DX329" s="1804">
        <v>0</v>
      </c>
      <c r="DY329" s="1804">
        <v>0</v>
      </c>
      <c r="DZ329" s="1804">
        <v>0</v>
      </c>
      <c r="EA329" s="1804">
        <v>0</v>
      </c>
      <c r="EB329" s="1804">
        <v>0</v>
      </c>
      <c r="EC329" s="1804">
        <v>0</v>
      </c>
      <c r="ED329" s="1804">
        <v>0</v>
      </c>
      <c r="EE329" s="1804">
        <v>0</v>
      </c>
      <c r="EF329" s="1804">
        <v>0</v>
      </c>
      <c r="EG329" s="1804">
        <v>0</v>
      </c>
      <c r="EH329" s="1804">
        <v>0</v>
      </c>
      <c r="EI329" s="1804">
        <v>0</v>
      </c>
      <c r="EJ329" s="1804">
        <v>0</v>
      </c>
      <c r="EK329" s="1804">
        <v>0</v>
      </c>
      <c r="EL329" s="1804">
        <v>0</v>
      </c>
      <c r="EM329" s="1804">
        <v>0</v>
      </c>
      <c r="EN329" s="1804">
        <v>0</v>
      </c>
      <c r="EO329" s="1804">
        <v>0</v>
      </c>
      <c r="EP329" s="1804">
        <v>0</v>
      </c>
      <c r="EQ329" s="1804">
        <v>0</v>
      </c>
      <c r="ER329" s="1804">
        <v>0</v>
      </c>
      <c r="ES329" s="1804">
        <v>0</v>
      </c>
      <c r="ET329" s="1804">
        <v>0</v>
      </c>
      <c r="EU329" s="1804">
        <v>0</v>
      </c>
      <c r="EV329" s="1804">
        <v>0</v>
      </c>
      <c r="EW329" s="1804">
        <v>0</v>
      </c>
      <c r="EX329" s="1804">
        <v>0</v>
      </c>
      <c r="EY329" s="1804">
        <v>0</v>
      </c>
      <c r="EZ329" s="1804">
        <v>0</v>
      </c>
      <c r="FA329" s="1804">
        <v>0</v>
      </c>
      <c r="FB329" s="1804">
        <v>0</v>
      </c>
      <c r="FC329" s="1804">
        <v>0</v>
      </c>
      <c r="FD329" s="1804">
        <v>0</v>
      </c>
      <c r="FE329" s="1804">
        <v>0</v>
      </c>
      <c r="FF329" s="1804">
        <v>0</v>
      </c>
      <c r="FG329" s="1804">
        <v>0</v>
      </c>
      <c r="FH329" s="1804">
        <v>0</v>
      </c>
      <c r="FI329" s="1804">
        <v>0</v>
      </c>
      <c r="FJ329" s="1804">
        <v>0</v>
      </c>
      <c r="FK329" s="1804">
        <v>0</v>
      </c>
      <c r="FL329" s="1804">
        <v>0</v>
      </c>
      <c r="FM329" s="1804">
        <v>0</v>
      </c>
      <c r="FN329" s="1804">
        <v>0</v>
      </c>
      <c r="FO329" s="1804">
        <v>0</v>
      </c>
      <c r="FP329" s="1804">
        <v>0</v>
      </c>
      <c r="FQ329" s="1804">
        <v>0</v>
      </c>
      <c r="FR329" s="1804">
        <v>0</v>
      </c>
      <c r="FS329" s="1804">
        <v>0</v>
      </c>
      <c r="FT329" s="1804">
        <v>0</v>
      </c>
      <c r="FU329" s="1804">
        <v>0</v>
      </c>
      <c r="FV329" s="1804">
        <v>0</v>
      </c>
      <c r="FW329" s="1804">
        <v>0</v>
      </c>
      <c r="FX329" s="1804">
        <v>0</v>
      </c>
      <c r="FY329" s="1804">
        <v>0</v>
      </c>
      <c r="FZ329" s="1804">
        <v>0</v>
      </c>
      <c r="GA329" s="1804">
        <v>0</v>
      </c>
      <c r="GB329" s="1804">
        <v>0</v>
      </c>
      <c r="GC329" s="1804">
        <v>0</v>
      </c>
      <c r="GD329" s="1804">
        <v>0</v>
      </c>
      <c r="GE329" s="1804">
        <v>0</v>
      </c>
      <c r="GF329" s="1804">
        <v>0</v>
      </c>
      <c r="GG329" s="1804">
        <v>0</v>
      </c>
      <c r="GH329" s="1804">
        <v>0</v>
      </c>
      <c r="GI329" s="1804">
        <v>0</v>
      </c>
      <c r="GJ329" s="1804">
        <v>0</v>
      </c>
      <c r="GK329" s="1804">
        <v>0</v>
      </c>
      <c r="GL329" s="1804">
        <v>0</v>
      </c>
      <c r="GM329" s="1804">
        <v>0</v>
      </c>
      <c r="GN329" s="1804">
        <v>0</v>
      </c>
      <c r="GO329" s="1804">
        <v>0</v>
      </c>
      <c r="GP329" s="1804">
        <v>0</v>
      </c>
      <c r="GQ329" s="1804">
        <v>0</v>
      </c>
      <c r="GR329" s="1804">
        <v>0</v>
      </c>
      <c r="GS329" s="1804">
        <v>0</v>
      </c>
      <c r="GT329" s="1804">
        <v>0</v>
      </c>
      <c r="GU329" s="1804">
        <v>0</v>
      </c>
      <c r="GV329" s="1804">
        <v>0</v>
      </c>
      <c r="GW329" s="1804">
        <v>0</v>
      </c>
      <c r="GX329" s="1804">
        <v>0</v>
      </c>
      <c r="GY329" s="1804">
        <v>0</v>
      </c>
      <c r="GZ329" s="1804">
        <v>0</v>
      </c>
      <c r="HA329" s="1804">
        <v>0</v>
      </c>
      <c r="HB329" s="1804">
        <v>0</v>
      </c>
      <c r="HC329" s="1804">
        <v>0</v>
      </c>
      <c r="HD329" s="1804">
        <v>0</v>
      </c>
      <c r="HE329" s="1804">
        <v>0</v>
      </c>
      <c r="IG329" s="1873"/>
      <c r="IH329" s="1873"/>
      <c r="II329" s="1873"/>
      <c r="IJ329" s="1873"/>
      <c r="IK329" s="1873"/>
      <c r="IL329" s="1873"/>
      <c r="IM329" s="1873"/>
      <c r="IN329" s="1873"/>
      <c r="IO329" s="1873"/>
      <c r="IP329" s="1873"/>
      <c r="IQ329" s="1873"/>
      <c r="IR329" s="1873"/>
      <c r="IS329" s="1873"/>
      <c r="IT329" s="1873"/>
      <c r="IU329" s="1873"/>
      <c r="IV329" s="1873"/>
      <c r="IW329" s="1873"/>
      <c r="IX329" s="1873"/>
      <c r="IY329" s="1873"/>
      <c r="IZ329" s="1873"/>
      <c r="JA329" s="1873"/>
      <c r="JB329" s="1873"/>
      <c r="JC329" s="1873"/>
      <c r="JD329" s="1873"/>
      <c r="JE329" s="1873"/>
      <c r="JF329" s="1873"/>
      <c r="JG329" s="1873"/>
      <c r="JH329" s="1873"/>
      <c r="JI329" s="1873"/>
      <c r="JJ329" s="1873"/>
      <c r="JK329" s="1873"/>
      <c r="JL329" s="1873"/>
      <c r="JM329" s="1873"/>
      <c r="JN329" s="1873"/>
      <c r="JO329" s="1873"/>
      <c r="JP329" s="1873"/>
      <c r="JQ329" s="1873"/>
      <c r="JR329" s="1873"/>
      <c r="JS329" s="1873"/>
      <c r="JT329" s="1873"/>
      <c r="JU329" s="1873"/>
      <c r="JV329" s="1873"/>
      <c r="JW329" s="1873"/>
      <c r="JX329" s="1873"/>
      <c r="JY329" s="1873"/>
      <c r="JZ329" s="1873"/>
      <c r="KA329" s="1873"/>
      <c r="KB329" s="1873"/>
      <c r="KC329" s="1873"/>
      <c r="KD329" s="1873"/>
      <c r="KE329" s="1873"/>
      <c r="KF329" s="1873"/>
      <c r="KG329" s="1873"/>
      <c r="KH329" s="1873"/>
      <c r="KI329" s="1873"/>
      <c r="KJ329" s="1873"/>
      <c r="KK329" s="1873"/>
      <c r="KL329" s="1873"/>
      <c r="KM329" s="1873"/>
      <c r="KN329" s="1873"/>
      <c r="KO329" s="1873"/>
      <c r="KP329" s="1873"/>
      <c r="KQ329" s="1873"/>
      <c r="KR329" s="1873"/>
      <c r="KS329" s="1873"/>
      <c r="KT329" s="1873"/>
      <c r="KU329" s="1873"/>
      <c r="KV329" s="1873"/>
      <c r="KW329" s="1873"/>
      <c r="KX329" s="1873"/>
      <c r="KY329" s="1873"/>
      <c r="KZ329" s="1873"/>
      <c r="LA329" s="1873"/>
      <c r="LB329" s="1873"/>
      <c r="LC329" s="1873"/>
      <c r="LD329" s="1873"/>
      <c r="LE329" s="1873"/>
      <c r="LF329" s="1873"/>
      <c r="LG329" s="1873"/>
      <c r="LH329" s="1873"/>
      <c r="LI329" s="1873"/>
      <c r="LJ329" s="1873"/>
      <c r="LK329" s="1873"/>
      <c r="LL329" s="1873"/>
      <c r="LM329" s="1873"/>
      <c r="LN329" s="1873"/>
      <c r="LO329" s="1873"/>
      <c r="LP329" s="1873"/>
      <c r="LQ329" s="1873"/>
      <c r="LR329" s="1873"/>
      <c r="LS329" s="1873"/>
      <c r="LT329" s="1873"/>
      <c r="LU329" s="1873"/>
      <c r="LV329" s="1873"/>
      <c r="LW329" s="1873"/>
      <c r="LX329" s="1873"/>
      <c r="LY329" s="1873"/>
      <c r="LZ329" s="1873"/>
      <c r="MA329" s="1873"/>
      <c r="MB329" s="1873"/>
      <c r="MC329" s="1873"/>
      <c r="MD329" s="1873"/>
      <c r="ME329" s="1873"/>
      <c r="MF329" s="1873"/>
      <c r="MG329" s="1873"/>
      <c r="MH329" s="1873"/>
      <c r="MI329" s="1873"/>
      <c r="MJ329" s="1873"/>
      <c r="MK329" s="1873"/>
      <c r="ML329" s="1873"/>
      <c r="MM329" s="1873"/>
      <c r="MN329" s="1873"/>
      <c r="MO329" s="1873"/>
      <c r="MP329" s="1873"/>
      <c r="MQ329" s="1873"/>
      <c r="MR329" s="1873"/>
    </row>
    <row r="330" spans="1:1291" ht="15" customHeight="1" x14ac:dyDescent="0.2">
      <c r="A330" s="1995"/>
      <c r="B330" s="1970"/>
      <c r="C330" s="1816" t="s">
        <v>912</v>
      </c>
      <c r="D330" s="1889"/>
      <c r="E330" s="1996"/>
      <c r="F330" s="1838">
        <v>0</v>
      </c>
      <c r="G330" s="1804">
        <v>0</v>
      </c>
      <c r="H330" s="1804">
        <v>0</v>
      </c>
      <c r="I330" s="1804">
        <v>0</v>
      </c>
      <c r="J330" s="1804">
        <v>0</v>
      </c>
      <c r="K330" s="1804">
        <v>0</v>
      </c>
      <c r="L330" s="1804">
        <v>0</v>
      </c>
      <c r="M330" s="1804">
        <v>0</v>
      </c>
      <c r="N330" s="1804">
        <v>0</v>
      </c>
      <c r="O330" s="1804">
        <v>0</v>
      </c>
      <c r="P330" s="1804">
        <v>0</v>
      </c>
      <c r="Q330" s="1804">
        <v>0</v>
      </c>
      <c r="R330" s="1804">
        <v>0</v>
      </c>
      <c r="S330" s="1804">
        <v>0</v>
      </c>
      <c r="T330" s="1804">
        <v>0</v>
      </c>
      <c r="U330" s="1804">
        <v>0</v>
      </c>
      <c r="V330" s="1804">
        <v>0</v>
      </c>
      <c r="W330" s="1804">
        <v>0</v>
      </c>
      <c r="X330" s="1804">
        <v>0</v>
      </c>
      <c r="Y330" s="1804">
        <v>0</v>
      </c>
      <c r="Z330" s="1804">
        <v>0</v>
      </c>
      <c r="AA330" s="1804">
        <v>0</v>
      </c>
      <c r="AB330" s="1804">
        <v>0</v>
      </c>
      <c r="AC330" s="1804">
        <v>0</v>
      </c>
      <c r="AD330" s="1804">
        <v>0</v>
      </c>
      <c r="AE330" s="1804">
        <v>0</v>
      </c>
      <c r="AF330" s="1804">
        <v>0</v>
      </c>
      <c r="AG330" s="1804">
        <v>0</v>
      </c>
      <c r="AH330" s="1804">
        <v>0</v>
      </c>
      <c r="AI330" s="1804">
        <v>0</v>
      </c>
      <c r="AJ330" s="1804">
        <v>0</v>
      </c>
      <c r="AK330" s="1804">
        <v>0</v>
      </c>
      <c r="AL330" s="1804">
        <v>0</v>
      </c>
      <c r="AM330" s="1804">
        <v>0</v>
      </c>
      <c r="AN330" s="1804">
        <v>0</v>
      </c>
      <c r="AO330" s="1804">
        <v>0</v>
      </c>
      <c r="AP330" s="1804">
        <v>0</v>
      </c>
      <c r="AQ330" s="1804">
        <v>0</v>
      </c>
      <c r="AR330" s="1804">
        <v>0</v>
      </c>
      <c r="AS330" s="1804">
        <v>0</v>
      </c>
      <c r="AT330" s="1804">
        <v>0</v>
      </c>
      <c r="AU330" s="1804">
        <v>0</v>
      </c>
      <c r="AV330" s="1804">
        <v>0</v>
      </c>
      <c r="AW330" s="1804">
        <v>0</v>
      </c>
      <c r="AX330" s="1804">
        <v>0</v>
      </c>
      <c r="AY330" s="1804">
        <v>0</v>
      </c>
      <c r="AZ330" s="1804">
        <v>0</v>
      </c>
      <c r="BA330" s="1804">
        <v>0</v>
      </c>
      <c r="BB330" s="1804">
        <v>0</v>
      </c>
      <c r="BC330" s="1804">
        <v>0</v>
      </c>
      <c r="BD330" s="1804">
        <v>0</v>
      </c>
      <c r="BE330" s="1804">
        <v>0</v>
      </c>
      <c r="BF330" s="1804">
        <v>0</v>
      </c>
      <c r="BG330" s="1804">
        <v>0</v>
      </c>
      <c r="BH330" s="1804">
        <v>0</v>
      </c>
      <c r="BI330" s="1804">
        <v>0</v>
      </c>
      <c r="BJ330" s="1804">
        <v>0</v>
      </c>
      <c r="BK330" s="1804">
        <v>0</v>
      </c>
      <c r="BL330" s="1804">
        <v>0</v>
      </c>
      <c r="BM330" s="1804">
        <v>0</v>
      </c>
      <c r="BN330" s="1804">
        <v>0</v>
      </c>
      <c r="BO330" s="1804">
        <v>0</v>
      </c>
      <c r="BP330" s="1804">
        <v>0</v>
      </c>
      <c r="BQ330" s="1804">
        <v>0</v>
      </c>
      <c r="BR330" s="1804">
        <v>0</v>
      </c>
      <c r="BS330" s="1804">
        <v>0</v>
      </c>
      <c r="BT330" s="1804">
        <v>0</v>
      </c>
      <c r="BU330" s="1804">
        <v>0</v>
      </c>
      <c r="BV330" s="1804">
        <v>0</v>
      </c>
      <c r="BW330" s="1804">
        <v>0</v>
      </c>
      <c r="BX330" s="1804">
        <v>0</v>
      </c>
      <c r="BY330" s="1804">
        <v>0</v>
      </c>
      <c r="BZ330" s="1804">
        <v>0</v>
      </c>
      <c r="CA330" s="1804">
        <v>0</v>
      </c>
      <c r="CB330" s="1804">
        <v>0</v>
      </c>
      <c r="CC330" s="1804">
        <v>0</v>
      </c>
      <c r="CD330" s="1804">
        <v>0</v>
      </c>
      <c r="CE330" s="1804">
        <v>0</v>
      </c>
      <c r="CF330" s="1804">
        <v>0</v>
      </c>
      <c r="CG330" s="1804">
        <v>0</v>
      </c>
      <c r="CH330" s="1804">
        <v>0</v>
      </c>
      <c r="CI330" s="1804">
        <v>0</v>
      </c>
      <c r="CJ330" s="1804">
        <v>0</v>
      </c>
      <c r="CK330" s="1804">
        <v>0</v>
      </c>
      <c r="CL330" s="1804">
        <v>0</v>
      </c>
      <c r="CM330" s="1804">
        <v>0</v>
      </c>
      <c r="CN330" s="1804">
        <v>0</v>
      </c>
      <c r="CO330" s="1804">
        <v>0</v>
      </c>
      <c r="CP330" s="1804">
        <v>0</v>
      </c>
      <c r="CQ330" s="1804">
        <v>0</v>
      </c>
      <c r="CR330" s="1804">
        <v>0</v>
      </c>
      <c r="CS330" s="1804">
        <v>0</v>
      </c>
      <c r="CT330" s="1804">
        <v>0</v>
      </c>
      <c r="CU330" s="1804">
        <v>0</v>
      </c>
      <c r="CV330" s="1804">
        <v>0</v>
      </c>
      <c r="CW330" s="1804">
        <v>0</v>
      </c>
      <c r="CX330" s="1804">
        <v>0</v>
      </c>
      <c r="CY330" s="1804">
        <v>0</v>
      </c>
      <c r="CZ330" s="1804">
        <v>0</v>
      </c>
      <c r="DA330" s="1804">
        <v>0</v>
      </c>
      <c r="DB330" s="1804">
        <v>0</v>
      </c>
      <c r="DC330" s="1804">
        <v>0</v>
      </c>
      <c r="DD330" s="1804">
        <v>0</v>
      </c>
      <c r="DE330" s="1804">
        <v>0</v>
      </c>
      <c r="DF330" s="1804">
        <v>0</v>
      </c>
      <c r="DG330" s="1804">
        <v>0</v>
      </c>
      <c r="DH330" s="1804">
        <v>0</v>
      </c>
      <c r="DI330" s="1804">
        <v>0</v>
      </c>
      <c r="DJ330" s="1804">
        <v>0</v>
      </c>
      <c r="DK330" s="1804">
        <v>0</v>
      </c>
      <c r="DL330" s="1804">
        <v>0</v>
      </c>
      <c r="DM330" s="1804">
        <v>0</v>
      </c>
      <c r="DN330" s="1804">
        <v>0</v>
      </c>
      <c r="DO330" s="1804">
        <v>0</v>
      </c>
      <c r="DP330" s="1804">
        <v>0</v>
      </c>
      <c r="DQ330" s="1804">
        <v>0</v>
      </c>
      <c r="DR330" s="1804">
        <v>0</v>
      </c>
      <c r="DS330" s="1804">
        <v>0</v>
      </c>
      <c r="DT330" s="1804">
        <v>0</v>
      </c>
      <c r="DU330" s="1804">
        <v>0</v>
      </c>
      <c r="DV330" s="1804">
        <v>0</v>
      </c>
      <c r="DW330" s="1804">
        <v>0</v>
      </c>
      <c r="DX330" s="1804">
        <v>0</v>
      </c>
      <c r="DY330" s="1804">
        <v>0</v>
      </c>
      <c r="DZ330" s="1804">
        <v>0</v>
      </c>
      <c r="EA330" s="1804">
        <v>0</v>
      </c>
      <c r="EB330" s="1804">
        <v>0</v>
      </c>
      <c r="EC330" s="1804">
        <v>0</v>
      </c>
      <c r="ED330" s="1804">
        <v>0</v>
      </c>
      <c r="EE330" s="1804">
        <v>0</v>
      </c>
      <c r="EF330" s="1804">
        <v>0</v>
      </c>
      <c r="EG330" s="1804">
        <v>0</v>
      </c>
      <c r="EH330" s="1804">
        <v>0</v>
      </c>
      <c r="EI330" s="1804">
        <v>0</v>
      </c>
      <c r="EJ330" s="1804">
        <v>0</v>
      </c>
      <c r="EK330" s="1804">
        <v>0</v>
      </c>
      <c r="EL330" s="1804">
        <v>0</v>
      </c>
      <c r="EM330" s="1804">
        <v>0</v>
      </c>
      <c r="EN330" s="1804">
        <v>0</v>
      </c>
      <c r="EO330" s="1804">
        <v>0</v>
      </c>
      <c r="EP330" s="1804">
        <v>0</v>
      </c>
      <c r="EQ330" s="1804">
        <v>0</v>
      </c>
      <c r="ER330" s="1804">
        <v>0</v>
      </c>
      <c r="ES330" s="1804">
        <v>0</v>
      </c>
      <c r="ET330" s="1804">
        <v>0</v>
      </c>
      <c r="EU330" s="1804">
        <v>0</v>
      </c>
      <c r="EV330" s="1804">
        <v>0</v>
      </c>
      <c r="EW330" s="1804">
        <v>0</v>
      </c>
      <c r="EX330" s="1804">
        <v>0</v>
      </c>
      <c r="EY330" s="1804">
        <v>0</v>
      </c>
      <c r="EZ330" s="1804">
        <v>0</v>
      </c>
      <c r="FA330" s="1804">
        <v>0</v>
      </c>
      <c r="FB330" s="1804">
        <v>0</v>
      </c>
      <c r="FC330" s="1804">
        <v>0</v>
      </c>
      <c r="FD330" s="1804">
        <v>0</v>
      </c>
      <c r="FE330" s="1804">
        <v>0</v>
      </c>
      <c r="FF330" s="1804">
        <v>0</v>
      </c>
      <c r="FG330" s="1804">
        <v>0</v>
      </c>
      <c r="FH330" s="1804">
        <v>0</v>
      </c>
      <c r="FI330" s="1804">
        <v>0</v>
      </c>
      <c r="FJ330" s="1804">
        <v>0</v>
      </c>
      <c r="FK330" s="1804">
        <v>0</v>
      </c>
      <c r="FL330" s="1804">
        <v>0</v>
      </c>
      <c r="FM330" s="1804">
        <v>0</v>
      </c>
      <c r="FN330" s="1804">
        <v>0</v>
      </c>
      <c r="FO330" s="1804">
        <v>0</v>
      </c>
      <c r="FP330" s="1804">
        <v>0</v>
      </c>
      <c r="FQ330" s="1804">
        <v>0</v>
      </c>
      <c r="FR330" s="1804">
        <v>0</v>
      </c>
      <c r="FS330" s="1804">
        <v>0</v>
      </c>
      <c r="FT330" s="1804">
        <v>0</v>
      </c>
      <c r="FU330" s="1804">
        <v>0</v>
      </c>
      <c r="FV330" s="1804">
        <v>0</v>
      </c>
      <c r="FW330" s="1804">
        <v>0</v>
      </c>
      <c r="FX330" s="1804">
        <v>0</v>
      </c>
      <c r="FY330" s="1804">
        <v>0</v>
      </c>
      <c r="FZ330" s="1804">
        <v>0</v>
      </c>
      <c r="GA330" s="1804">
        <v>0</v>
      </c>
      <c r="GB330" s="1804">
        <v>0</v>
      </c>
      <c r="GC330" s="1804">
        <v>0</v>
      </c>
      <c r="GD330" s="1804">
        <v>0</v>
      </c>
      <c r="GE330" s="1804">
        <v>0</v>
      </c>
      <c r="GF330" s="1804">
        <v>0</v>
      </c>
      <c r="GG330" s="1804">
        <v>0</v>
      </c>
      <c r="GH330" s="1804">
        <v>0</v>
      </c>
      <c r="GI330" s="1804">
        <v>0</v>
      </c>
      <c r="GJ330" s="1804">
        <v>0</v>
      </c>
      <c r="GK330" s="1804">
        <v>0</v>
      </c>
      <c r="GL330" s="1804">
        <v>0</v>
      </c>
      <c r="GM330" s="1804">
        <v>0</v>
      </c>
      <c r="GN330" s="1804">
        <v>0</v>
      </c>
      <c r="GO330" s="1804">
        <v>0</v>
      </c>
      <c r="GP330" s="1804">
        <v>0</v>
      </c>
      <c r="GQ330" s="1804">
        <v>0</v>
      </c>
      <c r="GR330" s="1804">
        <v>0</v>
      </c>
      <c r="GS330" s="1804">
        <v>0</v>
      </c>
      <c r="GT330" s="1804">
        <v>0</v>
      </c>
      <c r="GU330" s="1804">
        <v>0</v>
      </c>
      <c r="GV330" s="1804">
        <v>0</v>
      </c>
      <c r="GW330" s="1804">
        <v>0</v>
      </c>
      <c r="GX330" s="1804">
        <v>0</v>
      </c>
      <c r="GY330" s="1804">
        <v>0</v>
      </c>
      <c r="GZ330" s="1804">
        <v>0</v>
      </c>
      <c r="HA330" s="1804">
        <v>0</v>
      </c>
      <c r="HB330" s="1804">
        <v>0</v>
      </c>
      <c r="HC330" s="1804">
        <v>0</v>
      </c>
      <c r="HD330" s="1804">
        <v>0</v>
      </c>
      <c r="HE330" s="1804">
        <v>0</v>
      </c>
      <c r="IG330" s="1874"/>
      <c r="IH330" s="1874"/>
      <c r="II330" s="1874"/>
      <c r="IJ330" s="1874"/>
      <c r="IK330" s="1874"/>
      <c r="IL330" s="1874"/>
      <c r="IM330" s="1874"/>
      <c r="IN330" s="1874"/>
      <c r="IO330" s="1874"/>
      <c r="IP330" s="1874"/>
      <c r="IQ330" s="1874"/>
      <c r="IR330" s="1874"/>
      <c r="IS330" s="1874"/>
      <c r="IT330" s="1874"/>
      <c r="IU330" s="1874"/>
      <c r="IV330" s="1874"/>
      <c r="IW330" s="1874"/>
      <c r="IX330" s="1874"/>
      <c r="IY330" s="1874"/>
      <c r="IZ330" s="1874"/>
      <c r="JA330" s="1874"/>
      <c r="JB330" s="1874"/>
      <c r="JC330" s="1874"/>
      <c r="JD330" s="1874"/>
      <c r="JE330" s="1874"/>
      <c r="JF330" s="1874"/>
      <c r="JG330" s="1874"/>
      <c r="JH330" s="1874"/>
      <c r="JI330" s="1874"/>
      <c r="JJ330" s="1874"/>
      <c r="JK330" s="1874"/>
      <c r="JL330" s="1874"/>
      <c r="JM330" s="1874"/>
      <c r="JN330" s="1874"/>
      <c r="JO330" s="1874"/>
      <c r="JP330" s="1874"/>
      <c r="JQ330" s="1874"/>
      <c r="JR330" s="1874"/>
      <c r="JS330" s="1874"/>
      <c r="JT330" s="1874"/>
      <c r="JU330" s="1874"/>
      <c r="JV330" s="1874"/>
      <c r="JW330" s="1874"/>
      <c r="JX330" s="1874"/>
      <c r="JY330" s="1874"/>
      <c r="JZ330" s="1874"/>
      <c r="KA330" s="1874"/>
      <c r="KB330" s="1874"/>
      <c r="KC330" s="1874"/>
      <c r="KD330" s="1874"/>
      <c r="KE330" s="1874"/>
      <c r="KF330" s="1874"/>
      <c r="KG330" s="1874"/>
      <c r="KH330" s="1874"/>
      <c r="KI330" s="1874"/>
      <c r="KJ330" s="1874"/>
      <c r="KK330" s="1874"/>
      <c r="KL330" s="1874"/>
      <c r="KM330" s="1874"/>
      <c r="KN330" s="1874"/>
      <c r="KO330" s="1874"/>
      <c r="KP330" s="1874"/>
      <c r="KQ330" s="1874"/>
      <c r="KR330" s="1874"/>
      <c r="KS330" s="1874"/>
      <c r="KT330" s="1874"/>
      <c r="KU330" s="1874"/>
      <c r="KV330" s="1874"/>
      <c r="KW330" s="1874"/>
      <c r="KX330" s="1874"/>
      <c r="KY330" s="1874"/>
      <c r="KZ330" s="1874"/>
      <c r="LA330" s="1874"/>
      <c r="LB330" s="1874"/>
      <c r="LC330" s="1874"/>
      <c r="LD330" s="1874"/>
      <c r="LE330" s="1874"/>
      <c r="LF330" s="1874"/>
      <c r="LG330" s="1874"/>
      <c r="LH330" s="1874"/>
      <c r="LI330" s="1874"/>
      <c r="LJ330" s="1874"/>
      <c r="LK330" s="1874"/>
      <c r="LL330" s="1874"/>
      <c r="LM330" s="1874"/>
      <c r="LN330" s="1874"/>
      <c r="LO330" s="1874"/>
      <c r="LP330" s="1874"/>
      <c r="LQ330" s="1874"/>
      <c r="LR330" s="1874"/>
      <c r="LS330" s="1874"/>
      <c r="LT330" s="1874"/>
      <c r="LU330" s="1874"/>
      <c r="LV330" s="1874"/>
      <c r="LW330" s="1874"/>
      <c r="LX330" s="1874"/>
      <c r="LY330" s="1874"/>
      <c r="LZ330" s="1874"/>
      <c r="MA330" s="1874"/>
      <c r="MB330" s="1874"/>
      <c r="MC330" s="1874"/>
      <c r="MD330" s="1874"/>
      <c r="ME330" s="1874"/>
      <c r="MF330" s="1874"/>
      <c r="MG330" s="1874"/>
      <c r="MH330" s="1874"/>
      <c r="MI330" s="1874"/>
      <c r="MJ330" s="1874"/>
      <c r="MK330" s="1874"/>
      <c r="ML330" s="1874"/>
      <c r="MM330" s="1874"/>
      <c r="MN330" s="1874"/>
      <c r="MO330" s="1874"/>
      <c r="MP330" s="1874"/>
      <c r="MQ330" s="1874"/>
      <c r="MR330" s="1874"/>
      <c r="MS330" s="1873"/>
      <c r="MT330" s="1873"/>
      <c r="MU330" s="1873"/>
      <c r="MV330" s="1873"/>
      <c r="MW330" s="1873"/>
      <c r="MX330" s="1873"/>
      <c r="MY330" s="1873"/>
      <c r="MZ330" s="1873"/>
      <c r="NA330" s="1873"/>
      <c r="NB330" s="1873"/>
      <c r="NC330" s="1873"/>
      <c r="ND330" s="1873"/>
      <c r="NE330" s="1873"/>
      <c r="NF330" s="1873"/>
      <c r="NG330" s="1873"/>
      <c r="NH330" s="1873"/>
      <c r="NI330" s="1873"/>
      <c r="NJ330" s="1873"/>
      <c r="NK330" s="1873"/>
      <c r="NL330" s="1873"/>
      <c r="NM330" s="1873"/>
      <c r="NN330" s="1873"/>
      <c r="NO330" s="1873"/>
      <c r="NP330" s="1873"/>
      <c r="NQ330" s="1873"/>
      <c r="NR330" s="1873"/>
      <c r="NS330" s="1873"/>
      <c r="NT330" s="1873"/>
      <c r="NU330" s="1873"/>
      <c r="NV330" s="1873"/>
      <c r="NW330" s="1873"/>
      <c r="NX330" s="1873"/>
      <c r="NY330" s="1873"/>
      <c r="NZ330" s="1873"/>
      <c r="OA330" s="1873"/>
      <c r="OB330" s="1873"/>
      <c r="OC330" s="1873"/>
      <c r="OD330" s="1873"/>
      <c r="OE330" s="1873"/>
      <c r="OF330" s="1873"/>
      <c r="OG330" s="1873"/>
      <c r="OH330" s="1873"/>
      <c r="OI330" s="1873"/>
      <c r="OJ330" s="1873"/>
      <c r="OK330" s="1873"/>
      <c r="OL330" s="1873"/>
      <c r="OM330" s="1873"/>
      <c r="ON330" s="1873"/>
      <c r="OO330" s="1873"/>
      <c r="OP330" s="1873"/>
      <c r="OQ330" s="1873"/>
      <c r="OR330" s="1873"/>
      <c r="OS330" s="1873"/>
      <c r="OT330" s="1873"/>
      <c r="OU330" s="1873"/>
      <c r="OV330" s="1873"/>
      <c r="OW330" s="1873"/>
      <c r="OX330" s="1873"/>
      <c r="OY330" s="1873"/>
      <c r="OZ330" s="1873"/>
      <c r="PA330" s="1873"/>
      <c r="PB330" s="1873"/>
      <c r="PC330" s="1873"/>
      <c r="PD330" s="1873"/>
      <c r="PE330" s="1873"/>
      <c r="PF330" s="1873"/>
      <c r="PG330" s="1873"/>
      <c r="PH330" s="1873"/>
      <c r="PI330" s="1873"/>
      <c r="PJ330" s="1873"/>
      <c r="PK330" s="1873"/>
      <c r="PL330" s="1873"/>
      <c r="PM330" s="1873"/>
      <c r="PN330" s="1873"/>
      <c r="PO330" s="1873"/>
      <c r="PP330" s="1873"/>
      <c r="PQ330" s="1873"/>
      <c r="PR330" s="1873"/>
      <c r="PS330" s="1873"/>
      <c r="PT330" s="1873"/>
      <c r="PU330" s="1873"/>
      <c r="PV330" s="1873"/>
      <c r="PW330" s="1873"/>
      <c r="PX330" s="1873"/>
      <c r="PY330" s="1873"/>
      <c r="PZ330" s="1873"/>
      <c r="QA330" s="1873"/>
      <c r="QB330" s="1873"/>
      <c r="QC330" s="1873"/>
      <c r="QD330" s="1873"/>
      <c r="QE330" s="1873"/>
      <c r="QF330" s="1873"/>
      <c r="QG330" s="1873"/>
      <c r="QH330" s="1873"/>
      <c r="QI330" s="1873"/>
      <c r="QJ330" s="1873"/>
      <c r="QK330" s="1873"/>
      <c r="QL330" s="1873"/>
      <c r="QM330" s="1873"/>
      <c r="QN330" s="1873"/>
      <c r="QO330" s="1873"/>
      <c r="QP330" s="1873"/>
      <c r="QQ330" s="1873"/>
      <c r="QR330" s="1873"/>
      <c r="QS330" s="1873"/>
      <c r="QT330" s="1873"/>
      <c r="QU330" s="1873"/>
      <c r="QV330" s="1873"/>
      <c r="QW330" s="1873"/>
      <c r="QX330" s="1873"/>
      <c r="QY330" s="1873"/>
      <c r="QZ330" s="1873"/>
      <c r="RA330" s="1873"/>
      <c r="RB330" s="1873"/>
      <c r="RC330" s="1873"/>
      <c r="RD330" s="1873"/>
      <c r="RE330" s="1873"/>
      <c r="RF330" s="1873"/>
      <c r="RG330" s="1873"/>
      <c r="RH330" s="1873"/>
      <c r="RI330" s="1873"/>
      <c r="RJ330" s="1873"/>
      <c r="RK330" s="1873"/>
      <c r="RL330" s="1873"/>
      <c r="RM330" s="1873"/>
      <c r="RN330" s="1873"/>
      <c r="RO330" s="1873"/>
      <c r="RP330" s="1873"/>
      <c r="RQ330" s="1873"/>
      <c r="RR330" s="1873"/>
      <c r="RS330" s="1873"/>
      <c r="RT330" s="1873"/>
      <c r="RU330" s="1873"/>
      <c r="RV330" s="1873"/>
      <c r="RW330" s="1873"/>
      <c r="RX330" s="1873"/>
      <c r="RY330" s="1873"/>
      <c r="RZ330" s="1873"/>
      <c r="SA330" s="1873"/>
      <c r="SB330" s="1873"/>
      <c r="SC330" s="1873"/>
      <c r="SD330" s="1873"/>
      <c r="SE330" s="1873"/>
      <c r="SF330" s="1873"/>
      <c r="SG330" s="1873"/>
      <c r="SH330" s="1873"/>
      <c r="SI330" s="1873"/>
      <c r="SJ330" s="1873"/>
      <c r="SK330" s="1873"/>
      <c r="SL330" s="1873"/>
      <c r="SM330" s="1873"/>
      <c r="SN330" s="1873"/>
      <c r="SO330" s="1873"/>
      <c r="SP330" s="1873"/>
      <c r="SQ330" s="1873"/>
      <c r="SR330" s="1873"/>
      <c r="SS330" s="1873"/>
      <c r="ST330" s="1873"/>
      <c r="SU330" s="1873"/>
      <c r="SV330" s="1873"/>
      <c r="SW330" s="1873"/>
      <c r="SX330" s="1873"/>
      <c r="SY330" s="1873"/>
      <c r="SZ330" s="1873"/>
      <c r="TA330" s="1873"/>
      <c r="TB330" s="1873"/>
      <c r="TC330" s="1873"/>
      <c r="TD330" s="1873"/>
      <c r="TE330" s="1873"/>
      <c r="TF330" s="1873"/>
      <c r="TG330" s="1873"/>
      <c r="TH330" s="1873"/>
      <c r="TI330" s="1873"/>
      <c r="TJ330" s="1873"/>
      <c r="TK330" s="1873"/>
      <c r="TL330" s="1873"/>
      <c r="TM330" s="1873"/>
      <c r="TN330" s="1873"/>
      <c r="TO330" s="1873"/>
      <c r="TP330" s="1873"/>
      <c r="TQ330" s="1873"/>
      <c r="TR330" s="1873"/>
      <c r="TS330" s="1873"/>
      <c r="TT330" s="1873"/>
      <c r="TU330" s="1873"/>
      <c r="TV330" s="1873"/>
      <c r="TW330" s="1873"/>
      <c r="TX330" s="1873"/>
      <c r="TY330" s="1873"/>
      <c r="TZ330" s="1873"/>
      <c r="UA330" s="1873"/>
      <c r="UB330" s="1873"/>
      <c r="UC330" s="1873"/>
      <c r="UD330" s="1873"/>
      <c r="UE330" s="1873"/>
      <c r="UF330" s="1873"/>
      <c r="UG330" s="1873"/>
      <c r="UH330" s="1873"/>
      <c r="UI330" s="1873"/>
      <c r="UJ330" s="1873"/>
      <c r="UK330" s="1873"/>
      <c r="UL330" s="1873"/>
      <c r="UM330" s="1873"/>
      <c r="UN330" s="1873"/>
      <c r="UO330" s="1873"/>
      <c r="UP330" s="1873"/>
      <c r="UQ330" s="1873"/>
      <c r="UR330" s="1873"/>
      <c r="US330" s="1873"/>
      <c r="UT330" s="1873"/>
      <c r="UU330" s="1873"/>
      <c r="UV330" s="1873"/>
      <c r="UW330" s="1873"/>
      <c r="UX330" s="1873"/>
      <c r="UY330" s="1873"/>
      <c r="UZ330" s="1873"/>
      <c r="VA330" s="1873"/>
      <c r="VB330" s="1873"/>
      <c r="VC330" s="1873"/>
      <c r="VD330" s="1873"/>
      <c r="VE330" s="1873"/>
      <c r="VF330" s="1873"/>
      <c r="VG330" s="1873"/>
      <c r="VH330" s="1873"/>
      <c r="VI330" s="1873"/>
      <c r="VJ330" s="1873"/>
      <c r="VK330" s="1873"/>
      <c r="VL330" s="1873"/>
      <c r="VM330" s="1873"/>
      <c r="VN330" s="1873"/>
      <c r="VO330" s="1873"/>
      <c r="VP330" s="1873"/>
      <c r="VQ330" s="1873"/>
      <c r="VR330" s="1873"/>
      <c r="VS330" s="1873"/>
      <c r="VT330" s="1873"/>
      <c r="VU330" s="1873"/>
      <c r="VV330" s="1873"/>
      <c r="VW330" s="1873"/>
      <c r="VX330" s="1873"/>
      <c r="VY330" s="1873"/>
      <c r="VZ330" s="1873"/>
      <c r="WA330" s="1873"/>
      <c r="WB330" s="1873"/>
      <c r="WC330" s="1873"/>
      <c r="WD330" s="1873"/>
      <c r="WE330" s="1873"/>
      <c r="WF330" s="1873"/>
      <c r="WG330" s="1873"/>
      <c r="WH330" s="1873"/>
      <c r="WI330" s="1873"/>
      <c r="WJ330" s="1873"/>
      <c r="WK330" s="1873"/>
      <c r="WL330" s="1873"/>
      <c r="WM330" s="1873"/>
      <c r="WN330" s="1873"/>
      <c r="WO330" s="1873"/>
      <c r="WP330" s="1873"/>
      <c r="WQ330" s="1873"/>
      <c r="WR330" s="1873"/>
      <c r="WS330" s="1873"/>
      <c r="WT330" s="1873"/>
      <c r="WU330" s="1873"/>
      <c r="WV330" s="1873"/>
      <c r="WW330" s="1873"/>
      <c r="WX330" s="1873"/>
      <c r="WY330" s="1873"/>
      <c r="WZ330" s="1873"/>
      <c r="XA330" s="1873"/>
      <c r="XB330" s="1873"/>
      <c r="XC330" s="1873"/>
      <c r="XD330" s="1873"/>
      <c r="XE330" s="1873"/>
      <c r="XF330" s="1873"/>
      <c r="XG330" s="1873"/>
      <c r="XH330" s="1873"/>
      <c r="XI330" s="1873"/>
      <c r="XJ330" s="1873"/>
      <c r="XK330" s="1873"/>
      <c r="XL330" s="1873"/>
      <c r="XM330" s="1873"/>
      <c r="XN330" s="1873"/>
      <c r="XO330" s="1873"/>
      <c r="XP330" s="1873"/>
      <c r="XQ330" s="1873"/>
      <c r="XR330" s="1873"/>
      <c r="XS330" s="1873"/>
      <c r="XT330" s="1873"/>
      <c r="XU330" s="1873"/>
      <c r="XV330" s="1873"/>
      <c r="XW330" s="1873"/>
      <c r="XX330" s="1873"/>
      <c r="XY330" s="1873"/>
      <c r="XZ330" s="1873"/>
      <c r="YA330" s="1873"/>
      <c r="YB330" s="1873"/>
      <c r="YC330" s="1873"/>
      <c r="YD330" s="1873"/>
      <c r="YE330" s="1873"/>
      <c r="YF330" s="1873"/>
      <c r="YG330" s="1873"/>
      <c r="YH330" s="1873"/>
      <c r="YI330" s="1873"/>
      <c r="YJ330" s="1873"/>
      <c r="YK330" s="1873"/>
      <c r="YL330" s="1873"/>
      <c r="YM330" s="1873"/>
      <c r="YN330" s="1873"/>
      <c r="YO330" s="1873"/>
      <c r="YP330" s="1873"/>
      <c r="YQ330" s="1873"/>
      <c r="YR330" s="1873"/>
      <c r="YS330" s="1873"/>
      <c r="YT330" s="1873"/>
      <c r="YU330" s="1873"/>
      <c r="YV330" s="1873"/>
      <c r="YW330" s="1873"/>
      <c r="YX330" s="1873"/>
      <c r="YY330" s="1873"/>
      <c r="YZ330" s="1873"/>
      <c r="ZA330" s="1873"/>
      <c r="ZB330" s="1873"/>
      <c r="ZC330" s="1873"/>
      <c r="ZD330" s="1873"/>
      <c r="ZE330" s="1873"/>
      <c r="ZF330" s="1873"/>
      <c r="ZG330" s="1873"/>
      <c r="ZH330" s="1873"/>
      <c r="ZI330" s="1873"/>
      <c r="ZJ330" s="1873"/>
      <c r="ZK330" s="1873"/>
      <c r="ZL330" s="1873"/>
      <c r="ZM330" s="1873"/>
      <c r="ZN330" s="1873"/>
      <c r="ZO330" s="1873"/>
      <c r="ZP330" s="1873"/>
      <c r="ZQ330" s="1873"/>
      <c r="ZR330" s="1873"/>
      <c r="ZS330" s="1873"/>
      <c r="ZT330" s="1873"/>
      <c r="ZU330" s="1873"/>
      <c r="ZV330" s="1873"/>
      <c r="ZW330" s="1873"/>
      <c r="ZX330" s="1873"/>
      <c r="ZY330" s="1873"/>
      <c r="ZZ330" s="1873"/>
      <c r="AAA330" s="1873"/>
      <c r="AAB330" s="1873"/>
      <c r="AAC330" s="1873"/>
      <c r="AAD330" s="1873"/>
      <c r="AAE330" s="1873"/>
      <c r="AAF330" s="1873"/>
      <c r="AAG330" s="1873"/>
      <c r="AAH330" s="1873"/>
      <c r="AAI330" s="1873"/>
      <c r="AAJ330" s="1873"/>
      <c r="AAK330" s="1873"/>
      <c r="AAL330" s="1873"/>
      <c r="AAM330" s="1873"/>
      <c r="AAN330" s="1873"/>
      <c r="AAO330" s="1873"/>
      <c r="AAP330" s="1873"/>
      <c r="AAQ330" s="1873"/>
      <c r="AAR330" s="1873"/>
      <c r="AAS330" s="1873"/>
      <c r="AAT330" s="1873"/>
      <c r="AAU330" s="1873"/>
      <c r="AAV330" s="1873"/>
      <c r="AAW330" s="1873"/>
      <c r="AAX330" s="1873"/>
      <c r="AAY330" s="1873"/>
      <c r="AAZ330" s="1873"/>
      <c r="ABA330" s="1873"/>
      <c r="ABB330" s="1873"/>
      <c r="ABC330" s="1873"/>
      <c r="ABD330" s="1873"/>
      <c r="ABE330" s="1873"/>
      <c r="ABF330" s="1873"/>
      <c r="ABG330" s="1873"/>
      <c r="ABH330" s="1873"/>
      <c r="ABI330" s="1873"/>
      <c r="ABJ330" s="1873"/>
      <c r="ABK330" s="1873"/>
      <c r="ABL330" s="1873"/>
      <c r="ABM330" s="1873"/>
      <c r="ABN330" s="1873"/>
      <c r="ABO330" s="1873"/>
      <c r="ABP330" s="1873"/>
      <c r="ABQ330" s="1873"/>
      <c r="ABR330" s="1873"/>
      <c r="ABS330" s="1873"/>
      <c r="ABT330" s="1873"/>
      <c r="ABU330" s="1873"/>
      <c r="ABV330" s="1873"/>
      <c r="ABW330" s="1873"/>
      <c r="ABX330" s="1873"/>
      <c r="ABY330" s="1873"/>
      <c r="ABZ330" s="1873"/>
      <c r="ACA330" s="1873"/>
      <c r="ACB330" s="1873"/>
      <c r="ACC330" s="1873"/>
      <c r="ACD330" s="1873"/>
      <c r="ACE330" s="1873"/>
      <c r="ACF330" s="1873"/>
      <c r="ACG330" s="1873"/>
      <c r="ACH330" s="1873"/>
      <c r="ACI330" s="1873"/>
      <c r="ACJ330" s="1873"/>
      <c r="ACK330" s="1873"/>
      <c r="ACL330" s="1873"/>
      <c r="ACM330" s="1873"/>
      <c r="ACN330" s="1873"/>
      <c r="ACO330" s="1873"/>
      <c r="ACP330" s="1873"/>
      <c r="ACQ330" s="1873"/>
      <c r="ACR330" s="1873"/>
      <c r="ACS330" s="1873"/>
      <c r="ACT330" s="1873"/>
      <c r="ACU330" s="1873"/>
      <c r="ACV330" s="1873"/>
      <c r="ACW330" s="1873"/>
      <c r="ACX330" s="1873"/>
      <c r="ACY330" s="1873"/>
      <c r="ACZ330" s="1873"/>
      <c r="ADA330" s="1873"/>
      <c r="ADB330" s="1873"/>
      <c r="ADC330" s="1873"/>
      <c r="ADD330" s="1873"/>
      <c r="ADE330" s="1873"/>
      <c r="ADF330" s="1873"/>
      <c r="ADG330" s="1873"/>
      <c r="ADH330" s="1873"/>
      <c r="ADI330" s="1873"/>
      <c r="ADJ330" s="1873"/>
      <c r="ADK330" s="1873"/>
      <c r="ADL330" s="1873"/>
      <c r="ADM330" s="1873"/>
      <c r="ADN330" s="1873"/>
      <c r="ADO330" s="1873"/>
      <c r="ADP330" s="1873"/>
      <c r="ADQ330" s="1873"/>
      <c r="ADR330" s="1873"/>
      <c r="ADS330" s="1873"/>
      <c r="ADT330" s="1873"/>
      <c r="ADU330" s="1873"/>
      <c r="ADV330" s="1873"/>
      <c r="ADW330" s="1873"/>
      <c r="ADX330" s="1873"/>
      <c r="ADY330" s="1873"/>
      <c r="ADZ330" s="1873"/>
      <c r="AEA330" s="1873"/>
      <c r="AEB330" s="1873"/>
      <c r="AEC330" s="1873"/>
      <c r="AED330" s="1873"/>
      <c r="AEE330" s="1873"/>
      <c r="AEF330" s="1873"/>
      <c r="AEG330" s="1873"/>
      <c r="AEH330" s="1873"/>
      <c r="AEI330" s="1873"/>
      <c r="AEJ330" s="1873"/>
      <c r="AEK330" s="1873"/>
      <c r="AEL330" s="1873"/>
      <c r="AEM330" s="1873"/>
      <c r="AEN330" s="1873"/>
      <c r="AEO330" s="1873"/>
      <c r="AEP330" s="1873"/>
      <c r="AEQ330" s="1873"/>
      <c r="AER330" s="1873"/>
      <c r="AES330" s="1873"/>
      <c r="AET330" s="1873"/>
      <c r="AEU330" s="1873"/>
      <c r="AEV330" s="1873"/>
      <c r="AEW330" s="1873"/>
      <c r="AEX330" s="1873"/>
      <c r="AEY330" s="1873"/>
      <c r="AEZ330" s="1873"/>
      <c r="AFA330" s="1873"/>
      <c r="AFB330" s="1873"/>
      <c r="AFC330" s="1873"/>
      <c r="AFD330" s="1873"/>
      <c r="AFE330" s="1873"/>
      <c r="AFF330" s="1873"/>
      <c r="AFG330" s="1873"/>
      <c r="AFH330" s="1873"/>
      <c r="AFI330" s="1873"/>
      <c r="AFJ330" s="1873"/>
      <c r="AFK330" s="1873"/>
      <c r="AFL330" s="1873"/>
      <c r="AFM330" s="1873"/>
      <c r="AFN330" s="1873"/>
      <c r="AFO330" s="1873"/>
      <c r="AFP330" s="1873"/>
      <c r="AFQ330" s="1873"/>
      <c r="AFR330" s="1873"/>
      <c r="AFS330" s="1873"/>
      <c r="AFT330" s="1873"/>
      <c r="AFU330" s="1873"/>
      <c r="AFV330" s="1873"/>
      <c r="AFW330" s="1873"/>
      <c r="AFX330" s="1873"/>
      <c r="AFY330" s="1873"/>
      <c r="AFZ330" s="1873"/>
      <c r="AGA330" s="1873"/>
      <c r="AGB330" s="1873"/>
      <c r="AGC330" s="1873"/>
      <c r="AGD330" s="1873"/>
      <c r="AGE330" s="1873"/>
      <c r="AGF330" s="1873"/>
      <c r="AGG330" s="1873"/>
      <c r="AGH330" s="1873"/>
      <c r="AGI330" s="1873"/>
      <c r="AGJ330" s="1873"/>
      <c r="AGK330" s="1873"/>
      <c r="AGL330" s="1873"/>
      <c r="AGM330" s="1873"/>
      <c r="AGN330" s="1873"/>
      <c r="AGO330" s="1873"/>
      <c r="AGP330" s="1873"/>
      <c r="AGQ330" s="1873"/>
      <c r="AGR330" s="1873"/>
      <c r="AGS330" s="1873"/>
      <c r="AGT330" s="1873"/>
      <c r="AGU330" s="1873"/>
      <c r="AGV330" s="1873"/>
      <c r="AGW330" s="1873"/>
      <c r="AGX330" s="1873"/>
      <c r="AGY330" s="1873"/>
      <c r="AGZ330" s="1873"/>
      <c r="AHA330" s="1873"/>
      <c r="AHB330" s="1873"/>
      <c r="AHC330" s="1873"/>
      <c r="AHD330" s="1873"/>
      <c r="AHE330" s="1873"/>
      <c r="AHF330" s="1873"/>
      <c r="AHG330" s="1873"/>
      <c r="AHH330" s="1873"/>
      <c r="AHI330" s="1873"/>
      <c r="AHJ330" s="1873"/>
      <c r="AHK330" s="1873"/>
      <c r="AHL330" s="1873"/>
      <c r="AHM330" s="1873"/>
      <c r="AHN330" s="1873"/>
      <c r="AHO330" s="1873"/>
      <c r="AHP330" s="1873"/>
      <c r="AHQ330" s="1873"/>
      <c r="AHR330" s="1873"/>
      <c r="AHS330" s="1873"/>
      <c r="AHT330" s="1873"/>
      <c r="AHU330" s="1873"/>
      <c r="AHV330" s="1873"/>
      <c r="AHW330" s="1873"/>
      <c r="AHX330" s="1873"/>
      <c r="AHY330" s="1873"/>
      <c r="AHZ330" s="1873"/>
      <c r="AIA330" s="1873"/>
      <c r="AIB330" s="1873"/>
      <c r="AIC330" s="1873"/>
      <c r="AID330" s="1873"/>
      <c r="AIE330" s="1873"/>
      <c r="AIF330" s="1873"/>
      <c r="AIG330" s="1873"/>
      <c r="AIH330" s="1873"/>
      <c r="AII330" s="1873"/>
      <c r="AIJ330" s="1873"/>
      <c r="AIK330" s="1873"/>
      <c r="AIL330" s="1873"/>
      <c r="AIM330" s="1873"/>
      <c r="AIN330" s="1873"/>
      <c r="AIO330" s="1873"/>
      <c r="AIP330" s="1873"/>
      <c r="AIQ330" s="1873"/>
      <c r="AIR330" s="1873"/>
      <c r="AIS330" s="1873"/>
      <c r="AIT330" s="1873"/>
      <c r="AIU330" s="1873"/>
      <c r="AIV330" s="1873"/>
      <c r="AIW330" s="1873"/>
      <c r="AIX330" s="1873"/>
      <c r="AIY330" s="1873"/>
      <c r="AIZ330" s="1873"/>
      <c r="AJA330" s="1873"/>
      <c r="AJB330" s="1873"/>
      <c r="AJC330" s="1873"/>
      <c r="AJD330" s="1873"/>
      <c r="AJE330" s="1873"/>
      <c r="AJF330" s="1873"/>
      <c r="AJG330" s="1873"/>
      <c r="AJH330" s="1873"/>
      <c r="AJI330" s="1873"/>
      <c r="AJJ330" s="1873"/>
      <c r="AJK330" s="1873"/>
      <c r="AJL330" s="1873"/>
      <c r="AJM330" s="1873"/>
      <c r="AJN330" s="1873"/>
      <c r="AJO330" s="1873"/>
      <c r="AJP330" s="1873"/>
      <c r="AJQ330" s="1873"/>
      <c r="AJR330" s="1873"/>
      <c r="AJS330" s="1873"/>
      <c r="AJT330" s="1873"/>
      <c r="AJU330" s="1873"/>
      <c r="AJV330" s="1873"/>
      <c r="AJW330" s="1873"/>
      <c r="AJX330" s="1873"/>
      <c r="AJY330" s="1873"/>
      <c r="AJZ330" s="1873"/>
      <c r="AKA330" s="1873"/>
      <c r="AKB330" s="1873"/>
      <c r="AKC330" s="1873"/>
      <c r="AKD330" s="1873"/>
      <c r="AKE330" s="1873"/>
      <c r="AKF330" s="1873"/>
      <c r="AKG330" s="1873"/>
      <c r="AKH330" s="1873"/>
      <c r="AKI330" s="1873"/>
      <c r="AKJ330" s="1873"/>
      <c r="AKK330" s="1873"/>
      <c r="AKL330" s="1873"/>
      <c r="AKM330" s="1873"/>
      <c r="AKN330" s="1873"/>
      <c r="AKO330" s="1873"/>
      <c r="AKP330" s="1873"/>
      <c r="AKQ330" s="1873"/>
      <c r="AKR330" s="1873"/>
      <c r="AKS330" s="1873"/>
      <c r="AKT330" s="1873"/>
      <c r="AKU330" s="1873"/>
      <c r="AKV330" s="1873"/>
      <c r="AKW330" s="1873"/>
      <c r="AKX330" s="1873"/>
      <c r="AKY330" s="1873"/>
      <c r="AKZ330" s="1873"/>
      <c r="ALA330" s="1873"/>
      <c r="ALB330" s="1873"/>
      <c r="ALC330" s="1873"/>
      <c r="ALD330" s="1873"/>
      <c r="ALE330" s="1873"/>
      <c r="ALF330" s="1873"/>
      <c r="ALG330" s="1873"/>
      <c r="ALH330" s="1873"/>
      <c r="ALI330" s="1873"/>
      <c r="ALJ330" s="1873"/>
      <c r="ALK330" s="1873"/>
      <c r="ALL330" s="1873"/>
      <c r="ALM330" s="1873"/>
      <c r="ALN330" s="1873"/>
      <c r="ALO330" s="1873"/>
      <c r="ALP330" s="1873"/>
      <c r="ALQ330" s="1873"/>
      <c r="ALR330" s="1873"/>
      <c r="ALS330" s="1873"/>
      <c r="ALT330" s="1873"/>
      <c r="ALU330" s="1873"/>
      <c r="ALV330" s="1873"/>
      <c r="ALW330" s="1873"/>
      <c r="ALX330" s="1873"/>
      <c r="ALY330" s="1873"/>
      <c r="ALZ330" s="1873"/>
      <c r="AMA330" s="1873"/>
      <c r="AMB330" s="1873"/>
      <c r="AMC330" s="1873"/>
      <c r="AMD330" s="1873"/>
      <c r="AME330" s="1873"/>
      <c r="AMF330" s="1873"/>
      <c r="AMG330" s="1873"/>
      <c r="AMH330" s="1873"/>
      <c r="AMI330" s="1873"/>
      <c r="AMJ330" s="1873"/>
      <c r="AMK330" s="1873"/>
      <c r="AML330" s="1873"/>
      <c r="AMM330" s="1873"/>
      <c r="AMN330" s="1873"/>
      <c r="AMO330" s="1873"/>
      <c r="AMP330" s="1873"/>
      <c r="AMQ330" s="1873"/>
      <c r="AMR330" s="1873"/>
      <c r="AMS330" s="1873"/>
      <c r="AMT330" s="1873"/>
      <c r="AMU330" s="1873"/>
      <c r="AMV330" s="1873"/>
      <c r="AMW330" s="1873"/>
      <c r="AMX330" s="1873"/>
      <c r="AMY330" s="1873"/>
      <c r="AMZ330" s="1873"/>
      <c r="ANA330" s="1873"/>
      <c r="ANB330" s="1873"/>
      <c r="ANC330" s="1873"/>
      <c r="AND330" s="1873"/>
      <c r="ANE330" s="1873"/>
      <c r="ANF330" s="1873"/>
      <c r="ANG330" s="1873"/>
      <c r="ANH330" s="1873"/>
      <c r="ANI330" s="1873"/>
      <c r="ANJ330" s="1873"/>
      <c r="ANK330" s="1873"/>
      <c r="ANL330" s="1873"/>
      <c r="ANM330" s="1873"/>
      <c r="ANN330" s="1873"/>
      <c r="ANO330" s="1873"/>
      <c r="ANP330" s="1873"/>
      <c r="ANQ330" s="1873"/>
      <c r="ANR330" s="1873"/>
      <c r="ANS330" s="1873"/>
      <c r="ANT330" s="1873"/>
      <c r="ANU330" s="1873"/>
      <c r="ANV330" s="1873"/>
      <c r="ANW330" s="1873"/>
      <c r="ANX330" s="1873"/>
      <c r="ANY330" s="1873"/>
      <c r="ANZ330" s="1873"/>
      <c r="AOA330" s="1873"/>
      <c r="AOB330" s="1873"/>
      <c r="AOC330" s="1873"/>
      <c r="AOD330" s="1873"/>
      <c r="AOE330" s="1873"/>
      <c r="AOF330" s="1873"/>
      <c r="AOG330" s="1873"/>
      <c r="AOH330" s="1873"/>
      <c r="AOI330" s="1873"/>
      <c r="AOJ330" s="1873"/>
      <c r="AOK330" s="1873"/>
      <c r="AOL330" s="1873"/>
      <c r="AOM330" s="1873"/>
      <c r="AON330" s="1873"/>
      <c r="AOO330" s="1873"/>
      <c r="AOP330" s="1873"/>
      <c r="AOQ330" s="1873"/>
      <c r="AOR330" s="1873"/>
      <c r="AOS330" s="1873"/>
      <c r="AOT330" s="1873"/>
      <c r="AOU330" s="1873"/>
      <c r="AOV330" s="1873"/>
      <c r="AOW330" s="1873"/>
      <c r="AOX330" s="1873"/>
      <c r="AOY330" s="1873"/>
      <c r="AOZ330" s="1873"/>
      <c r="APA330" s="1873"/>
      <c r="APB330" s="1873"/>
      <c r="APC330" s="1873"/>
      <c r="APD330" s="1873"/>
      <c r="APE330" s="1873"/>
      <c r="APF330" s="1873"/>
      <c r="APG330" s="1873"/>
      <c r="APH330" s="1873"/>
      <c r="API330" s="1873"/>
      <c r="APJ330" s="1873"/>
      <c r="APK330" s="1873"/>
      <c r="APL330" s="1873"/>
      <c r="APM330" s="1873"/>
      <c r="APN330" s="1873"/>
      <c r="APO330" s="1873"/>
      <c r="APP330" s="1873"/>
      <c r="APQ330" s="1873"/>
      <c r="APR330" s="1873"/>
      <c r="APS330" s="1873"/>
      <c r="APT330" s="1873"/>
      <c r="APU330" s="1873"/>
      <c r="APV330" s="1873"/>
      <c r="APW330" s="1873"/>
      <c r="APX330" s="1873"/>
      <c r="APY330" s="1873"/>
      <c r="APZ330" s="1873"/>
      <c r="AQA330" s="1873"/>
      <c r="AQB330" s="1873"/>
      <c r="AQC330" s="1873"/>
      <c r="AQD330" s="1873"/>
      <c r="AQE330" s="1873"/>
      <c r="AQF330" s="1873"/>
      <c r="AQG330" s="1873"/>
      <c r="AQH330" s="1873"/>
      <c r="AQI330" s="1873"/>
      <c r="AQJ330" s="1873"/>
      <c r="AQK330" s="1873"/>
      <c r="AQL330" s="1873"/>
      <c r="AQM330" s="1873"/>
      <c r="AQN330" s="1873"/>
      <c r="AQO330" s="1873"/>
      <c r="AQP330" s="1873"/>
      <c r="AQQ330" s="1873"/>
      <c r="AQR330" s="1873"/>
      <c r="AQS330" s="1873"/>
      <c r="AQT330" s="1873"/>
      <c r="AQU330" s="1873"/>
      <c r="AQV330" s="1873"/>
      <c r="AQW330" s="1873"/>
      <c r="AQX330" s="1873"/>
      <c r="AQY330" s="1873"/>
      <c r="AQZ330" s="1873"/>
      <c r="ARA330" s="1873"/>
      <c r="ARB330" s="1873"/>
      <c r="ARC330" s="1873"/>
      <c r="ARD330" s="1873"/>
      <c r="ARE330" s="1873"/>
      <c r="ARF330" s="1873"/>
      <c r="ARG330" s="1873"/>
      <c r="ARH330" s="1873"/>
      <c r="ARI330" s="1873"/>
      <c r="ARJ330" s="1873"/>
      <c r="ARK330" s="1873"/>
      <c r="ARL330" s="1873"/>
      <c r="ARM330" s="1873"/>
      <c r="ARN330" s="1873"/>
      <c r="ARO330" s="1873"/>
      <c r="ARP330" s="1873"/>
      <c r="ARQ330" s="1873"/>
      <c r="ARR330" s="1873"/>
      <c r="ARS330" s="1873"/>
      <c r="ART330" s="1873"/>
      <c r="ARU330" s="1873"/>
      <c r="ARV330" s="1873"/>
      <c r="ARW330" s="1873"/>
      <c r="ARX330" s="1873"/>
      <c r="ARY330" s="1873"/>
      <c r="ARZ330" s="1873"/>
      <c r="ASA330" s="1873"/>
      <c r="ASB330" s="1873"/>
      <c r="ASC330" s="1873"/>
      <c r="ASD330" s="1873"/>
      <c r="ASE330" s="1873"/>
      <c r="ASF330" s="1873"/>
      <c r="ASG330" s="1873"/>
      <c r="ASH330" s="1873"/>
      <c r="ASI330" s="1873"/>
      <c r="ASJ330" s="1873"/>
      <c r="ASK330" s="1873"/>
      <c r="ASL330" s="1873"/>
      <c r="ASM330" s="1873"/>
      <c r="ASN330" s="1873"/>
      <c r="ASO330" s="1873"/>
      <c r="ASP330" s="1873"/>
      <c r="ASQ330" s="1873"/>
      <c r="ASR330" s="1873"/>
      <c r="ASS330" s="1873"/>
      <c r="AST330" s="1873"/>
      <c r="ASU330" s="1873"/>
      <c r="ASV330" s="1873"/>
      <c r="ASW330" s="1873"/>
      <c r="ASX330" s="1873"/>
      <c r="ASY330" s="1873"/>
      <c r="ASZ330" s="1873"/>
      <c r="ATA330" s="1873"/>
      <c r="ATB330" s="1873"/>
      <c r="ATC330" s="1873"/>
      <c r="ATD330" s="1873"/>
      <c r="ATE330" s="1873"/>
      <c r="ATF330" s="1873"/>
      <c r="ATG330" s="1873"/>
      <c r="ATH330" s="1873"/>
      <c r="ATI330" s="1873"/>
      <c r="ATJ330" s="1873"/>
      <c r="ATK330" s="1873"/>
      <c r="ATL330" s="1873"/>
      <c r="ATM330" s="1873"/>
      <c r="ATN330" s="1873"/>
      <c r="ATO330" s="1873"/>
      <c r="ATP330" s="1873"/>
      <c r="ATQ330" s="1873"/>
      <c r="ATR330" s="1873"/>
      <c r="ATS330" s="1873"/>
      <c r="ATT330" s="1873"/>
      <c r="ATU330" s="1873"/>
      <c r="ATV330" s="1873"/>
      <c r="ATW330" s="1873"/>
      <c r="ATX330" s="1873"/>
      <c r="ATY330" s="1873"/>
      <c r="ATZ330" s="1873"/>
      <c r="AUA330" s="1873"/>
      <c r="AUB330" s="1873"/>
      <c r="AUC330" s="1873"/>
      <c r="AUD330" s="1873"/>
      <c r="AUE330" s="1873"/>
      <c r="AUF330" s="1873"/>
      <c r="AUG330" s="1873"/>
      <c r="AUH330" s="1873"/>
      <c r="AUI330" s="1873"/>
      <c r="AUJ330" s="1873"/>
      <c r="AUK330" s="1873"/>
      <c r="AUL330" s="1873"/>
      <c r="AUM330" s="1873"/>
      <c r="AUN330" s="1873"/>
      <c r="AUO330" s="1873"/>
      <c r="AUP330" s="1873"/>
      <c r="AUQ330" s="1873"/>
      <c r="AUR330" s="1873"/>
      <c r="AUS330" s="1873"/>
      <c r="AUT330" s="1873"/>
      <c r="AUU330" s="1873"/>
      <c r="AUV330" s="1873"/>
      <c r="AUW330" s="1873"/>
      <c r="AUX330" s="1873"/>
      <c r="AUY330" s="1873"/>
      <c r="AUZ330" s="1873"/>
      <c r="AVA330" s="1873"/>
      <c r="AVB330" s="1873"/>
      <c r="AVC330" s="1873"/>
      <c r="AVD330" s="1873"/>
      <c r="AVE330" s="1873"/>
      <c r="AVF330" s="1873"/>
      <c r="AVG330" s="1873"/>
      <c r="AVH330" s="1873"/>
      <c r="AVI330" s="1873"/>
      <c r="AVJ330" s="1873"/>
      <c r="AVK330" s="1873"/>
      <c r="AVL330" s="1873"/>
      <c r="AVM330" s="1873"/>
      <c r="AVN330" s="1873"/>
      <c r="AVO330" s="1873"/>
      <c r="AVP330" s="1873"/>
      <c r="AVQ330" s="1873"/>
      <c r="AVR330" s="1873"/>
      <c r="AVS330" s="1873"/>
      <c r="AVT330" s="1873"/>
      <c r="AVU330" s="1873"/>
      <c r="AVV330" s="1873"/>
      <c r="AVW330" s="1873"/>
      <c r="AVX330" s="1873"/>
      <c r="AVY330" s="1873"/>
      <c r="AVZ330" s="1873"/>
      <c r="AWA330" s="1873"/>
      <c r="AWB330" s="1873"/>
      <c r="AWC330" s="1873"/>
      <c r="AWD330" s="1873"/>
      <c r="AWE330" s="1873"/>
      <c r="AWF330" s="1873"/>
      <c r="AWG330" s="1873"/>
      <c r="AWH330" s="1873"/>
      <c r="AWI330" s="1873"/>
      <c r="AWJ330" s="1873"/>
      <c r="AWK330" s="1873"/>
      <c r="AWL330" s="1873"/>
      <c r="AWM330" s="1873"/>
      <c r="AWN330" s="1873"/>
      <c r="AWO330" s="1873"/>
      <c r="AWP330" s="1873"/>
      <c r="AWQ330" s="1873"/>
    </row>
    <row r="331" spans="1:1291" ht="15" customHeight="1" x14ac:dyDescent="0.2">
      <c r="A331" s="1995"/>
      <c r="B331" s="1970"/>
      <c r="C331" s="1816" t="s">
        <v>913</v>
      </c>
      <c r="D331" s="1889"/>
      <c r="E331" s="1996"/>
      <c r="F331" s="1838">
        <v>0</v>
      </c>
      <c r="G331" s="1804">
        <v>0</v>
      </c>
      <c r="H331" s="1804">
        <v>0</v>
      </c>
      <c r="I331" s="1804">
        <v>0</v>
      </c>
      <c r="J331" s="1804">
        <v>0</v>
      </c>
      <c r="K331" s="1804">
        <v>0</v>
      </c>
      <c r="L331" s="1804">
        <v>0</v>
      </c>
      <c r="M331" s="1804">
        <v>0</v>
      </c>
      <c r="N331" s="1804">
        <v>0</v>
      </c>
      <c r="O331" s="1804">
        <v>0</v>
      </c>
      <c r="P331" s="1804">
        <v>0</v>
      </c>
      <c r="Q331" s="1804">
        <v>0</v>
      </c>
      <c r="R331" s="1804">
        <v>0</v>
      </c>
      <c r="S331" s="1804">
        <v>0</v>
      </c>
      <c r="T331" s="1804">
        <v>0</v>
      </c>
      <c r="U331" s="1804">
        <v>0</v>
      </c>
      <c r="V331" s="1804">
        <v>0</v>
      </c>
      <c r="W331" s="1804">
        <v>0</v>
      </c>
      <c r="X331" s="1804">
        <v>0</v>
      </c>
      <c r="Y331" s="1804">
        <v>0</v>
      </c>
      <c r="Z331" s="1804">
        <v>0</v>
      </c>
      <c r="AA331" s="1804">
        <v>0</v>
      </c>
      <c r="AB331" s="1804">
        <v>0</v>
      </c>
      <c r="AC331" s="1804">
        <v>0</v>
      </c>
      <c r="AD331" s="1804">
        <v>0</v>
      </c>
      <c r="AE331" s="1804">
        <v>0</v>
      </c>
      <c r="AF331" s="1804">
        <v>0</v>
      </c>
      <c r="AG331" s="1804">
        <v>0</v>
      </c>
      <c r="AH331" s="1804">
        <v>0</v>
      </c>
      <c r="AI331" s="1804">
        <v>0</v>
      </c>
      <c r="AJ331" s="1804">
        <v>0</v>
      </c>
      <c r="AK331" s="1804">
        <v>0</v>
      </c>
      <c r="AL331" s="1804">
        <v>0</v>
      </c>
      <c r="AM331" s="1804">
        <v>0</v>
      </c>
      <c r="AN331" s="1804">
        <v>0</v>
      </c>
      <c r="AO331" s="1804">
        <v>0</v>
      </c>
      <c r="AP331" s="1804">
        <v>0</v>
      </c>
      <c r="AQ331" s="1804">
        <v>0</v>
      </c>
      <c r="AR331" s="1804">
        <v>0</v>
      </c>
      <c r="AS331" s="1804">
        <v>0</v>
      </c>
      <c r="AT331" s="1804">
        <v>0</v>
      </c>
      <c r="AU331" s="1804">
        <v>0</v>
      </c>
      <c r="AV331" s="1804">
        <v>0</v>
      </c>
      <c r="AW331" s="1804">
        <v>0</v>
      </c>
      <c r="AX331" s="1804">
        <v>0</v>
      </c>
      <c r="AY331" s="1804">
        <v>0</v>
      </c>
      <c r="AZ331" s="1804">
        <v>0</v>
      </c>
      <c r="BA331" s="1804">
        <v>0</v>
      </c>
      <c r="BB331" s="1804">
        <v>0</v>
      </c>
      <c r="BC331" s="1804">
        <v>0</v>
      </c>
      <c r="BD331" s="1804">
        <v>0</v>
      </c>
      <c r="BE331" s="1804">
        <v>0</v>
      </c>
      <c r="BF331" s="1804">
        <v>0</v>
      </c>
      <c r="BG331" s="1804">
        <v>0</v>
      </c>
      <c r="BH331" s="1804">
        <v>0</v>
      </c>
      <c r="BI331" s="1804">
        <v>0</v>
      </c>
      <c r="BJ331" s="1804">
        <v>0</v>
      </c>
      <c r="BK331" s="1804">
        <v>0</v>
      </c>
      <c r="BL331" s="1804">
        <v>0</v>
      </c>
      <c r="BM331" s="1804">
        <v>0</v>
      </c>
      <c r="BN331" s="1804">
        <v>0</v>
      </c>
      <c r="BO331" s="1804">
        <v>0</v>
      </c>
      <c r="BP331" s="1804">
        <v>0</v>
      </c>
      <c r="BQ331" s="1804">
        <v>0</v>
      </c>
      <c r="BR331" s="1804">
        <v>0</v>
      </c>
      <c r="BS331" s="1804">
        <v>0</v>
      </c>
      <c r="BT331" s="1804">
        <v>0</v>
      </c>
      <c r="BU331" s="1804">
        <v>0</v>
      </c>
      <c r="BV331" s="1804">
        <v>0</v>
      </c>
      <c r="BW331" s="1804">
        <v>0</v>
      </c>
      <c r="BX331" s="1804">
        <v>0</v>
      </c>
      <c r="BY331" s="1804">
        <v>0</v>
      </c>
      <c r="BZ331" s="1804">
        <v>0</v>
      </c>
      <c r="CA331" s="1804">
        <v>0</v>
      </c>
      <c r="CB331" s="1804">
        <v>0</v>
      </c>
      <c r="CC331" s="1804">
        <v>0</v>
      </c>
      <c r="CD331" s="1804">
        <v>0</v>
      </c>
      <c r="CE331" s="1804">
        <v>0</v>
      </c>
      <c r="CF331" s="1804">
        <v>0</v>
      </c>
      <c r="CG331" s="1804">
        <v>0</v>
      </c>
      <c r="CH331" s="1804">
        <v>0</v>
      </c>
      <c r="CI331" s="1804">
        <v>0</v>
      </c>
      <c r="CJ331" s="1804">
        <v>0</v>
      </c>
      <c r="CK331" s="1804">
        <v>0</v>
      </c>
      <c r="CL331" s="1804">
        <v>0</v>
      </c>
      <c r="CM331" s="1804">
        <v>0</v>
      </c>
      <c r="CN331" s="1804">
        <v>0</v>
      </c>
      <c r="CO331" s="1804">
        <v>0</v>
      </c>
      <c r="CP331" s="1804">
        <v>0</v>
      </c>
      <c r="CQ331" s="1804">
        <v>0</v>
      </c>
      <c r="CR331" s="1804">
        <v>0</v>
      </c>
      <c r="CS331" s="1804">
        <v>0</v>
      </c>
      <c r="CT331" s="1804">
        <v>0</v>
      </c>
      <c r="CU331" s="1804">
        <v>0</v>
      </c>
      <c r="CV331" s="1804">
        <v>0</v>
      </c>
      <c r="CW331" s="1804">
        <v>0</v>
      </c>
      <c r="CX331" s="1804">
        <v>0</v>
      </c>
      <c r="CY331" s="1804">
        <v>0</v>
      </c>
      <c r="CZ331" s="1804">
        <v>0</v>
      </c>
      <c r="DA331" s="1804">
        <v>0</v>
      </c>
      <c r="DB331" s="1804">
        <v>0</v>
      </c>
      <c r="DC331" s="1804">
        <v>0</v>
      </c>
      <c r="DD331" s="1804">
        <v>0</v>
      </c>
      <c r="DE331" s="1804">
        <v>0</v>
      </c>
      <c r="DF331" s="1804">
        <v>0</v>
      </c>
      <c r="DG331" s="1804">
        <v>0</v>
      </c>
      <c r="DH331" s="1804">
        <v>0</v>
      </c>
      <c r="DI331" s="1804">
        <v>0</v>
      </c>
      <c r="DJ331" s="1804">
        <v>0</v>
      </c>
      <c r="DK331" s="1804">
        <v>0</v>
      </c>
      <c r="DL331" s="1804">
        <v>0</v>
      </c>
      <c r="DM331" s="1804">
        <v>0</v>
      </c>
      <c r="DN331" s="1804">
        <v>0</v>
      </c>
      <c r="DO331" s="1804">
        <v>0</v>
      </c>
      <c r="DP331" s="1804">
        <v>0</v>
      </c>
      <c r="DQ331" s="1804">
        <v>0</v>
      </c>
      <c r="DR331" s="1804">
        <v>0</v>
      </c>
      <c r="DS331" s="1804">
        <v>0</v>
      </c>
      <c r="DT331" s="1804">
        <v>0</v>
      </c>
      <c r="DU331" s="1804">
        <v>0</v>
      </c>
      <c r="DV331" s="1804">
        <v>0</v>
      </c>
      <c r="DW331" s="1804">
        <v>0</v>
      </c>
      <c r="DX331" s="1804">
        <v>0</v>
      </c>
      <c r="DY331" s="1804">
        <v>0</v>
      </c>
      <c r="DZ331" s="1804">
        <v>0</v>
      </c>
      <c r="EA331" s="1804">
        <v>0</v>
      </c>
      <c r="EB331" s="1804">
        <v>0</v>
      </c>
      <c r="EC331" s="1804">
        <v>0</v>
      </c>
      <c r="ED331" s="1804">
        <v>0</v>
      </c>
      <c r="EE331" s="1804">
        <v>0</v>
      </c>
      <c r="EF331" s="1804">
        <v>0</v>
      </c>
      <c r="EG331" s="1804">
        <v>0</v>
      </c>
      <c r="EH331" s="1804">
        <v>0</v>
      </c>
      <c r="EI331" s="1804">
        <v>0</v>
      </c>
      <c r="EJ331" s="1804">
        <v>0</v>
      </c>
      <c r="EK331" s="1804">
        <v>0</v>
      </c>
      <c r="EL331" s="1804">
        <v>0</v>
      </c>
      <c r="EM331" s="1804">
        <v>0</v>
      </c>
      <c r="EN331" s="1804">
        <v>0</v>
      </c>
      <c r="EO331" s="1804">
        <v>0</v>
      </c>
      <c r="EP331" s="1804">
        <v>0</v>
      </c>
      <c r="EQ331" s="1804">
        <v>0</v>
      </c>
      <c r="ER331" s="1804">
        <v>0</v>
      </c>
      <c r="ES331" s="1804">
        <v>0</v>
      </c>
      <c r="ET331" s="1804">
        <v>0</v>
      </c>
      <c r="EU331" s="1804">
        <v>0</v>
      </c>
      <c r="EV331" s="1804">
        <v>0</v>
      </c>
      <c r="EW331" s="1804">
        <v>0</v>
      </c>
      <c r="EX331" s="1804">
        <v>0</v>
      </c>
      <c r="EY331" s="1804">
        <v>0</v>
      </c>
      <c r="EZ331" s="1804">
        <v>0</v>
      </c>
      <c r="FA331" s="1804">
        <v>0</v>
      </c>
      <c r="FB331" s="1804">
        <v>0</v>
      </c>
      <c r="FC331" s="1804">
        <v>0</v>
      </c>
      <c r="FD331" s="1804">
        <v>0</v>
      </c>
      <c r="FE331" s="1804">
        <v>0</v>
      </c>
      <c r="FF331" s="1804">
        <v>0</v>
      </c>
      <c r="FG331" s="1804">
        <v>0</v>
      </c>
      <c r="FH331" s="1804">
        <v>0</v>
      </c>
      <c r="FI331" s="1804">
        <v>0</v>
      </c>
      <c r="FJ331" s="1804">
        <v>0</v>
      </c>
      <c r="FK331" s="1804">
        <v>0</v>
      </c>
      <c r="FL331" s="1804">
        <v>0</v>
      </c>
      <c r="FM331" s="1804">
        <v>0</v>
      </c>
      <c r="FN331" s="1804">
        <v>0</v>
      </c>
      <c r="FO331" s="1804">
        <v>0</v>
      </c>
      <c r="FP331" s="1804">
        <v>0</v>
      </c>
      <c r="FQ331" s="1804">
        <v>0</v>
      </c>
      <c r="FR331" s="1804">
        <v>0</v>
      </c>
      <c r="FS331" s="1804">
        <v>0</v>
      </c>
      <c r="FT331" s="1804">
        <v>0</v>
      </c>
      <c r="FU331" s="1804">
        <v>0</v>
      </c>
      <c r="FV331" s="1804">
        <v>0</v>
      </c>
      <c r="FW331" s="1804">
        <v>0</v>
      </c>
      <c r="FX331" s="1804">
        <v>0</v>
      </c>
      <c r="FY331" s="1804">
        <v>0</v>
      </c>
      <c r="FZ331" s="1804">
        <v>0</v>
      </c>
      <c r="GA331" s="1804">
        <v>0</v>
      </c>
      <c r="GB331" s="1804">
        <v>0</v>
      </c>
      <c r="GC331" s="1804">
        <v>0</v>
      </c>
      <c r="GD331" s="1804">
        <v>0</v>
      </c>
      <c r="GE331" s="1804">
        <v>0</v>
      </c>
      <c r="GF331" s="1804">
        <v>0</v>
      </c>
      <c r="GG331" s="1804">
        <v>0</v>
      </c>
      <c r="GH331" s="1804">
        <v>0</v>
      </c>
      <c r="GI331" s="1804">
        <v>0</v>
      </c>
      <c r="GJ331" s="1804">
        <v>0</v>
      </c>
      <c r="GK331" s="1804">
        <v>0</v>
      </c>
      <c r="GL331" s="1804">
        <v>0</v>
      </c>
      <c r="GM331" s="1804">
        <v>0</v>
      </c>
      <c r="GN331" s="1804">
        <v>0</v>
      </c>
      <c r="GO331" s="1804">
        <v>0</v>
      </c>
      <c r="GP331" s="1804">
        <v>0</v>
      </c>
      <c r="GQ331" s="1804">
        <v>0</v>
      </c>
      <c r="GR331" s="1804">
        <v>0</v>
      </c>
      <c r="GS331" s="1804">
        <v>0</v>
      </c>
      <c r="GT331" s="1804">
        <v>0</v>
      </c>
      <c r="GU331" s="1804">
        <v>0</v>
      </c>
      <c r="GV331" s="1804">
        <v>0</v>
      </c>
      <c r="GW331" s="1804">
        <v>0</v>
      </c>
      <c r="GX331" s="1804">
        <v>0</v>
      </c>
      <c r="GY331" s="1804">
        <v>0</v>
      </c>
      <c r="GZ331" s="1804">
        <v>0</v>
      </c>
      <c r="HA331" s="1804">
        <v>0</v>
      </c>
      <c r="HB331" s="1804">
        <v>0</v>
      </c>
      <c r="HC331" s="1804">
        <v>0</v>
      </c>
      <c r="HD331" s="1804">
        <v>0</v>
      </c>
      <c r="HE331" s="1804">
        <v>0</v>
      </c>
      <c r="MS331" s="1874"/>
      <c r="MT331" s="1874"/>
      <c r="MU331" s="1874"/>
      <c r="MV331" s="1874"/>
      <c r="MW331" s="1874"/>
      <c r="MX331" s="1874"/>
      <c r="MY331" s="1874"/>
      <c r="MZ331" s="1874"/>
      <c r="NA331" s="1874"/>
      <c r="NB331" s="1874"/>
      <c r="NC331" s="1874"/>
      <c r="ND331" s="1874"/>
      <c r="NE331" s="1874"/>
      <c r="NF331" s="1874"/>
      <c r="NG331" s="1874"/>
      <c r="NH331" s="1874"/>
      <c r="NI331" s="1874"/>
      <c r="NJ331" s="1874"/>
      <c r="NK331" s="1874"/>
      <c r="NL331" s="1874"/>
      <c r="NM331" s="1874"/>
      <c r="NN331" s="1874"/>
      <c r="NO331" s="1874"/>
      <c r="NP331" s="1874"/>
      <c r="NQ331" s="1874"/>
      <c r="NR331" s="1874"/>
      <c r="NS331" s="1874"/>
      <c r="NT331" s="1874"/>
      <c r="NU331" s="1874"/>
      <c r="NV331" s="1874"/>
      <c r="NW331" s="1874"/>
      <c r="NX331" s="1874"/>
      <c r="NY331" s="1874"/>
      <c r="NZ331" s="1874"/>
      <c r="OA331" s="1874"/>
      <c r="OB331" s="1874"/>
      <c r="OC331" s="1874"/>
      <c r="OD331" s="1874"/>
      <c r="OE331" s="1874"/>
      <c r="OF331" s="1874"/>
      <c r="OG331" s="1874"/>
      <c r="OH331" s="1874"/>
      <c r="OI331" s="1874"/>
      <c r="OJ331" s="1874"/>
      <c r="OK331" s="1874"/>
      <c r="OL331" s="1874"/>
      <c r="OM331" s="1874"/>
      <c r="ON331" s="1874"/>
      <c r="OO331" s="1874"/>
      <c r="OP331" s="1874"/>
      <c r="OQ331" s="1874"/>
      <c r="OR331" s="1874"/>
      <c r="OS331" s="1874"/>
      <c r="OT331" s="1874"/>
      <c r="OU331" s="1874"/>
      <c r="OV331" s="1874"/>
      <c r="OW331" s="1874"/>
      <c r="OX331" s="1874"/>
      <c r="OY331" s="1874"/>
      <c r="OZ331" s="1874"/>
      <c r="PA331" s="1874"/>
      <c r="PB331" s="1874"/>
      <c r="PC331" s="1874"/>
      <c r="PD331" s="1874"/>
      <c r="PE331" s="1874"/>
      <c r="PF331" s="1874"/>
      <c r="PG331" s="1874"/>
      <c r="PH331" s="1874"/>
      <c r="PI331" s="1874"/>
      <c r="PJ331" s="1874"/>
      <c r="PK331" s="1874"/>
      <c r="PL331" s="1874"/>
      <c r="PM331" s="1874"/>
      <c r="PN331" s="1874"/>
      <c r="PO331" s="1874"/>
      <c r="PP331" s="1874"/>
      <c r="PQ331" s="1874"/>
      <c r="PR331" s="1874"/>
      <c r="PS331" s="1874"/>
      <c r="PT331" s="1874"/>
      <c r="PU331" s="1874"/>
      <c r="PV331" s="1874"/>
      <c r="PW331" s="1874"/>
      <c r="PX331" s="1874"/>
      <c r="PY331" s="1874"/>
      <c r="PZ331" s="1874"/>
      <c r="QA331" s="1874"/>
      <c r="QB331" s="1874"/>
      <c r="QC331" s="1874"/>
      <c r="QD331" s="1874"/>
      <c r="QE331" s="1874"/>
      <c r="QF331" s="1874"/>
      <c r="QG331" s="1874"/>
      <c r="QH331" s="1874"/>
      <c r="QI331" s="1874"/>
      <c r="QJ331" s="1874"/>
      <c r="QK331" s="1874"/>
      <c r="QL331" s="1874"/>
      <c r="QM331" s="1874"/>
      <c r="QN331" s="1874"/>
      <c r="QO331" s="1874"/>
      <c r="QP331" s="1874"/>
      <c r="QQ331" s="1874"/>
      <c r="QR331" s="1874"/>
      <c r="QS331" s="1874"/>
      <c r="QT331" s="1874"/>
      <c r="QU331" s="1874"/>
      <c r="QV331" s="1874"/>
      <c r="QW331" s="1874"/>
      <c r="QX331" s="1874"/>
      <c r="QY331" s="1874"/>
      <c r="QZ331" s="1874"/>
      <c r="RA331" s="1874"/>
      <c r="RB331" s="1874"/>
      <c r="RC331" s="1874"/>
      <c r="RD331" s="1874"/>
      <c r="RE331" s="1874"/>
      <c r="RF331" s="1874"/>
      <c r="RG331" s="1874"/>
      <c r="RH331" s="1874"/>
      <c r="RI331" s="1874"/>
      <c r="RJ331" s="1874"/>
      <c r="RK331" s="1874"/>
      <c r="RL331" s="1874"/>
      <c r="RM331" s="1874"/>
      <c r="RN331" s="1874"/>
      <c r="RO331" s="1874"/>
      <c r="RP331" s="1874"/>
      <c r="RQ331" s="1874"/>
      <c r="RR331" s="1874"/>
      <c r="RS331" s="1874"/>
      <c r="RT331" s="1874"/>
      <c r="RU331" s="1874"/>
      <c r="RV331" s="1874"/>
      <c r="RW331" s="1874"/>
      <c r="RX331" s="1874"/>
      <c r="RY331" s="1874"/>
      <c r="RZ331" s="1874"/>
      <c r="SA331" s="1874"/>
      <c r="SB331" s="1874"/>
      <c r="SC331" s="1874"/>
      <c r="SD331" s="1874"/>
      <c r="SE331" s="1874"/>
      <c r="SF331" s="1874"/>
      <c r="SG331" s="1874"/>
      <c r="SH331" s="1874"/>
      <c r="SI331" s="1874"/>
      <c r="SJ331" s="1874"/>
      <c r="SK331" s="1874"/>
      <c r="SL331" s="1874"/>
      <c r="SM331" s="1874"/>
      <c r="SN331" s="1874"/>
      <c r="SO331" s="1874"/>
      <c r="SP331" s="1874"/>
      <c r="SQ331" s="1874"/>
      <c r="SR331" s="1874"/>
      <c r="SS331" s="1874"/>
      <c r="ST331" s="1874"/>
      <c r="SU331" s="1874"/>
      <c r="SV331" s="1874"/>
      <c r="SW331" s="1874"/>
      <c r="SX331" s="1874"/>
      <c r="SY331" s="1874"/>
      <c r="SZ331" s="1874"/>
      <c r="TA331" s="1874"/>
      <c r="TB331" s="1874"/>
      <c r="TC331" s="1874"/>
      <c r="TD331" s="1874"/>
      <c r="TE331" s="1874"/>
      <c r="TF331" s="1874"/>
      <c r="TG331" s="1874"/>
      <c r="TH331" s="1874"/>
      <c r="TI331" s="1874"/>
      <c r="TJ331" s="1874"/>
      <c r="TK331" s="1874"/>
      <c r="TL331" s="1874"/>
      <c r="TM331" s="1874"/>
      <c r="TN331" s="1874"/>
      <c r="TO331" s="1874"/>
      <c r="TP331" s="1874"/>
      <c r="TQ331" s="1874"/>
      <c r="TR331" s="1874"/>
      <c r="TS331" s="1874"/>
      <c r="TT331" s="1874"/>
      <c r="TU331" s="1874"/>
      <c r="TV331" s="1874"/>
      <c r="TW331" s="1874"/>
      <c r="TX331" s="1874"/>
      <c r="TY331" s="1874"/>
      <c r="TZ331" s="1874"/>
      <c r="UA331" s="1874"/>
      <c r="UB331" s="1874"/>
      <c r="UC331" s="1874"/>
      <c r="UD331" s="1874"/>
      <c r="UE331" s="1874"/>
      <c r="UF331" s="1874"/>
      <c r="UG331" s="1874"/>
      <c r="UH331" s="1874"/>
      <c r="UI331" s="1874"/>
      <c r="UJ331" s="1874"/>
      <c r="UK331" s="1874"/>
      <c r="UL331" s="1874"/>
      <c r="UM331" s="1874"/>
      <c r="UN331" s="1874"/>
      <c r="UO331" s="1874"/>
      <c r="UP331" s="1874"/>
      <c r="UQ331" s="1874"/>
      <c r="UR331" s="1874"/>
      <c r="US331" s="1874"/>
      <c r="UT331" s="1874"/>
      <c r="UU331" s="1874"/>
      <c r="UV331" s="1874"/>
      <c r="UW331" s="1874"/>
      <c r="UX331" s="1874"/>
      <c r="UY331" s="1874"/>
      <c r="UZ331" s="1874"/>
      <c r="VA331" s="1874"/>
      <c r="VB331" s="1874"/>
      <c r="VC331" s="1874"/>
      <c r="VD331" s="1874"/>
      <c r="VE331" s="1874"/>
      <c r="VF331" s="1874"/>
      <c r="VG331" s="1874"/>
      <c r="VH331" s="1874"/>
      <c r="VI331" s="1874"/>
      <c r="VJ331" s="1874"/>
      <c r="VK331" s="1874"/>
      <c r="VL331" s="1874"/>
      <c r="VM331" s="1874"/>
      <c r="VN331" s="1874"/>
      <c r="VO331" s="1874"/>
      <c r="VP331" s="1874"/>
      <c r="VQ331" s="1874"/>
      <c r="VR331" s="1874"/>
      <c r="VS331" s="1874"/>
      <c r="VT331" s="1874"/>
      <c r="VU331" s="1874"/>
      <c r="VV331" s="1874"/>
      <c r="VW331" s="1874"/>
      <c r="VX331" s="1874"/>
      <c r="VY331" s="1874"/>
      <c r="VZ331" s="1874"/>
      <c r="WA331" s="1874"/>
      <c r="WB331" s="1874"/>
      <c r="WC331" s="1874"/>
      <c r="WD331" s="1874"/>
      <c r="WE331" s="1874"/>
      <c r="WF331" s="1874"/>
      <c r="WG331" s="1874"/>
      <c r="WH331" s="1874"/>
      <c r="WI331" s="1874"/>
      <c r="WJ331" s="1874"/>
      <c r="WK331" s="1874"/>
      <c r="WL331" s="1874"/>
      <c r="WM331" s="1874"/>
      <c r="WN331" s="1874"/>
      <c r="WO331" s="1874"/>
      <c r="WP331" s="1874"/>
      <c r="WQ331" s="1874"/>
      <c r="WR331" s="1874"/>
      <c r="WS331" s="1874"/>
      <c r="WT331" s="1874"/>
      <c r="WU331" s="1874"/>
      <c r="WV331" s="1874"/>
      <c r="WW331" s="1874"/>
      <c r="WX331" s="1874"/>
      <c r="WY331" s="1874"/>
      <c r="WZ331" s="1874"/>
      <c r="XA331" s="1874"/>
      <c r="XB331" s="1874"/>
      <c r="XC331" s="1874"/>
      <c r="XD331" s="1874"/>
      <c r="XE331" s="1874"/>
      <c r="XF331" s="1874"/>
      <c r="XG331" s="1874"/>
      <c r="XH331" s="1874"/>
      <c r="XI331" s="1874"/>
      <c r="XJ331" s="1874"/>
      <c r="XK331" s="1874"/>
      <c r="XL331" s="1874"/>
      <c r="XM331" s="1874"/>
      <c r="XN331" s="1874"/>
      <c r="XO331" s="1874"/>
      <c r="XP331" s="1874"/>
      <c r="XQ331" s="1874"/>
      <c r="XR331" s="1874"/>
      <c r="XS331" s="1874"/>
      <c r="XT331" s="1874"/>
      <c r="XU331" s="1874"/>
      <c r="XV331" s="1874"/>
      <c r="XW331" s="1874"/>
      <c r="XX331" s="1874"/>
      <c r="XY331" s="1874"/>
      <c r="XZ331" s="1874"/>
      <c r="YA331" s="1874"/>
      <c r="YB331" s="1874"/>
      <c r="YC331" s="1874"/>
      <c r="YD331" s="1874"/>
      <c r="YE331" s="1874"/>
      <c r="YF331" s="1874"/>
      <c r="YG331" s="1874"/>
      <c r="YH331" s="1874"/>
      <c r="YI331" s="1874"/>
      <c r="YJ331" s="1874"/>
      <c r="YK331" s="1874"/>
      <c r="YL331" s="1874"/>
      <c r="YM331" s="1874"/>
      <c r="YN331" s="1874"/>
      <c r="YO331" s="1874"/>
      <c r="YP331" s="1874"/>
      <c r="YQ331" s="1874"/>
      <c r="YR331" s="1874"/>
      <c r="YS331" s="1874"/>
      <c r="YT331" s="1874"/>
      <c r="YU331" s="1874"/>
      <c r="YV331" s="1874"/>
      <c r="YW331" s="1874"/>
      <c r="YX331" s="1874"/>
      <c r="YY331" s="1874"/>
      <c r="YZ331" s="1874"/>
      <c r="ZA331" s="1874"/>
      <c r="ZB331" s="1874"/>
      <c r="ZC331" s="1874"/>
      <c r="ZD331" s="1874"/>
      <c r="ZE331" s="1874"/>
      <c r="ZF331" s="1874"/>
      <c r="ZG331" s="1874"/>
      <c r="ZH331" s="1874"/>
      <c r="ZI331" s="1874"/>
      <c r="ZJ331" s="1874"/>
      <c r="ZK331" s="1874"/>
      <c r="ZL331" s="1874"/>
      <c r="ZM331" s="1874"/>
      <c r="ZN331" s="1874"/>
      <c r="ZO331" s="1874"/>
      <c r="ZP331" s="1874"/>
      <c r="ZQ331" s="1874"/>
      <c r="ZR331" s="1874"/>
      <c r="ZS331" s="1874"/>
      <c r="ZT331" s="1874"/>
      <c r="ZU331" s="1874"/>
      <c r="ZV331" s="1874"/>
      <c r="ZW331" s="1874"/>
      <c r="ZX331" s="1874"/>
      <c r="ZY331" s="1874"/>
      <c r="ZZ331" s="1874"/>
      <c r="AAA331" s="1874"/>
      <c r="AAB331" s="1874"/>
      <c r="AAC331" s="1874"/>
      <c r="AAD331" s="1874"/>
      <c r="AAE331" s="1874"/>
      <c r="AAF331" s="1874"/>
      <c r="AAG331" s="1874"/>
      <c r="AAH331" s="1874"/>
      <c r="AAI331" s="1874"/>
      <c r="AAJ331" s="1874"/>
      <c r="AAK331" s="1874"/>
      <c r="AAL331" s="1874"/>
      <c r="AAM331" s="1874"/>
      <c r="AAN331" s="1874"/>
      <c r="AAO331" s="1874"/>
      <c r="AAP331" s="1874"/>
      <c r="AAQ331" s="1874"/>
      <c r="AAR331" s="1874"/>
      <c r="AAS331" s="1874"/>
      <c r="AAT331" s="1874"/>
      <c r="AAU331" s="1874"/>
      <c r="AAV331" s="1874"/>
      <c r="AAW331" s="1874"/>
      <c r="AAX331" s="1874"/>
      <c r="AAY331" s="1874"/>
      <c r="AAZ331" s="1874"/>
      <c r="ABA331" s="1874"/>
      <c r="ABB331" s="1874"/>
      <c r="ABC331" s="1874"/>
      <c r="ABD331" s="1874"/>
      <c r="ABE331" s="1874"/>
      <c r="ABF331" s="1874"/>
      <c r="ABG331" s="1874"/>
      <c r="ABH331" s="1874"/>
      <c r="ABI331" s="1874"/>
      <c r="ABJ331" s="1874"/>
      <c r="ABK331" s="1874"/>
      <c r="ABL331" s="1874"/>
      <c r="ABM331" s="1874"/>
      <c r="ABN331" s="1874"/>
      <c r="ABO331" s="1874"/>
      <c r="ABP331" s="1874"/>
      <c r="ABQ331" s="1874"/>
      <c r="ABR331" s="1874"/>
      <c r="ABS331" s="1874"/>
      <c r="ABT331" s="1874"/>
      <c r="ABU331" s="1874"/>
      <c r="ABV331" s="1874"/>
      <c r="ABW331" s="1874"/>
      <c r="ABX331" s="1874"/>
      <c r="ABY331" s="1874"/>
      <c r="ABZ331" s="1874"/>
      <c r="ACA331" s="1874"/>
      <c r="ACB331" s="1874"/>
      <c r="ACC331" s="1874"/>
      <c r="ACD331" s="1874"/>
      <c r="ACE331" s="1874"/>
      <c r="ACF331" s="1874"/>
      <c r="ACG331" s="1874"/>
      <c r="ACH331" s="1874"/>
      <c r="ACI331" s="1874"/>
      <c r="ACJ331" s="1874"/>
      <c r="ACK331" s="1874"/>
      <c r="ACL331" s="1874"/>
      <c r="ACM331" s="1874"/>
      <c r="ACN331" s="1874"/>
      <c r="ACO331" s="1874"/>
      <c r="ACP331" s="1874"/>
      <c r="ACQ331" s="1874"/>
      <c r="ACR331" s="1874"/>
      <c r="ACS331" s="1874"/>
      <c r="ACT331" s="1874"/>
      <c r="ACU331" s="1874"/>
      <c r="ACV331" s="1874"/>
      <c r="ACW331" s="1874"/>
      <c r="ACX331" s="1874"/>
      <c r="ACY331" s="1874"/>
      <c r="ACZ331" s="1874"/>
      <c r="ADA331" s="1874"/>
      <c r="ADB331" s="1874"/>
      <c r="ADC331" s="1874"/>
      <c r="ADD331" s="1874"/>
      <c r="ADE331" s="1874"/>
      <c r="ADF331" s="1874"/>
      <c r="ADG331" s="1874"/>
      <c r="ADH331" s="1874"/>
      <c r="ADI331" s="1874"/>
      <c r="ADJ331" s="1874"/>
      <c r="ADK331" s="1874"/>
      <c r="ADL331" s="1874"/>
      <c r="ADM331" s="1874"/>
      <c r="ADN331" s="1874"/>
      <c r="ADO331" s="1874"/>
      <c r="ADP331" s="1874"/>
      <c r="ADQ331" s="1874"/>
      <c r="ADR331" s="1874"/>
      <c r="ADS331" s="1874"/>
      <c r="ADT331" s="1874"/>
      <c r="ADU331" s="1874"/>
      <c r="ADV331" s="1874"/>
      <c r="ADW331" s="1874"/>
      <c r="ADX331" s="1874"/>
      <c r="ADY331" s="1874"/>
      <c r="ADZ331" s="1874"/>
      <c r="AEA331" s="1874"/>
      <c r="AEB331" s="1874"/>
      <c r="AEC331" s="1874"/>
      <c r="AED331" s="1874"/>
      <c r="AEE331" s="1874"/>
      <c r="AEF331" s="1874"/>
      <c r="AEG331" s="1874"/>
      <c r="AEH331" s="1874"/>
      <c r="AEI331" s="1874"/>
      <c r="AEJ331" s="1874"/>
      <c r="AEK331" s="1874"/>
      <c r="AEL331" s="1874"/>
      <c r="AEM331" s="1874"/>
      <c r="AEN331" s="1874"/>
      <c r="AEO331" s="1874"/>
      <c r="AEP331" s="1874"/>
      <c r="AEQ331" s="1874"/>
      <c r="AER331" s="1874"/>
      <c r="AES331" s="1874"/>
      <c r="AET331" s="1874"/>
      <c r="AEU331" s="1874"/>
      <c r="AEV331" s="1874"/>
      <c r="AEW331" s="1874"/>
      <c r="AEX331" s="1874"/>
      <c r="AEY331" s="1874"/>
      <c r="AEZ331" s="1874"/>
      <c r="AFA331" s="1874"/>
      <c r="AFB331" s="1874"/>
      <c r="AFC331" s="1874"/>
      <c r="AFD331" s="1874"/>
      <c r="AFE331" s="1874"/>
      <c r="AFF331" s="1874"/>
      <c r="AFG331" s="1874"/>
      <c r="AFH331" s="1874"/>
      <c r="AFI331" s="1874"/>
      <c r="AFJ331" s="1874"/>
      <c r="AFK331" s="1874"/>
      <c r="AFL331" s="1874"/>
      <c r="AFM331" s="1874"/>
      <c r="AFN331" s="1874"/>
      <c r="AFO331" s="1874"/>
      <c r="AFP331" s="1874"/>
      <c r="AFQ331" s="1874"/>
      <c r="AFR331" s="1874"/>
      <c r="AFS331" s="1874"/>
      <c r="AFT331" s="1874"/>
      <c r="AFU331" s="1874"/>
      <c r="AFV331" s="1874"/>
      <c r="AFW331" s="1874"/>
      <c r="AFX331" s="1874"/>
      <c r="AFY331" s="1874"/>
      <c r="AFZ331" s="1874"/>
      <c r="AGA331" s="1874"/>
      <c r="AGB331" s="1874"/>
      <c r="AGC331" s="1874"/>
      <c r="AGD331" s="1874"/>
      <c r="AGE331" s="1874"/>
      <c r="AGF331" s="1874"/>
      <c r="AGG331" s="1874"/>
      <c r="AGH331" s="1874"/>
      <c r="AGI331" s="1874"/>
      <c r="AGJ331" s="1874"/>
      <c r="AGK331" s="1874"/>
      <c r="AGL331" s="1874"/>
      <c r="AGM331" s="1874"/>
      <c r="AGN331" s="1874"/>
      <c r="AGO331" s="1874"/>
      <c r="AGP331" s="1874"/>
      <c r="AGQ331" s="1874"/>
      <c r="AGR331" s="1874"/>
      <c r="AGS331" s="1874"/>
      <c r="AGT331" s="1874"/>
      <c r="AGU331" s="1874"/>
      <c r="AGV331" s="1874"/>
      <c r="AGW331" s="1874"/>
      <c r="AGX331" s="1874"/>
      <c r="AGY331" s="1874"/>
      <c r="AGZ331" s="1874"/>
      <c r="AHA331" s="1874"/>
      <c r="AHB331" s="1874"/>
      <c r="AHC331" s="1874"/>
      <c r="AHD331" s="1874"/>
      <c r="AHE331" s="1874"/>
      <c r="AHF331" s="1874"/>
      <c r="AHG331" s="1874"/>
      <c r="AHH331" s="1874"/>
      <c r="AHI331" s="1874"/>
      <c r="AHJ331" s="1874"/>
      <c r="AHK331" s="1874"/>
      <c r="AHL331" s="1874"/>
      <c r="AHM331" s="1874"/>
      <c r="AHN331" s="1874"/>
      <c r="AHO331" s="1874"/>
      <c r="AHP331" s="1874"/>
      <c r="AHQ331" s="1874"/>
      <c r="AHR331" s="1874"/>
      <c r="AHS331" s="1874"/>
      <c r="AHT331" s="1874"/>
      <c r="AHU331" s="1874"/>
      <c r="AHV331" s="1874"/>
      <c r="AHW331" s="1874"/>
      <c r="AHX331" s="1874"/>
      <c r="AHY331" s="1874"/>
      <c r="AHZ331" s="1874"/>
      <c r="AIA331" s="1874"/>
      <c r="AIB331" s="1874"/>
      <c r="AIC331" s="1874"/>
      <c r="AID331" s="1874"/>
      <c r="AIE331" s="1874"/>
      <c r="AIF331" s="1874"/>
      <c r="AIG331" s="1874"/>
      <c r="AIH331" s="1874"/>
      <c r="AII331" s="1874"/>
      <c r="AIJ331" s="1874"/>
      <c r="AIK331" s="1874"/>
      <c r="AIL331" s="1874"/>
      <c r="AIM331" s="1874"/>
      <c r="AIN331" s="1874"/>
      <c r="AIO331" s="1874"/>
      <c r="AIP331" s="1874"/>
      <c r="AIQ331" s="1874"/>
      <c r="AIR331" s="1874"/>
      <c r="AIS331" s="1874"/>
      <c r="AIT331" s="1874"/>
      <c r="AIU331" s="1874"/>
      <c r="AIV331" s="1874"/>
      <c r="AIW331" s="1874"/>
      <c r="AIX331" s="1874"/>
      <c r="AIY331" s="1874"/>
      <c r="AIZ331" s="1874"/>
      <c r="AJA331" s="1874"/>
      <c r="AJB331" s="1874"/>
      <c r="AJC331" s="1874"/>
      <c r="AJD331" s="1874"/>
      <c r="AJE331" s="1874"/>
      <c r="AJF331" s="1874"/>
      <c r="AJG331" s="1874"/>
      <c r="AJH331" s="1874"/>
      <c r="AJI331" s="1874"/>
      <c r="AJJ331" s="1874"/>
      <c r="AJK331" s="1874"/>
      <c r="AJL331" s="1874"/>
      <c r="AJM331" s="1874"/>
      <c r="AJN331" s="1874"/>
      <c r="AJO331" s="1874"/>
      <c r="AJP331" s="1874"/>
      <c r="AJQ331" s="1874"/>
      <c r="AJR331" s="1874"/>
      <c r="AJS331" s="1874"/>
      <c r="AJT331" s="1874"/>
      <c r="AJU331" s="1874"/>
      <c r="AJV331" s="1874"/>
      <c r="AJW331" s="1874"/>
      <c r="AJX331" s="1874"/>
      <c r="AJY331" s="1874"/>
      <c r="AJZ331" s="1874"/>
      <c r="AKA331" s="1874"/>
      <c r="AKB331" s="1874"/>
      <c r="AKC331" s="1874"/>
      <c r="AKD331" s="1874"/>
      <c r="AKE331" s="1874"/>
      <c r="AKF331" s="1874"/>
      <c r="AKG331" s="1874"/>
      <c r="AKH331" s="1874"/>
      <c r="AKI331" s="1874"/>
      <c r="AKJ331" s="1874"/>
      <c r="AKK331" s="1874"/>
      <c r="AKL331" s="1874"/>
      <c r="AKM331" s="1874"/>
      <c r="AKN331" s="1874"/>
      <c r="AKO331" s="1874"/>
      <c r="AKP331" s="1874"/>
      <c r="AKQ331" s="1874"/>
      <c r="AKR331" s="1874"/>
      <c r="AKS331" s="1874"/>
      <c r="AKT331" s="1874"/>
      <c r="AKU331" s="1874"/>
      <c r="AKV331" s="1874"/>
      <c r="AKW331" s="1874"/>
      <c r="AKX331" s="1874"/>
      <c r="AKY331" s="1874"/>
      <c r="AKZ331" s="1874"/>
      <c r="ALA331" s="1874"/>
      <c r="ALB331" s="1874"/>
      <c r="ALC331" s="1874"/>
      <c r="ALD331" s="1874"/>
      <c r="ALE331" s="1874"/>
      <c r="ALF331" s="1874"/>
      <c r="ALG331" s="1874"/>
      <c r="ALH331" s="1874"/>
      <c r="ALI331" s="1874"/>
      <c r="ALJ331" s="1874"/>
      <c r="ALK331" s="1874"/>
      <c r="ALL331" s="1874"/>
      <c r="ALM331" s="1874"/>
      <c r="ALN331" s="1874"/>
      <c r="ALO331" s="1874"/>
      <c r="ALP331" s="1874"/>
      <c r="ALQ331" s="1874"/>
      <c r="ALR331" s="1874"/>
      <c r="ALS331" s="1874"/>
      <c r="ALT331" s="1874"/>
      <c r="ALU331" s="1874"/>
      <c r="ALV331" s="1874"/>
      <c r="ALW331" s="1874"/>
      <c r="ALX331" s="1874"/>
      <c r="ALY331" s="1874"/>
      <c r="ALZ331" s="1874"/>
      <c r="AMA331" s="1874"/>
      <c r="AMB331" s="1874"/>
      <c r="AMC331" s="1874"/>
      <c r="AMD331" s="1874"/>
      <c r="AME331" s="1874"/>
      <c r="AMF331" s="1874"/>
      <c r="AMG331" s="1874"/>
      <c r="AMH331" s="1874"/>
      <c r="AMI331" s="1874"/>
      <c r="AMJ331" s="1874"/>
      <c r="AMK331" s="1874"/>
      <c r="AML331" s="1874"/>
      <c r="AMM331" s="1874"/>
      <c r="AMN331" s="1874"/>
      <c r="AMO331" s="1874"/>
      <c r="AMP331" s="1874"/>
      <c r="AMQ331" s="1874"/>
      <c r="AMR331" s="1874"/>
      <c r="AMS331" s="1874"/>
      <c r="AMT331" s="1874"/>
      <c r="AMU331" s="1874"/>
      <c r="AMV331" s="1874"/>
      <c r="AMW331" s="1874"/>
      <c r="AMX331" s="1874"/>
      <c r="AMY331" s="1874"/>
      <c r="AMZ331" s="1874"/>
      <c r="ANA331" s="1874"/>
      <c r="ANB331" s="1874"/>
      <c r="ANC331" s="1874"/>
      <c r="AND331" s="1874"/>
      <c r="ANE331" s="1874"/>
      <c r="ANF331" s="1874"/>
      <c r="ANG331" s="1874"/>
      <c r="ANH331" s="1874"/>
      <c r="ANI331" s="1874"/>
      <c r="ANJ331" s="1874"/>
      <c r="ANK331" s="1874"/>
      <c r="ANL331" s="1874"/>
      <c r="ANM331" s="1874"/>
      <c r="ANN331" s="1874"/>
      <c r="ANO331" s="1874"/>
      <c r="ANP331" s="1874"/>
      <c r="ANQ331" s="1874"/>
      <c r="ANR331" s="1874"/>
      <c r="ANS331" s="1874"/>
      <c r="ANT331" s="1874"/>
      <c r="ANU331" s="1874"/>
      <c r="ANV331" s="1874"/>
      <c r="ANW331" s="1874"/>
      <c r="ANX331" s="1874"/>
      <c r="ANY331" s="1874"/>
      <c r="ANZ331" s="1874"/>
      <c r="AOA331" s="1874"/>
      <c r="AOB331" s="1874"/>
      <c r="AOC331" s="1874"/>
      <c r="AOD331" s="1874"/>
      <c r="AOE331" s="1874"/>
      <c r="AOF331" s="1874"/>
      <c r="AOG331" s="1874"/>
      <c r="AOH331" s="1874"/>
      <c r="AOI331" s="1874"/>
      <c r="AOJ331" s="1874"/>
      <c r="AOK331" s="1874"/>
      <c r="AOL331" s="1874"/>
      <c r="AOM331" s="1874"/>
      <c r="AON331" s="1874"/>
      <c r="AOO331" s="1874"/>
      <c r="AOP331" s="1874"/>
      <c r="AOQ331" s="1874"/>
      <c r="AOR331" s="1874"/>
      <c r="AOS331" s="1874"/>
      <c r="AOT331" s="1874"/>
      <c r="AOU331" s="1874"/>
      <c r="AOV331" s="1874"/>
      <c r="AOW331" s="1874"/>
      <c r="AOX331" s="1874"/>
      <c r="AOY331" s="1874"/>
      <c r="AOZ331" s="1874"/>
      <c r="APA331" s="1874"/>
      <c r="APB331" s="1874"/>
      <c r="APC331" s="1874"/>
      <c r="APD331" s="1874"/>
      <c r="APE331" s="1874"/>
      <c r="APF331" s="1874"/>
      <c r="APG331" s="1874"/>
      <c r="APH331" s="1874"/>
      <c r="API331" s="1874"/>
      <c r="APJ331" s="1874"/>
      <c r="APK331" s="1874"/>
      <c r="APL331" s="1874"/>
      <c r="APM331" s="1874"/>
      <c r="APN331" s="1874"/>
      <c r="APO331" s="1874"/>
      <c r="APP331" s="1874"/>
      <c r="APQ331" s="1874"/>
      <c r="APR331" s="1874"/>
      <c r="APS331" s="1874"/>
      <c r="APT331" s="1874"/>
      <c r="APU331" s="1874"/>
      <c r="APV331" s="1874"/>
      <c r="APW331" s="1874"/>
      <c r="APX331" s="1874"/>
      <c r="APY331" s="1874"/>
      <c r="APZ331" s="1874"/>
      <c r="AQA331" s="1874"/>
      <c r="AQB331" s="1874"/>
      <c r="AQC331" s="1874"/>
      <c r="AQD331" s="1874"/>
      <c r="AQE331" s="1874"/>
      <c r="AQF331" s="1874"/>
      <c r="AQG331" s="1874"/>
      <c r="AQH331" s="1874"/>
      <c r="AQI331" s="1874"/>
      <c r="AQJ331" s="1874"/>
      <c r="AQK331" s="1874"/>
      <c r="AQL331" s="1874"/>
      <c r="AQM331" s="1874"/>
      <c r="AQN331" s="1874"/>
      <c r="AQO331" s="1874"/>
      <c r="AQP331" s="1874"/>
      <c r="AQQ331" s="1874"/>
      <c r="AQR331" s="1874"/>
      <c r="AQS331" s="1874"/>
      <c r="AQT331" s="1874"/>
      <c r="AQU331" s="1874"/>
      <c r="AQV331" s="1874"/>
      <c r="AQW331" s="1874"/>
      <c r="AQX331" s="1874"/>
      <c r="AQY331" s="1874"/>
      <c r="AQZ331" s="1874"/>
      <c r="ARA331" s="1874"/>
      <c r="ARB331" s="1874"/>
      <c r="ARC331" s="1874"/>
      <c r="ARD331" s="1874"/>
      <c r="ARE331" s="1874"/>
      <c r="ARF331" s="1874"/>
      <c r="ARG331" s="1874"/>
      <c r="ARH331" s="1874"/>
      <c r="ARI331" s="1874"/>
      <c r="ARJ331" s="1874"/>
      <c r="ARK331" s="1874"/>
      <c r="ARL331" s="1874"/>
      <c r="ARM331" s="1874"/>
      <c r="ARN331" s="1874"/>
      <c r="ARO331" s="1874"/>
      <c r="ARP331" s="1874"/>
      <c r="ARQ331" s="1874"/>
      <c r="ARR331" s="1874"/>
      <c r="ARS331" s="1874"/>
      <c r="ART331" s="1874"/>
      <c r="ARU331" s="1874"/>
      <c r="ARV331" s="1874"/>
      <c r="ARW331" s="1874"/>
      <c r="ARX331" s="1874"/>
      <c r="ARY331" s="1874"/>
      <c r="ARZ331" s="1874"/>
      <c r="ASA331" s="1874"/>
      <c r="ASB331" s="1874"/>
      <c r="ASC331" s="1874"/>
      <c r="ASD331" s="1874"/>
      <c r="ASE331" s="1874"/>
      <c r="ASF331" s="1874"/>
      <c r="ASG331" s="1874"/>
      <c r="ASH331" s="1874"/>
      <c r="ASI331" s="1874"/>
      <c r="ASJ331" s="1874"/>
      <c r="ASK331" s="1874"/>
      <c r="ASL331" s="1874"/>
      <c r="ASM331" s="1874"/>
      <c r="ASN331" s="1874"/>
      <c r="ASO331" s="1874"/>
      <c r="ASP331" s="1874"/>
      <c r="ASQ331" s="1874"/>
      <c r="ASR331" s="1874"/>
      <c r="ASS331" s="1874"/>
      <c r="AST331" s="1874"/>
      <c r="ASU331" s="1874"/>
      <c r="ASV331" s="1874"/>
      <c r="ASW331" s="1874"/>
      <c r="ASX331" s="1874"/>
      <c r="ASY331" s="1874"/>
      <c r="ASZ331" s="1874"/>
      <c r="ATA331" s="1874"/>
      <c r="ATB331" s="1874"/>
      <c r="ATC331" s="1874"/>
      <c r="ATD331" s="1874"/>
      <c r="ATE331" s="1874"/>
      <c r="ATF331" s="1874"/>
      <c r="ATG331" s="1874"/>
      <c r="ATH331" s="1874"/>
      <c r="ATI331" s="1874"/>
      <c r="ATJ331" s="1874"/>
      <c r="ATK331" s="1874"/>
      <c r="ATL331" s="1874"/>
      <c r="ATM331" s="1874"/>
      <c r="ATN331" s="1874"/>
      <c r="ATO331" s="1874"/>
      <c r="ATP331" s="1874"/>
      <c r="ATQ331" s="1874"/>
      <c r="ATR331" s="1874"/>
      <c r="ATS331" s="1874"/>
      <c r="ATT331" s="1874"/>
      <c r="ATU331" s="1874"/>
      <c r="ATV331" s="1874"/>
      <c r="ATW331" s="1874"/>
      <c r="ATX331" s="1874"/>
      <c r="ATY331" s="1874"/>
      <c r="ATZ331" s="1874"/>
      <c r="AUA331" s="1874"/>
      <c r="AUB331" s="1874"/>
      <c r="AUC331" s="1874"/>
      <c r="AUD331" s="1874"/>
      <c r="AUE331" s="1874"/>
      <c r="AUF331" s="1874"/>
      <c r="AUG331" s="1874"/>
      <c r="AUH331" s="1874"/>
      <c r="AUI331" s="1874"/>
      <c r="AUJ331" s="1874"/>
      <c r="AUK331" s="1874"/>
      <c r="AUL331" s="1874"/>
      <c r="AUM331" s="1874"/>
      <c r="AUN331" s="1874"/>
      <c r="AUO331" s="1874"/>
      <c r="AUP331" s="1874"/>
      <c r="AUQ331" s="1874"/>
      <c r="AUR331" s="1874"/>
      <c r="AUS331" s="1874"/>
      <c r="AUT331" s="1874"/>
      <c r="AUU331" s="1874"/>
      <c r="AUV331" s="1874"/>
      <c r="AUW331" s="1874"/>
      <c r="AUX331" s="1874"/>
      <c r="AUY331" s="1874"/>
      <c r="AUZ331" s="1874"/>
      <c r="AVA331" s="1874"/>
      <c r="AVB331" s="1874"/>
      <c r="AVC331" s="1874"/>
      <c r="AVD331" s="1874"/>
      <c r="AVE331" s="1874"/>
      <c r="AVF331" s="1874"/>
      <c r="AVG331" s="1874"/>
      <c r="AVH331" s="1874"/>
      <c r="AVI331" s="1874"/>
      <c r="AVJ331" s="1874"/>
      <c r="AVK331" s="1874"/>
      <c r="AVL331" s="1874"/>
      <c r="AVM331" s="1874"/>
      <c r="AVN331" s="1874"/>
      <c r="AVO331" s="1874"/>
      <c r="AVP331" s="1874"/>
      <c r="AVQ331" s="1874"/>
      <c r="AVR331" s="1874"/>
      <c r="AVS331" s="1874"/>
      <c r="AVT331" s="1874"/>
      <c r="AVU331" s="1874"/>
      <c r="AVV331" s="1874"/>
      <c r="AVW331" s="1874"/>
      <c r="AVX331" s="1874"/>
      <c r="AVY331" s="1874"/>
      <c r="AVZ331" s="1874"/>
      <c r="AWA331" s="1874"/>
      <c r="AWB331" s="1874"/>
      <c r="AWC331" s="1874"/>
      <c r="AWD331" s="1874"/>
      <c r="AWE331" s="1874"/>
      <c r="AWF331" s="1874"/>
      <c r="AWG331" s="1874"/>
      <c r="AWH331" s="1874"/>
      <c r="AWI331" s="1874"/>
      <c r="AWJ331" s="1874"/>
      <c r="AWK331" s="1874"/>
      <c r="AWL331" s="1874"/>
      <c r="AWM331" s="1874"/>
      <c r="AWN331" s="1874"/>
      <c r="AWO331" s="1874"/>
      <c r="AWP331" s="1874"/>
      <c r="AWQ331" s="1874"/>
    </row>
    <row r="332" spans="1:1291" ht="15" customHeight="1" x14ac:dyDescent="0.2">
      <c r="A332" s="1995"/>
      <c r="B332" s="1970"/>
      <c r="C332" s="1816" t="s">
        <v>914</v>
      </c>
      <c r="D332" s="1889"/>
      <c r="E332" s="1996"/>
      <c r="F332" s="1838">
        <v>0</v>
      </c>
      <c r="G332" s="1804">
        <v>0</v>
      </c>
      <c r="H332" s="1804">
        <v>0</v>
      </c>
      <c r="I332" s="1804">
        <v>0</v>
      </c>
      <c r="J332" s="1804">
        <v>0</v>
      </c>
      <c r="K332" s="1804">
        <v>0</v>
      </c>
      <c r="L332" s="1804">
        <v>0</v>
      </c>
      <c r="M332" s="1804">
        <v>0</v>
      </c>
      <c r="N332" s="1804">
        <v>0</v>
      </c>
      <c r="O332" s="1804">
        <v>0</v>
      </c>
      <c r="P332" s="1804">
        <v>0</v>
      </c>
      <c r="Q332" s="1804">
        <v>0</v>
      </c>
      <c r="R332" s="1804">
        <v>0</v>
      </c>
      <c r="S332" s="1804">
        <v>0</v>
      </c>
      <c r="T332" s="1804">
        <v>0</v>
      </c>
      <c r="U332" s="1804">
        <v>0</v>
      </c>
      <c r="V332" s="1804">
        <v>0</v>
      </c>
      <c r="W332" s="1804">
        <v>0</v>
      </c>
      <c r="X332" s="1804">
        <v>0</v>
      </c>
      <c r="Y332" s="1804">
        <v>0</v>
      </c>
      <c r="Z332" s="1804">
        <v>0</v>
      </c>
      <c r="AA332" s="1804">
        <v>0</v>
      </c>
      <c r="AB332" s="1804">
        <v>0</v>
      </c>
      <c r="AC332" s="1804">
        <v>0</v>
      </c>
      <c r="AD332" s="1804">
        <v>0</v>
      </c>
      <c r="AE332" s="1804">
        <v>0</v>
      </c>
      <c r="AF332" s="1804">
        <v>0</v>
      </c>
      <c r="AG332" s="1804">
        <v>0</v>
      </c>
      <c r="AH332" s="1804">
        <v>0</v>
      </c>
      <c r="AI332" s="1804">
        <v>0</v>
      </c>
      <c r="AJ332" s="1804">
        <v>0</v>
      </c>
      <c r="AK332" s="1804">
        <v>0</v>
      </c>
      <c r="AL332" s="1804">
        <v>0</v>
      </c>
      <c r="AM332" s="1804">
        <v>0</v>
      </c>
      <c r="AN332" s="1804">
        <v>0</v>
      </c>
      <c r="AO332" s="1804">
        <v>0</v>
      </c>
      <c r="AP332" s="1804">
        <v>0</v>
      </c>
      <c r="AQ332" s="1804">
        <v>0</v>
      </c>
      <c r="AR332" s="1804">
        <v>0</v>
      </c>
      <c r="AS332" s="1804">
        <v>0</v>
      </c>
      <c r="AT332" s="1804">
        <v>0</v>
      </c>
      <c r="AU332" s="1804">
        <v>0</v>
      </c>
      <c r="AV332" s="1804">
        <v>0</v>
      </c>
      <c r="AW332" s="1804">
        <v>0</v>
      </c>
      <c r="AX332" s="1804">
        <v>0</v>
      </c>
      <c r="AY332" s="1804">
        <v>0</v>
      </c>
      <c r="AZ332" s="1804">
        <v>0</v>
      </c>
      <c r="BA332" s="1804">
        <v>0</v>
      </c>
      <c r="BB332" s="1804">
        <v>0</v>
      </c>
      <c r="BC332" s="1804">
        <v>0</v>
      </c>
      <c r="BD332" s="1804">
        <v>0</v>
      </c>
      <c r="BE332" s="1804">
        <v>0</v>
      </c>
      <c r="BF332" s="1804">
        <v>0</v>
      </c>
      <c r="BG332" s="1804">
        <v>0</v>
      </c>
      <c r="BH332" s="1804">
        <v>0</v>
      </c>
      <c r="BI332" s="1804">
        <v>0</v>
      </c>
      <c r="BJ332" s="1804">
        <v>0</v>
      </c>
      <c r="BK332" s="1804">
        <v>0</v>
      </c>
      <c r="BL332" s="1804">
        <v>0</v>
      </c>
      <c r="BM332" s="1804">
        <v>0</v>
      </c>
      <c r="BN332" s="1804">
        <v>0</v>
      </c>
      <c r="BO332" s="1804">
        <v>0</v>
      </c>
      <c r="BP332" s="1804">
        <v>0</v>
      </c>
      <c r="BQ332" s="1804">
        <v>0</v>
      </c>
      <c r="BR332" s="1804">
        <v>0</v>
      </c>
      <c r="BS332" s="1804">
        <v>0</v>
      </c>
      <c r="BT332" s="1804">
        <v>0</v>
      </c>
      <c r="BU332" s="1804">
        <v>0</v>
      </c>
      <c r="BV332" s="1804">
        <v>0</v>
      </c>
      <c r="BW332" s="1804">
        <v>0</v>
      </c>
      <c r="BX332" s="1804">
        <v>0</v>
      </c>
      <c r="BY332" s="1804">
        <v>0</v>
      </c>
      <c r="BZ332" s="1804">
        <v>0</v>
      </c>
      <c r="CA332" s="1804">
        <v>0</v>
      </c>
      <c r="CB332" s="1804">
        <v>0</v>
      </c>
      <c r="CC332" s="1804">
        <v>0</v>
      </c>
      <c r="CD332" s="1804">
        <v>0</v>
      </c>
      <c r="CE332" s="1804">
        <v>0</v>
      </c>
      <c r="CF332" s="1804">
        <v>0</v>
      </c>
      <c r="CG332" s="1804">
        <v>0</v>
      </c>
      <c r="CH332" s="1804">
        <v>0</v>
      </c>
      <c r="CI332" s="1804">
        <v>0</v>
      </c>
      <c r="CJ332" s="1804">
        <v>0</v>
      </c>
      <c r="CK332" s="1804">
        <v>0</v>
      </c>
      <c r="CL332" s="1804">
        <v>0</v>
      </c>
      <c r="CM332" s="1804">
        <v>0</v>
      </c>
      <c r="CN332" s="1804">
        <v>0</v>
      </c>
      <c r="CO332" s="1804">
        <v>0</v>
      </c>
      <c r="CP332" s="1804">
        <v>0</v>
      </c>
      <c r="CQ332" s="1804">
        <v>0</v>
      </c>
      <c r="CR332" s="1804">
        <v>0</v>
      </c>
      <c r="CS332" s="1804">
        <v>0</v>
      </c>
      <c r="CT332" s="1804">
        <v>0</v>
      </c>
      <c r="CU332" s="1804">
        <v>0</v>
      </c>
      <c r="CV332" s="1804">
        <v>0</v>
      </c>
      <c r="CW332" s="1804">
        <v>0</v>
      </c>
      <c r="CX332" s="1804">
        <v>0</v>
      </c>
      <c r="CY332" s="1804">
        <v>0</v>
      </c>
      <c r="CZ332" s="1804">
        <v>0</v>
      </c>
      <c r="DA332" s="1804">
        <v>0</v>
      </c>
      <c r="DB332" s="1804">
        <v>0</v>
      </c>
      <c r="DC332" s="1804">
        <v>0</v>
      </c>
      <c r="DD332" s="1804">
        <v>0</v>
      </c>
      <c r="DE332" s="1804">
        <v>0</v>
      </c>
      <c r="DF332" s="1804">
        <v>0</v>
      </c>
      <c r="DG332" s="1804">
        <v>0</v>
      </c>
      <c r="DH332" s="1804">
        <v>0</v>
      </c>
      <c r="DI332" s="1804">
        <v>0</v>
      </c>
      <c r="DJ332" s="1804">
        <v>0</v>
      </c>
      <c r="DK332" s="1804">
        <v>0</v>
      </c>
      <c r="DL332" s="1804">
        <v>0</v>
      </c>
      <c r="DM332" s="1804">
        <v>0</v>
      </c>
      <c r="DN332" s="1804">
        <v>0</v>
      </c>
      <c r="DO332" s="1804">
        <v>0</v>
      </c>
      <c r="DP332" s="1804">
        <v>0</v>
      </c>
      <c r="DQ332" s="1804">
        <v>0</v>
      </c>
      <c r="DR332" s="1804">
        <v>0</v>
      </c>
      <c r="DS332" s="1804">
        <v>0</v>
      </c>
      <c r="DT332" s="1804">
        <v>0</v>
      </c>
      <c r="DU332" s="1804">
        <v>0</v>
      </c>
      <c r="DV332" s="1804">
        <v>0</v>
      </c>
      <c r="DW332" s="1804">
        <v>0</v>
      </c>
      <c r="DX332" s="1804">
        <v>0</v>
      </c>
      <c r="DY332" s="1804">
        <v>0</v>
      </c>
      <c r="DZ332" s="1804">
        <v>0</v>
      </c>
      <c r="EA332" s="1804">
        <v>0</v>
      </c>
      <c r="EB332" s="1804">
        <v>0</v>
      </c>
      <c r="EC332" s="1804">
        <v>0</v>
      </c>
      <c r="ED332" s="1804">
        <v>0</v>
      </c>
      <c r="EE332" s="1804">
        <v>0</v>
      </c>
      <c r="EF332" s="1804">
        <v>0</v>
      </c>
      <c r="EG332" s="1804">
        <v>0</v>
      </c>
      <c r="EH332" s="1804">
        <v>0</v>
      </c>
      <c r="EI332" s="1804">
        <v>0</v>
      </c>
      <c r="EJ332" s="1804">
        <v>0</v>
      </c>
      <c r="EK332" s="1804">
        <v>0</v>
      </c>
      <c r="EL332" s="1804">
        <v>0</v>
      </c>
      <c r="EM332" s="1804">
        <v>0</v>
      </c>
      <c r="EN332" s="1804">
        <v>0</v>
      </c>
      <c r="EO332" s="1804">
        <v>0</v>
      </c>
      <c r="EP332" s="1804">
        <v>0</v>
      </c>
      <c r="EQ332" s="1804">
        <v>0</v>
      </c>
      <c r="ER332" s="1804">
        <v>0</v>
      </c>
      <c r="ES332" s="1804">
        <v>0</v>
      </c>
      <c r="ET332" s="1804">
        <v>0</v>
      </c>
      <c r="EU332" s="1804">
        <v>0</v>
      </c>
      <c r="EV332" s="1804">
        <v>0</v>
      </c>
      <c r="EW332" s="1804">
        <v>0</v>
      </c>
      <c r="EX332" s="1804">
        <v>0</v>
      </c>
      <c r="EY332" s="1804">
        <v>0</v>
      </c>
      <c r="EZ332" s="1804">
        <v>0</v>
      </c>
      <c r="FA332" s="1804">
        <v>0</v>
      </c>
      <c r="FB332" s="1804">
        <v>0</v>
      </c>
      <c r="FC332" s="1804">
        <v>0</v>
      </c>
      <c r="FD332" s="1804">
        <v>0</v>
      </c>
      <c r="FE332" s="1804">
        <v>0</v>
      </c>
      <c r="FF332" s="1804">
        <v>0</v>
      </c>
      <c r="FG332" s="1804">
        <v>0</v>
      </c>
      <c r="FH332" s="1804">
        <v>0</v>
      </c>
      <c r="FI332" s="1804">
        <v>0</v>
      </c>
      <c r="FJ332" s="1804">
        <v>0</v>
      </c>
      <c r="FK332" s="1804">
        <v>0</v>
      </c>
      <c r="FL332" s="1804">
        <v>0</v>
      </c>
      <c r="FM332" s="1804">
        <v>0</v>
      </c>
      <c r="FN332" s="1804">
        <v>0</v>
      </c>
      <c r="FO332" s="1804">
        <v>0</v>
      </c>
      <c r="FP332" s="1804">
        <v>0</v>
      </c>
      <c r="FQ332" s="1804">
        <v>0</v>
      </c>
      <c r="FR332" s="1804">
        <v>0</v>
      </c>
      <c r="FS332" s="1804">
        <v>0</v>
      </c>
      <c r="FT332" s="1804">
        <v>0</v>
      </c>
      <c r="FU332" s="1804">
        <v>0</v>
      </c>
      <c r="FV332" s="1804">
        <v>0</v>
      </c>
      <c r="FW332" s="1804">
        <v>0</v>
      </c>
      <c r="FX332" s="1804">
        <v>0</v>
      </c>
      <c r="FY332" s="1804">
        <v>0</v>
      </c>
      <c r="FZ332" s="1804">
        <v>0</v>
      </c>
      <c r="GA332" s="1804">
        <v>0</v>
      </c>
      <c r="GB332" s="1804">
        <v>0</v>
      </c>
      <c r="GC332" s="1804">
        <v>0</v>
      </c>
      <c r="GD332" s="1804">
        <v>0</v>
      </c>
      <c r="GE332" s="1804">
        <v>0</v>
      </c>
      <c r="GF332" s="1804">
        <v>0</v>
      </c>
      <c r="GG332" s="1804">
        <v>0</v>
      </c>
      <c r="GH332" s="1804">
        <v>0</v>
      </c>
      <c r="GI332" s="1804">
        <v>0</v>
      </c>
      <c r="GJ332" s="1804">
        <v>0</v>
      </c>
      <c r="GK332" s="1804">
        <v>0</v>
      </c>
      <c r="GL332" s="1804">
        <v>0</v>
      </c>
      <c r="GM332" s="1804">
        <v>0</v>
      </c>
      <c r="GN332" s="1804">
        <v>0</v>
      </c>
      <c r="GO332" s="1804">
        <v>0</v>
      </c>
      <c r="GP332" s="1804">
        <v>0</v>
      </c>
      <c r="GQ332" s="1804">
        <v>0</v>
      </c>
      <c r="GR332" s="1804">
        <v>0</v>
      </c>
      <c r="GS332" s="1804">
        <v>0</v>
      </c>
      <c r="GT332" s="1804">
        <v>0</v>
      </c>
      <c r="GU332" s="1804">
        <v>0</v>
      </c>
      <c r="GV332" s="1804">
        <v>0</v>
      </c>
      <c r="GW332" s="1804">
        <v>0</v>
      </c>
      <c r="GX332" s="1804">
        <v>0</v>
      </c>
      <c r="GY332" s="1804">
        <v>0</v>
      </c>
      <c r="GZ332" s="1804">
        <v>0</v>
      </c>
      <c r="HA332" s="1804">
        <v>0</v>
      </c>
      <c r="HB332" s="1804">
        <v>0</v>
      </c>
      <c r="HC332" s="1804">
        <v>0</v>
      </c>
      <c r="HD332" s="1804">
        <v>0</v>
      </c>
      <c r="HE332" s="1804">
        <v>0</v>
      </c>
    </row>
    <row r="333" spans="1:1291" ht="15" customHeight="1" x14ac:dyDescent="0.2">
      <c r="A333" s="1995"/>
      <c r="B333" s="1970"/>
      <c r="C333" s="1816" t="s">
        <v>915</v>
      </c>
      <c r="D333" s="1889"/>
      <c r="E333" s="1996"/>
      <c r="F333" s="1838">
        <v>0</v>
      </c>
      <c r="G333" s="1804">
        <v>0</v>
      </c>
      <c r="H333" s="1804">
        <v>0</v>
      </c>
      <c r="I333" s="1804">
        <v>0</v>
      </c>
      <c r="J333" s="1804">
        <v>0</v>
      </c>
      <c r="K333" s="1804">
        <v>0</v>
      </c>
      <c r="L333" s="1804">
        <v>0</v>
      </c>
      <c r="M333" s="1804">
        <v>0</v>
      </c>
      <c r="N333" s="1804">
        <v>0</v>
      </c>
      <c r="O333" s="1804">
        <v>0</v>
      </c>
      <c r="P333" s="1804">
        <v>0</v>
      </c>
      <c r="Q333" s="1804">
        <v>0</v>
      </c>
      <c r="R333" s="1804">
        <v>0</v>
      </c>
      <c r="S333" s="1804">
        <v>0</v>
      </c>
      <c r="T333" s="1804">
        <v>0</v>
      </c>
      <c r="U333" s="1804">
        <v>0</v>
      </c>
      <c r="V333" s="1804">
        <v>0</v>
      </c>
      <c r="W333" s="1804">
        <v>0</v>
      </c>
      <c r="X333" s="1804">
        <v>0</v>
      </c>
      <c r="Y333" s="1804">
        <v>0</v>
      </c>
      <c r="Z333" s="1804">
        <v>0</v>
      </c>
      <c r="AA333" s="1804">
        <v>0</v>
      </c>
      <c r="AB333" s="1804">
        <v>0</v>
      </c>
      <c r="AC333" s="1804">
        <v>0</v>
      </c>
      <c r="AD333" s="1804">
        <v>0</v>
      </c>
      <c r="AE333" s="1804">
        <v>0</v>
      </c>
      <c r="AF333" s="1804">
        <v>0</v>
      </c>
      <c r="AG333" s="1804">
        <v>0</v>
      </c>
      <c r="AH333" s="1804">
        <v>0</v>
      </c>
      <c r="AI333" s="1804">
        <v>0</v>
      </c>
      <c r="AJ333" s="1804">
        <v>0</v>
      </c>
      <c r="AK333" s="1804">
        <v>0</v>
      </c>
      <c r="AL333" s="1804">
        <v>0</v>
      </c>
      <c r="AM333" s="1804">
        <v>0</v>
      </c>
      <c r="AN333" s="1804">
        <v>0</v>
      </c>
      <c r="AO333" s="1804">
        <v>0</v>
      </c>
      <c r="AP333" s="1804">
        <v>0</v>
      </c>
      <c r="AQ333" s="1804">
        <v>0</v>
      </c>
      <c r="AR333" s="1804">
        <v>0</v>
      </c>
      <c r="AS333" s="1804">
        <v>0</v>
      </c>
      <c r="AT333" s="1804">
        <v>0</v>
      </c>
      <c r="AU333" s="1804">
        <v>0</v>
      </c>
      <c r="AV333" s="1804">
        <v>0</v>
      </c>
      <c r="AW333" s="1804">
        <v>0</v>
      </c>
      <c r="AX333" s="1804">
        <v>0</v>
      </c>
      <c r="AY333" s="1804">
        <v>0</v>
      </c>
      <c r="AZ333" s="1804">
        <v>0</v>
      </c>
      <c r="BA333" s="1804">
        <v>0</v>
      </c>
      <c r="BB333" s="1804">
        <v>0</v>
      </c>
      <c r="BC333" s="1804">
        <v>0</v>
      </c>
      <c r="BD333" s="1804">
        <v>0</v>
      </c>
      <c r="BE333" s="1804">
        <v>0</v>
      </c>
      <c r="BF333" s="1804">
        <v>0</v>
      </c>
      <c r="BG333" s="1804">
        <v>0</v>
      </c>
      <c r="BH333" s="1804">
        <v>0</v>
      </c>
      <c r="BI333" s="1804">
        <v>0</v>
      </c>
      <c r="BJ333" s="1804">
        <v>0</v>
      </c>
      <c r="BK333" s="1804">
        <v>0</v>
      </c>
      <c r="BL333" s="1804">
        <v>0</v>
      </c>
      <c r="BM333" s="1804">
        <v>0</v>
      </c>
      <c r="BN333" s="1804">
        <v>0</v>
      </c>
      <c r="BO333" s="1804">
        <v>0</v>
      </c>
      <c r="BP333" s="1804">
        <v>0</v>
      </c>
      <c r="BQ333" s="1804">
        <v>0</v>
      </c>
      <c r="BR333" s="1804">
        <v>0</v>
      </c>
      <c r="BS333" s="1804">
        <v>0</v>
      </c>
      <c r="BT333" s="1804">
        <v>0</v>
      </c>
      <c r="BU333" s="1804">
        <v>0</v>
      </c>
      <c r="BV333" s="1804">
        <v>0</v>
      </c>
      <c r="BW333" s="1804">
        <v>0</v>
      </c>
      <c r="BX333" s="1804">
        <v>0</v>
      </c>
      <c r="BY333" s="1804">
        <v>0</v>
      </c>
      <c r="BZ333" s="1804">
        <v>0</v>
      </c>
      <c r="CA333" s="1804">
        <v>0</v>
      </c>
      <c r="CB333" s="1804">
        <v>0</v>
      </c>
      <c r="CC333" s="1804">
        <v>0</v>
      </c>
      <c r="CD333" s="1804">
        <v>0</v>
      </c>
      <c r="CE333" s="1804">
        <v>0</v>
      </c>
      <c r="CF333" s="1804">
        <v>0</v>
      </c>
      <c r="CG333" s="1804">
        <v>0</v>
      </c>
      <c r="CH333" s="1804">
        <v>0</v>
      </c>
      <c r="CI333" s="1804">
        <v>0</v>
      </c>
      <c r="CJ333" s="1804">
        <v>0</v>
      </c>
      <c r="CK333" s="1804">
        <v>0</v>
      </c>
      <c r="CL333" s="1804">
        <v>0</v>
      </c>
      <c r="CM333" s="1804">
        <v>0</v>
      </c>
      <c r="CN333" s="1804">
        <v>0</v>
      </c>
      <c r="CO333" s="1804">
        <v>0</v>
      </c>
      <c r="CP333" s="1804">
        <v>0</v>
      </c>
      <c r="CQ333" s="1804">
        <v>0</v>
      </c>
      <c r="CR333" s="1804">
        <v>0</v>
      </c>
      <c r="CS333" s="1804">
        <v>0</v>
      </c>
      <c r="CT333" s="1804">
        <v>0</v>
      </c>
      <c r="CU333" s="1804">
        <v>0</v>
      </c>
      <c r="CV333" s="1804">
        <v>0</v>
      </c>
      <c r="CW333" s="1804">
        <v>0</v>
      </c>
      <c r="CX333" s="1804">
        <v>0</v>
      </c>
      <c r="CY333" s="1804">
        <v>0</v>
      </c>
      <c r="CZ333" s="1804">
        <v>0</v>
      </c>
      <c r="DA333" s="1804">
        <v>0</v>
      </c>
      <c r="DB333" s="1804">
        <v>0</v>
      </c>
      <c r="DC333" s="1804">
        <v>0</v>
      </c>
      <c r="DD333" s="1804">
        <v>0</v>
      </c>
      <c r="DE333" s="1804">
        <v>0</v>
      </c>
      <c r="DF333" s="1804">
        <v>0</v>
      </c>
      <c r="DG333" s="1804">
        <v>0</v>
      </c>
      <c r="DH333" s="1804">
        <v>0</v>
      </c>
      <c r="DI333" s="1804">
        <v>0</v>
      </c>
      <c r="DJ333" s="1804">
        <v>0</v>
      </c>
      <c r="DK333" s="1804">
        <v>0</v>
      </c>
      <c r="DL333" s="1804">
        <v>0</v>
      </c>
      <c r="DM333" s="1804">
        <v>0</v>
      </c>
      <c r="DN333" s="1804">
        <v>0</v>
      </c>
      <c r="DO333" s="1804">
        <v>0</v>
      </c>
      <c r="DP333" s="1804">
        <v>0</v>
      </c>
      <c r="DQ333" s="1804">
        <v>0</v>
      </c>
      <c r="DR333" s="1804">
        <v>0</v>
      </c>
      <c r="DS333" s="1804">
        <v>0</v>
      </c>
      <c r="DT333" s="1804">
        <v>0</v>
      </c>
      <c r="DU333" s="1804">
        <v>0</v>
      </c>
      <c r="DV333" s="1804">
        <v>0</v>
      </c>
      <c r="DW333" s="1804">
        <v>0</v>
      </c>
      <c r="DX333" s="1804">
        <v>0</v>
      </c>
      <c r="DY333" s="1804">
        <v>0</v>
      </c>
      <c r="DZ333" s="1804">
        <v>0</v>
      </c>
      <c r="EA333" s="1804">
        <v>0</v>
      </c>
      <c r="EB333" s="1804">
        <v>0</v>
      </c>
      <c r="EC333" s="1804">
        <v>0</v>
      </c>
      <c r="ED333" s="1804">
        <v>0</v>
      </c>
      <c r="EE333" s="1804">
        <v>0</v>
      </c>
      <c r="EF333" s="1804">
        <v>0</v>
      </c>
      <c r="EG333" s="1804">
        <v>0</v>
      </c>
      <c r="EH333" s="1804">
        <v>0</v>
      </c>
      <c r="EI333" s="1804">
        <v>0</v>
      </c>
      <c r="EJ333" s="1804">
        <v>0</v>
      </c>
      <c r="EK333" s="1804">
        <v>0</v>
      </c>
      <c r="EL333" s="1804">
        <v>0</v>
      </c>
      <c r="EM333" s="1804">
        <v>0</v>
      </c>
      <c r="EN333" s="1804">
        <v>0</v>
      </c>
      <c r="EO333" s="1804">
        <v>0</v>
      </c>
      <c r="EP333" s="1804">
        <v>0</v>
      </c>
      <c r="EQ333" s="1804">
        <v>0</v>
      </c>
      <c r="ER333" s="1804">
        <v>0</v>
      </c>
      <c r="ES333" s="1804">
        <v>0</v>
      </c>
      <c r="ET333" s="1804">
        <v>0</v>
      </c>
      <c r="EU333" s="1804">
        <v>0</v>
      </c>
      <c r="EV333" s="1804">
        <v>0</v>
      </c>
      <c r="EW333" s="1804">
        <v>0</v>
      </c>
      <c r="EX333" s="1804">
        <v>0</v>
      </c>
      <c r="EY333" s="1804">
        <v>0</v>
      </c>
      <c r="EZ333" s="1804">
        <v>0</v>
      </c>
      <c r="FA333" s="1804">
        <v>0</v>
      </c>
      <c r="FB333" s="1804">
        <v>0</v>
      </c>
      <c r="FC333" s="1804">
        <v>0</v>
      </c>
      <c r="FD333" s="1804">
        <v>0</v>
      </c>
      <c r="FE333" s="1804">
        <v>0</v>
      </c>
      <c r="FF333" s="1804">
        <v>0</v>
      </c>
      <c r="FG333" s="1804">
        <v>0</v>
      </c>
      <c r="FH333" s="1804">
        <v>0</v>
      </c>
      <c r="FI333" s="1804">
        <v>0</v>
      </c>
      <c r="FJ333" s="1804">
        <v>0</v>
      </c>
      <c r="FK333" s="1804">
        <v>0</v>
      </c>
      <c r="FL333" s="1804">
        <v>0</v>
      </c>
      <c r="FM333" s="1804">
        <v>0</v>
      </c>
      <c r="FN333" s="1804">
        <v>0</v>
      </c>
      <c r="FO333" s="1804">
        <v>0</v>
      </c>
      <c r="FP333" s="1804">
        <v>0</v>
      </c>
      <c r="FQ333" s="1804">
        <v>0</v>
      </c>
      <c r="FR333" s="1804">
        <v>0</v>
      </c>
      <c r="FS333" s="1804">
        <v>0</v>
      </c>
      <c r="FT333" s="1804">
        <v>0</v>
      </c>
      <c r="FU333" s="1804">
        <v>0</v>
      </c>
      <c r="FV333" s="1804">
        <v>0</v>
      </c>
      <c r="FW333" s="1804">
        <v>0</v>
      </c>
      <c r="FX333" s="1804">
        <v>0</v>
      </c>
      <c r="FY333" s="1804">
        <v>0</v>
      </c>
      <c r="FZ333" s="1804">
        <v>0</v>
      </c>
      <c r="GA333" s="1804">
        <v>0</v>
      </c>
      <c r="GB333" s="1804">
        <v>0</v>
      </c>
      <c r="GC333" s="1804">
        <v>0</v>
      </c>
      <c r="GD333" s="1804">
        <v>0</v>
      </c>
      <c r="GE333" s="1804">
        <v>0</v>
      </c>
      <c r="GF333" s="1804">
        <v>0</v>
      </c>
      <c r="GG333" s="1804">
        <v>0</v>
      </c>
      <c r="GH333" s="1804">
        <v>0</v>
      </c>
      <c r="GI333" s="1804">
        <v>0</v>
      </c>
      <c r="GJ333" s="1804">
        <v>0</v>
      </c>
      <c r="GK333" s="1804">
        <v>0</v>
      </c>
      <c r="GL333" s="1804">
        <v>0</v>
      </c>
      <c r="GM333" s="1804">
        <v>0</v>
      </c>
      <c r="GN333" s="1804">
        <v>0</v>
      </c>
      <c r="GO333" s="1804">
        <v>0</v>
      </c>
      <c r="GP333" s="1804">
        <v>0</v>
      </c>
      <c r="GQ333" s="1804">
        <v>0</v>
      </c>
      <c r="GR333" s="1804">
        <v>0</v>
      </c>
      <c r="GS333" s="1804">
        <v>0</v>
      </c>
      <c r="GT333" s="1804">
        <v>0</v>
      </c>
      <c r="GU333" s="1804">
        <v>0</v>
      </c>
      <c r="GV333" s="1804">
        <v>0</v>
      </c>
      <c r="GW333" s="1804">
        <v>0</v>
      </c>
      <c r="GX333" s="1804">
        <v>0</v>
      </c>
      <c r="GY333" s="1804">
        <v>0</v>
      </c>
      <c r="GZ333" s="1804">
        <v>0</v>
      </c>
      <c r="HA333" s="1804">
        <v>0</v>
      </c>
      <c r="HB333" s="1804">
        <v>0</v>
      </c>
      <c r="HC333" s="1804">
        <v>0</v>
      </c>
      <c r="HD333" s="1804">
        <v>0</v>
      </c>
      <c r="HE333" s="1804">
        <v>0</v>
      </c>
    </row>
    <row r="334" spans="1:1291" ht="15" customHeight="1" thickBot="1" x14ac:dyDescent="0.25">
      <c r="A334" s="1950"/>
      <c r="B334" s="1971"/>
      <c r="C334" s="1701" t="s">
        <v>916</v>
      </c>
      <c r="D334" s="1889"/>
      <c r="E334" s="1996"/>
      <c r="F334" s="1838">
        <v>0</v>
      </c>
      <c r="G334" s="1804">
        <v>0</v>
      </c>
      <c r="H334" s="1804">
        <v>0</v>
      </c>
      <c r="I334" s="1804">
        <v>0</v>
      </c>
      <c r="J334" s="1804">
        <v>0</v>
      </c>
      <c r="K334" s="1804">
        <v>0</v>
      </c>
      <c r="L334" s="1804">
        <v>0</v>
      </c>
      <c r="M334" s="1804">
        <v>0</v>
      </c>
      <c r="N334" s="1804">
        <v>0</v>
      </c>
      <c r="O334" s="1804">
        <v>0</v>
      </c>
      <c r="P334" s="1804">
        <v>0</v>
      </c>
      <c r="Q334" s="1804">
        <v>0</v>
      </c>
      <c r="R334" s="1804">
        <v>0</v>
      </c>
      <c r="S334" s="1804">
        <v>0</v>
      </c>
      <c r="T334" s="1804">
        <v>0</v>
      </c>
      <c r="U334" s="1804">
        <v>0</v>
      </c>
      <c r="V334" s="1804">
        <v>0</v>
      </c>
      <c r="W334" s="1804">
        <v>0</v>
      </c>
      <c r="X334" s="1804">
        <v>0</v>
      </c>
      <c r="Y334" s="1804">
        <v>0</v>
      </c>
      <c r="Z334" s="1804">
        <v>0</v>
      </c>
      <c r="AA334" s="1804">
        <v>0</v>
      </c>
      <c r="AB334" s="1804">
        <v>0</v>
      </c>
      <c r="AC334" s="1804">
        <v>0</v>
      </c>
      <c r="AD334" s="1804">
        <v>0</v>
      </c>
      <c r="AE334" s="1804">
        <v>0</v>
      </c>
      <c r="AF334" s="1804">
        <v>0</v>
      </c>
      <c r="AG334" s="1804">
        <v>0</v>
      </c>
      <c r="AH334" s="1804">
        <v>0</v>
      </c>
      <c r="AI334" s="1804">
        <v>0</v>
      </c>
      <c r="AJ334" s="1804">
        <v>0</v>
      </c>
      <c r="AK334" s="1804">
        <v>0</v>
      </c>
      <c r="AL334" s="1804">
        <v>0</v>
      </c>
      <c r="AM334" s="1804">
        <v>0</v>
      </c>
      <c r="AN334" s="1804">
        <v>0</v>
      </c>
      <c r="AO334" s="1804">
        <v>0</v>
      </c>
      <c r="AP334" s="1804">
        <v>0</v>
      </c>
      <c r="AQ334" s="1804">
        <v>0</v>
      </c>
      <c r="AR334" s="1804">
        <v>0</v>
      </c>
      <c r="AS334" s="1804">
        <v>0</v>
      </c>
      <c r="AT334" s="1804">
        <v>0</v>
      </c>
      <c r="AU334" s="1804">
        <v>0</v>
      </c>
      <c r="AV334" s="1804">
        <v>0</v>
      </c>
      <c r="AW334" s="1804">
        <v>0</v>
      </c>
      <c r="AX334" s="1804">
        <v>0</v>
      </c>
      <c r="AY334" s="1804">
        <v>0</v>
      </c>
      <c r="AZ334" s="1804">
        <v>0</v>
      </c>
      <c r="BA334" s="1804">
        <v>0</v>
      </c>
      <c r="BB334" s="1804">
        <v>0</v>
      </c>
      <c r="BC334" s="1804">
        <v>0</v>
      </c>
      <c r="BD334" s="1804">
        <v>0</v>
      </c>
      <c r="BE334" s="1804">
        <v>0</v>
      </c>
      <c r="BF334" s="1804">
        <v>0</v>
      </c>
      <c r="BG334" s="1804">
        <v>0</v>
      </c>
      <c r="BH334" s="1804">
        <v>0</v>
      </c>
      <c r="BI334" s="1804">
        <v>0</v>
      </c>
      <c r="BJ334" s="1804">
        <v>0</v>
      </c>
      <c r="BK334" s="1804">
        <v>0</v>
      </c>
      <c r="BL334" s="1804">
        <v>0</v>
      </c>
      <c r="BM334" s="1804">
        <v>0</v>
      </c>
      <c r="BN334" s="1804">
        <v>0</v>
      </c>
      <c r="BO334" s="1804">
        <v>0</v>
      </c>
      <c r="BP334" s="1804">
        <v>0</v>
      </c>
      <c r="BQ334" s="1804">
        <v>0</v>
      </c>
      <c r="BR334" s="1804">
        <v>0</v>
      </c>
      <c r="BS334" s="1804">
        <v>0</v>
      </c>
      <c r="BT334" s="1804">
        <v>0</v>
      </c>
      <c r="BU334" s="1804">
        <v>0</v>
      </c>
      <c r="BV334" s="1804">
        <v>0</v>
      </c>
      <c r="BW334" s="1804">
        <v>0</v>
      </c>
      <c r="BX334" s="1804">
        <v>0</v>
      </c>
      <c r="BY334" s="1804">
        <v>0</v>
      </c>
      <c r="BZ334" s="1804">
        <v>0</v>
      </c>
      <c r="CA334" s="1804">
        <v>0</v>
      </c>
      <c r="CB334" s="1804">
        <v>0</v>
      </c>
      <c r="CC334" s="1804">
        <v>0</v>
      </c>
      <c r="CD334" s="1804">
        <v>0</v>
      </c>
      <c r="CE334" s="1804">
        <v>0</v>
      </c>
      <c r="CF334" s="1804">
        <v>0</v>
      </c>
      <c r="CG334" s="1804">
        <v>0</v>
      </c>
      <c r="CH334" s="1804">
        <v>0</v>
      </c>
      <c r="CI334" s="1804">
        <v>0</v>
      </c>
      <c r="CJ334" s="1804">
        <v>0</v>
      </c>
      <c r="CK334" s="1804">
        <v>0</v>
      </c>
      <c r="CL334" s="1804">
        <v>0</v>
      </c>
      <c r="CM334" s="1804">
        <v>0</v>
      </c>
      <c r="CN334" s="1804">
        <v>0</v>
      </c>
      <c r="CO334" s="1804">
        <v>0</v>
      </c>
      <c r="CP334" s="1804">
        <v>0</v>
      </c>
      <c r="CQ334" s="1804">
        <v>0</v>
      </c>
      <c r="CR334" s="1804">
        <v>0</v>
      </c>
      <c r="CS334" s="1804">
        <v>0</v>
      </c>
      <c r="CT334" s="1804">
        <v>0</v>
      </c>
      <c r="CU334" s="1804">
        <v>0</v>
      </c>
      <c r="CV334" s="1804">
        <v>0</v>
      </c>
      <c r="CW334" s="1804">
        <v>0</v>
      </c>
      <c r="CX334" s="1804">
        <v>0</v>
      </c>
      <c r="CY334" s="1804">
        <v>0</v>
      </c>
      <c r="CZ334" s="1804">
        <v>0</v>
      </c>
      <c r="DA334" s="1804">
        <v>0</v>
      </c>
      <c r="DB334" s="1804">
        <v>0</v>
      </c>
      <c r="DC334" s="1804">
        <v>0</v>
      </c>
      <c r="DD334" s="1804">
        <v>0</v>
      </c>
      <c r="DE334" s="1804">
        <v>0</v>
      </c>
      <c r="DF334" s="1804">
        <v>0</v>
      </c>
      <c r="DG334" s="1804">
        <v>0</v>
      </c>
      <c r="DH334" s="1804">
        <v>0</v>
      </c>
      <c r="DI334" s="1804">
        <v>0</v>
      </c>
      <c r="DJ334" s="1804">
        <v>0</v>
      </c>
      <c r="DK334" s="1804">
        <v>0</v>
      </c>
      <c r="DL334" s="1804">
        <v>0</v>
      </c>
      <c r="DM334" s="1804">
        <v>0</v>
      </c>
      <c r="DN334" s="1804">
        <v>0</v>
      </c>
      <c r="DO334" s="1804">
        <v>0</v>
      </c>
      <c r="DP334" s="1804">
        <v>0</v>
      </c>
      <c r="DQ334" s="1804">
        <v>0</v>
      </c>
      <c r="DR334" s="1804">
        <v>0</v>
      </c>
      <c r="DS334" s="1804">
        <v>0</v>
      </c>
      <c r="DT334" s="1804">
        <v>0</v>
      </c>
      <c r="DU334" s="1804">
        <v>0</v>
      </c>
      <c r="DV334" s="1804">
        <v>0</v>
      </c>
      <c r="DW334" s="1804">
        <v>0</v>
      </c>
      <c r="DX334" s="1804">
        <v>0</v>
      </c>
      <c r="DY334" s="1804">
        <v>0</v>
      </c>
      <c r="DZ334" s="1804">
        <v>0</v>
      </c>
      <c r="EA334" s="1804">
        <v>0</v>
      </c>
      <c r="EB334" s="1804">
        <v>0</v>
      </c>
      <c r="EC334" s="1804">
        <v>0</v>
      </c>
      <c r="ED334" s="1804">
        <v>0</v>
      </c>
      <c r="EE334" s="1804">
        <v>0</v>
      </c>
      <c r="EF334" s="1804">
        <v>0</v>
      </c>
      <c r="EG334" s="1804">
        <v>0</v>
      </c>
      <c r="EH334" s="1804">
        <v>0</v>
      </c>
      <c r="EI334" s="1804">
        <v>0</v>
      </c>
      <c r="EJ334" s="1804">
        <v>0</v>
      </c>
      <c r="EK334" s="1804">
        <v>0</v>
      </c>
      <c r="EL334" s="1804">
        <v>0</v>
      </c>
      <c r="EM334" s="1804">
        <v>0</v>
      </c>
      <c r="EN334" s="1804">
        <v>0</v>
      </c>
      <c r="EO334" s="1804">
        <v>0</v>
      </c>
      <c r="EP334" s="1804">
        <v>0</v>
      </c>
      <c r="EQ334" s="1804">
        <v>0</v>
      </c>
      <c r="ER334" s="1804">
        <v>0</v>
      </c>
      <c r="ES334" s="1804">
        <v>0</v>
      </c>
      <c r="ET334" s="1804">
        <v>0</v>
      </c>
      <c r="EU334" s="1804">
        <v>0</v>
      </c>
      <c r="EV334" s="1804">
        <v>0</v>
      </c>
      <c r="EW334" s="1804">
        <v>0</v>
      </c>
      <c r="EX334" s="1804">
        <v>0</v>
      </c>
      <c r="EY334" s="1804">
        <v>0</v>
      </c>
      <c r="EZ334" s="1804">
        <v>0</v>
      </c>
      <c r="FA334" s="1804">
        <v>0</v>
      </c>
      <c r="FB334" s="1804">
        <v>0</v>
      </c>
      <c r="FC334" s="1804">
        <v>0</v>
      </c>
      <c r="FD334" s="1804">
        <v>0</v>
      </c>
      <c r="FE334" s="1804">
        <v>0</v>
      </c>
      <c r="FF334" s="1804">
        <v>0</v>
      </c>
      <c r="FG334" s="1804">
        <v>0</v>
      </c>
      <c r="FH334" s="1804">
        <v>0</v>
      </c>
      <c r="FI334" s="1804">
        <v>0</v>
      </c>
      <c r="FJ334" s="1804">
        <v>0</v>
      </c>
      <c r="FK334" s="1804">
        <v>0</v>
      </c>
      <c r="FL334" s="1804">
        <v>0</v>
      </c>
      <c r="FM334" s="1804">
        <v>0</v>
      </c>
      <c r="FN334" s="1804">
        <v>0</v>
      </c>
      <c r="FO334" s="1804">
        <v>0</v>
      </c>
      <c r="FP334" s="1804">
        <v>0</v>
      </c>
      <c r="FQ334" s="1804">
        <v>0</v>
      </c>
      <c r="FR334" s="1804">
        <v>0</v>
      </c>
      <c r="FS334" s="1804">
        <v>0</v>
      </c>
      <c r="FT334" s="1804">
        <v>0</v>
      </c>
      <c r="FU334" s="1804">
        <v>0</v>
      </c>
      <c r="FV334" s="1804">
        <v>0</v>
      </c>
      <c r="FW334" s="1804">
        <v>0</v>
      </c>
      <c r="FX334" s="1804">
        <v>0</v>
      </c>
      <c r="FY334" s="1804">
        <v>0</v>
      </c>
      <c r="FZ334" s="1804">
        <v>0</v>
      </c>
      <c r="GA334" s="1804">
        <v>0</v>
      </c>
      <c r="GB334" s="1804">
        <v>0</v>
      </c>
      <c r="GC334" s="1804">
        <v>0</v>
      </c>
      <c r="GD334" s="1804">
        <v>0</v>
      </c>
      <c r="GE334" s="1804">
        <v>0</v>
      </c>
      <c r="GF334" s="1804">
        <v>0</v>
      </c>
      <c r="GG334" s="1804">
        <v>0</v>
      </c>
      <c r="GH334" s="1804">
        <v>0</v>
      </c>
      <c r="GI334" s="1804">
        <v>0</v>
      </c>
      <c r="GJ334" s="1804">
        <v>0</v>
      </c>
      <c r="GK334" s="1804">
        <v>0</v>
      </c>
      <c r="GL334" s="1804">
        <v>0</v>
      </c>
      <c r="GM334" s="1804">
        <v>0</v>
      </c>
      <c r="GN334" s="1804">
        <v>0</v>
      </c>
      <c r="GO334" s="1804">
        <v>0</v>
      </c>
      <c r="GP334" s="1804">
        <v>0</v>
      </c>
      <c r="GQ334" s="1804">
        <v>0</v>
      </c>
      <c r="GR334" s="1804">
        <v>0</v>
      </c>
      <c r="GS334" s="1804">
        <v>0</v>
      </c>
      <c r="GT334" s="1804">
        <v>0</v>
      </c>
      <c r="GU334" s="1804">
        <v>0</v>
      </c>
      <c r="GV334" s="1804">
        <v>0</v>
      </c>
      <c r="GW334" s="1804">
        <v>0</v>
      </c>
      <c r="GX334" s="1804">
        <v>0</v>
      </c>
      <c r="GY334" s="1804">
        <v>0</v>
      </c>
      <c r="GZ334" s="1804">
        <v>0</v>
      </c>
      <c r="HA334" s="1804">
        <v>0</v>
      </c>
      <c r="HB334" s="1804">
        <v>0</v>
      </c>
      <c r="HC334" s="1804">
        <v>0</v>
      </c>
      <c r="HD334" s="1804">
        <v>0</v>
      </c>
      <c r="HE334" s="1804">
        <v>0</v>
      </c>
    </row>
    <row r="335" spans="1:1291" s="531" customFormat="1" ht="21" customHeight="1" thickBot="1" x14ac:dyDescent="0.25">
      <c r="A335" s="1949" t="s">
        <v>1901</v>
      </c>
      <c r="B335" s="1951" t="s">
        <v>1903</v>
      </c>
      <c r="C335" s="1716" t="s">
        <v>1902</v>
      </c>
      <c r="D335" s="1683"/>
      <c r="E335" s="1717"/>
      <c r="F335" s="1942"/>
      <c r="G335" s="1943"/>
      <c r="H335" s="1943"/>
      <c r="I335" s="1943"/>
      <c r="J335" s="1943"/>
      <c r="K335" s="1943"/>
      <c r="L335" s="1943"/>
      <c r="M335" s="1943"/>
      <c r="N335" s="1943"/>
      <c r="O335" s="1943"/>
      <c r="P335" s="1943"/>
      <c r="Q335" s="1943"/>
      <c r="R335" s="1943"/>
      <c r="S335" s="1943"/>
      <c r="T335" s="1943"/>
      <c r="U335" s="1943"/>
      <c r="V335" s="1943"/>
      <c r="W335" s="1943"/>
      <c r="X335" s="1943"/>
      <c r="Y335" s="1943"/>
      <c r="Z335" s="1943"/>
      <c r="AA335" s="1943"/>
      <c r="AB335" s="1943"/>
      <c r="AC335" s="1943"/>
      <c r="AD335" s="1943"/>
      <c r="AE335" s="1943"/>
      <c r="AF335" s="1943"/>
      <c r="AG335" s="1943"/>
      <c r="AH335" s="1943"/>
      <c r="AI335" s="1943"/>
      <c r="AJ335" s="1943"/>
      <c r="AK335" s="1943"/>
      <c r="AL335" s="1943"/>
      <c r="AM335" s="1943"/>
      <c r="AN335" s="1943"/>
      <c r="AO335" s="1943"/>
      <c r="AP335" s="1943"/>
      <c r="AQ335" s="1943"/>
      <c r="AR335" s="1943"/>
      <c r="AS335" s="1943"/>
      <c r="AT335" s="1943"/>
      <c r="AU335" s="1943"/>
      <c r="AV335" s="1943"/>
      <c r="AW335" s="1943"/>
      <c r="AX335" s="1943"/>
      <c r="AY335" s="1943"/>
      <c r="AZ335" s="1943"/>
      <c r="BA335" s="1943"/>
      <c r="BB335" s="1943"/>
      <c r="BC335" s="1943"/>
      <c r="BD335" s="1943"/>
      <c r="BE335" s="1943"/>
      <c r="BF335" s="1943"/>
      <c r="BG335" s="1943"/>
      <c r="BH335" s="1943"/>
      <c r="BI335" s="1943"/>
      <c r="BJ335" s="1943"/>
      <c r="BK335" s="1943"/>
      <c r="BL335" s="1943"/>
      <c r="BM335" s="1943"/>
      <c r="BN335" s="1943"/>
      <c r="BO335" s="1943"/>
      <c r="BP335" s="1943"/>
      <c r="BQ335" s="1943"/>
      <c r="BR335" s="1943"/>
      <c r="BS335" s="1943"/>
      <c r="BT335" s="1943"/>
      <c r="BU335" s="1943"/>
      <c r="BV335" s="1943"/>
      <c r="BW335" s="1943"/>
      <c r="BX335" s="1943"/>
      <c r="BY335" s="1943"/>
      <c r="BZ335" s="1943"/>
      <c r="CA335" s="1943"/>
      <c r="CB335" s="1943"/>
      <c r="CC335" s="1943"/>
      <c r="CD335" s="1943"/>
      <c r="CE335" s="1943"/>
      <c r="CF335" s="1943"/>
      <c r="CG335" s="1943"/>
      <c r="CH335" s="1943"/>
      <c r="CI335" s="1943"/>
      <c r="CJ335" s="1943"/>
      <c r="CK335" s="1943"/>
      <c r="CL335" s="1943"/>
      <c r="CM335" s="1943"/>
      <c r="CN335" s="1943"/>
      <c r="CO335" s="1943"/>
      <c r="CP335" s="1943"/>
      <c r="CQ335" s="1943"/>
      <c r="CR335" s="1943"/>
      <c r="CS335" s="1943"/>
      <c r="CT335" s="1943"/>
      <c r="CU335" s="1943"/>
      <c r="CV335" s="1943"/>
      <c r="CW335" s="1943"/>
      <c r="CX335" s="1943"/>
      <c r="CY335" s="1943"/>
      <c r="CZ335" s="1943"/>
      <c r="DA335" s="1943"/>
      <c r="DB335" s="1943"/>
      <c r="DC335" s="1943"/>
      <c r="DD335" s="1943"/>
      <c r="DE335" s="1943"/>
      <c r="DF335" s="1943"/>
      <c r="DG335" s="1943"/>
      <c r="DH335" s="1943"/>
      <c r="DI335" s="1943"/>
      <c r="DJ335" s="1943"/>
      <c r="DK335" s="1943"/>
      <c r="DL335" s="1943"/>
      <c r="DM335" s="1943"/>
      <c r="DN335" s="1943"/>
      <c r="DO335" s="1943"/>
      <c r="DP335" s="1943"/>
      <c r="DQ335" s="1943"/>
      <c r="DR335" s="1943"/>
      <c r="DS335" s="1943"/>
      <c r="DT335" s="1943"/>
      <c r="DU335" s="1943"/>
      <c r="DV335" s="1943"/>
      <c r="DW335" s="1943"/>
      <c r="DX335" s="1943"/>
      <c r="DY335" s="1943"/>
      <c r="DZ335" s="1943"/>
      <c r="EA335" s="1943"/>
      <c r="EB335" s="1943"/>
      <c r="EC335" s="1943"/>
      <c r="ED335" s="1943"/>
      <c r="EE335" s="1943"/>
      <c r="EF335" s="1943"/>
      <c r="EG335" s="1943"/>
      <c r="EH335" s="1943"/>
      <c r="EI335" s="1943"/>
      <c r="EJ335" s="1943"/>
      <c r="EK335" s="1943"/>
      <c r="EL335" s="1943"/>
      <c r="EM335" s="1943"/>
      <c r="EN335" s="1943"/>
      <c r="EO335" s="1943"/>
      <c r="EP335" s="1943"/>
      <c r="EQ335" s="1943"/>
      <c r="ER335" s="1943"/>
      <c r="ES335" s="1943"/>
      <c r="ET335" s="1943"/>
      <c r="EU335" s="1943"/>
      <c r="EV335" s="1943"/>
      <c r="EW335" s="1943"/>
      <c r="EX335" s="1943"/>
      <c r="EY335" s="1943"/>
      <c r="EZ335" s="1943"/>
      <c r="FA335" s="1943"/>
      <c r="FB335" s="1943"/>
      <c r="FC335" s="1943"/>
      <c r="FD335" s="1943"/>
      <c r="FE335" s="1943"/>
      <c r="FF335" s="1943"/>
      <c r="FG335" s="1943"/>
      <c r="FH335" s="1943"/>
      <c r="FI335" s="1943"/>
      <c r="FJ335" s="1943"/>
      <c r="FK335" s="1943"/>
      <c r="FL335" s="1943"/>
      <c r="FM335" s="1943"/>
      <c r="FN335" s="1943"/>
      <c r="FO335" s="1943"/>
      <c r="FP335" s="1943"/>
      <c r="FQ335" s="1943"/>
      <c r="FR335" s="1943"/>
      <c r="FS335" s="1943"/>
      <c r="FT335" s="1943"/>
      <c r="FU335" s="1943"/>
      <c r="FV335" s="1943"/>
      <c r="FW335" s="1943"/>
      <c r="FX335" s="1943"/>
      <c r="FY335" s="1943"/>
      <c r="FZ335" s="1943"/>
      <c r="GA335" s="1943"/>
      <c r="GB335" s="1943"/>
      <c r="GC335" s="1943"/>
      <c r="GD335" s="1943"/>
      <c r="GE335" s="1943"/>
      <c r="GF335" s="1943"/>
      <c r="GG335" s="1943"/>
      <c r="GH335" s="1943"/>
      <c r="GI335" s="1943"/>
      <c r="GJ335" s="1943"/>
      <c r="GK335" s="1943"/>
      <c r="GL335" s="1943"/>
      <c r="GM335" s="1943"/>
      <c r="GN335" s="1943"/>
      <c r="GO335" s="1943"/>
      <c r="GP335" s="1943"/>
      <c r="GQ335" s="1943"/>
      <c r="GR335" s="1943"/>
      <c r="GS335" s="1943"/>
      <c r="GT335" s="1943"/>
      <c r="GU335" s="1943"/>
      <c r="GV335" s="1943"/>
      <c r="GW335" s="1943"/>
      <c r="GX335" s="1943"/>
      <c r="GY335" s="1943"/>
      <c r="GZ335" s="1943"/>
      <c r="HA335" s="1943"/>
      <c r="HB335" s="1943"/>
      <c r="HC335" s="1943"/>
      <c r="HD335" s="1943"/>
      <c r="HE335" s="1943"/>
      <c r="HF335" s="48"/>
      <c r="HG335" s="48"/>
      <c r="HH335" s="48"/>
      <c r="HI335" s="48"/>
      <c r="HJ335" s="48"/>
      <c r="HK335" s="48"/>
      <c r="HL335" s="48"/>
      <c r="HM335" s="48"/>
      <c r="HN335" s="48"/>
      <c r="HO335" s="48"/>
      <c r="HP335" s="48"/>
      <c r="HQ335" s="48"/>
      <c r="HR335" s="48"/>
      <c r="HS335" s="48"/>
      <c r="HT335" s="48"/>
      <c r="HU335" s="48"/>
      <c r="HV335" s="48"/>
      <c r="HW335" s="48"/>
      <c r="HX335" s="48"/>
      <c r="HY335" s="48"/>
      <c r="HZ335" s="48"/>
      <c r="IA335" s="48"/>
      <c r="IB335" s="48"/>
      <c r="IC335" s="48"/>
      <c r="ID335" s="48"/>
      <c r="IE335" s="48"/>
      <c r="IF335" s="48"/>
      <c r="IG335" s="48"/>
      <c r="IH335" s="48"/>
      <c r="II335" s="48"/>
      <c r="IJ335" s="48"/>
      <c r="IK335" s="48"/>
      <c r="IL335" s="48"/>
      <c r="IM335" s="48"/>
      <c r="IN335" s="48"/>
      <c r="IO335" s="48"/>
      <c r="IP335" s="48"/>
      <c r="IQ335" s="48"/>
      <c r="IR335" s="48"/>
      <c r="IS335" s="48"/>
      <c r="IT335" s="48"/>
      <c r="IU335" s="48"/>
      <c r="IV335" s="48"/>
      <c r="IW335" s="48"/>
      <c r="IX335" s="48"/>
      <c r="IY335" s="48"/>
      <c r="IZ335" s="48"/>
      <c r="JA335" s="48"/>
      <c r="JB335" s="48"/>
      <c r="JC335" s="48"/>
      <c r="JD335" s="48"/>
      <c r="JE335" s="48"/>
      <c r="JF335" s="48"/>
      <c r="JG335" s="48"/>
      <c r="JH335" s="48"/>
      <c r="JI335" s="48"/>
      <c r="JJ335" s="48"/>
      <c r="JK335" s="48"/>
      <c r="JL335" s="48"/>
      <c r="JM335" s="48"/>
      <c r="JN335" s="48"/>
      <c r="JO335" s="48"/>
      <c r="JP335" s="48"/>
      <c r="JQ335" s="48"/>
      <c r="JR335" s="48"/>
      <c r="JS335" s="48"/>
      <c r="JT335" s="48"/>
      <c r="JU335" s="48"/>
      <c r="JV335" s="48"/>
      <c r="JW335" s="48"/>
      <c r="JX335" s="48"/>
      <c r="JY335" s="48"/>
      <c r="JZ335" s="48"/>
      <c r="KA335" s="48"/>
      <c r="KB335" s="48"/>
      <c r="KC335" s="48"/>
      <c r="KD335" s="48"/>
      <c r="KE335" s="48"/>
      <c r="KF335" s="48"/>
      <c r="KG335" s="48"/>
      <c r="KH335" s="48"/>
      <c r="KI335" s="48"/>
      <c r="KJ335" s="48"/>
      <c r="KK335" s="48"/>
      <c r="KL335" s="48"/>
      <c r="KM335" s="48"/>
      <c r="KN335" s="48"/>
      <c r="KO335" s="48"/>
      <c r="KP335" s="48"/>
      <c r="KQ335" s="48"/>
      <c r="KR335" s="48"/>
      <c r="KS335" s="48"/>
      <c r="KT335" s="48"/>
      <c r="KU335" s="48"/>
      <c r="KV335" s="48"/>
      <c r="KW335" s="48"/>
      <c r="KX335" s="48"/>
      <c r="KY335" s="48"/>
      <c r="KZ335" s="48"/>
      <c r="LA335" s="48"/>
      <c r="LB335" s="48"/>
      <c r="LC335" s="48"/>
      <c r="LD335" s="48"/>
      <c r="LE335" s="48"/>
      <c r="LF335" s="48"/>
      <c r="LG335" s="48"/>
      <c r="LH335" s="48"/>
      <c r="LI335" s="48"/>
      <c r="LJ335" s="48"/>
      <c r="LK335" s="48"/>
      <c r="LL335" s="48"/>
      <c r="LM335" s="48"/>
      <c r="LN335" s="48"/>
      <c r="LO335" s="48"/>
      <c r="LP335" s="48"/>
      <c r="LQ335" s="48"/>
      <c r="LR335" s="48"/>
      <c r="LS335" s="48"/>
      <c r="LT335" s="48"/>
      <c r="LU335" s="48"/>
      <c r="LV335" s="48"/>
      <c r="LW335" s="48"/>
      <c r="LX335" s="48"/>
      <c r="LY335" s="48"/>
      <c r="LZ335" s="48"/>
      <c r="MA335" s="48"/>
      <c r="MB335" s="48"/>
      <c r="MC335" s="48"/>
      <c r="MD335" s="48"/>
      <c r="ME335" s="48"/>
      <c r="MF335" s="48"/>
      <c r="MG335" s="48"/>
      <c r="MH335" s="48"/>
      <c r="MI335" s="48"/>
      <c r="MJ335" s="48"/>
      <c r="MK335" s="48"/>
      <c r="ML335" s="48"/>
      <c r="MM335" s="48"/>
      <c r="MN335" s="48"/>
      <c r="MO335" s="48"/>
      <c r="MP335" s="48"/>
      <c r="MQ335" s="48"/>
      <c r="MR335" s="48"/>
      <c r="MS335" s="48"/>
      <c r="MT335" s="48"/>
      <c r="MU335" s="48"/>
      <c r="MV335" s="48"/>
      <c r="MW335" s="48"/>
      <c r="MX335" s="48"/>
      <c r="MY335" s="48"/>
      <c r="MZ335" s="48"/>
      <c r="NA335" s="48"/>
      <c r="NB335" s="48"/>
      <c r="NC335" s="48"/>
      <c r="ND335" s="48"/>
      <c r="NE335" s="48"/>
      <c r="NF335" s="48"/>
      <c r="NG335" s="48"/>
      <c r="NH335" s="48"/>
      <c r="NI335" s="48"/>
      <c r="NJ335" s="48"/>
      <c r="NK335" s="48"/>
      <c r="NL335" s="48"/>
      <c r="NM335" s="48"/>
      <c r="NN335" s="48"/>
      <c r="NO335" s="48"/>
      <c r="NP335" s="48"/>
      <c r="NQ335" s="48"/>
      <c r="NR335" s="48"/>
      <c r="NS335" s="48"/>
      <c r="NT335" s="48"/>
      <c r="NU335" s="48"/>
      <c r="NV335" s="48"/>
      <c r="NW335" s="48"/>
      <c r="NX335" s="48"/>
      <c r="NY335" s="48"/>
      <c r="NZ335" s="48"/>
      <c r="OA335" s="48"/>
      <c r="OB335" s="48"/>
      <c r="OC335" s="48"/>
      <c r="OD335" s="48"/>
      <c r="OE335" s="48"/>
      <c r="OF335" s="48"/>
      <c r="OG335" s="48"/>
      <c r="OH335" s="48"/>
      <c r="OI335" s="48"/>
      <c r="OJ335" s="48"/>
      <c r="OK335" s="48"/>
      <c r="OL335" s="48"/>
      <c r="OM335" s="48"/>
      <c r="ON335" s="48"/>
      <c r="OO335" s="48"/>
      <c r="OP335" s="48"/>
      <c r="OQ335" s="48"/>
      <c r="OR335" s="48"/>
      <c r="OS335" s="48"/>
      <c r="OT335" s="48"/>
      <c r="OU335" s="48"/>
      <c r="OV335" s="48"/>
      <c r="OW335" s="48"/>
      <c r="OX335" s="48"/>
      <c r="OY335" s="48"/>
      <c r="OZ335" s="48"/>
      <c r="PA335" s="48"/>
      <c r="PB335" s="48"/>
      <c r="PC335" s="48"/>
      <c r="PD335" s="48"/>
      <c r="PE335" s="48"/>
      <c r="PF335" s="48"/>
      <c r="PG335" s="48"/>
      <c r="PH335" s="48"/>
      <c r="PI335" s="48"/>
      <c r="PJ335" s="48"/>
      <c r="PK335" s="48"/>
      <c r="PL335" s="48"/>
      <c r="PM335" s="48"/>
      <c r="PN335" s="48"/>
      <c r="PO335" s="48"/>
      <c r="PP335" s="48"/>
      <c r="PQ335" s="48"/>
      <c r="PR335" s="48"/>
      <c r="PS335" s="48"/>
      <c r="PT335" s="48"/>
      <c r="PU335" s="48"/>
      <c r="PV335" s="48"/>
      <c r="PW335" s="48"/>
      <c r="PX335" s="48"/>
      <c r="PY335" s="48"/>
      <c r="PZ335" s="48"/>
      <c r="QA335" s="48"/>
      <c r="QB335" s="48"/>
      <c r="QC335" s="48"/>
      <c r="QD335" s="48"/>
      <c r="QE335" s="48"/>
      <c r="QF335" s="48"/>
      <c r="QG335" s="48"/>
      <c r="QH335" s="48"/>
      <c r="QI335" s="48"/>
      <c r="QJ335" s="48"/>
      <c r="QK335" s="48"/>
      <c r="QL335" s="48"/>
      <c r="QM335" s="48"/>
      <c r="QN335" s="48"/>
      <c r="QO335" s="48"/>
      <c r="QP335" s="48"/>
      <c r="QQ335" s="48"/>
      <c r="QR335" s="48"/>
      <c r="QS335" s="48"/>
      <c r="QT335" s="48"/>
      <c r="QU335" s="48"/>
      <c r="QV335" s="48"/>
      <c r="QW335" s="48"/>
      <c r="QX335" s="48"/>
      <c r="QY335" s="48"/>
      <c r="QZ335" s="48"/>
      <c r="RA335" s="48"/>
      <c r="RB335" s="48"/>
      <c r="RC335" s="48"/>
      <c r="RD335" s="48"/>
      <c r="RE335" s="48"/>
      <c r="RF335" s="48"/>
      <c r="RG335" s="48"/>
      <c r="RH335" s="48"/>
      <c r="RI335" s="48"/>
      <c r="RJ335" s="48"/>
      <c r="RK335" s="48"/>
      <c r="RL335" s="48"/>
      <c r="RM335" s="48"/>
      <c r="RN335" s="48"/>
      <c r="RO335" s="48"/>
      <c r="RP335" s="48"/>
      <c r="RQ335" s="48"/>
      <c r="RR335" s="48"/>
      <c r="RS335" s="48"/>
      <c r="RT335" s="48"/>
      <c r="RU335" s="48"/>
      <c r="RV335" s="48"/>
      <c r="RW335" s="48"/>
      <c r="RX335" s="48"/>
      <c r="RY335" s="48"/>
      <c r="RZ335" s="48"/>
      <c r="SA335" s="48"/>
      <c r="SB335" s="48"/>
      <c r="SC335" s="48"/>
      <c r="SD335" s="48"/>
      <c r="SE335" s="48"/>
      <c r="SF335" s="48"/>
      <c r="SG335" s="48"/>
      <c r="SH335" s="48"/>
      <c r="SI335" s="48"/>
      <c r="SJ335" s="48"/>
      <c r="SK335" s="48"/>
      <c r="SL335" s="48"/>
      <c r="SM335" s="48"/>
      <c r="SN335" s="48"/>
      <c r="SO335" s="48"/>
      <c r="SP335" s="48"/>
      <c r="SQ335" s="48"/>
      <c r="SR335" s="48"/>
      <c r="SS335" s="48"/>
      <c r="ST335" s="48"/>
      <c r="SU335" s="48"/>
      <c r="SV335" s="48"/>
      <c r="SW335" s="48"/>
      <c r="SX335" s="48"/>
      <c r="SY335" s="48"/>
      <c r="SZ335" s="48"/>
      <c r="TA335" s="48"/>
      <c r="TB335" s="48"/>
      <c r="TC335" s="48"/>
      <c r="TD335" s="48"/>
      <c r="TE335" s="48"/>
      <c r="TF335" s="48"/>
      <c r="TG335" s="48"/>
      <c r="TH335" s="48"/>
      <c r="TI335" s="48"/>
      <c r="TJ335" s="48"/>
      <c r="TK335" s="48"/>
      <c r="TL335" s="48"/>
      <c r="TM335" s="48"/>
      <c r="TN335" s="48"/>
      <c r="TO335" s="48"/>
      <c r="TP335" s="48"/>
      <c r="TQ335" s="48"/>
      <c r="TR335" s="48"/>
      <c r="TS335" s="48"/>
      <c r="TT335" s="48"/>
      <c r="TU335" s="48"/>
      <c r="TV335" s="48"/>
      <c r="TW335" s="48"/>
      <c r="TX335" s="48"/>
      <c r="TY335" s="48"/>
      <c r="TZ335" s="48"/>
      <c r="UA335" s="48"/>
      <c r="UB335" s="48"/>
      <c r="UC335" s="48"/>
      <c r="UD335" s="48"/>
      <c r="UE335" s="48"/>
      <c r="UF335" s="48"/>
      <c r="UG335" s="48"/>
      <c r="UH335" s="48"/>
      <c r="UI335" s="48"/>
      <c r="UJ335" s="48"/>
      <c r="UK335" s="48"/>
      <c r="UL335" s="48"/>
      <c r="UM335" s="48"/>
      <c r="UN335" s="48"/>
      <c r="UO335" s="48"/>
      <c r="UP335" s="48"/>
      <c r="UQ335" s="48"/>
      <c r="UR335" s="48"/>
      <c r="US335" s="48"/>
      <c r="UT335" s="48"/>
      <c r="UU335" s="48"/>
      <c r="UV335" s="48"/>
      <c r="UW335" s="48"/>
      <c r="UX335" s="48"/>
      <c r="UY335" s="48"/>
      <c r="UZ335" s="48"/>
      <c r="VA335" s="48"/>
      <c r="VB335" s="48"/>
      <c r="VC335" s="48"/>
      <c r="VD335" s="48"/>
      <c r="VE335" s="48"/>
      <c r="VF335" s="48"/>
      <c r="VG335" s="48"/>
      <c r="VH335" s="48"/>
      <c r="VI335" s="48"/>
      <c r="VJ335" s="48"/>
      <c r="VK335" s="48"/>
      <c r="VL335" s="48"/>
      <c r="VM335" s="48"/>
      <c r="VN335" s="48"/>
      <c r="VO335" s="48"/>
      <c r="VP335" s="48"/>
      <c r="VQ335" s="48"/>
      <c r="VR335" s="48"/>
      <c r="VS335" s="48"/>
      <c r="VT335" s="48"/>
      <c r="VU335" s="48"/>
      <c r="VV335" s="48"/>
      <c r="VW335" s="48"/>
      <c r="VX335" s="48"/>
      <c r="VY335" s="48"/>
      <c r="VZ335" s="48"/>
      <c r="WA335" s="48"/>
      <c r="WB335" s="48"/>
      <c r="WC335" s="48"/>
      <c r="WD335" s="48"/>
      <c r="WE335" s="48"/>
      <c r="WF335" s="48"/>
      <c r="WG335" s="48"/>
      <c r="WH335" s="48"/>
      <c r="WI335" s="48"/>
      <c r="WJ335" s="48"/>
      <c r="WK335" s="48"/>
      <c r="WL335" s="48"/>
      <c r="WM335" s="48"/>
      <c r="WN335" s="48"/>
      <c r="WO335" s="48"/>
      <c r="WP335" s="48"/>
      <c r="WQ335" s="48"/>
      <c r="WR335" s="48"/>
      <c r="WS335" s="48"/>
      <c r="WT335" s="48"/>
      <c r="WU335" s="48"/>
      <c r="WV335" s="48"/>
      <c r="WW335" s="48"/>
      <c r="WX335" s="48"/>
      <c r="WY335" s="48"/>
      <c r="WZ335" s="48"/>
      <c r="XA335" s="48"/>
      <c r="XB335" s="48"/>
      <c r="XC335" s="48"/>
      <c r="XD335" s="48"/>
      <c r="XE335" s="48"/>
      <c r="XF335" s="48"/>
      <c r="XG335" s="48"/>
      <c r="XH335" s="48"/>
      <c r="XI335" s="48"/>
      <c r="XJ335" s="48"/>
      <c r="XK335" s="48"/>
      <c r="XL335" s="48"/>
      <c r="XM335" s="48"/>
      <c r="XN335" s="48"/>
      <c r="XO335" s="48"/>
      <c r="XP335" s="48"/>
      <c r="XQ335" s="48"/>
      <c r="XR335" s="48"/>
      <c r="XS335" s="48"/>
      <c r="XT335" s="48"/>
      <c r="XU335" s="48"/>
      <c r="XV335" s="48"/>
      <c r="XW335" s="48"/>
      <c r="XX335" s="48"/>
      <c r="XY335" s="48"/>
      <c r="XZ335" s="48"/>
      <c r="YA335" s="48"/>
      <c r="YB335" s="48"/>
      <c r="YC335" s="48"/>
      <c r="YD335" s="48"/>
      <c r="YE335" s="48"/>
      <c r="YF335" s="48"/>
      <c r="YG335" s="48"/>
      <c r="YH335" s="48"/>
      <c r="YI335" s="48"/>
      <c r="YJ335" s="48"/>
      <c r="YK335" s="48"/>
      <c r="YL335" s="48"/>
      <c r="YM335" s="48"/>
      <c r="YN335" s="48"/>
      <c r="YO335" s="48"/>
      <c r="YP335" s="48"/>
      <c r="YQ335" s="48"/>
      <c r="YR335" s="48"/>
      <c r="YS335" s="48"/>
      <c r="YT335" s="48"/>
      <c r="YU335" s="48"/>
      <c r="YV335" s="48"/>
      <c r="YW335" s="48"/>
      <c r="YX335" s="48"/>
      <c r="YY335" s="48"/>
      <c r="YZ335" s="48"/>
      <c r="ZA335" s="48"/>
      <c r="ZB335" s="48"/>
      <c r="ZC335" s="48"/>
      <c r="ZD335" s="48"/>
      <c r="ZE335" s="48"/>
      <c r="ZF335" s="48"/>
      <c r="ZG335" s="48"/>
      <c r="ZH335" s="48"/>
      <c r="ZI335" s="48"/>
      <c r="ZJ335" s="48"/>
      <c r="ZK335" s="48"/>
      <c r="ZL335" s="48"/>
      <c r="ZM335" s="48"/>
      <c r="ZN335" s="48"/>
      <c r="ZO335" s="48"/>
      <c r="ZP335" s="48"/>
      <c r="ZQ335" s="48"/>
      <c r="ZR335" s="48"/>
      <c r="ZS335" s="48"/>
      <c r="ZT335" s="48"/>
      <c r="ZU335" s="48"/>
      <c r="ZV335" s="48"/>
      <c r="ZW335" s="48"/>
      <c r="ZX335" s="48"/>
      <c r="ZY335" s="48"/>
      <c r="ZZ335" s="48"/>
      <c r="AAA335" s="48"/>
      <c r="AAB335" s="48"/>
      <c r="AAC335" s="48"/>
      <c r="AAD335" s="48"/>
      <c r="AAE335" s="48"/>
      <c r="AAF335" s="48"/>
      <c r="AAG335" s="48"/>
      <c r="AAH335" s="48"/>
      <c r="AAI335" s="48"/>
      <c r="AAJ335" s="48"/>
      <c r="AAK335" s="48"/>
      <c r="AAL335" s="48"/>
      <c r="AAM335" s="48"/>
      <c r="AAN335" s="48"/>
      <c r="AAO335" s="48"/>
      <c r="AAP335" s="48"/>
      <c r="AAQ335" s="48"/>
      <c r="AAR335" s="48"/>
      <c r="AAS335" s="48"/>
      <c r="AAT335" s="48"/>
      <c r="AAU335" s="48"/>
      <c r="AAV335" s="48"/>
      <c r="AAW335" s="48"/>
      <c r="AAX335" s="48"/>
      <c r="AAY335" s="48"/>
      <c r="AAZ335" s="48"/>
      <c r="ABA335" s="48"/>
      <c r="ABB335" s="48"/>
      <c r="ABC335" s="48"/>
      <c r="ABD335" s="48"/>
      <c r="ABE335" s="48"/>
      <c r="ABF335" s="48"/>
      <c r="ABG335" s="48"/>
      <c r="ABH335" s="48"/>
      <c r="ABI335" s="48"/>
      <c r="ABJ335" s="48"/>
      <c r="ABK335" s="48"/>
      <c r="ABL335" s="48"/>
      <c r="ABM335" s="48"/>
      <c r="ABN335" s="48"/>
      <c r="ABO335" s="48"/>
      <c r="ABP335" s="48"/>
      <c r="ABQ335" s="48"/>
      <c r="ABR335" s="48"/>
      <c r="ABS335" s="48"/>
      <c r="ABT335" s="48"/>
      <c r="ABU335" s="48"/>
      <c r="ABV335" s="48"/>
      <c r="ABW335" s="48"/>
      <c r="ABX335" s="48"/>
      <c r="ABY335" s="48"/>
      <c r="ABZ335" s="48"/>
      <c r="ACA335" s="48"/>
      <c r="ACB335" s="48"/>
      <c r="ACC335" s="48"/>
      <c r="ACD335" s="48"/>
      <c r="ACE335" s="48"/>
      <c r="ACF335" s="48"/>
      <c r="ACG335" s="48"/>
      <c r="ACH335" s="48"/>
      <c r="ACI335" s="48"/>
      <c r="ACJ335" s="48"/>
      <c r="ACK335" s="48"/>
      <c r="ACL335" s="48"/>
      <c r="ACM335" s="48"/>
      <c r="ACN335" s="48"/>
      <c r="ACO335" s="48"/>
      <c r="ACP335" s="48"/>
      <c r="ACQ335" s="48"/>
      <c r="ACR335" s="48"/>
      <c r="ACS335" s="48"/>
      <c r="ACT335" s="48"/>
      <c r="ACU335" s="48"/>
      <c r="ACV335" s="48"/>
      <c r="ACW335" s="48"/>
      <c r="ACX335" s="48"/>
      <c r="ACY335" s="48"/>
      <c r="ACZ335" s="48"/>
      <c r="ADA335" s="48"/>
      <c r="ADB335" s="48"/>
      <c r="ADC335" s="48"/>
      <c r="ADD335" s="48"/>
      <c r="ADE335" s="48"/>
      <c r="ADF335" s="48"/>
      <c r="ADG335" s="48"/>
      <c r="ADH335" s="48"/>
      <c r="ADI335" s="48"/>
      <c r="ADJ335" s="48"/>
      <c r="ADK335" s="48"/>
      <c r="ADL335" s="48"/>
      <c r="ADM335" s="48"/>
      <c r="ADN335" s="48"/>
      <c r="ADO335" s="48"/>
      <c r="ADP335" s="48"/>
      <c r="ADQ335" s="48"/>
      <c r="ADR335" s="48"/>
      <c r="ADS335" s="48"/>
      <c r="ADT335" s="48"/>
      <c r="ADU335" s="48"/>
      <c r="ADV335" s="48"/>
      <c r="ADW335" s="48"/>
      <c r="ADX335" s="48"/>
      <c r="ADY335" s="48"/>
      <c r="ADZ335" s="48"/>
      <c r="AEA335" s="48"/>
      <c r="AEB335" s="48"/>
      <c r="AEC335" s="48"/>
      <c r="AED335" s="48"/>
      <c r="AEE335" s="48"/>
      <c r="AEF335" s="48"/>
      <c r="AEG335" s="48"/>
      <c r="AEH335" s="48"/>
      <c r="AEI335" s="48"/>
      <c r="AEJ335" s="48"/>
      <c r="AEK335" s="48"/>
      <c r="AEL335" s="48"/>
      <c r="AEM335" s="48"/>
      <c r="AEN335" s="48"/>
      <c r="AEO335" s="48"/>
      <c r="AEP335" s="48"/>
      <c r="AEQ335" s="48"/>
      <c r="AER335" s="48"/>
      <c r="AES335" s="48"/>
      <c r="AET335" s="48"/>
      <c r="AEU335" s="48"/>
      <c r="AEV335" s="48"/>
      <c r="AEW335" s="48"/>
      <c r="AEX335" s="48"/>
      <c r="AEY335" s="48"/>
      <c r="AEZ335" s="48"/>
      <c r="AFA335" s="48"/>
      <c r="AFB335" s="48"/>
      <c r="AFC335" s="48"/>
      <c r="AFD335" s="48"/>
      <c r="AFE335" s="48"/>
      <c r="AFF335" s="48"/>
      <c r="AFG335" s="48"/>
      <c r="AFH335" s="48"/>
      <c r="AFI335" s="48"/>
      <c r="AFJ335" s="48"/>
      <c r="AFK335" s="48"/>
      <c r="AFL335" s="48"/>
      <c r="AFM335" s="48"/>
      <c r="AFN335" s="48"/>
      <c r="AFO335" s="48"/>
      <c r="AFP335" s="48"/>
      <c r="AFQ335" s="48"/>
      <c r="AFR335" s="48"/>
      <c r="AFS335" s="48"/>
      <c r="AFT335" s="48"/>
      <c r="AFU335" s="48"/>
      <c r="AFV335" s="48"/>
      <c r="AFW335" s="48"/>
      <c r="AFX335" s="48"/>
      <c r="AFY335" s="48"/>
      <c r="AFZ335" s="48"/>
      <c r="AGA335" s="48"/>
      <c r="AGB335" s="48"/>
      <c r="AGC335" s="48"/>
      <c r="AGD335" s="48"/>
      <c r="AGE335" s="48"/>
      <c r="AGF335" s="48"/>
      <c r="AGG335" s="48"/>
      <c r="AGH335" s="48"/>
      <c r="AGI335" s="48"/>
      <c r="AGJ335" s="48"/>
      <c r="AGK335" s="48"/>
      <c r="AGL335" s="48"/>
      <c r="AGM335" s="48"/>
      <c r="AGN335" s="48"/>
      <c r="AGO335" s="48"/>
      <c r="AGP335" s="48"/>
      <c r="AGQ335" s="48"/>
      <c r="AGR335" s="48"/>
      <c r="AGS335" s="48"/>
      <c r="AGT335" s="48"/>
      <c r="AGU335" s="48"/>
      <c r="AGV335" s="48"/>
      <c r="AGW335" s="48"/>
      <c r="AGX335" s="48"/>
      <c r="AGY335" s="48"/>
      <c r="AGZ335" s="48"/>
      <c r="AHA335" s="48"/>
      <c r="AHB335" s="48"/>
      <c r="AHC335" s="48"/>
      <c r="AHD335" s="48"/>
      <c r="AHE335" s="48"/>
      <c r="AHF335" s="48"/>
      <c r="AHG335" s="48"/>
      <c r="AHH335" s="48"/>
      <c r="AHI335" s="48"/>
      <c r="AHJ335" s="48"/>
      <c r="AHK335" s="48"/>
      <c r="AHL335" s="48"/>
      <c r="AHM335" s="48"/>
      <c r="AHN335" s="48"/>
      <c r="AHO335" s="48"/>
      <c r="AHP335" s="48"/>
      <c r="AHQ335" s="48"/>
      <c r="AHR335" s="48"/>
      <c r="AHS335" s="48"/>
      <c r="AHT335" s="48"/>
      <c r="AHU335" s="48"/>
      <c r="AHV335" s="48"/>
      <c r="AHW335" s="48"/>
      <c r="AHX335" s="48"/>
      <c r="AHY335" s="48"/>
      <c r="AHZ335" s="48"/>
      <c r="AIA335" s="48"/>
      <c r="AIB335" s="48"/>
      <c r="AIC335" s="48"/>
      <c r="AID335" s="48"/>
      <c r="AIE335" s="48"/>
      <c r="AIF335" s="48"/>
      <c r="AIG335" s="48"/>
      <c r="AIH335" s="48"/>
      <c r="AII335" s="48"/>
      <c r="AIJ335" s="48"/>
      <c r="AIK335" s="48"/>
      <c r="AIL335" s="48"/>
      <c r="AIM335" s="48"/>
      <c r="AIN335" s="48"/>
      <c r="AIO335" s="48"/>
      <c r="AIP335" s="48"/>
      <c r="AIQ335" s="48"/>
      <c r="AIR335" s="48"/>
      <c r="AIS335" s="48"/>
      <c r="AIT335" s="48"/>
      <c r="AIU335" s="48"/>
      <c r="AIV335" s="48"/>
      <c r="AIW335" s="48"/>
      <c r="AIX335" s="48"/>
      <c r="AIY335" s="48"/>
      <c r="AIZ335" s="48"/>
      <c r="AJA335" s="48"/>
      <c r="AJB335" s="48"/>
      <c r="AJC335" s="48"/>
      <c r="AJD335" s="48"/>
      <c r="AJE335" s="48"/>
      <c r="AJF335" s="48"/>
      <c r="AJG335" s="48"/>
      <c r="AJH335" s="48"/>
      <c r="AJI335" s="48"/>
      <c r="AJJ335" s="48"/>
      <c r="AJK335" s="48"/>
      <c r="AJL335" s="48"/>
      <c r="AJM335" s="48"/>
      <c r="AJN335" s="48"/>
      <c r="AJO335" s="48"/>
      <c r="AJP335" s="48"/>
      <c r="AJQ335" s="48"/>
      <c r="AJR335" s="48"/>
      <c r="AJS335" s="48"/>
      <c r="AJT335" s="48"/>
      <c r="AJU335" s="48"/>
      <c r="AJV335" s="48"/>
      <c r="AJW335" s="48"/>
      <c r="AJX335" s="48"/>
      <c r="AJY335" s="48"/>
      <c r="AJZ335" s="48"/>
      <c r="AKA335" s="48"/>
      <c r="AKB335" s="48"/>
      <c r="AKC335" s="48"/>
      <c r="AKD335" s="48"/>
      <c r="AKE335" s="48"/>
      <c r="AKF335" s="48"/>
      <c r="AKG335" s="48"/>
      <c r="AKH335" s="48"/>
      <c r="AKI335" s="48"/>
      <c r="AKJ335" s="48"/>
      <c r="AKK335" s="48"/>
      <c r="AKL335" s="48"/>
      <c r="AKM335" s="48"/>
      <c r="AKN335" s="48"/>
      <c r="AKO335" s="48"/>
      <c r="AKP335" s="48"/>
      <c r="AKQ335" s="48"/>
      <c r="AKR335" s="48"/>
      <c r="AKS335" s="48"/>
      <c r="AKT335" s="48"/>
      <c r="AKU335" s="48"/>
      <c r="AKV335" s="48"/>
      <c r="AKW335" s="48"/>
      <c r="AKX335" s="48"/>
      <c r="AKY335" s="48"/>
      <c r="AKZ335" s="48"/>
      <c r="ALA335" s="48"/>
      <c r="ALB335" s="48"/>
      <c r="ALC335" s="48"/>
      <c r="ALD335" s="48"/>
      <c r="ALE335" s="48"/>
      <c r="ALF335" s="48"/>
      <c r="ALG335" s="48"/>
      <c r="ALH335" s="48"/>
      <c r="ALI335" s="48"/>
      <c r="ALJ335" s="48"/>
      <c r="ALK335" s="48"/>
      <c r="ALL335" s="48"/>
      <c r="ALM335" s="48"/>
      <c r="ALN335" s="48"/>
      <c r="ALO335" s="48"/>
      <c r="ALP335" s="48"/>
      <c r="ALQ335" s="48"/>
      <c r="ALR335" s="48"/>
      <c r="ALS335" s="48"/>
      <c r="ALT335" s="48"/>
      <c r="ALU335" s="48"/>
      <c r="ALV335" s="48"/>
      <c r="ALW335" s="48"/>
      <c r="ALX335" s="48"/>
      <c r="ALY335" s="48"/>
      <c r="ALZ335" s="48"/>
      <c r="AMA335" s="48"/>
      <c r="AMB335" s="48"/>
      <c r="AMC335" s="48"/>
      <c r="AMD335" s="48"/>
      <c r="AME335" s="48"/>
      <c r="AMF335" s="48"/>
      <c r="AMG335" s="48"/>
      <c r="AMH335" s="48"/>
      <c r="AMI335" s="48"/>
      <c r="AMJ335" s="48"/>
      <c r="AMK335" s="48"/>
      <c r="AML335" s="48"/>
      <c r="AMM335" s="48"/>
      <c r="AMN335" s="48"/>
      <c r="AMO335" s="48"/>
      <c r="AMP335" s="48"/>
      <c r="AMQ335" s="48"/>
      <c r="AMR335" s="48"/>
      <c r="AMS335" s="48"/>
      <c r="AMT335" s="48"/>
      <c r="AMU335" s="48"/>
      <c r="AMV335" s="48"/>
      <c r="AMW335" s="48"/>
      <c r="AMX335" s="48"/>
      <c r="AMY335" s="48"/>
      <c r="AMZ335" s="48"/>
      <c r="ANA335" s="48"/>
      <c r="ANB335" s="48"/>
      <c r="ANC335" s="48"/>
      <c r="AND335" s="48"/>
      <c r="ANE335" s="48"/>
      <c r="ANF335" s="48"/>
      <c r="ANG335" s="48"/>
      <c r="ANH335" s="48"/>
      <c r="ANI335" s="48"/>
      <c r="ANJ335" s="48"/>
      <c r="ANK335" s="48"/>
      <c r="ANL335" s="48"/>
      <c r="ANM335" s="48"/>
      <c r="ANN335" s="48"/>
      <c r="ANO335" s="48"/>
      <c r="ANP335" s="48"/>
      <c r="ANQ335" s="48"/>
      <c r="ANR335" s="48"/>
      <c r="ANS335" s="48"/>
      <c r="ANT335" s="48"/>
      <c r="ANU335" s="48"/>
      <c r="ANV335" s="48"/>
      <c r="ANW335" s="48"/>
      <c r="ANX335" s="48"/>
      <c r="ANY335" s="48"/>
      <c r="ANZ335" s="48"/>
      <c r="AOA335" s="48"/>
      <c r="AOB335" s="48"/>
      <c r="AOC335" s="48"/>
      <c r="AOD335" s="48"/>
      <c r="AOE335" s="48"/>
      <c r="AOF335" s="48"/>
      <c r="AOG335" s="48"/>
      <c r="AOH335" s="48"/>
      <c r="AOI335" s="48"/>
      <c r="AOJ335" s="48"/>
      <c r="AOK335" s="48"/>
      <c r="AOL335" s="48"/>
      <c r="AOM335" s="48"/>
      <c r="AON335" s="48"/>
      <c r="AOO335" s="48"/>
      <c r="AOP335" s="48"/>
      <c r="AOQ335" s="48"/>
      <c r="AOR335" s="48"/>
      <c r="AOS335" s="48"/>
      <c r="AOT335" s="48"/>
      <c r="AOU335" s="48"/>
      <c r="AOV335" s="48"/>
      <c r="AOW335" s="48"/>
      <c r="AOX335" s="48"/>
      <c r="AOY335" s="48"/>
      <c r="AOZ335" s="48"/>
      <c r="APA335" s="48"/>
      <c r="APB335" s="48"/>
      <c r="APC335" s="48"/>
      <c r="APD335" s="48"/>
      <c r="APE335" s="48"/>
      <c r="APF335" s="48"/>
      <c r="APG335" s="48"/>
      <c r="APH335" s="48"/>
      <c r="API335" s="48"/>
      <c r="APJ335" s="48"/>
      <c r="APK335" s="48"/>
      <c r="APL335" s="48"/>
      <c r="APM335" s="48"/>
      <c r="APN335" s="48"/>
      <c r="APO335" s="48"/>
      <c r="APP335" s="48"/>
      <c r="APQ335" s="48"/>
      <c r="APR335" s="48"/>
      <c r="APS335" s="48"/>
      <c r="APT335" s="48"/>
      <c r="APU335" s="48"/>
      <c r="APV335" s="48"/>
      <c r="APW335" s="48"/>
      <c r="APX335" s="48"/>
      <c r="APY335" s="48"/>
      <c r="APZ335" s="48"/>
      <c r="AQA335" s="48"/>
      <c r="AQB335" s="48"/>
      <c r="AQC335" s="48"/>
      <c r="AQD335" s="48"/>
      <c r="AQE335" s="48"/>
      <c r="AQF335" s="48"/>
      <c r="AQG335" s="48"/>
      <c r="AQH335" s="48"/>
      <c r="AQI335" s="48"/>
      <c r="AQJ335" s="48"/>
      <c r="AQK335" s="48"/>
      <c r="AQL335" s="48"/>
      <c r="AQM335" s="48"/>
      <c r="AQN335" s="48"/>
      <c r="AQO335" s="48"/>
      <c r="AQP335" s="48"/>
      <c r="AQQ335" s="48"/>
      <c r="AQR335" s="48"/>
      <c r="AQS335" s="48"/>
      <c r="AQT335" s="48"/>
      <c r="AQU335" s="48"/>
      <c r="AQV335" s="48"/>
      <c r="AQW335" s="48"/>
      <c r="AQX335" s="48"/>
      <c r="AQY335" s="48"/>
      <c r="AQZ335" s="48"/>
      <c r="ARA335" s="48"/>
      <c r="ARB335" s="48"/>
      <c r="ARC335" s="48"/>
      <c r="ARD335" s="48"/>
      <c r="ARE335" s="48"/>
      <c r="ARF335" s="48"/>
      <c r="ARG335" s="48"/>
      <c r="ARH335" s="48"/>
      <c r="ARI335" s="48"/>
      <c r="ARJ335" s="48"/>
      <c r="ARK335" s="48"/>
      <c r="ARL335" s="48"/>
      <c r="ARM335" s="48"/>
      <c r="ARN335" s="48"/>
      <c r="ARO335" s="48"/>
      <c r="ARP335" s="48"/>
      <c r="ARQ335" s="48"/>
      <c r="ARR335" s="48"/>
      <c r="ARS335" s="48"/>
      <c r="ART335" s="48"/>
      <c r="ARU335" s="48"/>
      <c r="ARV335" s="48"/>
      <c r="ARW335" s="48"/>
      <c r="ARX335" s="48"/>
      <c r="ARY335" s="48"/>
      <c r="ARZ335" s="48"/>
      <c r="ASA335" s="48"/>
      <c r="ASB335" s="48"/>
      <c r="ASC335" s="48"/>
      <c r="ASD335" s="48"/>
      <c r="ASE335" s="48"/>
      <c r="ASF335" s="48"/>
      <c r="ASG335" s="48"/>
      <c r="ASH335" s="48"/>
      <c r="ASI335" s="48"/>
      <c r="ASJ335" s="48"/>
      <c r="ASK335" s="48"/>
      <c r="ASL335" s="48"/>
      <c r="ASM335" s="48"/>
      <c r="ASN335" s="48"/>
      <c r="ASO335" s="48"/>
      <c r="ASP335" s="48"/>
      <c r="ASQ335" s="48"/>
      <c r="ASR335" s="48"/>
      <c r="ASS335" s="48"/>
      <c r="AST335" s="48"/>
      <c r="ASU335" s="48"/>
      <c r="ASV335" s="48"/>
      <c r="ASW335" s="48"/>
      <c r="ASX335" s="48"/>
      <c r="ASY335" s="48"/>
      <c r="ASZ335" s="48"/>
      <c r="ATA335" s="48"/>
      <c r="ATB335" s="48"/>
      <c r="ATC335" s="48"/>
      <c r="ATD335" s="48"/>
      <c r="ATE335" s="48"/>
      <c r="ATF335" s="48"/>
      <c r="ATG335" s="48"/>
      <c r="ATH335" s="48"/>
      <c r="ATI335" s="48"/>
      <c r="ATJ335" s="48"/>
      <c r="ATK335" s="48"/>
      <c r="ATL335" s="48"/>
      <c r="ATM335" s="48"/>
      <c r="ATN335" s="48"/>
      <c r="ATO335" s="48"/>
      <c r="ATP335" s="48"/>
      <c r="ATQ335" s="48"/>
      <c r="ATR335" s="48"/>
      <c r="ATS335" s="48"/>
      <c r="ATT335" s="48"/>
      <c r="ATU335" s="48"/>
      <c r="ATV335" s="48"/>
      <c r="ATW335" s="48"/>
      <c r="ATX335" s="48"/>
      <c r="ATY335" s="48"/>
      <c r="ATZ335" s="48"/>
      <c r="AUA335" s="48"/>
      <c r="AUB335" s="48"/>
      <c r="AUC335" s="48"/>
      <c r="AUD335" s="48"/>
      <c r="AUE335" s="48"/>
      <c r="AUF335" s="48"/>
      <c r="AUG335" s="48"/>
      <c r="AUH335" s="48"/>
      <c r="AUI335" s="48"/>
      <c r="AUJ335" s="48"/>
      <c r="AUK335" s="48"/>
      <c r="AUL335" s="48"/>
      <c r="AUM335" s="48"/>
      <c r="AUN335" s="48"/>
      <c r="AUO335" s="48"/>
      <c r="AUP335" s="48"/>
      <c r="AUQ335" s="48"/>
      <c r="AUR335" s="48"/>
      <c r="AUS335" s="48"/>
      <c r="AUT335" s="48"/>
      <c r="AUU335" s="48"/>
      <c r="AUV335" s="48"/>
      <c r="AUW335" s="48"/>
      <c r="AUX335" s="48"/>
      <c r="AUY335" s="48"/>
      <c r="AUZ335" s="48"/>
      <c r="AVA335" s="48"/>
      <c r="AVB335" s="48"/>
      <c r="AVC335" s="48"/>
      <c r="AVD335" s="48"/>
      <c r="AVE335" s="48"/>
      <c r="AVF335" s="48"/>
      <c r="AVG335" s="48"/>
      <c r="AVH335" s="48"/>
      <c r="AVI335" s="48"/>
      <c r="AVJ335" s="48"/>
      <c r="AVK335" s="48"/>
      <c r="AVL335" s="48"/>
      <c r="AVM335" s="48"/>
      <c r="AVN335" s="48"/>
      <c r="AVO335" s="48"/>
      <c r="AVP335" s="48"/>
      <c r="AVQ335" s="48"/>
      <c r="AVR335" s="48"/>
      <c r="AVS335" s="48"/>
      <c r="AVT335" s="48"/>
      <c r="AVU335" s="48"/>
      <c r="AVV335" s="48"/>
      <c r="AVW335" s="48"/>
      <c r="AVX335" s="48"/>
      <c r="AVY335" s="48"/>
      <c r="AVZ335" s="48"/>
      <c r="AWA335" s="48"/>
      <c r="AWB335" s="48"/>
      <c r="AWC335" s="48"/>
      <c r="AWD335" s="48"/>
      <c r="AWE335" s="48"/>
      <c r="AWF335" s="48"/>
      <c r="AWG335" s="48"/>
      <c r="AWH335" s="48"/>
      <c r="AWI335" s="48"/>
      <c r="AWJ335" s="48"/>
      <c r="AWK335" s="48"/>
      <c r="AWL335" s="48"/>
      <c r="AWM335" s="48"/>
      <c r="AWN335" s="48"/>
      <c r="AWO335" s="48"/>
      <c r="AWP335" s="48"/>
      <c r="AWQ335" s="48"/>
    </row>
    <row r="336" spans="1:1291" s="212" customFormat="1" ht="21" customHeight="1" thickBot="1" x14ac:dyDescent="0.25">
      <c r="A336" s="1950"/>
      <c r="B336" s="1952"/>
      <c r="C336" s="1704" t="s">
        <v>1904</v>
      </c>
      <c r="D336" s="1937"/>
      <c r="E336" s="1718"/>
      <c r="F336" s="1944"/>
      <c r="G336" s="1945"/>
      <c r="H336" s="1945"/>
      <c r="I336" s="1945"/>
      <c r="J336" s="1945"/>
      <c r="K336" s="1945"/>
      <c r="L336" s="1945"/>
      <c r="M336" s="1945"/>
      <c r="N336" s="1945"/>
      <c r="O336" s="1945"/>
      <c r="P336" s="1945"/>
      <c r="Q336" s="1945"/>
      <c r="R336" s="1945"/>
      <c r="S336" s="1945"/>
      <c r="T336" s="1945"/>
      <c r="U336" s="1945"/>
      <c r="V336" s="1945"/>
      <c r="W336" s="1945"/>
      <c r="X336" s="1945"/>
      <c r="Y336" s="1945"/>
      <c r="Z336" s="1945"/>
      <c r="AA336" s="1945"/>
      <c r="AB336" s="1945"/>
      <c r="AC336" s="1945"/>
      <c r="AD336" s="1945"/>
      <c r="AE336" s="1945"/>
      <c r="AF336" s="1945"/>
      <c r="AG336" s="1945"/>
      <c r="AH336" s="1945"/>
      <c r="AI336" s="1945"/>
      <c r="AJ336" s="1945"/>
      <c r="AK336" s="1945"/>
      <c r="AL336" s="1945"/>
      <c r="AM336" s="1945"/>
      <c r="AN336" s="1945"/>
      <c r="AO336" s="1945"/>
      <c r="AP336" s="1945"/>
      <c r="AQ336" s="1945"/>
      <c r="AR336" s="1945"/>
      <c r="AS336" s="1945"/>
      <c r="AT336" s="1945"/>
      <c r="AU336" s="1945"/>
      <c r="AV336" s="1945"/>
      <c r="AW336" s="1945"/>
      <c r="AX336" s="1945"/>
      <c r="AY336" s="1945"/>
      <c r="AZ336" s="1945"/>
      <c r="BA336" s="1945"/>
      <c r="BB336" s="1945"/>
      <c r="BC336" s="1945"/>
      <c r="BD336" s="1945"/>
      <c r="BE336" s="1945"/>
      <c r="BF336" s="1945"/>
      <c r="BG336" s="1945"/>
      <c r="BH336" s="1945"/>
      <c r="BI336" s="1945"/>
      <c r="BJ336" s="1945"/>
      <c r="BK336" s="1945"/>
      <c r="BL336" s="1945"/>
      <c r="BM336" s="1945"/>
      <c r="BN336" s="1945"/>
      <c r="BO336" s="1945"/>
      <c r="BP336" s="1945"/>
      <c r="BQ336" s="1945"/>
      <c r="BR336" s="1945"/>
      <c r="BS336" s="1945"/>
      <c r="BT336" s="1945"/>
      <c r="BU336" s="1945"/>
      <c r="BV336" s="1945"/>
      <c r="BW336" s="1945"/>
      <c r="BX336" s="1945"/>
      <c r="BY336" s="1945"/>
      <c r="BZ336" s="1945"/>
      <c r="CA336" s="1945"/>
      <c r="CB336" s="1945"/>
      <c r="CC336" s="1945"/>
      <c r="CD336" s="1945"/>
      <c r="CE336" s="1945"/>
      <c r="CF336" s="1945"/>
      <c r="CG336" s="1945"/>
      <c r="CH336" s="1945"/>
      <c r="CI336" s="1945"/>
      <c r="CJ336" s="1945"/>
      <c r="CK336" s="1945"/>
      <c r="CL336" s="1945"/>
      <c r="CM336" s="1945"/>
      <c r="CN336" s="1945"/>
      <c r="CO336" s="1945"/>
      <c r="CP336" s="1945"/>
      <c r="CQ336" s="1945"/>
      <c r="CR336" s="1945"/>
      <c r="CS336" s="1945"/>
      <c r="CT336" s="1945"/>
      <c r="CU336" s="1945"/>
      <c r="CV336" s="1945"/>
      <c r="CW336" s="1945"/>
      <c r="CX336" s="1945"/>
      <c r="CY336" s="1945"/>
      <c r="CZ336" s="1945"/>
      <c r="DA336" s="1945"/>
      <c r="DB336" s="1945"/>
      <c r="DC336" s="1945"/>
      <c r="DD336" s="1945"/>
      <c r="DE336" s="1945"/>
      <c r="DF336" s="1945"/>
      <c r="DG336" s="1945"/>
      <c r="DH336" s="1945"/>
      <c r="DI336" s="1945"/>
      <c r="DJ336" s="1945"/>
      <c r="DK336" s="1945"/>
      <c r="DL336" s="1945"/>
      <c r="DM336" s="1945"/>
      <c r="DN336" s="1945"/>
      <c r="DO336" s="1945"/>
      <c r="DP336" s="1945"/>
      <c r="DQ336" s="1945"/>
      <c r="DR336" s="1945"/>
      <c r="DS336" s="1945"/>
      <c r="DT336" s="1945"/>
      <c r="DU336" s="1945"/>
      <c r="DV336" s="1945"/>
      <c r="DW336" s="1945"/>
      <c r="DX336" s="1945"/>
      <c r="DY336" s="1945"/>
      <c r="DZ336" s="1945"/>
      <c r="EA336" s="1945"/>
      <c r="EB336" s="1945"/>
      <c r="EC336" s="1945"/>
      <c r="ED336" s="1945"/>
      <c r="EE336" s="1945"/>
      <c r="EF336" s="1945"/>
      <c r="EG336" s="1945"/>
      <c r="EH336" s="1945"/>
      <c r="EI336" s="1945"/>
      <c r="EJ336" s="1945"/>
      <c r="EK336" s="1945"/>
      <c r="EL336" s="1945"/>
      <c r="EM336" s="1945"/>
      <c r="EN336" s="1945"/>
      <c r="EO336" s="1945"/>
      <c r="EP336" s="1945"/>
      <c r="EQ336" s="1945"/>
      <c r="ER336" s="1945"/>
      <c r="ES336" s="1945"/>
      <c r="ET336" s="1945"/>
      <c r="EU336" s="1945"/>
      <c r="EV336" s="1945"/>
      <c r="EW336" s="1945"/>
      <c r="EX336" s="1945"/>
      <c r="EY336" s="1945"/>
      <c r="EZ336" s="1945"/>
      <c r="FA336" s="1945"/>
      <c r="FB336" s="1945"/>
      <c r="FC336" s="1945"/>
      <c r="FD336" s="1945"/>
      <c r="FE336" s="1945"/>
      <c r="FF336" s="1945"/>
      <c r="FG336" s="1945"/>
      <c r="FH336" s="1945"/>
      <c r="FI336" s="1945"/>
      <c r="FJ336" s="1945"/>
      <c r="FK336" s="1945"/>
      <c r="FL336" s="1945"/>
      <c r="FM336" s="1945"/>
      <c r="FN336" s="1945"/>
      <c r="FO336" s="1945"/>
      <c r="FP336" s="1945"/>
      <c r="FQ336" s="1945"/>
      <c r="FR336" s="1945"/>
      <c r="FS336" s="1945"/>
      <c r="FT336" s="1945"/>
      <c r="FU336" s="1945"/>
      <c r="FV336" s="1945"/>
      <c r="FW336" s="1945"/>
      <c r="FX336" s="1945"/>
      <c r="FY336" s="1945"/>
      <c r="FZ336" s="1945"/>
      <c r="GA336" s="1945"/>
      <c r="GB336" s="1945"/>
      <c r="GC336" s="1945"/>
      <c r="GD336" s="1945"/>
      <c r="GE336" s="1945"/>
      <c r="GF336" s="1945"/>
      <c r="GG336" s="1945"/>
      <c r="GH336" s="1945"/>
      <c r="GI336" s="1945"/>
      <c r="GJ336" s="1945"/>
      <c r="GK336" s="1945"/>
      <c r="GL336" s="1945"/>
      <c r="GM336" s="1945"/>
      <c r="GN336" s="1945"/>
      <c r="GO336" s="1945"/>
      <c r="GP336" s="1945"/>
      <c r="GQ336" s="1945"/>
      <c r="GR336" s="1945"/>
      <c r="GS336" s="1945"/>
      <c r="GT336" s="1945"/>
      <c r="GU336" s="1945"/>
      <c r="GV336" s="1945"/>
      <c r="GW336" s="1945"/>
      <c r="GX336" s="1945"/>
      <c r="GY336" s="1945"/>
      <c r="GZ336" s="1945"/>
      <c r="HA336" s="1945"/>
      <c r="HB336" s="1945"/>
      <c r="HC336" s="1945"/>
      <c r="HD336" s="1945"/>
      <c r="HE336" s="1945"/>
      <c r="HF336" s="48"/>
      <c r="HG336" s="48"/>
      <c r="HH336" s="48"/>
      <c r="HI336" s="48"/>
      <c r="HJ336" s="48"/>
      <c r="HK336" s="48"/>
      <c r="HL336" s="48"/>
      <c r="HM336" s="48"/>
      <c r="HN336" s="48"/>
      <c r="HO336" s="48"/>
      <c r="HP336" s="48"/>
      <c r="HQ336" s="48"/>
      <c r="HR336" s="48"/>
      <c r="HS336" s="48"/>
      <c r="HT336" s="48"/>
      <c r="HU336" s="48"/>
      <c r="HV336" s="48"/>
      <c r="HW336" s="48"/>
      <c r="HX336" s="48"/>
      <c r="HY336" s="48"/>
      <c r="HZ336" s="48"/>
      <c r="IA336" s="48"/>
      <c r="IB336" s="48"/>
      <c r="IC336" s="48"/>
      <c r="ID336" s="48"/>
      <c r="IE336" s="48"/>
      <c r="IF336" s="48"/>
      <c r="IG336" s="48"/>
      <c r="IH336" s="48"/>
      <c r="II336" s="48"/>
      <c r="IJ336" s="48"/>
      <c r="IK336" s="48"/>
      <c r="IL336" s="48"/>
      <c r="IM336" s="48"/>
      <c r="IN336" s="48"/>
      <c r="IO336" s="48"/>
      <c r="IP336" s="48"/>
      <c r="IQ336" s="48"/>
      <c r="IR336" s="48"/>
      <c r="IS336" s="48"/>
      <c r="IT336" s="48"/>
      <c r="IU336" s="48"/>
      <c r="IV336" s="48"/>
      <c r="IW336" s="48"/>
      <c r="IX336" s="48"/>
      <c r="IY336" s="48"/>
      <c r="IZ336" s="48"/>
      <c r="JA336" s="48"/>
      <c r="JB336" s="48"/>
      <c r="JC336" s="48"/>
      <c r="JD336" s="48"/>
      <c r="JE336" s="48"/>
      <c r="JF336" s="48"/>
      <c r="JG336" s="48"/>
      <c r="JH336" s="48"/>
      <c r="JI336" s="48"/>
      <c r="JJ336" s="48"/>
      <c r="JK336" s="48"/>
      <c r="JL336" s="48"/>
      <c r="JM336" s="48"/>
      <c r="JN336" s="48"/>
      <c r="JO336" s="48"/>
      <c r="JP336" s="48"/>
      <c r="JQ336" s="48"/>
      <c r="JR336" s="48"/>
      <c r="JS336" s="48"/>
      <c r="JT336" s="48"/>
      <c r="JU336" s="48"/>
      <c r="JV336" s="48"/>
      <c r="JW336" s="48"/>
      <c r="JX336" s="48"/>
      <c r="JY336" s="48"/>
      <c r="JZ336" s="48"/>
      <c r="KA336" s="48"/>
      <c r="KB336" s="48"/>
      <c r="KC336" s="48"/>
      <c r="KD336" s="48"/>
      <c r="KE336" s="48"/>
      <c r="KF336" s="48"/>
      <c r="KG336" s="48"/>
      <c r="KH336" s="48"/>
      <c r="KI336" s="48"/>
      <c r="KJ336" s="48"/>
      <c r="KK336" s="48"/>
      <c r="KL336" s="48"/>
      <c r="KM336" s="48"/>
      <c r="KN336" s="48"/>
      <c r="KO336" s="48"/>
      <c r="KP336" s="48"/>
      <c r="KQ336" s="48"/>
      <c r="KR336" s="48"/>
      <c r="KS336" s="48"/>
      <c r="KT336" s="48"/>
      <c r="KU336" s="48"/>
      <c r="KV336" s="48"/>
      <c r="KW336" s="48"/>
      <c r="KX336" s="48"/>
      <c r="KY336" s="48"/>
      <c r="KZ336" s="48"/>
      <c r="LA336" s="48"/>
      <c r="LB336" s="48"/>
      <c r="LC336" s="48"/>
      <c r="LD336" s="48"/>
      <c r="LE336" s="48"/>
      <c r="LF336" s="48"/>
      <c r="LG336" s="48"/>
      <c r="LH336" s="48"/>
      <c r="LI336" s="48"/>
      <c r="LJ336" s="48"/>
      <c r="LK336" s="48"/>
      <c r="LL336" s="48"/>
      <c r="LM336" s="48"/>
      <c r="LN336" s="48"/>
      <c r="LO336" s="48"/>
      <c r="LP336" s="48"/>
      <c r="LQ336" s="48"/>
      <c r="LR336" s="48"/>
      <c r="LS336" s="48"/>
      <c r="LT336" s="48"/>
      <c r="LU336" s="48"/>
      <c r="LV336" s="48"/>
      <c r="LW336" s="48"/>
      <c r="LX336" s="48"/>
      <c r="LY336" s="48"/>
      <c r="LZ336" s="48"/>
      <c r="MA336" s="48"/>
      <c r="MB336" s="48"/>
      <c r="MC336" s="48"/>
      <c r="MD336" s="48"/>
      <c r="ME336" s="48"/>
      <c r="MF336" s="48"/>
      <c r="MG336" s="48"/>
      <c r="MH336" s="48"/>
      <c r="MI336" s="48"/>
      <c r="MJ336" s="48"/>
      <c r="MK336" s="48"/>
      <c r="ML336" s="48"/>
      <c r="MM336" s="48"/>
      <c r="MN336" s="48"/>
      <c r="MO336" s="48"/>
      <c r="MP336" s="48"/>
      <c r="MQ336" s="48"/>
      <c r="MR336" s="48"/>
      <c r="MS336" s="48"/>
      <c r="MT336" s="48"/>
      <c r="MU336" s="48"/>
      <c r="MV336" s="48"/>
      <c r="MW336" s="48"/>
      <c r="MX336" s="48"/>
      <c r="MY336" s="48"/>
      <c r="MZ336" s="48"/>
      <c r="NA336" s="48"/>
      <c r="NB336" s="48"/>
      <c r="NC336" s="48"/>
      <c r="ND336" s="48"/>
      <c r="NE336" s="48"/>
      <c r="NF336" s="48"/>
      <c r="NG336" s="48"/>
      <c r="NH336" s="48"/>
      <c r="NI336" s="48"/>
      <c r="NJ336" s="48"/>
      <c r="NK336" s="48"/>
      <c r="NL336" s="48"/>
      <c r="NM336" s="48"/>
      <c r="NN336" s="48"/>
      <c r="NO336" s="48"/>
      <c r="NP336" s="48"/>
      <c r="NQ336" s="48"/>
      <c r="NR336" s="48"/>
      <c r="NS336" s="48"/>
      <c r="NT336" s="48"/>
      <c r="NU336" s="48"/>
      <c r="NV336" s="48"/>
      <c r="NW336" s="48"/>
      <c r="NX336" s="48"/>
      <c r="NY336" s="48"/>
      <c r="NZ336" s="48"/>
      <c r="OA336" s="48"/>
      <c r="OB336" s="48"/>
      <c r="OC336" s="48"/>
      <c r="OD336" s="48"/>
      <c r="OE336" s="48"/>
      <c r="OF336" s="48"/>
      <c r="OG336" s="48"/>
      <c r="OH336" s="48"/>
      <c r="OI336" s="48"/>
      <c r="OJ336" s="48"/>
      <c r="OK336" s="48"/>
      <c r="OL336" s="48"/>
      <c r="OM336" s="48"/>
      <c r="ON336" s="48"/>
      <c r="OO336" s="48"/>
      <c r="OP336" s="48"/>
      <c r="OQ336" s="48"/>
      <c r="OR336" s="48"/>
      <c r="OS336" s="48"/>
      <c r="OT336" s="48"/>
      <c r="OU336" s="48"/>
      <c r="OV336" s="48"/>
      <c r="OW336" s="48"/>
      <c r="OX336" s="48"/>
      <c r="OY336" s="48"/>
      <c r="OZ336" s="48"/>
      <c r="PA336" s="48"/>
      <c r="PB336" s="48"/>
      <c r="PC336" s="48"/>
      <c r="PD336" s="48"/>
      <c r="PE336" s="48"/>
      <c r="PF336" s="48"/>
      <c r="PG336" s="48"/>
      <c r="PH336" s="48"/>
      <c r="PI336" s="48"/>
      <c r="PJ336" s="48"/>
      <c r="PK336" s="48"/>
      <c r="PL336" s="48"/>
      <c r="PM336" s="48"/>
      <c r="PN336" s="48"/>
      <c r="PO336" s="48"/>
      <c r="PP336" s="48"/>
      <c r="PQ336" s="48"/>
      <c r="PR336" s="48"/>
      <c r="PS336" s="48"/>
      <c r="PT336" s="48"/>
      <c r="PU336" s="48"/>
      <c r="PV336" s="48"/>
      <c r="PW336" s="48"/>
      <c r="PX336" s="48"/>
      <c r="PY336" s="48"/>
      <c r="PZ336" s="48"/>
      <c r="QA336" s="48"/>
      <c r="QB336" s="48"/>
      <c r="QC336" s="48"/>
      <c r="QD336" s="48"/>
      <c r="QE336" s="48"/>
      <c r="QF336" s="48"/>
      <c r="QG336" s="48"/>
      <c r="QH336" s="48"/>
      <c r="QI336" s="48"/>
      <c r="QJ336" s="48"/>
      <c r="QK336" s="48"/>
      <c r="QL336" s="48"/>
      <c r="QM336" s="48"/>
      <c r="QN336" s="48"/>
      <c r="QO336" s="48"/>
      <c r="QP336" s="48"/>
      <c r="QQ336" s="48"/>
      <c r="QR336" s="48"/>
      <c r="QS336" s="48"/>
      <c r="QT336" s="48"/>
      <c r="QU336" s="48"/>
      <c r="QV336" s="48"/>
      <c r="QW336" s="48"/>
      <c r="QX336" s="48"/>
      <c r="QY336" s="48"/>
      <c r="QZ336" s="48"/>
      <c r="RA336" s="48"/>
      <c r="RB336" s="48"/>
      <c r="RC336" s="48"/>
      <c r="RD336" s="48"/>
      <c r="RE336" s="48"/>
      <c r="RF336" s="48"/>
      <c r="RG336" s="48"/>
      <c r="RH336" s="48"/>
      <c r="RI336" s="48"/>
      <c r="RJ336" s="48"/>
      <c r="RK336" s="48"/>
      <c r="RL336" s="48"/>
      <c r="RM336" s="48"/>
      <c r="RN336" s="48"/>
      <c r="RO336" s="48"/>
      <c r="RP336" s="48"/>
      <c r="RQ336" s="48"/>
      <c r="RR336" s="48"/>
      <c r="RS336" s="48"/>
      <c r="RT336" s="48"/>
      <c r="RU336" s="48"/>
      <c r="RV336" s="48"/>
      <c r="RW336" s="48"/>
      <c r="RX336" s="48"/>
      <c r="RY336" s="48"/>
      <c r="RZ336" s="48"/>
      <c r="SA336" s="48"/>
      <c r="SB336" s="48"/>
      <c r="SC336" s="48"/>
      <c r="SD336" s="48"/>
      <c r="SE336" s="48"/>
      <c r="SF336" s="48"/>
      <c r="SG336" s="48"/>
      <c r="SH336" s="48"/>
      <c r="SI336" s="48"/>
      <c r="SJ336" s="48"/>
      <c r="SK336" s="48"/>
      <c r="SL336" s="48"/>
      <c r="SM336" s="48"/>
      <c r="SN336" s="48"/>
      <c r="SO336" s="48"/>
      <c r="SP336" s="48"/>
      <c r="SQ336" s="48"/>
      <c r="SR336" s="48"/>
      <c r="SS336" s="48"/>
      <c r="ST336" s="48"/>
      <c r="SU336" s="48"/>
      <c r="SV336" s="48"/>
      <c r="SW336" s="48"/>
      <c r="SX336" s="48"/>
      <c r="SY336" s="48"/>
      <c r="SZ336" s="48"/>
      <c r="TA336" s="48"/>
      <c r="TB336" s="48"/>
      <c r="TC336" s="48"/>
      <c r="TD336" s="48"/>
      <c r="TE336" s="48"/>
      <c r="TF336" s="48"/>
      <c r="TG336" s="48"/>
      <c r="TH336" s="48"/>
      <c r="TI336" s="48"/>
      <c r="TJ336" s="48"/>
      <c r="TK336" s="48"/>
      <c r="TL336" s="48"/>
      <c r="TM336" s="48"/>
      <c r="TN336" s="48"/>
      <c r="TO336" s="48"/>
      <c r="TP336" s="48"/>
      <c r="TQ336" s="48"/>
      <c r="TR336" s="48"/>
      <c r="TS336" s="48"/>
      <c r="TT336" s="48"/>
      <c r="TU336" s="48"/>
      <c r="TV336" s="48"/>
      <c r="TW336" s="48"/>
      <c r="TX336" s="48"/>
      <c r="TY336" s="48"/>
      <c r="TZ336" s="48"/>
      <c r="UA336" s="48"/>
      <c r="UB336" s="48"/>
      <c r="UC336" s="48"/>
      <c r="UD336" s="48"/>
      <c r="UE336" s="48"/>
      <c r="UF336" s="48"/>
      <c r="UG336" s="48"/>
      <c r="UH336" s="48"/>
      <c r="UI336" s="48"/>
      <c r="UJ336" s="48"/>
      <c r="UK336" s="48"/>
      <c r="UL336" s="48"/>
      <c r="UM336" s="48"/>
      <c r="UN336" s="48"/>
      <c r="UO336" s="48"/>
      <c r="UP336" s="48"/>
      <c r="UQ336" s="48"/>
      <c r="UR336" s="48"/>
      <c r="US336" s="48"/>
      <c r="UT336" s="48"/>
      <c r="UU336" s="48"/>
      <c r="UV336" s="48"/>
      <c r="UW336" s="48"/>
      <c r="UX336" s="48"/>
      <c r="UY336" s="48"/>
      <c r="UZ336" s="48"/>
      <c r="VA336" s="48"/>
      <c r="VB336" s="48"/>
      <c r="VC336" s="48"/>
      <c r="VD336" s="48"/>
      <c r="VE336" s="48"/>
      <c r="VF336" s="48"/>
      <c r="VG336" s="48"/>
      <c r="VH336" s="48"/>
      <c r="VI336" s="48"/>
      <c r="VJ336" s="48"/>
      <c r="VK336" s="48"/>
      <c r="VL336" s="48"/>
      <c r="VM336" s="48"/>
      <c r="VN336" s="48"/>
      <c r="VO336" s="48"/>
      <c r="VP336" s="48"/>
      <c r="VQ336" s="48"/>
      <c r="VR336" s="48"/>
      <c r="VS336" s="48"/>
      <c r="VT336" s="48"/>
      <c r="VU336" s="48"/>
      <c r="VV336" s="48"/>
      <c r="VW336" s="48"/>
      <c r="VX336" s="48"/>
      <c r="VY336" s="48"/>
      <c r="VZ336" s="48"/>
      <c r="WA336" s="48"/>
      <c r="WB336" s="48"/>
      <c r="WC336" s="48"/>
      <c r="WD336" s="48"/>
      <c r="WE336" s="48"/>
      <c r="WF336" s="48"/>
      <c r="WG336" s="48"/>
      <c r="WH336" s="48"/>
      <c r="WI336" s="48"/>
      <c r="WJ336" s="48"/>
      <c r="WK336" s="48"/>
      <c r="WL336" s="48"/>
      <c r="WM336" s="48"/>
      <c r="WN336" s="48"/>
      <c r="WO336" s="48"/>
      <c r="WP336" s="48"/>
      <c r="WQ336" s="48"/>
      <c r="WR336" s="48"/>
      <c r="WS336" s="48"/>
      <c r="WT336" s="48"/>
      <c r="WU336" s="48"/>
      <c r="WV336" s="48"/>
      <c r="WW336" s="48"/>
      <c r="WX336" s="48"/>
      <c r="WY336" s="48"/>
      <c r="WZ336" s="48"/>
      <c r="XA336" s="48"/>
      <c r="XB336" s="48"/>
      <c r="XC336" s="48"/>
      <c r="XD336" s="48"/>
      <c r="XE336" s="48"/>
      <c r="XF336" s="48"/>
      <c r="XG336" s="48"/>
      <c r="XH336" s="48"/>
      <c r="XI336" s="48"/>
      <c r="XJ336" s="48"/>
      <c r="XK336" s="48"/>
      <c r="XL336" s="48"/>
      <c r="XM336" s="48"/>
      <c r="XN336" s="48"/>
      <c r="XO336" s="48"/>
      <c r="XP336" s="48"/>
      <c r="XQ336" s="48"/>
      <c r="XR336" s="48"/>
      <c r="XS336" s="48"/>
      <c r="XT336" s="48"/>
      <c r="XU336" s="48"/>
      <c r="XV336" s="48"/>
      <c r="XW336" s="48"/>
      <c r="XX336" s="48"/>
      <c r="XY336" s="48"/>
      <c r="XZ336" s="48"/>
      <c r="YA336" s="48"/>
      <c r="YB336" s="48"/>
      <c r="YC336" s="48"/>
      <c r="YD336" s="48"/>
      <c r="YE336" s="48"/>
      <c r="YF336" s="48"/>
      <c r="YG336" s="48"/>
      <c r="YH336" s="48"/>
      <c r="YI336" s="48"/>
      <c r="YJ336" s="48"/>
      <c r="YK336" s="48"/>
      <c r="YL336" s="48"/>
      <c r="YM336" s="48"/>
      <c r="YN336" s="48"/>
      <c r="YO336" s="48"/>
      <c r="YP336" s="48"/>
      <c r="YQ336" s="48"/>
      <c r="YR336" s="48"/>
      <c r="YS336" s="48"/>
      <c r="YT336" s="48"/>
      <c r="YU336" s="48"/>
      <c r="YV336" s="48"/>
      <c r="YW336" s="48"/>
      <c r="YX336" s="48"/>
      <c r="YY336" s="48"/>
      <c r="YZ336" s="48"/>
      <c r="ZA336" s="48"/>
      <c r="ZB336" s="48"/>
      <c r="ZC336" s="48"/>
      <c r="ZD336" s="48"/>
      <c r="ZE336" s="48"/>
      <c r="ZF336" s="48"/>
      <c r="ZG336" s="48"/>
      <c r="ZH336" s="48"/>
      <c r="ZI336" s="48"/>
      <c r="ZJ336" s="48"/>
      <c r="ZK336" s="48"/>
      <c r="ZL336" s="48"/>
      <c r="ZM336" s="48"/>
      <c r="ZN336" s="48"/>
      <c r="ZO336" s="48"/>
      <c r="ZP336" s="48"/>
      <c r="ZQ336" s="48"/>
      <c r="ZR336" s="48"/>
      <c r="ZS336" s="48"/>
      <c r="ZT336" s="48"/>
      <c r="ZU336" s="48"/>
      <c r="ZV336" s="48"/>
      <c r="ZW336" s="48"/>
      <c r="ZX336" s="48"/>
      <c r="ZY336" s="48"/>
      <c r="ZZ336" s="48"/>
      <c r="AAA336" s="48"/>
      <c r="AAB336" s="48"/>
      <c r="AAC336" s="48"/>
      <c r="AAD336" s="48"/>
      <c r="AAE336" s="48"/>
      <c r="AAF336" s="48"/>
      <c r="AAG336" s="48"/>
      <c r="AAH336" s="48"/>
      <c r="AAI336" s="48"/>
      <c r="AAJ336" s="48"/>
      <c r="AAK336" s="48"/>
      <c r="AAL336" s="48"/>
      <c r="AAM336" s="48"/>
      <c r="AAN336" s="48"/>
      <c r="AAO336" s="48"/>
      <c r="AAP336" s="48"/>
      <c r="AAQ336" s="48"/>
      <c r="AAR336" s="48"/>
      <c r="AAS336" s="48"/>
      <c r="AAT336" s="48"/>
      <c r="AAU336" s="48"/>
      <c r="AAV336" s="48"/>
      <c r="AAW336" s="48"/>
      <c r="AAX336" s="48"/>
      <c r="AAY336" s="48"/>
      <c r="AAZ336" s="48"/>
      <c r="ABA336" s="48"/>
      <c r="ABB336" s="48"/>
      <c r="ABC336" s="48"/>
      <c r="ABD336" s="48"/>
      <c r="ABE336" s="48"/>
      <c r="ABF336" s="48"/>
      <c r="ABG336" s="48"/>
      <c r="ABH336" s="48"/>
      <c r="ABI336" s="48"/>
      <c r="ABJ336" s="48"/>
      <c r="ABK336" s="48"/>
      <c r="ABL336" s="48"/>
      <c r="ABM336" s="48"/>
      <c r="ABN336" s="48"/>
      <c r="ABO336" s="48"/>
      <c r="ABP336" s="48"/>
      <c r="ABQ336" s="48"/>
      <c r="ABR336" s="48"/>
      <c r="ABS336" s="48"/>
      <c r="ABT336" s="48"/>
      <c r="ABU336" s="48"/>
      <c r="ABV336" s="48"/>
      <c r="ABW336" s="48"/>
      <c r="ABX336" s="48"/>
      <c r="ABY336" s="48"/>
      <c r="ABZ336" s="48"/>
      <c r="ACA336" s="48"/>
      <c r="ACB336" s="48"/>
      <c r="ACC336" s="48"/>
      <c r="ACD336" s="48"/>
      <c r="ACE336" s="48"/>
      <c r="ACF336" s="48"/>
      <c r="ACG336" s="48"/>
      <c r="ACH336" s="48"/>
      <c r="ACI336" s="48"/>
      <c r="ACJ336" s="48"/>
      <c r="ACK336" s="48"/>
      <c r="ACL336" s="48"/>
      <c r="ACM336" s="48"/>
      <c r="ACN336" s="48"/>
      <c r="ACO336" s="48"/>
      <c r="ACP336" s="48"/>
      <c r="ACQ336" s="48"/>
      <c r="ACR336" s="48"/>
      <c r="ACS336" s="48"/>
      <c r="ACT336" s="48"/>
      <c r="ACU336" s="48"/>
      <c r="ACV336" s="48"/>
      <c r="ACW336" s="48"/>
      <c r="ACX336" s="48"/>
      <c r="ACY336" s="48"/>
      <c r="ACZ336" s="48"/>
      <c r="ADA336" s="48"/>
      <c r="ADB336" s="48"/>
      <c r="ADC336" s="48"/>
      <c r="ADD336" s="48"/>
      <c r="ADE336" s="48"/>
      <c r="ADF336" s="48"/>
      <c r="ADG336" s="48"/>
      <c r="ADH336" s="48"/>
      <c r="ADI336" s="48"/>
      <c r="ADJ336" s="48"/>
      <c r="ADK336" s="48"/>
      <c r="ADL336" s="48"/>
      <c r="ADM336" s="48"/>
      <c r="ADN336" s="48"/>
      <c r="ADO336" s="48"/>
      <c r="ADP336" s="48"/>
      <c r="ADQ336" s="48"/>
      <c r="ADR336" s="48"/>
      <c r="ADS336" s="48"/>
      <c r="ADT336" s="48"/>
      <c r="ADU336" s="48"/>
      <c r="ADV336" s="48"/>
      <c r="ADW336" s="48"/>
      <c r="ADX336" s="48"/>
      <c r="ADY336" s="48"/>
      <c r="ADZ336" s="48"/>
      <c r="AEA336" s="48"/>
      <c r="AEB336" s="48"/>
      <c r="AEC336" s="48"/>
      <c r="AED336" s="48"/>
      <c r="AEE336" s="48"/>
      <c r="AEF336" s="48"/>
      <c r="AEG336" s="48"/>
      <c r="AEH336" s="48"/>
      <c r="AEI336" s="48"/>
      <c r="AEJ336" s="48"/>
      <c r="AEK336" s="48"/>
      <c r="AEL336" s="48"/>
      <c r="AEM336" s="48"/>
      <c r="AEN336" s="48"/>
      <c r="AEO336" s="48"/>
      <c r="AEP336" s="48"/>
      <c r="AEQ336" s="48"/>
      <c r="AER336" s="48"/>
      <c r="AES336" s="48"/>
      <c r="AET336" s="48"/>
      <c r="AEU336" s="48"/>
      <c r="AEV336" s="48"/>
      <c r="AEW336" s="48"/>
      <c r="AEX336" s="48"/>
      <c r="AEY336" s="48"/>
      <c r="AEZ336" s="48"/>
      <c r="AFA336" s="48"/>
      <c r="AFB336" s="48"/>
      <c r="AFC336" s="48"/>
      <c r="AFD336" s="48"/>
      <c r="AFE336" s="48"/>
      <c r="AFF336" s="48"/>
      <c r="AFG336" s="48"/>
      <c r="AFH336" s="48"/>
      <c r="AFI336" s="48"/>
      <c r="AFJ336" s="48"/>
      <c r="AFK336" s="48"/>
      <c r="AFL336" s="48"/>
      <c r="AFM336" s="48"/>
      <c r="AFN336" s="48"/>
      <c r="AFO336" s="48"/>
      <c r="AFP336" s="48"/>
      <c r="AFQ336" s="48"/>
      <c r="AFR336" s="48"/>
      <c r="AFS336" s="48"/>
      <c r="AFT336" s="48"/>
      <c r="AFU336" s="48"/>
      <c r="AFV336" s="48"/>
      <c r="AFW336" s="48"/>
      <c r="AFX336" s="48"/>
      <c r="AFY336" s="48"/>
      <c r="AFZ336" s="48"/>
      <c r="AGA336" s="48"/>
      <c r="AGB336" s="48"/>
      <c r="AGC336" s="48"/>
      <c r="AGD336" s="48"/>
      <c r="AGE336" s="48"/>
      <c r="AGF336" s="48"/>
      <c r="AGG336" s="48"/>
      <c r="AGH336" s="48"/>
      <c r="AGI336" s="48"/>
      <c r="AGJ336" s="48"/>
      <c r="AGK336" s="48"/>
      <c r="AGL336" s="48"/>
      <c r="AGM336" s="48"/>
      <c r="AGN336" s="48"/>
      <c r="AGO336" s="48"/>
      <c r="AGP336" s="48"/>
      <c r="AGQ336" s="48"/>
      <c r="AGR336" s="48"/>
      <c r="AGS336" s="48"/>
      <c r="AGT336" s="48"/>
      <c r="AGU336" s="48"/>
      <c r="AGV336" s="48"/>
      <c r="AGW336" s="48"/>
      <c r="AGX336" s="48"/>
      <c r="AGY336" s="48"/>
      <c r="AGZ336" s="48"/>
      <c r="AHA336" s="48"/>
      <c r="AHB336" s="48"/>
      <c r="AHC336" s="48"/>
      <c r="AHD336" s="48"/>
      <c r="AHE336" s="48"/>
      <c r="AHF336" s="48"/>
      <c r="AHG336" s="48"/>
      <c r="AHH336" s="48"/>
      <c r="AHI336" s="48"/>
      <c r="AHJ336" s="48"/>
      <c r="AHK336" s="48"/>
      <c r="AHL336" s="48"/>
      <c r="AHM336" s="48"/>
      <c r="AHN336" s="48"/>
      <c r="AHO336" s="48"/>
      <c r="AHP336" s="48"/>
      <c r="AHQ336" s="48"/>
      <c r="AHR336" s="48"/>
      <c r="AHS336" s="48"/>
      <c r="AHT336" s="48"/>
      <c r="AHU336" s="48"/>
      <c r="AHV336" s="48"/>
      <c r="AHW336" s="48"/>
      <c r="AHX336" s="48"/>
      <c r="AHY336" s="48"/>
      <c r="AHZ336" s="48"/>
      <c r="AIA336" s="48"/>
      <c r="AIB336" s="48"/>
      <c r="AIC336" s="48"/>
      <c r="AID336" s="48"/>
      <c r="AIE336" s="48"/>
      <c r="AIF336" s="48"/>
      <c r="AIG336" s="48"/>
      <c r="AIH336" s="48"/>
      <c r="AII336" s="48"/>
      <c r="AIJ336" s="48"/>
      <c r="AIK336" s="48"/>
      <c r="AIL336" s="48"/>
      <c r="AIM336" s="48"/>
      <c r="AIN336" s="48"/>
      <c r="AIO336" s="48"/>
      <c r="AIP336" s="48"/>
      <c r="AIQ336" s="48"/>
      <c r="AIR336" s="48"/>
      <c r="AIS336" s="48"/>
      <c r="AIT336" s="48"/>
      <c r="AIU336" s="48"/>
      <c r="AIV336" s="48"/>
      <c r="AIW336" s="48"/>
      <c r="AIX336" s="48"/>
      <c r="AIY336" s="48"/>
      <c r="AIZ336" s="48"/>
      <c r="AJA336" s="48"/>
      <c r="AJB336" s="48"/>
      <c r="AJC336" s="48"/>
      <c r="AJD336" s="48"/>
      <c r="AJE336" s="48"/>
      <c r="AJF336" s="48"/>
      <c r="AJG336" s="48"/>
      <c r="AJH336" s="48"/>
      <c r="AJI336" s="48"/>
      <c r="AJJ336" s="48"/>
      <c r="AJK336" s="48"/>
      <c r="AJL336" s="48"/>
      <c r="AJM336" s="48"/>
      <c r="AJN336" s="48"/>
      <c r="AJO336" s="48"/>
      <c r="AJP336" s="48"/>
      <c r="AJQ336" s="48"/>
      <c r="AJR336" s="48"/>
      <c r="AJS336" s="48"/>
      <c r="AJT336" s="48"/>
      <c r="AJU336" s="48"/>
      <c r="AJV336" s="48"/>
      <c r="AJW336" s="48"/>
      <c r="AJX336" s="48"/>
      <c r="AJY336" s="48"/>
      <c r="AJZ336" s="48"/>
      <c r="AKA336" s="48"/>
      <c r="AKB336" s="48"/>
      <c r="AKC336" s="48"/>
      <c r="AKD336" s="48"/>
      <c r="AKE336" s="48"/>
      <c r="AKF336" s="48"/>
      <c r="AKG336" s="48"/>
      <c r="AKH336" s="48"/>
      <c r="AKI336" s="48"/>
      <c r="AKJ336" s="48"/>
      <c r="AKK336" s="48"/>
      <c r="AKL336" s="48"/>
      <c r="AKM336" s="48"/>
      <c r="AKN336" s="48"/>
      <c r="AKO336" s="48"/>
      <c r="AKP336" s="48"/>
      <c r="AKQ336" s="48"/>
      <c r="AKR336" s="48"/>
      <c r="AKS336" s="48"/>
      <c r="AKT336" s="48"/>
      <c r="AKU336" s="48"/>
      <c r="AKV336" s="48"/>
      <c r="AKW336" s="48"/>
      <c r="AKX336" s="48"/>
      <c r="AKY336" s="48"/>
      <c r="AKZ336" s="48"/>
      <c r="ALA336" s="48"/>
      <c r="ALB336" s="48"/>
      <c r="ALC336" s="48"/>
      <c r="ALD336" s="48"/>
      <c r="ALE336" s="48"/>
      <c r="ALF336" s="48"/>
      <c r="ALG336" s="48"/>
      <c r="ALH336" s="48"/>
      <c r="ALI336" s="48"/>
      <c r="ALJ336" s="48"/>
      <c r="ALK336" s="48"/>
      <c r="ALL336" s="48"/>
      <c r="ALM336" s="48"/>
      <c r="ALN336" s="48"/>
      <c r="ALO336" s="48"/>
      <c r="ALP336" s="48"/>
      <c r="ALQ336" s="48"/>
      <c r="ALR336" s="48"/>
      <c r="ALS336" s="48"/>
      <c r="ALT336" s="48"/>
      <c r="ALU336" s="48"/>
      <c r="ALV336" s="48"/>
      <c r="ALW336" s="48"/>
      <c r="ALX336" s="48"/>
      <c r="ALY336" s="48"/>
      <c r="ALZ336" s="48"/>
      <c r="AMA336" s="48"/>
      <c r="AMB336" s="48"/>
      <c r="AMC336" s="48"/>
      <c r="AMD336" s="48"/>
      <c r="AME336" s="48"/>
      <c r="AMF336" s="48"/>
      <c r="AMG336" s="48"/>
      <c r="AMH336" s="48"/>
      <c r="AMI336" s="48"/>
      <c r="AMJ336" s="48"/>
      <c r="AMK336" s="48"/>
      <c r="AML336" s="48"/>
      <c r="AMM336" s="48"/>
      <c r="AMN336" s="48"/>
      <c r="AMO336" s="48"/>
      <c r="AMP336" s="48"/>
      <c r="AMQ336" s="48"/>
      <c r="AMR336" s="48"/>
      <c r="AMS336" s="48"/>
      <c r="AMT336" s="48"/>
      <c r="AMU336" s="48"/>
      <c r="AMV336" s="48"/>
      <c r="AMW336" s="48"/>
      <c r="AMX336" s="48"/>
      <c r="AMY336" s="48"/>
      <c r="AMZ336" s="48"/>
      <c r="ANA336" s="48"/>
      <c r="ANB336" s="48"/>
      <c r="ANC336" s="48"/>
      <c r="AND336" s="48"/>
      <c r="ANE336" s="48"/>
      <c r="ANF336" s="48"/>
      <c r="ANG336" s="48"/>
      <c r="ANH336" s="48"/>
      <c r="ANI336" s="48"/>
      <c r="ANJ336" s="48"/>
      <c r="ANK336" s="48"/>
      <c r="ANL336" s="48"/>
      <c r="ANM336" s="48"/>
      <c r="ANN336" s="48"/>
      <c r="ANO336" s="48"/>
      <c r="ANP336" s="48"/>
      <c r="ANQ336" s="48"/>
      <c r="ANR336" s="48"/>
      <c r="ANS336" s="48"/>
      <c r="ANT336" s="48"/>
      <c r="ANU336" s="48"/>
      <c r="ANV336" s="48"/>
      <c r="ANW336" s="48"/>
      <c r="ANX336" s="48"/>
      <c r="ANY336" s="48"/>
      <c r="ANZ336" s="48"/>
      <c r="AOA336" s="48"/>
      <c r="AOB336" s="48"/>
      <c r="AOC336" s="48"/>
      <c r="AOD336" s="48"/>
      <c r="AOE336" s="48"/>
      <c r="AOF336" s="48"/>
      <c r="AOG336" s="48"/>
      <c r="AOH336" s="48"/>
      <c r="AOI336" s="48"/>
      <c r="AOJ336" s="48"/>
      <c r="AOK336" s="48"/>
      <c r="AOL336" s="48"/>
      <c r="AOM336" s="48"/>
      <c r="AON336" s="48"/>
      <c r="AOO336" s="48"/>
      <c r="AOP336" s="48"/>
      <c r="AOQ336" s="48"/>
      <c r="AOR336" s="48"/>
      <c r="AOS336" s="48"/>
      <c r="AOT336" s="48"/>
      <c r="AOU336" s="48"/>
      <c r="AOV336" s="48"/>
      <c r="AOW336" s="48"/>
      <c r="AOX336" s="48"/>
      <c r="AOY336" s="48"/>
      <c r="AOZ336" s="48"/>
      <c r="APA336" s="48"/>
      <c r="APB336" s="48"/>
      <c r="APC336" s="48"/>
      <c r="APD336" s="48"/>
      <c r="APE336" s="48"/>
      <c r="APF336" s="48"/>
      <c r="APG336" s="48"/>
      <c r="APH336" s="48"/>
      <c r="API336" s="48"/>
      <c r="APJ336" s="48"/>
      <c r="APK336" s="48"/>
      <c r="APL336" s="48"/>
      <c r="APM336" s="48"/>
      <c r="APN336" s="48"/>
      <c r="APO336" s="48"/>
      <c r="APP336" s="48"/>
      <c r="APQ336" s="48"/>
      <c r="APR336" s="48"/>
      <c r="APS336" s="48"/>
      <c r="APT336" s="48"/>
      <c r="APU336" s="48"/>
      <c r="APV336" s="48"/>
      <c r="APW336" s="48"/>
      <c r="APX336" s="48"/>
      <c r="APY336" s="48"/>
      <c r="APZ336" s="48"/>
      <c r="AQA336" s="48"/>
      <c r="AQB336" s="48"/>
      <c r="AQC336" s="48"/>
      <c r="AQD336" s="48"/>
      <c r="AQE336" s="48"/>
      <c r="AQF336" s="48"/>
      <c r="AQG336" s="48"/>
      <c r="AQH336" s="48"/>
      <c r="AQI336" s="48"/>
      <c r="AQJ336" s="48"/>
      <c r="AQK336" s="48"/>
      <c r="AQL336" s="48"/>
      <c r="AQM336" s="48"/>
      <c r="AQN336" s="48"/>
      <c r="AQO336" s="48"/>
      <c r="AQP336" s="48"/>
      <c r="AQQ336" s="48"/>
      <c r="AQR336" s="48"/>
      <c r="AQS336" s="48"/>
      <c r="AQT336" s="48"/>
      <c r="AQU336" s="48"/>
      <c r="AQV336" s="48"/>
      <c r="AQW336" s="48"/>
      <c r="AQX336" s="48"/>
      <c r="AQY336" s="48"/>
      <c r="AQZ336" s="48"/>
      <c r="ARA336" s="48"/>
      <c r="ARB336" s="48"/>
      <c r="ARC336" s="48"/>
      <c r="ARD336" s="48"/>
      <c r="ARE336" s="48"/>
      <c r="ARF336" s="48"/>
      <c r="ARG336" s="48"/>
      <c r="ARH336" s="48"/>
      <c r="ARI336" s="48"/>
      <c r="ARJ336" s="48"/>
      <c r="ARK336" s="48"/>
      <c r="ARL336" s="48"/>
      <c r="ARM336" s="48"/>
      <c r="ARN336" s="48"/>
      <c r="ARO336" s="48"/>
      <c r="ARP336" s="48"/>
      <c r="ARQ336" s="48"/>
      <c r="ARR336" s="48"/>
      <c r="ARS336" s="48"/>
      <c r="ART336" s="48"/>
      <c r="ARU336" s="48"/>
      <c r="ARV336" s="48"/>
      <c r="ARW336" s="48"/>
      <c r="ARX336" s="48"/>
      <c r="ARY336" s="48"/>
      <c r="ARZ336" s="48"/>
      <c r="ASA336" s="48"/>
      <c r="ASB336" s="48"/>
      <c r="ASC336" s="48"/>
      <c r="ASD336" s="48"/>
      <c r="ASE336" s="48"/>
      <c r="ASF336" s="48"/>
      <c r="ASG336" s="48"/>
      <c r="ASH336" s="48"/>
      <c r="ASI336" s="48"/>
      <c r="ASJ336" s="48"/>
      <c r="ASK336" s="48"/>
      <c r="ASL336" s="48"/>
      <c r="ASM336" s="48"/>
      <c r="ASN336" s="48"/>
      <c r="ASO336" s="48"/>
      <c r="ASP336" s="48"/>
      <c r="ASQ336" s="48"/>
      <c r="ASR336" s="48"/>
      <c r="ASS336" s="48"/>
      <c r="AST336" s="48"/>
      <c r="ASU336" s="48"/>
      <c r="ASV336" s="48"/>
      <c r="ASW336" s="48"/>
      <c r="ASX336" s="48"/>
      <c r="ASY336" s="48"/>
      <c r="ASZ336" s="48"/>
      <c r="ATA336" s="48"/>
      <c r="ATB336" s="48"/>
      <c r="ATC336" s="48"/>
      <c r="ATD336" s="48"/>
      <c r="ATE336" s="48"/>
      <c r="ATF336" s="48"/>
      <c r="ATG336" s="48"/>
      <c r="ATH336" s="48"/>
      <c r="ATI336" s="48"/>
      <c r="ATJ336" s="48"/>
      <c r="ATK336" s="48"/>
      <c r="ATL336" s="48"/>
      <c r="ATM336" s="48"/>
      <c r="ATN336" s="48"/>
      <c r="ATO336" s="48"/>
      <c r="ATP336" s="48"/>
      <c r="ATQ336" s="48"/>
      <c r="ATR336" s="48"/>
      <c r="ATS336" s="48"/>
      <c r="ATT336" s="48"/>
      <c r="ATU336" s="48"/>
      <c r="ATV336" s="48"/>
      <c r="ATW336" s="48"/>
      <c r="ATX336" s="48"/>
      <c r="ATY336" s="48"/>
      <c r="ATZ336" s="48"/>
      <c r="AUA336" s="48"/>
      <c r="AUB336" s="48"/>
      <c r="AUC336" s="48"/>
      <c r="AUD336" s="48"/>
      <c r="AUE336" s="48"/>
      <c r="AUF336" s="48"/>
      <c r="AUG336" s="48"/>
      <c r="AUH336" s="48"/>
      <c r="AUI336" s="48"/>
      <c r="AUJ336" s="48"/>
      <c r="AUK336" s="48"/>
      <c r="AUL336" s="48"/>
      <c r="AUM336" s="48"/>
      <c r="AUN336" s="48"/>
      <c r="AUO336" s="48"/>
      <c r="AUP336" s="48"/>
      <c r="AUQ336" s="48"/>
      <c r="AUR336" s="48"/>
      <c r="AUS336" s="48"/>
      <c r="AUT336" s="48"/>
      <c r="AUU336" s="48"/>
      <c r="AUV336" s="48"/>
      <c r="AUW336" s="48"/>
      <c r="AUX336" s="48"/>
      <c r="AUY336" s="48"/>
      <c r="AUZ336" s="48"/>
      <c r="AVA336" s="48"/>
      <c r="AVB336" s="48"/>
      <c r="AVC336" s="48"/>
      <c r="AVD336" s="48"/>
      <c r="AVE336" s="48"/>
      <c r="AVF336" s="48"/>
      <c r="AVG336" s="48"/>
      <c r="AVH336" s="48"/>
      <c r="AVI336" s="48"/>
      <c r="AVJ336" s="48"/>
      <c r="AVK336" s="48"/>
      <c r="AVL336" s="48"/>
      <c r="AVM336" s="48"/>
      <c r="AVN336" s="48"/>
      <c r="AVO336" s="48"/>
      <c r="AVP336" s="48"/>
      <c r="AVQ336" s="48"/>
      <c r="AVR336" s="48"/>
      <c r="AVS336" s="48"/>
      <c r="AVT336" s="48"/>
      <c r="AVU336" s="48"/>
      <c r="AVV336" s="48"/>
      <c r="AVW336" s="48"/>
      <c r="AVX336" s="48"/>
      <c r="AVY336" s="48"/>
      <c r="AVZ336" s="48"/>
      <c r="AWA336" s="48"/>
      <c r="AWB336" s="48"/>
      <c r="AWC336" s="48"/>
      <c r="AWD336" s="48"/>
      <c r="AWE336" s="48"/>
      <c r="AWF336" s="48"/>
      <c r="AWG336" s="48"/>
      <c r="AWH336" s="48"/>
      <c r="AWI336" s="48"/>
      <c r="AWJ336" s="48"/>
      <c r="AWK336" s="48"/>
      <c r="AWL336" s="48"/>
      <c r="AWM336" s="48"/>
      <c r="AWN336" s="48"/>
      <c r="AWO336" s="48"/>
      <c r="AWP336" s="48"/>
      <c r="AWQ336" s="48"/>
    </row>
    <row r="339" spans="3:3" ht="15" customHeight="1" x14ac:dyDescent="0.2">
      <c r="C339" s="1871"/>
    </row>
  </sheetData>
  <sheetProtection password="C4B9" sheet="1" objects="1" scenarios="1" formatCells="0" formatColumns="0" formatRows="0"/>
  <customSheetViews>
    <customSheetView guid="{B8E02330-2419-4DE6-AD01-7ACC7A5D18DD}" scale="90" topLeftCell="A96">
      <selection activeCell="C101" sqref="C101:C102"/>
      <rowBreaks count="16" manualBreakCount="16">
        <brk id="9" max="4" man="1"/>
        <brk id="26" max="4" man="1"/>
        <brk id="45" max="4" man="1"/>
        <brk id="82" max="4" man="1"/>
        <brk id="100" max="4" man="1"/>
        <brk id="124" max="4" man="1"/>
        <brk id="148" max="4" man="1"/>
        <brk id="166" max="4" man="1"/>
        <brk id="196" max="4" man="1"/>
        <brk id="220" max="4" man="1"/>
        <brk id="236" max="4" man="1"/>
        <brk id="267" max="4" man="1"/>
        <brk id="287" max="4" man="1"/>
        <brk id="306" max="4" man="1"/>
        <brk id="333" max="4" man="1"/>
        <brk id="363" max="4" man="1"/>
      </rowBreaks>
      <pageMargins left="0.25" right="0.25" top="0.75" bottom="0.75" header="0.3" footer="0.3"/>
      <printOptions headings="1"/>
      <pageSetup scale="85" orientation="landscape" r:id="rId1"/>
      <headerFooter alignWithMargins="0">
        <oddFooter>&amp;LWESPUS betaV1, by Dr. Paul Adamus</oddFooter>
      </headerFooter>
    </customSheetView>
  </customSheetViews>
  <mergeCells count="180">
    <mergeCell ref="A318:A322"/>
    <mergeCell ref="A323:A327"/>
    <mergeCell ref="A145:A150"/>
    <mergeCell ref="A151:A159"/>
    <mergeCell ref="A140:A144"/>
    <mergeCell ref="B134:B139"/>
    <mergeCell ref="B145:B150"/>
    <mergeCell ref="B218:B223"/>
    <mergeCell ref="A259:A265"/>
    <mergeCell ref="B259:B265"/>
    <mergeCell ref="A238:A243"/>
    <mergeCell ref="A255:A257"/>
    <mergeCell ref="A204:A207"/>
    <mergeCell ref="A178:A183"/>
    <mergeCell ref="A224:A229"/>
    <mergeCell ref="A213:A217"/>
    <mergeCell ref="A244:A248"/>
    <mergeCell ref="B172:B177"/>
    <mergeCell ref="A218:A223"/>
    <mergeCell ref="A188:A193"/>
    <mergeCell ref="A266:A269"/>
    <mergeCell ref="B307:B311"/>
    <mergeCell ref="A307:A311"/>
    <mergeCell ref="B275:B279"/>
    <mergeCell ref="A287:A291"/>
    <mergeCell ref="E280:E286"/>
    <mergeCell ref="E266:E269"/>
    <mergeCell ref="E213:E217"/>
    <mergeCell ref="B163:B168"/>
    <mergeCell ref="E303:E306"/>
    <mergeCell ref="E259:E265"/>
    <mergeCell ref="E230:E234"/>
    <mergeCell ref="E188:E193"/>
    <mergeCell ref="E249:E254"/>
    <mergeCell ref="E255:E257"/>
    <mergeCell ref="E244:E248"/>
    <mergeCell ref="E208:E212"/>
    <mergeCell ref="E194:E199"/>
    <mergeCell ref="E235:E237"/>
    <mergeCell ref="E224:E229"/>
    <mergeCell ref="E287:E291"/>
    <mergeCell ref="B328:B334"/>
    <mergeCell ref="B238:B243"/>
    <mergeCell ref="B224:B229"/>
    <mergeCell ref="A328:A334"/>
    <mergeCell ref="B312:B317"/>
    <mergeCell ref="A312:A317"/>
    <mergeCell ref="E312:E317"/>
    <mergeCell ref="B303:B306"/>
    <mergeCell ref="E294:E302"/>
    <mergeCell ref="B266:B269"/>
    <mergeCell ref="B294:B302"/>
    <mergeCell ref="E270:E274"/>
    <mergeCell ref="B287:B291"/>
    <mergeCell ref="B280:B286"/>
    <mergeCell ref="B270:B274"/>
    <mergeCell ref="A303:A306"/>
    <mergeCell ref="A270:A274"/>
    <mergeCell ref="A280:A286"/>
    <mergeCell ref="A294:A302"/>
    <mergeCell ref="A275:A279"/>
    <mergeCell ref="B249:B254"/>
    <mergeCell ref="E328:E334"/>
    <mergeCell ref="E238:E243"/>
    <mergeCell ref="E307:E311"/>
    <mergeCell ref="A129:A133"/>
    <mergeCell ref="B151:B159"/>
    <mergeCell ref="B178:B183"/>
    <mergeCell ref="B169:B171"/>
    <mergeCell ref="A134:A139"/>
    <mergeCell ref="B244:B248"/>
    <mergeCell ref="B235:B237"/>
    <mergeCell ref="B230:B234"/>
    <mergeCell ref="A163:A168"/>
    <mergeCell ref="A169:A171"/>
    <mergeCell ref="B188:B193"/>
    <mergeCell ref="B194:B199"/>
    <mergeCell ref="B204:B207"/>
    <mergeCell ref="B213:B217"/>
    <mergeCell ref="B200:B203"/>
    <mergeCell ref="A200:A203"/>
    <mergeCell ref="B208:B212"/>
    <mergeCell ref="A208:A212"/>
    <mergeCell ref="B160:B162"/>
    <mergeCell ref="A160:A162"/>
    <mergeCell ref="A184:A187"/>
    <mergeCell ref="B184:B187"/>
    <mergeCell ref="A172:A177"/>
    <mergeCell ref="B318:B322"/>
    <mergeCell ref="B323:B327"/>
    <mergeCell ref="E218:E223"/>
    <mergeCell ref="E163:E168"/>
    <mergeCell ref="E200:E203"/>
    <mergeCell ref="E204:E207"/>
    <mergeCell ref="E129:E133"/>
    <mergeCell ref="E145:E150"/>
    <mergeCell ref="E178:E183"/>
    <mergeCell ref="E160:E162"/>
    <mergeCell ref="E140:E144"/>
    <mergeCell ref="E134:E139"/>
    <mergeCell ref="E318:E322"/>
    <mergeCell ref="E323:E327"/>
    <mergeCell ref="E151:E159"/>
    <mergeCell ref="E184:E187"/>
    <mergeCell ref="E172:E177"/>
    <mergeCell ref="E169:E171"/>
    <mergeCell ref="E275:E279"/>
    <mergeCell ref="B255:B257"/>
    <mergeCell ref="E95:E98"/>
    <mergeCell ref="E125:E128"/>
    <mergeCell ref="E71:E77"/>
    <mergeCell ref="E121:E124"/>
    <mergeCell ref="E115:E120"/>
    <mergeCell ref="E103:E107"/>
    <mergeCell ref="E91:E94"/>
    <mergeCell ref="E109:E114"/>
    <mergeCell ref="B140:B144"/>
    <mergeCell ref="B115:B120"/>
    <mergeCell ref="B125:B128"/>
    <mergeCell ref="B121:B124"/>
    <mergeCell ref="B129:B133"/>
    <mergeCell ref="A115:A120"/>
    <mergeCell ref="A95:A98"/>
    <mergeCell ref="B95:B98"/>
    <mergeCell ref="B91:B94"/>
    <mergeCell ref="B62:B69"/>
    <mergeCell ref="B71:B77"/>
    <mergeCell ref="B103:B107"/>
    <mergeCell ref="A78:A83"/>
    <mergeCell ref="B78:B83"/>
    <mergeCell ref="B109:B114"/>
    <mergeCell ref="A109:A114"/>
    <mergeCell ref="A103:A107"/>
    <mergeCell ref="A91:A94"/>
    <mergeCell ref="B84:B90"/>
    <mergeCell ref="A84:A90"/>
    <mergeCell ref="E11:E16"/>
    <mergeCell ref="B6:B10"/>
    <mergeCell ref="A24:A30"/>
    <mergeCell ref="A31:A36"/>
    <mergeCell ref="B24:B30"/>
    <mergeCell ref="A11:A16"/>
    <mergeCell ref="B11:B16"/>
    <mergeCell ref="A17:A23"/>
    <mergeCell ref="E31:E36"/>
    <mergeCell ref="A51:C51"/>
    <mergeCell ref="E62:E69"/>
    <mergeCell ref="E39:E44"/>
    <mergeCell ref="E78:E83"/>
    <mergeCell ref="E58:E61"/>
    <mergeCell ref="E84:E90"/>
    <mergeCell ref="E52:E57"/>
    <mergeCell ref="E45:E50"/>
    <mergeCell ref="E17:E23"/>
    <mergeCell ref="B31:B36"/>
    <mergeCell ref="E24:E30"/>
    <mergeCell ref="F3:HE3"/>
    <mergeCell ref="A335:A336"/>
    <mergeCell ref="B335:B336"/>
    <mergeCell ref="A1:C1"/>
    <mergeCell ref="A3:C3"/>
    <mergeCell ref="A2:C2"/>
    <mergeCell ref="A4:C4"/>
    <mergeCell ref="A249:A254"/>
    <mergeCell ref="A39:A44"/>
    <mergeCell ref="A45:A50"/>
    <mergeCell ref="A230:A234"/>
    <mergeCell ref="A235:A237"/>
    <mergeCell ref="A194:A199"/>
    <mergeCell ref="B17:B23"/>
    <mergeCell ref="B52:B57"/>
    <mergeCell ref="A62:A69"/>
    <mergeCell ref="A52:A57"/>
    <mergeCell ref="B58:B61"/>
    <mergeCell ref="A125:A128"/>
    <mergeCell ref="A71:A77"/>
    <mergeCell ref="A58:A61"/>
    <mergeCell ref="A121:A124"/>
    <mergeCell ref="B39:B44"/>
    <mergeCell ref="B45:B50"/>
  </mergeCells>
  <phoneticPr fontId="5" type="noConversion"/>
  <conditionalFormatting sqref="E266:E306 E249:E257 E213:E218 E224:E244 E200:E202 E208:E211 E204 E194:E198 E178:E188 E164:E175 E140:E162 E125:E129 E109:E123 E102:E103 E24:E36 E99:E100">
    <cfRule type="cellIs" dxfId="21" priority="3918" stopIfTrue="1" operator="equal">
      <formula>1</formula>
    </cfRule>
  </conditionalFormatting>
  <conditionalFormatting sqref="C273:C274 E312 A312:B312 C312:C318 B323 C322:C327 C224:C234 E102 E99:E100 C194 C140:C144 C108 B102:C102 C71:C77 C95:C100 B99:B100">
    <cfRule type="cellIs" dxfId="20" priority="62" operator="equal">
      <formula>1</formula>
    </cfRule>
  </conditionalFormatting>
  <dataValidations disablePrompts="1" count="1">
    <dataValidation type="whole" allowBlank="1" showInputMessage="1" showErrorMessage="1" sqref="F5:HE334 D6:E334">
      <formula1>0</formula1>
      <formula2>1</formula2>
    </dataValidation>
  </dataValidations>
  <printOptions headings="1"/>
  <pageMargins left="0.25" right="0.25" top="0.75" bottom="0.75" header="0.3" footer="0.3"/>
  <pageSetup scale="64" orientation="landscape" r:id="rId2"/>
  <headerFooter alignWithMargins="0">
    <oddHeader>&amp;L&amp;G&amp;R&amp;G</oddHeader>
    <oddFooter>&amp;L&amp;"Arial,Regular"&amp;8Version 1.0
Jun 1, 2015
FieldF form - Non-tidal&amp;C&amp;"Arial,Regular"&amp;8Alberta Wetland Rapid Evaluation Tool - Actual Forms
© 2015 Government of Alberta&amp;R&amp;"Arial,Regular"&amp;8Page &amp;P of &amp;N</oddFooter>
  </headerFooter>
  <rowBreaks count="7" manualBreakCount="7">
    <brk id="38" max="4" man="1"/>
    <brk id="114" max="4" man="1"/>
    <brk id="128" max="4" man="1"/>
    <brk id="162" max="4" man="1"/>
    <brk id="193" max="4" man="1"/>
    <brk id="234" max="4" man="1"/>
    <brk id="279" max="4" man="1"/>
  </rowBreaks>
  <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10"/>
  </sheetPr>
  <dimension ref="A1:HG687"/>
  <sheetViews>
    <sheetView zoomScaleNormal="100" workbookViewId="0">
      <pane xSplit="7" topLeftCell="H1" activePane="topRight" state="frozen"/>
      <selection pane="topRight" activeCell="B20" sqref="B20:E20"/>
    </sheetView>
  </sheetViews>
  <sheetFormatPr defaultColWidth="9.33203125" defaultRowHeight="12.75" x14ac:dyDescent="0.2"/>
  <cols>
    <col min="1" max="1" width="3.6640625" style="1891" customWidth="1"/>
    <col min="2" max="2" width="49" style="1774" customWidth="1"/>
    <col min="3" max="3" width="42.83203125" style="1774" customWidth="1"/>
    <col min="4" max="5" width="42.6640625" style="1774" customWidth="1"/>
    <col min="6" max="7" width="8.83203125" style="1774" customWidth="1"/>
    <col min="8" max="115" width="9.5" style="1774" customWidth="1"/>
    <col min="116" max="16384" width="9.33203125" style="1774"/>
  </cols>
  <sheetData>
    <row r="1" spans="1:215" s="1891" customFormat="1" ht="27" customHeight="1" thickBot="1" x14ac:dyDescent="0.25">
      <c r="A1" s="2019" t="s">
        <v>2394</v>
      </c>
      <c r="B1" s="2020"/>
      <c r="C1" s="2020"/>
      <c r="D1" s="1781" t="s">
        <v>2025</v>
      </c>
      <c r="E1" s="1890" t="s">
        <v>2026</v>
      </c>
      <c r="F1" s="1776"/>
      <c r="G1" s="1776"/>
      <c r="H1" s="1776"/>
      <c r="I1" s="1776"/>
      <c r="J1" s="1776"/>
      <c r="K1" s="1776"/>
      <c r="L1" s="1776"/>
      <c r="M1" s="1776"/>
      <c r="N1" s="1776"/>
      <c r="O1" s="1776"/>
      <c r="P1" s="1776"/>
      <c r="Q1" s="1776"/>
      <c r="R1" s="1776"/>
    </row>
    <row r="2" spans="1:215" s="1892" customFormat="1" ht="42" customHeight="1" thickBot="1" x14ac:dyDescent="0.25">
      <c r="A2" s="2065" t="s">
        <v>2416</v>
      </c>
      <c r="B2" s="2066"/>
      <c r="C2" s="2066"/>
      <c r="D2" s="2066"/>
      <c r="E2" s="2067"/>
      <c r="F2" s="1878" t="s">
        <v>2014</v>
      </c>
      <c r="G2" s="1839" t="s">
        <v>2014</v>
      </c>
      <c r="H2" s="1805" t="s">
        <v>2418</v>
      </c>
      <c r="I2" s="1805" t="s">
        <v>2418</v>
      </c>
      <c r="J2" s="1805" t="s">
        <v>2418</v>
      </c>
      <c r="K2" s="1805" t="s">
        <v>2418</v>
      </c>
      <c r="L2" s="1805" t="s">
        <v>2418</v>
      </c>
      <c r="M2" s="1805" t="s">
        <v>2418</v>
      </c>
      <c r="N2" s="1805" t="s">
        <v>2418</v>
      </c>
      <c r="O2" s="1805" t="s">
        <v>2418</v>
      </c>
      <c r="P2" s="1805" t="s">
        <v>2418</v>
      </c>
      <c r="Q2" s="1805" t="s">
        <v>2418</v>
      </c>
      <c r="R2" s="1805" t="s">
        <v>2418</v>
      </c>
      <c r="S2" s="1805" t="s">
        <v>2418</v>
      </c>
      <c r="T2" s="1805" t="s">
        <v>2418</v>
      </c>
      <c r="U2" s="1805" t="s">
        <v>2418</v>
      </c>
      <c r="V2" s="1805" t="s">
        <v>2418</v>
      </c>
      <c r="W2" s="1805" t="s">
        <v>2418</v>
      </c>
      <c r="X2" s="1805" t="s">
        <v>2418</v>
      </c>
      <c r="Y2" s="1805" t="s">
        <v>2418</v>
      </c>
      <c r="Z2" s="1805" t="s">
        <v>2418</v>
      </c>
      <c r="AA2" s="1805" t="s">
        <v>2418</v>
      </c>
      <c r="AB2" s="1805" t="s">
        <v>2418</v>
      </c>
      <c r="AC2" s="1805" t="s">
        <v>2418</v>
      </c>
      <c r="AD2" s="1805" t="s">
        <v>2418</v>
      </c>
      <c r="AE2" s="1805" t="s">
        <v>2418</v>
      </c>
      <c r="AF2" s="1805" t="s">
        <v>2418</v>
      </c>
      <c r="AG2" s="1805" t="s">
        <v>2418</v>
      </c>
      <c r="AH2" s="1805" t="s">
        <v>2418</v>
      </c>
      <c r="AI2" s="1805" t="s">
        <v>2418</v>
      </c>
      <c r="AJ2" s="1805" t="s">
        <v>2418</v>
      </c>
      <c r="AK2" s="1805" t="s">
        <v>2418</v>
      </c>
      <c r="AL2" s="1805" t="s">
        <v>2418</v>
      </c>
      <c r="AM2" s="1805" t="s">
        <v>2418</v>
      </c>
      <c r="AN2" s="1805" t="s">
        <v>2418</v>
      </c>
      <c r="AO2" s="1805" t="s">
        <v>2418</v>
      </c>
      <c r="AP2" s="1805" t="s">
        <v>2418</v>
      </c>
      <c r="AQ2" s="1805" t="s">
        <v>2418</v>
      </c>
      <c r="AR2" s="1805" t="s">
        <v>2418</v>
      </c>
      <c r="AS2" s="1805" t="s">
        <v>2418</v>
      </c>
      <c r="AT2" s="1805" t="s">
        <v>2418</v>
      </c>
      <c r="AU2" s="1805" t="s">
        <v>2418</v>
      </c>
      <c r="AV2" s="1805" t="s">
        <v>2418</v>
      </c>
      <c r="AW2" s="1805" t="s">
        <v>2418</v>
      </c>
      <c r="AX2" s="1805" t="s">
        <v>2418</v>
      </c>
      <c r="AY2" s="1805" t="s">
        <v>2418</v>
      </c>
      <c r="AZ2" s="1805" t="s">
        <v>2418</v>
      </c>
      <c r="BA2" s="1805" t="s">
        <v>2418</v>
      </c>
      <c r="BB2" s="1805" t="s">
        <v>2418</v>
      </c>
      <c r="BC2" s="1805" t="s">
        <v>2418</v>
      </c>
      <c r="BD2" s="1805" t="s">
        <v>2418</v>
      </c>
      <c r="BE2" s="1805" t="s">
        <v>2418</v>
      </c>
      <c r="BF2" s="1805" t="s">
        <v>2418</v>
      </c>
      <c r="BG2" s="1805" t="s">
        <v>2418</v>
      </c>
      <c r="BH2" s="1805" t="s">
        <v>2418</v>
      </c>
      <c r="BI2" s="1805" t="s">
        <v>2418</v>
      </c>
      <c r="BJ2" s="1805" t="s">
        <v>2418</v>
      </c>
      <c r="BK2" s="1805" t="s">
        <v>2418</v>
      </c>
      <c r="BL2" s="1805" t="s">
        <v>2418</v>
      </c>
      <c r="BM2" s="1805" t="s">
        <v>2418</v>
      </c>
      <c r="BN2" s="1805" t="s">
        <v>2418</v>
      </c>
      <c r="BO2" s="1805" t="s">
        <v>2418</v>
      </c>
      <c r="BP2" s="1805" t="s">
        <v>2418</v>
      </c>
      <c r="BQ2" s="1805" t="s">
        <v>2418</v>
      </c>
      <c r="BR2" s="1805" t="s">
        <v>2418</v>
      </c>
      <c r="BS2" s="1805" t="s">
        <v>2418</v>
      </c>
      <c r="BT2" s="1805" t="s">
        <v>2418</v>
      </c>
      <c r="BU2" s="1805" t="s">
        <v>2418</v>
      </c>
      <c r="BV2" s="1805" t="s">
        <v>2418</v>
      </c>
      <c r="BW2" s="1805" t="s">
        <v>2418</v>
      </c>
      <c r="BX2" s="1805" t="s">
        <v>2418</v>
      </c>
      <c r="BY2" s="1805" t="s">
        <v>2418</v>
      </c>
      <c r="BZ2" s="1805" t="s">
        <v>2418</v>
      </c>
      <c r="CA2" s="1805" t="s">
        <v>2418</v>
      </c>
      <c r="CB2" s="1805" t="s">
        <v>2418</v>
      </c>
      <c r="CC2" s="1805" t="s">
        <v>2418</v>
      </c>
      <c r="CD2" s="1805" t="s">
        <v>2418</v>
      </c>
      <c r="CE2" s="1805" t="s">
        <v>2418</v>
      </c>
      <c r="CF2" s="1805" t="s">
        <v>2418</v>
      </c>
      <c r="CG2" s="1805" t="s">
        <v>2418</v>
      </c>
      <c r="CH2" s="1805" t="s">
        <v>2418</v>
      </c>
      <c r="CI2" s="1805" t="s">
        <v>2418</v>
      </c>
      <c r="CJ2" s="1805" t="s">
        <v>2418</v>
      </c>
      <c r="CK2" s="1805" t="s">
        <v>2418</v>
      </c>
      <c r="CL2" s="1805" t="s">
        <v>2418</v>
      </c>
      <c r="CM2" s="1805" t="s">
        <v>2418</v>
      </c>
      <c r="CN2" s="1805" t="s">
        <v>2418</v>
      </c>
      <c r="CO2" s="1805" t="s">
        <v>2418</v>
      </c>
      <c r="CP2" s="1805" t="s">
        <v>2418</v>
      </c>
      <c r="CQ2" s="1805" t="s">
        <v>2418</v>
      </c>
      <c r="CR2" s="1805" t="s">
        <v>2418</v>
      </c>
      <c r="CS2" s="1805" t="s">
        <v>2418</v>
      </c>
      <c r="CT2" s="1805" t="s">
        <v>2418</v>
      </c>
      <c r="CU2" s="1805" t="s">
        <v>2418</v>
      </c>
      <c r="CV2" s="1805" t="s">
        <v>2418</v>
      </c>
      <c r="CW2" s="1805" t="s">
        <v>2418</v>
      </c>
      <c r="CX2" s="1805" t="s">
        <v>2418</v>
      </c>
      <c r="CY2" s="1805" t="s">
        <v>2418</v>
      </c>
      <c r="CZ2" s="1805" t="s">
        <v>2418</v>
      </c>
      <c r="DA2" s="1805" t="s">
        <v>2418</v>
      </c>
      <c r="DB2" s="1805" t="s">
        <v>2418</v>
      </c>
      <c r="DC2" s="1805" t="s">
        <v>2418</v>
      </c>
      <c r="DD2" s="1805" t="s">
        <v>2418</v>
      </c>
      <c r="DE2" s="1805" t="s">
        <v>2418</v>
      </c>
      <c r="DF2" s="1805" t="s">
        <v>2418</v>
      </c>
      <c r="DG2" s="1805" t="s">
        <v>2418</v>
      </c>
      <c r="DH2" s="1805" t="s">
        <v>2418</v>
      </c>
      <c r="DI2" s="1805" t="s">
        <v>2418</v>
      </c>
      <c r="DJ2" s="1805" t="s">
        <v>2418</v>
      </c>
      <c r="DK2" s="1805" t="s">
        <v>2418</v>
      </c>
      <c r="DL2" s="1805" t="s">
        <v>2418</v>
      </c>
      <c r="DM2" s="1805" t="s">
        <v>2418</v>
      </c>
      <c r="DN2" s="1805" t="s">
        <v>2418</v>
      </c>
      <c r="DO2" s="1805" t="s">
        <v>2418</v>
      </c>
      <c r="DP2" s="1805" t="s">
        <v>2418</v>
      </c>
      <c r="DQ2" s="1805" t="s">
        <v>2418</v>
      </c>
      <c r="DR2" s="1805" t="s">
        <v>2418</v>
      </c>
      <c r="DS2" s="1805" t="s">
        <v>2418</v>
      </c>
      <c r="DT2" s="1805" t="s">
        <v>2418</v>
      </c>
      <c r="DU2" s="1805" t="s">
        <v>2418</v>
      </c>
      <c r="DV2" s="1805" t="s">
        <v>2418</v>
      </c>
      <c r="DW2" s="1805" t="s">
        <v>2418</v>
      </c>
      <c r="DX2" s="1805" t="s">
        <v>2418</v>
      </c>
      <c r="DY2" s="1805" t="s">
        <v>2418</v>
      </c>
      <c r="DZ2" s="1805" t="s">
        <v>2418</v>
      </c>
      <c r="EA2" s="1805" t="s">
        <v>2418</v>
      </c>
      <c r="EB2" s="1805" t="s">
        <v>2418</v>
      </c>
      <c r="EC2" s="1805" t="s">
        <v>2418</v>
      </c>
      <c r="ED2" s="1805" t="s">
        <v>2418</v>
      </c>
      <c r="EE2" s="1805" t="s">
        <v>2418</v>
      </c>
      <c r="EF2" s="1805" t="s">
        <v>2418</v>
      </c>
      <c r="EG2" s="1805" t="s">
        <v>2418</v>
      </c>
      <c r="EH2" s="1805" t="s">
        <v>2418</v>
      </c>
      <c r="EI2" s="1805" t="s">
        <v>2418</v>
      </c>
      <c r="EJ2" s="1805" t="s">
        <v>2418</v>
      </c>
      <c r="EK2" s="1805" t="s">
        <v>2418</v>
      </c>
      <c r="EL2" s="1805" t="s">
        <v>2418</v>
      </c>
      <c r="EM2" s="1805" t="s">
        <v>2418</v>
      </c>
      <c r="EN2" s="1805" t="s">
        <v>2418</v>
      </c>
      <c r="EO2" s="1805" t="s">
        <v>2418</v>
      </c>
      <c r="EP2" s="1805" t="s">
        <v>2418</v>
      </c>
      <c r="EQ2" s="1805" t="s">
        <v>2418</v>
      </c>
      <c r="ER2" s="1805" t="s">
        <v>2418</v>
      </c>
      <c r="ES2" s="1805" t="s">
        <v>2418</v>
      </c>
      <c r="ET2" s="1805" t="s">
        <v>2418</v>
      </c>
      <c r="EU2" s="1805" t="s">
        <v>2418</v>
      </c>
      <c r="EV2" s="1805" t="s">
        <v>2418</v>
      </c>
      <c r="EW2" s="1805" t="s">
        <v>2418</v>
      </c>
      <c r="EX2" s="1805" t="s">
        <v>2418</v>
      </c>
      <c r="EY2" s="1805" t="s">
        <v>2418</v>
      </c>
      <c r="EZ2" s="1805" t="s">
        <v>2418</v>
      </c>
      <c r="FA2" s="1805" t="s">
        <v>2418</v>
      </c>
      <c r="FB2" s="1805" t="s">
        <v>2418</v>
      </c>
      <c r="FC2" s="1805" t="s">
        <v>2418</v>
      </c>
      <c r="FD2" s="1805" t="s">
        <v>2418</v>
      </c>
      <c r="FE2" s="1805" t="s">
        <v>2418</v>
      </c>
      <c r="FF2" s="1805" t="s">
        <v>2418</v>
      </c>
      <c r="FG2" s="1805" t="s">
        <v>2418</v>
      </c>
      <c r="FH2" s="1805" t="s">
        <v>2418</v>
      </c>
      <c r="FI2" s="1805" t="s">
        <v>2418</v>
      </c>
      <c r="FJ2" s="1805" t="s">
        <v>2418</v>
      </c>
      <c r="FK2" s="1805" t="s">
        <v>2418</v>
      </c>
      <c r="FL2" s="1805" t="s">
        <v>2418</v>
      </c>
      <c r="FM2" s="1805" t="s">
        <v>2418</v>
      </c>
      <c r="FN2" s="1805" t="s">
        <v>2418</v>
      </c>
      <c r="FO2" s="1805" t="s">
        <v>2418</v>
      </c>
      <c r="FP2" s="1805" t="s">
        <v>2418</v>
      </c>
      <c r="FQ2" s="1805" t="s">
        <v>2418</v>
      </c>
      <c r="FR2" s="1805" t="s">
        <v>2418</v>
      </c>
      <c r="FS2" s="1805" t="s">
        <v>2418</v>
      </c>
      <c r="FT2" s="1805" t="s">
        <v>2418</v>
      </c>
      <c r="FU2" s="1805" t="s">
        <v>2418</v>
      </c>
      <c r="FV2" s="1805" t="s">
        <v>2418</v>
      </c>
      <c r="FW2" s="1805" t="s">
        <v>2418</v>
      </c>
      <c r="FX2" s="1805" t="s">
        <v>2418</v>
      </c>
      <c r="FY2" s="1805" t="s">
        <v>2418</v>
      </c>
      <c r="FZ2" s="1805" t="s">
        <v>2418</v>
      </c>
      <c r="GA2" s="1805" t="s">
        <v>2418</v>
      </c>
      <c r="GB2" s="1805" t="s">
        <v>2418</v>
      </c>
      <c r="GC2" s="1805" t="s">
        <v>2418</v>
      </c>
      <c r="GD2" s="1805" t="s">
        <v>2418</v>
      </c>
      <c r="GE2" s="1805" t="s">
        <v>2418</v>
      </c>
      <c r="GF2" s="1805" t="s">
        <v>2418</v>
      </c>
      <c r="GG2" s="1805" t="s">
        <v>2418</v>
      </c>
      <c r="GH2" s="1805" t="s">
        <v>2418</v>
      </c>
      <c r="GI2" s="1805" t="s">
        <v>2418</v>
      </c>
      <c r="GJ2" s="1805" t="s">
        <v>2418</v>
      </c>
      <c r="GK2" s="1805" t="s">
        <v>2418</v>
      </c>
      <c r="GL2" s="1805" t="s">
        <v>2418</v>
      </c>
      <c r="GM2" s="1805" t="s">
        <v>2418</v>
      </c>
      <c r="GN2" s="1805" t="s">
        <v>2418</v>
      </c>
      <c r="GO2" s="1805" t="s">
        <v>2418</v>
      </c>
      <c r="GP2" s="1805" t="s">
        <v>2418</v>
      </c>
      <c r="GQ2" s="1805" t="s">
        <v>2418</v>
      </c>
      <c r="GR2" s="1805" t="s">
        <v>2418</v>
      </c>
      <c r="GS2" s="1805" t="s">
        <v>2418</v>
      </c>
      <c r="GT2" s="1805" t="s">
        <v>2418</v>
      </c>
      <c r="GU2" s="1805" t="s">
        <v>2418</v>
      </c>
      <c r="GV2" s="1805" t="s">
        <v>2418</v>
      </c>
      <c r="GW2" s="1805" t="s">
        <v>2418</v>
      </c>
      <c r="GX2" s="1805" t="s">
        <v>2418</v>
      </c>
      <c r="GY2" s="1805" t="s">
        <v>2418</v>
      </c>
      <c r="GZ2" s="1805" t="s">
        <v>2418</v>
      </c>
      <c r="HA2" s="1805" t="s">
        <v>2418</v>
      </c>
      <c r="HB2" s="1805" t="s">
        <v>2418</v>
      </c>
      <c r="HC2" s="1805" t="s">
        <v>2418</v>
      </c>
      <c r="HD2" s="1805" t="s">
        <v>2418</v>
      </c>
      <c r="HE2" s="1805" t="s">
        <v>2418</v>
      </c>
      <c r="HF2" s="1805" t="s">
        <v>2418</v>
      </c>
      <c r="HG2" s="1805" t="s">
        <v>2418</v>
      </c>
    </row>
    <row r="3" spans="1:215" s="1893" customFormat="1" ht="21" customHeight="1" thickBot="1" x14ac:dyDescent="0.25">
      <c r="A3" s="2027" t="s">
        <v>0</v>
      </c>
      <c r="B3" s="2070" t="s">
        <v>22</v>
      </c>
      <c r="C3" s="2070"/>
      <c r="D3" s="2070"/>
      <c r="E3" s="2071"/>
      <c r="F3" s="1896"/>
      <c r="G3" s="2051"/>
      <c r="H3" s="1806"/>
      <c r="I3" s="1806"/>
      <c r="J3" s="1806"/>
      <c r="K3" s="1806"/>
      <c r="L3" s="1806"/>
      <c r="M3" s="1806"/>
      <c r="N3" s="1806"/>
      <c r="O3" s="1806"/>
      <c r="P3" s="1806"/>
      <c r="Q3" s="1806"/>
      <c r="R3" s="1806"/>
      <c r="S3" s="1806"/>
      <c r="T3" s="1806"/>
      <c r="U3" s="1806"/>
      <c r="V3" s="1806"/>
      <c r="W3" s="1806"/>
      <c r="X3" s="1806"/>
      <c r="Y3" s="1806"/>
      <c r="Z3" s="1806"/>
      <c r="AA3" s="1806"/>
      <c r="AB3" s="1806"/>
      <c r="AC3" s="1806"/>
      <c r="AD3" s="1806"/>
      <c r="AE3" s="1806"/>
      <c r="AF3" s="1806"/>
      <c r="AG3" s="1806"/>
      <c r="AH3" s="1806"/>
      <c r="AI3" s="1806"/>
      <c r="AJ3" s="1806"/>
      <c r="AK3" s="1806"/>
      <c r="AL3" s="1806"/>
      <c r="AM3" s="1806"/>
      <c r="AN3" s="1806"/>
      <c r="AO3" s="1806"/>
      <c r="AP3" s="1806"/>
      <c r="AQ3" s="1806"/>
      <c r="AR3" s="1806"/>
      <c r="AS3" s="1806"/>
      <c r="AT3" s="1806"/>
      <c r="AU3" s="1806"/>
      <c r="AV3" s="1806"/>
      <c r="AW3" s="1806"/>
      <c r="AX3" s="1806"/>
      <c r="AY3" s="1806"/>
      <c r="AZ3" s="1806"/>
      <c r="BA3" s="1806"/>
      <c r="BB3" s="1806"/>
      <c r="BC3" s="1806"/>
      <c r="BD3" s="1806"/>
      <c r="BE3" s="1806"/>
      <c r="BF3" s="1806"/>
      <c r="BG3" s="1806"/>
      <c r="BH3" s="1806"/>
      <c r="BI3" s="1806"/>
      <c r="BJ3" s="1806"/>
      <c r="BK3" s="1806"/>
      <c r="BL3" s="1806"/>
      <c r="BM3" s="1806"/>
      <c r="BN3" s="1806"/>
      <c r="BO3" s="1806"/>
      <c r="BP3" s="1806"/>
      <c r="BQ3" s="1806"/>
      <c r="BR3" s="1806"/>
      <c r="BS3" s="1806"/>
      <c r="BT3" s="1806"/>
      <c r="BU3" s="1806"/>
      <c r="BV3" s="1806"/>
      <c r="BW3" s="1806"/>
      <c r="BX3" s="1806"/>
      <c r="BY3" s="1806"/>
      <c r="BZ3" s="1806"/>
      <c r="CA3" s="1806"/>
      <c r="CB3" s="1806"/>
      <c r="CC3" s="1806"/>
      <c r="CD3" s="1806"/>
      <c r="CE3" s="1806"/>
      <c r="CF3" s="1806"/>
      <c r="CG3" s="1806"/>
      <c r="CH3" s="1806"/>
      <c r="CI3" s="1806"/>
      <c r="CJ3" s="1806"/>
      <c r="CK3" s="1806"/>
      <c r="CL3" s="1806"/>
      <c r="CM3" s="1806"/>
      <c r="CN3" s="1806"/>
      <c r="CO3" s="1806"/>
      <c r="CP3" s="1806"/>
      <c r="CQ3" s="1806"/>
      <c r="CR3" s="1806"/>
      <c r="CS3" s="1806"/>
      <c r="CT3" s="1806"/>
      <c r="CU3" s="1806"/>
      <c r="CV3" s="1806"/>
      <c r="CW3" s="1806"/>
      <c r="CX3" s="1806"/>
      <c r="CY3" s="1806"/>
      <c r="CZ3" s="1806"/>
      <c r="DA3" s="1806"/>
      <c r="DB3" s="1806"/>
      <c r="DC3" s="1806"/>
      <c r="DD3" s="1806"/>
      <c r="DE3" s="1806"/>
      <c r="DF3" s="1806"/>
      <c r="DG3" s="1806"/>
      <c r="DH3" s="1806"/>
      <c r="DI3" s="1806"/>
      <c r="DJ3" s="1806"/>
      <c r="DK3" s="1806"/>
      <c r="DL3" s="1806"/>
      <c r="DM3" s="1806"/>
      <c r="DN3" s="1806"/>
      <c r="DO3" s="1806"/>
      <c r="DP3" s="1806"/>
      <c r="DQ3" s="1806"/>
      <c r="DR3" s="1806"/>
      <c r="DS3" s="1806"/>
      <c r="DT3" s="1806"/>
      <c r="DU3" s="1806"/>
      <c r="DV3" s="1806"/>
      <c r="DW3" s="1806"/>
      <c r="DX3" s="1806"/>
      <c r="DY3" s="1806"/>
      <c r="DZ3" s="1806"/>
      <c r="EA3" s="1806"/>
      <c r="EB3" s="1806"/>
      <c r="EC3" s="1806"/>
      <c r="ED3" s="1806"/>
      <c r="EE3" s="1806"/>
      <c r="EF3" s="1806"/>
      <c r="EG3" s="1806"/>
      <c r="EH3" s="1806"/>
      <c r="EI3" s="1806"/>
      <c r="EJ3" s="1806"/>
      <c r="EK3" s="1806"/>
      <c r="EL3" s="1806"/>
      <c r="EM3" s="1806"/>
      <c r="EN3" s="1806"/>
      <c r="EO3" s="1806"/>
      <c r="EP3" s="1806"/>
      <c r="EQ3" s="1806"/>
      <c r="ER3" s="1806"/>
      <c r="ES3" s="1806"/>
      <c r="ET3" s="1806"/>
      <c r="EU3" s="1806"/>
      <c r="EV3" s="1806"/>
      <c r="EW3" s="1806"/>
      <c r="EX3" s="1806"/>
      <c r="EY3" s="1806"/>
      <c r="EZ3" s="1806"/>
      <c r="FA3" s="1806"/>
      <c r="FB3" s="1806"/>
      <c r="FC3" s="1806"/>
      <c r="FD3" s="1806"/>
      <c r="FE3" s="1806"/>
      <c r="FF3" s="1806"/>
      <c r="FG3" s="1806"/>
      <c r="FH3" s="1806"/>
      <c r="FI3" s="1806"/>
      <c r="FJ3" s="1806"/>
      <c r="FK3" s="1806"/>
      <c r="FL3" s="1806"/>
      <c r="FM3" s="1806"/>
      <c r="FN3" s="1806"/>
      <c r="FO3" s="1806"/>
      <c r="FP3" s="1806"/>
      <c r="FQ3" s="1806"/>
      <c r="FR3" s="1806"/>
      <c r="FS3" s="1806"/>
      <c r="FT3" s="1806"/>
      <c r="FU3" s="1806"/>
      <c r="FV3" s="1806"/>
      <c r="FW3" s="1806"/>
      <c r="FX3" s="1806"/>
      <c r="FY3" s="1806"/>
      <c r="FZ3" s="1806"/>
      <c r="GA3" s="1806"/>
      <c r="GB3" s="1806"/>
      <c r="GC3" s="1806"/>
      <c r="GD3" s="1806"/>
      <c r="GE3" s="1806"/>
      <c r="GF3" s="1806"/>
      <c r="GG3" s="1806"/>
      <c r="GH3" s="1806"/>
      <c r="GI3" s="1806"/>
      <c r="GJ3" s="1806"/>
      <c r="GK3" s="1806"/>
      <c r="GL3" s="1806"/>
      <c r="GM3" s="1806"/>
      <c r="GN3" s="1806"/>
      <c r="GO3" s="1806"/>
      <c r="GP3" s="1806"/>
      <c r="GQ3" s="1806"/>
      <c r="GR3" s="1806"/>
      <c r="GS3" s="1806"/>
      <c r="GT3" s="1806"/>
      <c r="GU3" s="1806"/>
      <c r="GV3" s="1806"/>
      <c r="GW3" s="1806"/>
      <c r="GX3" s="1806"/>
      <c r="GY3" s="1806"/>
      <c r="GZ3" s="1806"/>
      <c r="HA3" s="1806"/>
      <c r="HB3" s="1806"/>
      <c r="HC3" s="1806"/>
      <c r="HD3" s="1806"/>
      <c r="HE3" s="1806"/>
      <c r="HF3" s="1806"/>
      <c r="HG3" s="1806"/>
    </row>
    <row r="4" spans="1:215" s="1893" customFormat="1" ht="42" customHeight="1" thickBot="1" x14ac:dyDescent="0.25">
      <c r="A4" s="2028"/>
      <c r="B4" s="2029" t="s">
        <v>885</v>
      </c>
      <c r="C4" s="2058"/>
      <c r="D4" s="2058"/>
      <c r="E4" s="2059"/>
      <c r="F4" s="1897"/>
      <c r="G4" s="2051"/>
      <c r="H4" s="1806"/>
      <c r="I4" s="1806"/>
      <c r="J4" s="1806"/>
      <c r="K4" s="1806"/>
      <c r="L4" s="1806"/>
      <c r="M4" s="1806"/>
      <c r="N4" s="1806"/>
      <c r="O4" s="1806"/>
      <c r="P4" s="1806"/>
      <c r="Q4" s="1806"/>
      <c r="R4" s="1806"/>
      <c r="S4" s="1806"/>
      <c r="T4" s="1806"/>
      <c r="U4" s="1806"/>
      <c r="V4" s="1806"/>
      <c r="W4" s="1806"/>
      <c r="X4" s="1806"/>
      <c r="Y4" s="1806"/>
      <c r="Z4" s="1806"/>
      <c r="AA4" s="1806"/>
      <c r="AB4" s="1806"/>
      <c r="AC4" s="1806"/>
      <c r="AD4" s="1806"/>
      <c r="AE4" s="1806"/>
      <c r="AF4" s="1806"/>
      <c r="AG4" s="1806"/>
      <c r="AH4" s="1806"/>
      <c r="AI4" s="1806"/>
      <c r="AJ4" s="1806"/>
      <c r="AK4" s="1806"/>
      <c r="AL4" s="1806"/>
      <c r="AM4" s="1806"/>
      <c r="AN4" s="1806"/>
      <c r="AO4" s="1806"/>
      <c r="AP4" s="1806"/>
      <c r="AQ4" s="1806"/>
      <c r="AR4" s="1806"/>
      <c r="AS4" s="1806"/>
      <c r="AT4" s="1806"/>
      <c r="AU4" s="1806"/>
      <c r="AV4" s="1806"/>
      <c r="AW4" s="1806"/>
      <c r="AX4" s="1806"/>
      <c r="AY4" s="1806"/>
      <c r="AZ4" s="1806"/>
      <c r="BA4" s="1806"/>
      <c r="BB4" s="1806"/>
      <c r="BC4" s="1806"/>
      <c r="BD4" s="1806"/>
      <c r="BE4" s="1806"/>
      <c r="BF4" s="1806"/>
      <c r="BG4" s="1806"/>
      <c r="BH4" s="1806"/>
      <c r="BI4" s="1806"/>
      <c r="BJ4" s="1806"/>
      <c r="BK4" s="1806"/>
      <c r="BL4" s="1806"/>
      <c r="BM4" s="1806"/>
      <c r="BN4" s="1806"/>
      <c r="BO4" s="1806"/>
      <c r="BP4" s="1806"/>
      <c r="BQ4" s="1806"/>
      <c r="BR4" s="1806"/>
      <c r="BS4" s="1806"/>
      <c r="BT4" s="1806"/>
      <c r="BU4" s="1806"/>
      <c r="BV4" s="1806"/>
      <c r="BW4" s="1806"/>
      <c r="BX4" s="1806"/>
      <c r="BY4" s="1806"/>
      <c r="BZ4" s="1806"/>
      <c r="CA4" s="1806"/>
      <c r="CB4" s="1806"/>
      <c r="CC4" s="1806"/>
      <c r="CD4" s="1806"/>
      <c r="CE4" s="1806"/>
      <c r="CF4" s="1806"/>
      <c r="CG4" s="1806"/>
      <c r="CH4" s="1806"/>
      <c r="CI4" s="1806"/>
      <c r="CJ4" s="1806"/>
      <c r="CK4" s="1806"/>
      <c r="CL4" s="1806"/>
      <c r="CM4" s="1806"/>
      <c r="CN4" s="1806"/>
      <c r="CO4" s="1806"/>
      <c r="CP4" s="1806"/>
      <c r="CQ4" s="1806"/>
      <c r="CR4" s="1806"/>
      <c r="CS4" s="1806"/>
      <c r="CT4" s="1806"/>
      <c r="CU4" s="1806"/>
      <c r="CV4" s="1806"/>
      <c r="CW4" s="1806"/>
      <c r="CX4" s="1806"/>
      <c r="CY4" s="1806"/>
      <c r="CZ4" s="1806"/>
      <c r="DA4" s="1806"/>
      <c r="DB4" s="1806"/>
      <c r="DC4" s="1806"/>
      <c r="DD4" s="1806"/>
      <c r="DE4" s="1806"/>
      <c r="DF4" s="1806"/>
      <c r="DG4" s="1806"/>
      <c r="DH4" s="1806"/>
      <c r="DI4" s="1806"/>
      <c r="DJ4" s="1806"/>
      <c r="DK4" s="1806"/>
      <c r="DL4" s="1806"/>
      <c r="DM4" s="1806"/>
      <c r="DN4" s="1806"/>
      <c r="DO4" s="1806"/>
      <c r="DP4" s="1806"/>
      <c r="DQ4" s="1806"/>
      <c r="DR4" s="1806"/>
      <c r="DS4" s="1806"/>
      <c r="DT4" s="1806"/>
      <c r="DU4" s="1806"/>
      <c r="DV4" s="1806"/>
      <c r="DW4" s="1806"/>
      <c r="DX4" s="1806"/>
      <c r="DY4" s="1806"/>
      <c r="DZ4" s="1806"/>
      <c r="EA4" s="1806"/>
      <c r="EB4" s="1806"/>
      <c r="EC4" s="1806"/>
      <c r="ED4" s="1806"/>
      <c r="EE4" s="1806"/>
      <c r="EF4" s="1806"/>
      <c r="EG4" s="1806"/>
      <c r="EH4" s="1806"/>
      <c r="EI4" s="1806"/>
      <c r="EJ4" s="1806"/>
      <c r="EK4" s="1806"/>
      <c r="EL4" s="1806"/>
      <c r="EM4" s="1806"/>
      <c r="EN4" s="1806"/>
      <c r="EO4" s="1806"/>
      <c r="EP4" s="1806"/>
      <c r="EQ4" s="1806"/>
      <c r="ER4" s="1806"/>
      <c r="ES4" s="1806"/>
      <c r="ET4" s="1806"/>
      <c r="EU4" s="1806"/>
      <c r="EV4" s="1806"/>
      <c r="EW4" s="1806"/>
      <c r="EX4" s="1806"/>
      <c r="EY4" s="1806"/>
      <c r="EZ4" s="1806"/>
      <c r="FA4" s="1806"/>
      <c r="FB4" s="1806"/>
      <c r="FC4" s="1806"/>
      <c r="FD4" s="1806"/>
      <c r="FE4" s="1806"/>
      <c r="FF4" s="1806"/>
      <c r="FG4" s="1806"/>
      <c r="FH4" s="1806"/>
      <c r="FI4" s="1806"/>
      <c r="FJ4" s="1806"/>
      <c r="FK4" s="1806"/>
      <c r="FL4" s="1806"/>
      <c r="FM4" s="1806"/>
      <c r="FN4" s="1806"/>
      <c r="FO4" s="1806"/>
      <c r="FP4" s="1806"/>
      <c r="FQ4" s="1806"/>
      <c r="FR4" s="1806"/>
      <c r="FS4" s="1806"/>
      <c r="FT4" s="1806"/>
      <c r="FU4" s="1806"/>
      <c r="FV4" s="1806"/>
      <c r="FW4" s="1806"/>
      <c r="FX4" s="1806"/>
      <c r="FY4" s="1806"/>
      <c r="FZ4" s="1806"/>
      <c r="GA4" s="1806"/>
      <c r="GB4" s="1806"/>
      <c r="GC4" s="1806"/>
      <c r="GD4" s="1806"/>
      <c r="GE4" s="1806"/>
      <c r="GF4" s="1806"/>
      <c r="GG4" s="1806"/>
      <c r="GH4" s="1806"/>
      <c r="GI4" s="1806"/>
      <c r="GJ4" s="1806"/>
      <c r="GK4" s="1806"/>
      <c r="GL4" s="1806"/>
      <c r="GM4" s="1806"/>
      <c r="GN4" s="1806"/>
      <c r="GO4" s="1806"/>
      <c r="GP4" s="1806"/>
      <c r="GQ4" s="1806"/>
      <c r="GR4" s="1806"/>
      <c r="GS4" s="1806"/>
      <c r="GT4" s="1806"/>
      <c r="GU4" s="1806"/>
      <c r="GV4" s="1806"/>
      <c r="GW4" s="1806"/>
      <c r="GX4" s="1806"/>
      <c r="GY4" s="1806"/>
      <c r="GZ4" s="1806"/>
      <c r="HA4" s="1806"/>
      <c r="HB4" s="1806"/>
      <c r="HC4" s="1806"/>
      <c r="HD4" s="1806"/>
      <c r="HE4" s="1806"/>
      <c r="HF4" s="1806"/>
      <c r="HG4" s="1806"/>
    </row>
    <row r="5" spans="1:215" s="1893" customFormat="1" ht="17.25" thickBot="1" x14ac:dyDescent="0.25">
      <c r="A5" s="2028"/>
      <c r="B5" s="2013" t="s">
        <v>888</v>
      </c>
      <c r="C5" s="2014"/>
      <c r="D5" s="2014"/>
      <c r="E5" s="2015"/>
      <c r="F5" s="1898"/>
      <c r="G5" s="2051"/>
      <c r="H5" s="1807"/>
      <c r="I5" s="1807"/>
      <c r="J5" s="1807"/>
      <c r="K5" s="1807"/>
      <c r="L5" s="1807"/>
      <c r="M5" s="1807"/>
      <c r="N5" s="1807"/>
      <c r="O5" s="1807"/>
      <c r="P5" s="1807"/>
      <c r="Q5" s="1807"/>
      <c r="R5" s="1807"/>
      <c r="S5" s="1807"/>
      <c r="T5" s="1807"/>
      <c r="U5" s="1807"/>
      <c r="V5" s="1807"/>
      <c r="W5" s="1807"/>
      <c r="X5" s="1807"/>
      <c r="Y5" s="1807"/>
      <c r="Z5" s="1807"/>
      <c r="AA5" s="1807"/>
      <c r="AB5" s="1807"/>
      <c r="AC5" s="1807"/>
      <c r="AD5" s="1807"/>
      <c r="AE5" s="1807"/>
      <c r="AF5" s="1807"/>
      <c r="AG5" s="1807"/>
      <c r="AH5" s="1807"/>
      <c r="AI5" s="1807"/>
      <c r="AJ5" s="1807"/>
      <c r="AK5" s="1807"/>
      <c r="AL5" s="1807"/>
      <c r="AM5" s="1807"/>
      <c r="AN5" s="1807"/>
      <c r="AO5" s="1807"/>
      <c r="AP5" s="1807"/>
      <c r="AQ5" s="1807"/>
      <c r="AR5" s="1807"/>
      <c r="AS5" s="1807"/>
      <c r="AT5" s="1807"/>
      <c r="AU5" s="1807"/>
      <c r="AV5" s="1807"/>
      <c r="AW5" s="1807"/>
      <c r="AX5" s="1807"/>
      <c r="AY5" s="1807"/>
      <c r="AZ5" s="1807"/>
      <c r="BA5" s="1807"/>
      <c r="BB5" s="1807"/>
      <c r="BC5" s="1807"/>
      <c r="BD5" s="1807"/>
      <c r="BE5" s="1807"/>
      <c r="BF5" s="1807"/>
      <c r="BG5" s="1807"/>
      <c r="BH5" s="1807"/>
      <c r="BI5" s="1807"/>
      <c r="BJ5" s="1807"/>
      <c r="BK5" s="1807"/>
      <c r="BL5" s="1807"/>
      <c r="BM5" s="1807"/>
      <c r="BN5" s="1807"/>
      <c r="BO5" s="1807"/>
      <c r="BP5" s="1807"/>
      <c r="BQ5" s="1807"/>
      <c r="BR5" s="1807"/>
      <c r="BS5" s="1807"/>
      <c r="BT5" s="1807"/>
      <c r="BU5" s="1807"/>
      <c r="BV5" s="1807"/>
      <c r="BW5" s="1807"/>
      <c r="BX5" s="1807"/>
      <c r="BY5" s="1807"/>
      <c r="BZ5" s="1807"/>
      <c r="CA5" s="1807"/>
      <c r="CB5" s="1807"/>
      <c r="CC5" s="1807"/>
      <c r="CD5" s="1807"/>
      <c r="CE5" s="1807"/>
      <c r="CF5" s="1807"/>
      <c r="CG5" s="1807"/>
      <c r="CH5" s="1807"/>
      <c r="CI5" s="1807"/>
      <c r="CJ5" s="1807"/>
      <c r="CK5" s="1807"/>
      <c r="CL5" s="1807"/>
      <c r="CM5" s="1807"/>
      <c r="CN5" s="1807"/>
      <c r="CO5" s="1807"/>
      <c r="CP5" s="1807"/>
      <c r="CQ5" s="1807"/>
      <c r="CR5" s="1807"/>
      <c r="CS5" s="1807"/>
      <c r="CT5" s="1807"/>
      <c r="CU5" s="1807"/>
      <c r="CV5" s="1807"/>
      <c r="CW5" s="1807"/>
      <c r="CX5" s="1807"/>
      <c r="CY5" s="1807"/>
      <c r="CZ5" s="1807"/>
      <c r="DA5" s="1807"/>
      <c r="DB5" s="1807"/>
      <c r="DC5" s="1807"/>
      <c r="DD5" s="1807"/>
      <c r="DE5" s="1807"/>
      <c r="DF5" s="1807"/>
      <c r="DG5" s="1807"/>
      <c r="DH5" s="1807"/>
      <c r="DI5" s="1807"/>
      <c r="DJ5" s="1807"/>
      <c r="DK5" s="1807"/>
      <c r="DL5" s="1807"/>
      <c r="DM5" s="1807"/>
      <c r="DN5" s="1807"/>
      <c r="DO5" s="1807"/>
      <c r="DP5" s="1807"/>
      <c r="DQ5" s="1807"/>
      <c r="DR5" s="1807"/>
      <c r="DS5" s="1807"/>
      <c r="DT5" s="1807"/>
      <c r="DU5" s="1807"/>
      <c r="DV5" s="1807"/>
      <c r="DW5" s="1807"/>
      <c r="DX5" s="1807"/>
      <c r="DY5" s="1807"/>
      <c r="DZ5" s="1807"/>
      <c r="EA5" s="1807"/>
      <c r="EB5" s="1807"/>
      <c r="EC5" s="1807"/>
      <c r="ED5" s="1807"/>
      <c r="EE5" s="1807"/>
      <c r="EF5" s="1807"/>
      <c r="EG5" s="1807"/>
      <c r="EH5" s="1807"/>
      <c r="EI5" s="1807"/>
      <c r="EJ5" s="1807"/>
      <c r="EK5" s="1807"/>
      <c r="EL5" s="1807"/>
      <c r="EM5" s="1807"/>
      <c r="EN5" s="1807"/>
      <c r="EO5" s="1807"/>
      <c r="EP5" s="1807"/>
      <c r="EQ5" s="1807"/>
      <c r="ER5" s="1807"/>
      <c r="ES5" s="1807"/>
      <c r="ET5" s="1807"/>
      <c r="EU5" s="1807"/>
      <c r="EV5" s="1807"/>
      <c r="EW5" s="1807"/>
      <c r="EX5" s="1807"/>
      <c r="EY5" s="1807"/>
      <c r="EZ5" s="1807"/>
      <c r="FA5" s="1807"/>
      <c r="FB5" s="1807"/>
      <c r="FC5" s="1807"/>
      <c r="FD5" s="1807"/>
      <c r="FE5" s="1807"/>
      <c r="FF5" s="1807"/>
      <c r="FG5" s="1807"/>
      <c r="FH5" s="1807"/>
      <c r="FI5" s="1807"/>
      <c r="FJ5" s="1807"/>
      <c r="FK5" s="1807"/>
      <c r="FL5" s="1807"/>
      <c r="FM5" s="1807"/>
      <c r="FN5" s="1807"/>
      <c r="FO5" s="1807"/>
      <c r="FP5" s="1807"/>
      <c r="FQ5" s="1807"/>
      <c r="FR5" s="1807"/>
      <c r="FS5" s="1807"/>
      <c r="FT5" s="1807"/>
      <c r="FU5" s="1807"/>
      <c r="FV5" s="1807"/>
      <c r="FW5" s="1807"/>
      <c r="FX5" s="1807"/>
      <c r="FY5" s="1807"/>
      <c r="FZ5" s="1807"/>
      <c r="GA5" s="1807"/>
      <c r="GB5" s="1807"/>
      <c r="GC5" s="1807"/>
      <c r="GD5" s="1807"/>
      <c r="GE5" s="1807"/>
      <c r="GF5" s="1807"/>
      <c r="GG5" s="1807"/>
      <c r="GH5" s="1807"/>
      <c r="GI5" s="1807"/>
      <c r="GJ5" s="1807"/>
      <c r="GK5" s="1807"/>
      <c r="GL5" s="1807"/>
      <c r="GM5" s="1807"/>
      <c r="GN5" s="1807"/>
      <c r="GO5" s="1807"/>
      <c r="GP5" s="1807"/>
      <c r="GQ5" s="1807"/>
      <c r="GR5" s="1807"/>
      <c r="GS5" s="1807"/>
      <c r="GT5" s="1807"/>
      <c r="GU5" s="1807"/>
      <c r="GV5" s="1807"/>
      <c r="GW5" s="1807"/>
      <c r="GX5" s="1807"/>
      <c r="GY5" s="1807"/>
      <c r="GZ5" s="1807"/>
      <c r="HA5" s="1807"/>
      <c r="HB5" s="1807"/>
      <c r="HC5" s="1807"/>
      <c r="HD5" s="1807"/>
      <c r="HE5" s="1807"/>
      <c r="HF5" s="1807"/>
      <c r="HG5" s="1807"/>
    </row>
    <row r="6" spans="1:215" s="1893" customFormat="1" ht="15" customHeight="1" thickBot="1" x14ac:dyDescent="0.25">
      <c r="A6" s="2028"/>
      <c r="B6" s="2072" t="s">
        <v>707</v>
      </c>
      <c r="C6" s="2072"/>
      <c r="D6" s="2072"/>
      <c r="E6" s="2073"/>
      <c r="F6" s="1898"/>
      <c r="G6" s="2051"/>
      <c r="H6" s="1807"/>
      <c r="I6" s="1807"/>
      <c r="J6" s="1807"/>
      <c r="K6" s="1807"/>
      <c r="L6" s="1807"/>
      <c r="M6" s="1807"/>
      <c r="N6" s="1807"/>
      <c r="O6" s="1807"/>
      <c r="P6" s="1807"/>
      <c r="Q6" s="1807"/>
      <c r="R6" s="1807"/>
      <c r="S6" s="1807"/>
      <c r="T6" s="1807"/>
      <c r="U6" s="1807"/>
      <c r="V6" s="1807"/>
      <c r="W6" s="1807"/>
      <c r="X6" s="1807"/>
      <c r="Y6" s="1807"/>
      <c r="Z6" s="1807"/>
      <c r="AA6" s="1807"/>
      <c r="AB6" s="1807"/>
      <c r="AC6" s="1807"/>
      <c r="AD6" s="1807"/>
      <c r="AE6" s="1807"/>
      <c r="AF6" s="1807"/>
      <c r="AG6" s="1807"/>
      <c r="AH6" s="1807"/>
      <c r="AI6" s="1807"/>
      <c r="AJ6" s="1807"/>
      <c r="AK6" s="1807"/>
      <c r="AL6" s="1807"/>
      <c r="AM6" s="1807"/>
      <c r="AN6" s="1807"/>
      <c r="AO6" s="1807"/>
      <c r="AP6" s="1807"/>
      <c r="AQ6" s="1807"/>
      <c r="AR6" s="1807"/>
      <c r="AS6" s="1807"/>
      <c r="AT6" s="1807"/>
      <c r="AU6" s="1807"/>
      <c r="AV6" s="1807"/>
      <c r="AW6" s="1807"/>
      <c r="AX6" s="1807"/>
      <c r="AY6" s="1807"/>
      <c r="AZ6" s="1807"/>
      <c r="BA6" s="1807"/>
      <c r="BB6" s="1807"/>
      <c r="BC6" s="1807"/>
      <c r="BD6" s="1807"/>
      <c r="BE6" s="1807"/>
      <c r="BF6" s="1807"/>
      <c r="BG6" s="1807"/>
      <c r="BH6" s="1807"/>
      <c r="BI6" s="1807"/>
      <c r="BJ6" s="1807"/>
      <c r="BK6" s="1807"/>
      <c r="BL6" s="1807"/>
      <c r="BM6" s="1807"/>
      <c r="BN6" s="1807"/>
      <c r="BO6" s="1807"/>
      <c r="BP6" s="1807"/>
      <c r="BQ6" s="1807"/>
      <c r="BR6" s="1807"/>
      <c r="BS6" s="1807"/>
      <c r="BT6" s="1807"/>
      <c r="BU6" s="1807"/>
      <c r="BV6" s="1807"/>
      <c r="BW6" s="1807"/>
      <c r="BX6" s="1807"/>
      <c r="BY6" s="1807"/>
      <c r="BZ6" s="1807"/>
      <c r="CA6" s="1807"/>
      <c r="CB6" s="1807"/>
      <c r="CC6" s="1807"/>
      <c r="CD6" s="1807"/>
      <c r="CE6" s="1807"/>
      <c r="CF6" s="1807"/>
      <c r="CG6" s="1807"/>
      <c r="CH6" s="1807"/>
      <c r="CI6" s="1807"/>
      <c r="CJ6" s="1807"/>
      <c r="CK6" s="1807"/>
      <c r="CL6" s="1807"/>
      <c r="CM6" s="1807"/>
      <c r="CN6" s="1807"/>
      <c r="CO6" s="1807"/>
      <c r="CP6" s="1807"/>
      <c r="CQ6" s="1807"/>
      <c r="CR6" s="1807"/>
      <c r="CS6" s="1807"/>
      <c r="CT6" s="1807"/>
      <c r="CU6" s="1807"/>
      <c r="CV6" s="1807"/>
      <c r="CW6" s="1807"/>
      <c r="CX6" s="1807"/>
      <c r="CY6" s="1807"/>
      <c r="CZ6" s="1807"/>
      <c r="DA6" s="1807"/>
      <c r="DB6" s="1807"/>
      <c r="DC6" s="1807"/>
      <c r="DD6" s="1807"/>
      <c r="DE6" s="1807"/>
      <c r="DF6" s="1807"/>
      <c r="DG6" s="1807"/>
      <c r="DH6" s="1807"/>
      <c r="DI6" s="1807"/>
      <c r="DJ6" s="1807"/>
      <c r="DK6" s="1807"/>
      <c r="DL6" s="1807"/>
      <c r="DM6" s="1807"/>
      <c r="DN6" s="1807"/>
      <c r="DO6" s="1807"/>
      <c r="DP6" s="1807"/>
      <c r="DQ6" s="1807"/>
      <c r="DR6" s="1807"/>
      <c r="DS6" s="1807"/>
      <c r="DT6" s="1807"/>
      <c r="DU6" s="1807"/>
      <c r="DV6" s="1807"/>
      <c r="DW6" s="1807"/>
      <c r="DX6" s="1807"/>
      <c r="DY6" s="1807"/>
      <c r="DZ6" s="1807"/>
      <c r="EA6" s="1807"/>
      <c r="EB6" s="1807"/>
      <c r="EC6" s="1807"/>
      <c r="ED6" s="1807"/>
      <c r="EE6" s="1807"/>
      <c r="EF6" s="1807"/>
      <c r="EG6" s="1807"/>
      <c r="EH6" s="1807"/>
      <c r="EI6" s="1807"/>
      <c r="EJ6" s="1807"/>
      <c r="EK6" s="1807"/>
      <c r="EL6" s="1807"/>
      <c r="EM6" s="1807"/>
      <c r="EN6" s="1807"/>
      <c r="EO6" s="1807"/>
      <c r="EP6" s="1807"/>
      <c r="EQ6" s="1807"/>
      <c r="ER6" s="1807"/>
      <c r="ES6" s="1807"/>
      <c r="ET6" s="1807"/>
      <c r="EU6" s="1807"/>
      <c r="EV6" s="1807"/>
      <c r="EW6" s="1807"/>
      <c r="EX6" s="1807"/>
      <c r="EY6" s="1807"/>
      <c r="EZ6" s="1807"/>
      <c r="FA6" s="1807"/>
      <c r="FB6" s="1807"/>
      <c r="FC6" s="1807"/>
      <c r="FD6" s="1807"/>
      <c r="FE6" s="1807"/>
      <c r="FF6" s="1807"/>
      <c r="FG6" s="1807"/>
      <c r="FH6" s="1807"/>
      <c r="FI6" s="1807"/>
      <c r="FJ6" s="1807"/>
      <c r="FK6" s="1807"/>
      <c r="FL6" s="1807"/>
      <c r="FM6" s="1807"/>
      <c r="FN6" s="1807"/>
      <c r="FO6" s="1807"/>
      <c r="FP6" s="1807"/>
      <c r="FQ6" s="1807"/>
      <c r="FR6" s="1807"/>
      <c r="FS6" s="1807"/>
      <c r="FT6" s="1807"/>
      <c r="FU6" s="1807"/>
      <c r="FV6" s="1807"/>
      <c r="FW6" s="1807"/>
      <c r="FX6" s="1807"/>
      <c r="FY6" s="1807"/>
      <c r="FZ6" s="1807"/>
      <c r="GA6" s="1807"/>
      <c r="GB6" s="1807"/>
      <c r="GC6" s="1807"/>
      <c r="GD6" s="1807"/>
      <c r="GE6" s="1807"/>
      <c r="GF6" s="1807"/>
      <c r="GG6" s="1807"/>
      <c r="GH6" s="1807"/>
      <c r="GI6" s="1807"/>
      <c r="GJ6" s="1807"/>
      <c r="GK6" s="1807"/>
      <c r="GL6" s="1807"/>
      <c r="GM6" s="1807"/>
      <c r="GN6" s="1807"/>
      <c r="GO6" s="1807"/>
      <c r="GP6" s="1807"/>
      <c r="GQ6" s="1807"/>
      <c r="GR6" s="1807"/>
      <c r="GS6" s="1807"/>
      <c r="GT6" s="1807"/>
      <c r="GU6" s="1807"/>
      <c r="GV6" s="1807"/>
      <c r="GW6" s="1807"/>
      <c r="GX6" s="1807"/>
      <c r="GY6" s="1807"/>
      <c r="GZ6" s="1807"/>
      <c r="HA6" s="1807"/>
      <c r="HB6" s="1807"/>
      <c r="HC6" s="1807"/>
      <c r="HD6" s="1807"/>
      <c r="HE6" s="1807"/>
      <c r="HF6" s="1807"/>
      <c r="HG6" s="1807"/>
    </row>
    <row r="7" spans="1:215" s="1893" customFormat="1" ht="15" customHeight="1" thickBot="1" x14ac:dyDescent="0.25">
      <c r="A7" s="2028"/>
      <c r="B7" s="2013" t="s">
        <v>708</v>
      </c>
      <c r="C7" s="2014"/>
      <c r="D7" s="2014"/>
      <c r="E7" s="2015"/>
      <c r="F7" s="1898"/>
      <c r="G7" s="2051"/>
      <c r="H7" s="1807"/>
      <c r="I7" s="1807"/>
      <c r="J7" s="1807"/>
      <c r="K7" s="1807"/>
      <c r="L7" s="1807"/>
      <c r="M7" s="1807"/>
      <c r="N7" s="1807"/>
      <c r="O7" s="1807"/>
      <c r="P7" s="1807"/>
      <c r="Q7" s="1807"/>
      <c r="R7" s="1807"/>
      <c r="S7" s="1807"/>
      <c r="T7" s="1807"/>
      <c r="U7" s="1807"/>
      <c r="V7" s="1807"/>
      <c r="W7" s="1807"/>
      <c r="X7" s="1807"/>
      <c r="Y7" s="1807"/>
      <c r="Z7" s="1807"/>
      <c r="AA7" s="1807"/>
      <c r="AB7" s="1807"/>
      <c r="AC7" s="1807"/>
      <c r="AD7" s="1807"/>
      <c r="AE7" s="1807"/>
      <c r="AF7" s="1807"/>
      <c r="AG7" s="1807"/>
      <c r="AH7" s="1807"/>
      <c r="AI7" s="1807"/>
      <c r="AJ7" s="1807"/>
      <c r="AK7" s="1807"/>
      <c r="AL7" s="1807"/>
      <c r="AM7" s="1807"/>
      <c r="AN7" s="1807"/>
      <c r="AO7" s="1807"/>
      <c r="AP7" s="1807"/>
      <c r="AQ7" s="1807"/>
      <c r="AR7" s="1807"/>
      <c r="AS7" s="1807"/>
      <c r="AT7" s="1807"/>
      <c r="AU7" s="1807"/>
      <c r="AV7" s="1807"/>
      <c r="AW7" s="1807"/>
      <c r="AX7" s="1807"/>
      <c r="AY7" s="1807"/>
      <c r="AZ7" s="1807"/>
      <c r="BA7" s="1807"/>
      <c r="BB7" s="1807"/>
      <c r="BC7" s="1807"/>
      <c r="BD7" s="1807"/>
      <c r="BE7" s="1807"/>
      <c r="BF7" s="1807"/>
      <c r="BG7" s="1807"/>
      <c r="BH7" s="1807"/>
      <c r="BI7" s="1807"/>
      <c r="BJ7" s="1807"/>
      <c r="BK7" s="1807"/>
      <c r="BL7" s="1807"/>
      <c r="BM7" s="1807"/>
      <c r="BN7" s="1807"/>
      <c r="BO7" s="1807"/>
      <c r="BP7" s="1807"/>
      <c r="BQ7" s="1807"/>
      <c r="BR7" s="1807"/>
      <c r="BS7" s="1807"/>
      <c r="BT7" s="1807"/>
      <c r="BU7" s="1807"/>
      <c r="BV7" s="1807"/>
      <c r="BW7" s="1807"/>
      <c r="BX7" s="1807"/>
      <c r="BY7" s="1807"/>
      <c r="BZ7" s="1807"/>
      <c r="CA7" s="1807"/>
      <c r="CB7" s="1807"/>
      <c r="CC7" s="1807"/>
      <c r="CD7" s="1807"/>
      <c r="CE7" s="1807"/>
      <c r="CF7" s="1807"/>
      <c r="CG7" s="1807"/>
      <c r="CH7" s="1807"/>
      <c r="CI7" s="1807"/>
      <c r="CJ7" s="1807"/>
      <c r="CK7" s="1807"/>
      <c r="CL7" s="1807"/>
      <c r="CM7" s="1807"/>
      <c r="CN7" s="1807"/>
      <c r="CO7" s="1807"/>
      <c r="CP7" s="1807"/>
      <c r="CQ7" s="1807"/>
      <c r="CR7" s="1807"/>
      <c r="CS7" s="1807"/>
      <c r="CT7" s="1807"/>
      <c r="CU7" s="1807"/>
      <c r="CV7" s="1807"/>
      <c r="CW7" s="1807"/>
      <c r="CX7" s="1807"/>
      <c r="CY7" s="1807"/>
      <c r="CZ7" s="1807"/>
      <c r="DA7" s="1807"/>
      <c r="DB7" s="1807"/>
      <c r="DC7" s="1807"/>
      <c r="DD7" s="1807"/>
      <c r="DE7" s="1807"/>
      <c r="DF7" s="1807"/>
      <c r="DG7" s="1807"/>
      <c r="DH7" s="1807"/>
      <c r="DI7" s="1807"/>
      <c r="DJ7" s="1807"/>
      <c r="DK7" s="1807"/>
      <c r="DL7" s="1807"/>
      <c r="DM7" s="1807"/>
      <c r="DN7" s="1807"/>
      <c r="DO7" s="1807"/>
      <c r="DP7" s="1807"/>
      <c r="DQ7" s="1807"/>
      <c r="DR7" s="1807"/>
      <c r="DS7" s="1807"/>
      <c r="DT7" s="1807"/>
      <c r="DU7" s="1807"/>
      <c r="DV7" s="1807"/>
      <c r="DW7" s="1807"/>
      <c r="DX7" s="1807"/>
      <c r="DY7" s="1807"/>
      <c r="DZ7" s="1807"/>
      <c r="EA7" s="1807"/>
      <c r="EB7" s="1807"/>
      <c r="EC7" s="1807"/>
      <c r="ED7" s="1807"/>
      <c r="EE7" s="1807"/>
      <c r="EF7" s="1807"/>
      <c r="EG7" s="1807"/>
      <c r="EH7" s="1807"/>
      <c r="EI7" s="1807"/>
      <c r="EJ7" s="1807"/>
      <c r="EK7" s="1807"/>
      <c r="EL7" s="1807"/>
      <c r="EM7" s="1807"/>
      <c r="EN7" s="1807"/>
      <c r="EO7" s="1807"/>
      <c r="EP7" s="1807"/>
      <c r="EQ7" s="1807"/>
      <c r="ER7" s="1807"/>
      <c r="ES7" s="1807"/>
      <c r="ET7" s="1807"/>
      <c r="EU7" s="1807"/>
      <c r="EV7" s="1807"/>
      <c r="EW7" s="1807"/>
      <c r="EX7" s="1807"/>
      <c r="EY7" s="1807"/>
      <c r="EZ7" s="1807"/>
      <c r="FA7" s="1807"/>
      <c r="FB7" s="1807"/>
      <c r="FC7" s="1807"/>
      <c r="FD7" s="1807"/>
      <c r="FE7" s="1807"/>
      <c r="FF7" s="1807"/>
      <c r="FG7" s="1807"/>
      <c r="FH7" s="1807"/>
      <c r="FI7" s="1807"/>
      <c r="FJ7" s="1807"/>
      <c r="FK7" s="1807"/>
      <c r="FL7" s="1807"/>
      <c r="FM7" s="1807"/>
      <c r="FN7" s="1807"/>
      <c r="FO7" s="1807"/>
      <c r="FP7" s="1807"/>
      <c r="FQ7" s="1807"/>
      <c r="FR7" s="1807"/>
      <c r="FS7" s="1807"/>
      <c r="FT7" s="1807"/>
      <c r="FU7" s="1807"/>
      <c r="FV7" s="1807"/>
      <c r="FW7" s="1807"/>
      <c r="FX7" s="1807"/>
      <c r="FY7" s="1807"/>
      <c r="FZ7" s="1807"/>
      <c r="GA7" s="1807"/>
      <c r="GB7" s="1807"/>
      <c r="GC7" s="1807"/>
      <c r="GD7" s="1807"/>
      <c r="GE7" s="1807"/>
      <c r="GF7" s="1807"/>
      <c r="GG7" s="1807"/>
      <c r="GH7" s="1807"/>
      <c r="GI7" s="1807"/>
      <c r="GJ7" s="1807"/>
      <c r="GK7" s="1807"/>
      <c r="GL7" s="1807"/>
      <c r="GM7" s="1807"/>
      <c r="GN7" s="1807"/>
      <c r="GO7" s="1807"/>
      <c r="GP7" s="1807"/>
      <c r="GQ7" s="1807"/>
      <c r="GR7" s="1807"/>
      <c r="GS7" s="1807"/>
      <c r="GT7" s="1807"/>
      <c r="GU7" s="1807"/>
      <c r="GV7" s="1807"/>
      <c r="GW7" s="1807"/>
      <c r="GX7" s="1807"/>
      <c r="GY7" s="1807"/>
      <c r="GZ7" s="1807"/>
      <c r="HA7" s="1807"/>
      <c r="HB7" s="1807"/>
      <c r="HC7" s="1807"/>
      <c r="HD7" s="1807"/>
      <c r="HE7" s="1807"/>
      <c r="HF7" s="1807"/>
      <c r="HG7" s="1807"/>
    </row>
    <row r="8" spans="1:215" s="1893" customFormat="1" ht="15" customHeight="1" thickBot="1" x14ac:dyDescent="0.25">
      <c r="A8" s="2028"/>
      <c r="B8" s="2013" t="s">
        <v>709</v>
      </c>
      <c r="C8" s="2014"/>
      <c r="D8" s="2014"/>
      <c r="E8" s="2015"/>
      <c r="F8" s="1898"/>
      <c r="G8" s="2051"/>
      <c r="H8" s="1807"/>
      <c r="I8" s="1807"/>
      <c r="J8" s="1807"/>
      <c r="K8" s="1807"/>
      <c r="L8" s="1807"/>
      <c r="M8" s="1807"/>
      <c r="N8" s="1807"/>
      <c r="O8" s="1807"/>
      <c r="P8" s="1807"/>
      <c r="Q8" s="1807"/>
      <c r="R8" s="1807"/>
      <c r="S8" s="1807"/>
      <c r="T8" s="1807"/>
      <c r="U8" s="1807"/>
      <c r="V8" s="1807"/>
      <c r="W8" s="1807"/>
      <c r="X8" s="1807"/>
      <c r="Y8" s="1807"/>
      <c r="Z8" s="1807"/>
      <c r="AA8" s="1807"/>
      <c r="AB8" s="1807"/>
      <c r="AC8" s="1807"/>
      <c r="AD8" s="1807"/>
      <c r="AE8" s="1807"/>
      <c r="AF8" s="1807"/>
      <c r="AG8" s="1807"/>
      <c r="AH8" s="1807"/>
      <c r="AI8" s="1807"/>
      <c r="AJ8" s="1807"/>
      <c r="AK8" s="1807"/>
      <c r="AL8" s="1807"/>
      <c r="AM8" s="1807"/>
      <c r="AN8" s="1807"/>
      <c r="AO8" s="1807"/>
      <c r="AP8" s="1807"/>
      <c r="AQ8" s="1807"/>
      <c r="AR8" s="1807"/>
      <c r="AS8" s="1807"/>
      <c r="AT8" s="1807"/>
      <c r="AU8" s="1807"/>
      <c r="AV8" s="1807"/>
      <c r="AW8" s="1807"/>
      <c r="AX8" s="1807"/>
      <c r="AY8" s="1807"/>
      <c r="AZ8" s="1807"/>
      <c r="BA8" s="1807"/>
      <c r="BB8" s="1807"/>
      <c r="BC8" s="1807"/>
      <c r="BD8" s="1807"/>
      <c r="BE8" s="1807"/>
      <c r="BF8" s="1807"/>
      <c r="BG8" s="1807"/>
      <c r="BH8" s="1807"/>
      <c r="BI8" s="1807"/>
      <c r="BJ8" s="1807"/>
      <c r="BK8" s="1807"/>
      <c r="BL8" s="1807"/>
      <c r="BM8" s="1807"/>
      <c r="BN8" s="1807"/>
      <c r="BO8" s="1807"/>
      <c r="BP8" s="1807"/>
      <c r="BQ8" s="1807"/>
      <c r="BR8" s="1807"/>
      <c r="BS8" s="1807"/>
      <c r="BT8" s="1807"/>
      <c r="BU8" s="1807"/>
      <c r="BV8" s="1807"/>
      <c r="BW8" s="1807"/>
      <c r="BX8" s="1807"/>
      <c r="BY8" s="1807"/>
      <c r="BZ8" s="1807"/>
      <c r="CA8" s="1807"/>
      <c r="CB8" s="1807"/>
      <c r="CC8" s="1807"/>
      <c r="CD8" s="1807"/>
      <c r="CE8" s="1807"/>
      <c r="CF8" s="1807"/>
      <c r="CG8" s="1807"/>
      <c r="CH8" s="1807"/>
      <c r="CI8" s="1807"/>
      <c r="CJ8" s="1807"/>
      <c r="CK8" s="1807"/>
      <c r="CL8" s="1807"/>
      <c r="CM8" s="1807"/>
      <c r="CN8" s="1807"/>
      <c r="CO8" s="1807"/>
      <c r="CP8" s="1807"/>
      <c r="CQ8" s="1807"/>
      <c r="CR8" s="1807"/>
      <c r="CS8" s="1807"/>
      <c r="CT8" s="1807"/>
      <c r="CU8" s="1807"/>
      <c r="CV8" s="1807"/>
      <c r="CW8" s="1807"/>
      <c r="CX8" s="1807"/>
      <c r="CY8" s="1807"/>
      <c r="CZ8" s="1807"/>
      <c r="DA8" s="1807"/>
      <c r="DB8" s="1807"/>
      <c r="DC8" s="1807"/>
      <c r="DD8" s="1807"/>
      <c r="DE8" s="1807"/>
      <c r="DF8" s="1807"/>
      <c r="DG8" s="1807"/>
      <c r="DH8" s="1807"/>
      <c r="DI8" s="1807"/>
      <c r="DJ8" s="1807"/>
      <c r="DK8" s="1807"/>
      <c r="DL8" s="1807"/>
      <c r="DM8" s="1807"/>
      <c r="DN8" s="1807"/>
      <c r="DO8" s="1807"/>
      <c r="DP8" s="1807"/>
      <c r="DQ8" s="1807"/>
      <c r="DR8" s="1807"/>
      <c r="DS8" s="1807"/>
      <c r="DT8" s="1807"/>
      <c r="DU8" s="1807"/>
      <c r="DV8" s="1807"/>
      <c r="DW8" s="1807"/>
      <c r="DX8" s="1807"/>
      <c r="DY8" s="1807"/>
      <c r="DZ8" s="1807"/>
      <c r="EA8" s="1807"/>
      <c r="EB8" s="1807"/>
      <c r="EC8" s="1807"/>
      <c r="ED8" s="1807"/>
      <c r="EE8" s="1807"/>
      <c r="EF8" s="1807"/>
      <c r="EG8" s="1807"/>
      <c r="EH8" s="1807"/>
      <c r="EI8" s="1807"/>
      <c r="EJ8" s="1807"/>
      <c r="EK8" s="1807"/>
      <c r="EL8" s="1807"/>
      <c r="EM8" s="1807"/>
      <c r="EN8" s="1807"/>
      <c r="EO8" s="1807"/>
      <c r="EP8" s="1807"/>
      <c r="EQ8" s="1807"/>
      <c r="ER8" s="1807"/>
      <c r="ES8" s="1807"/>
      <c r="ET8" s="1807"/>
      <c r="EU8" s="1807"/>
      <c r="EV8" s="1807"/>
      <c r="EW8" s="1807"/>
      <c r="EX8" s="1807"/>
      <c r="EY8" s="1807"/>
      <c r="EZ8" s="1807"/>
      <c r="FA8" s="1807"/>
      <c r="FB8" s="1807"/>
      <c r="FC8" s="1807"/>
      <c r="FD8" s="1807"/>
      <c r="FE8" s="1807"/>
      <c r="FF8" s="1807"/>
      <c r="FG8" s="1807"/>
      <c r="FH8" s="1807"/>
      <c r="FI8" s="1807"/>
      <c r="FJ8" s="1807"/>
      <c r="FK8" s="1807"/>
      <c r="FL8" s="1807"/>
      <c r="FM8" s="1807"/>
      <c r="FN8" s="1807"/>
      <c r="FO8" s="1807"/>
      <c r="FP8" s="1807"/>
      <c r="FQ8" s="1807"/>
      <c r="FR8" s="1807"/>
      <c r="FS8" s="1807"/>
      <c r="FT8" s="1807"/>
      <c r="FU8" s="1807"/>
      <c r="FV8" s="1807"/>
      <c r="FW8" s="1807"/>
      <c r="FX8" s="1807"/>
      <c r="FY8" s="1807"/>
      <c r="FZ8" s="1807"/>
      <c r="GA8" s="1807"/>
      <c r="GB8" s="1807"/>
      <c r="GC8" s="1807"/>
      <c r="GD8" s="1807"/>
      <c r="GE8" s="1807"/>
      <c r="GF8" s="1807"/>
      <c r="GG8" s="1807"/>
      <c r="GH8" s="1807"/>
      <c r="GI8" s="1807"/>
      <c r="GJ8" s="1807"/>
      <c r="GK8" s="1807"/>
      <c r="GL8" s="1807"/>
      <c r="GM8" s="1807"/>
      <c r="GN8" s="1807"/>
      <c r="GO8" s="1807"/>
      <c r="GP8" s="1807"/>
      <c r="GQ8" s="1807"/>
      <c r="GR8" s="1807"/>
      <c r="GS8" s="1807"/>
      <c r="GT8" s="1807"/>
      <c r="GU8" s="1807"/>
      <c r="GV8" s="1807"/>
      <c r="GW8" s="1807"/>
      <c r="GX8" s="1807"/>
      <c r="GY8" s="1807"/>
      <c r="GZ8" s="1807"/>
      <c r="HA8" s="1807"/>
      <c r="HB8" s="1807"/>
      <c r="HC8" s="1807"/>
      <c r="HD8" s="1807"/>
      <c r="HE8" s="1807"/>
      <c r="HF8" s="1807"/>
      <c r="HG8" s="1807"/>
    </row>
    <row r="9" spans="1:215" s="1893" customFormat="1" ht="41.25" customHeight="1" thickBot="1" x14ac:dyDescent="0.25">
      <c r="A9" s="2028"/>
      <c r="B9" s="2029" t="s">
        <v>2402</v>
      </c>
      <c r="C9" s="2030"/>
      <c r="D9" s="2030"/>
      <c r="E9" s="2031"/>
      <c r="F9" s="1899"/>
      <c r="G9" s="2052"/>
      <c r="H9" s="1808"/>
      <c r="I9" s="1808"/>
      <c r="J9" s="1808"/>
      <c r="K9" s="1808"/>
      <c r="L9" s="1808"/>
      <c r="M9" s="1808"/>
      <c r="N9" s="1808"/>
      <c r="O9" s="1808"/>
      <c r="P9" s="1808"/>
      <c r="Q9" s="1808"/>
      <c r="R9" s="1808"/>
      <c r="S9" s="1808"/>
      <c r="T9" s="1808"/>
      <c r="U9" s="1808"/>
      <c r="V9" s="1808"/>
      <c r="W9" s="1808"/>
      <c r="X9" s="1808"/>
      <c r="Y9" s="1808"/>
      <c r="Z9" s="1808"/>
      <c r="AA9" s="1808"/>
      <c r="AB9" s="1808"/>
      <c r="AC9" s="1808"/>
      <c r="AD9" s="1808"/>
      <c r="AE9" s="1808"/>
      <c r="AF9" s="1808"/>
      <c r="AG9" s="1808"/>
      <c r="AH9" s="1808"/>
      <c r="AI9" s="1808"/>
      <c r="AJ9" s="1808"/>
      <c r="AK9" s="1808"/>
      <c r="AL9" s="1808"/>
      <c r="AM9" s="1808"/>
      <c r="AN9" s="1808"/>
      <c r="AO9" s="1808"/>
      <c r="AP9" s="1808"/>
      <c r="AQ9" s="1808"/>
      <c r="AR9" s="1808"/>
      <c r="AS9" s="1808"/>
      <c r="AT9" s="1808"/>
      <c r="AU9" s="1808"/>
      <c r="AV9" s="1808"/>
      <c r="AW9" s="1808"/>
      <c r="AX9" s="1808"/>
      <c r="AY9" s="1808"/>
      <c r="AZ9" s="1808"/>
      <c r="BA9" s="1808"/>
      <c r="BB9" s="1808"/>
      <c r="BC9" s="1808"/>
      <c r="BD9" s="1808"/>
      <c r="BE9" s="1808"/>
      <c r="BF9" s="1808"/>
      <c r="BG9" s="1808"/>
      <c r="BH9" s="1808"/>
      <c r="BI9" s="1808"/>
      <c r="BJ9" s="1808"/>
      <c r="BK9" s="1808"/>
      <c r="BL9" s="1808"/>
      <c r="BM9" s="1808"/>
      <c r="BN9" s="1808"/>
      <c r="BO9" s="1808"/>
      <c r="BP9" s="1808"/>
      <c r="BQ9" s="1808"/>
      <c r="BR9" s="1808"/>
      <c r="BS9" s="1808"/>
      <c r="BT9" s="1808"/>
      <c r="BU9" s="1808"/>
      <c r="BV9" s="1808"/>
      <c r="BW9" s="1808"/>
      <c r="BX9" s="1808"/>
      <c r="BY9" s="1808"/>
      <c r="BZ9" s="1808"/>
      <c r="CA9" s="1808"/>
      <c r="CB9" s="1808"/>
      <c r="CC9" s="1808"/>
      <c r="CD9" s="1808"/>
      <c r="CE9" s="1808"/>
      <c r="CF9" s="1808"/>
      <c r="CG9" s="1808"/>
      <c r="CH9" s="1808"/>
      <c r="CI9" s="1808"/>
      <c r="CJ9" s="1808"/>
      <c r="CK9" s="1808"/>
      <c r="CL9" s="1808"/>
      <c r="CM9" s="1808"/>
      <c r="CN9" s="1808"/>
      <c r="CO9" s="1808"/>
      <c r="CP9" s="1808"/>
      <c r="CQ9" s="1808"/>
      <c r="CR9" s="1808"/>
      <c r="CS9" s="1808"/>
      <c r="CT9" s="1808"/>
      <c r="CU9" s="1808"/>
      <c r="CV9" s="1808"/>
      <c r="CW9" s="1808"/>
      <c r="CX9" s="1808"/>
      <c r="CY9" s="1808"/>
      <c r="CZ9" s="1808"/>
      <c r="DA9" s="1808"/>
      <c r="DB9" s="1808"/>
      <c r="DC9" s="1808"/>
      <c r="DD9" s="1808"/>
      <c r="DE9" s="1808"/>
      <c r="DF9" s="1808"/>
      <c r="DG9" s="1808"/>
      <c r="DH9" s="1808"/>
      <c r="DI9" s="1808"/>
      <c r="DJ9" s="1808"/>
      <c r="DK9" s="1808"/>
      <c r="DL9" s="1808"/>
      <c r="DM9" s="1808"/>
      <c r="DN9" s="1808"/>
      <c r="DO9" s="1808"/>
      <c r="DP9" s="1808"/>
      <c r="DQ9" s="1808"/>
      <c r="DR9" s="1808"/>
      <c r="DS9" s="1808"/>
      <c r="DT9" s="1808"/>
      <c r="DU9" s="1808"/>
      <c r="DV9" s="1808"/>
      <c r="DW9" s="1808"/>
      <c r="DX9" s="1808"/>
      <c r="DY9" s="1808"/>
      <c r="DZ9" s="1808"/>
      <c r="EA9" s="1808"/>
      <c r="EB9" s="1808"/>
      <c r="EC9" s="1808"/>
      <c r="ED9" s="1808"/>
      <c r="EE9" s="1808"/>
      <c r="EF9" s="1808"/>
      <c r="EG9" s="1808"/>
      <c r="EH9" s="1808"/>
      <c r="EI9" s="1808"/>
      <c r="EJ9" s="1808"/>
      <c r="EK9" s="1808"/>
      <c r="EL9" s="1808"/>
      <c r="EM9" s="1808"/>
      <c r="EN9" s="1808"/>
      <c r="EO9" s="1808"/>
      <c r="EP9" s="1808"/>
      <c r="EQ9" s="1808"/>
      <c r="ER9" s="1808"/>
      <c r="ES9" s="1808"/>
      <c r="ET9" s="1808"/>
      <c r="EU9" s="1808"/>
      <c r="EV9" s="1808"/>
      <c r="EW9" s="1808"/>
      <c r="EX9" s="1808"/>
      <c r="EY9" s="1808"/>
      <c r="EZ9" s="1808"/>
      <c r="FA9" s="1808"/>
      <c r="FB9" s="1808"/>
      <c r="FC9" s="1808"/>
      <c r="FD9" s="1808"/>
      <c r="FE9" s="1808"/>
      <c r="FF9" s="1808"/>
      <c r="FG9" s="1808"/>
      <c r="FH9" s="1808"/>
      <c r="FI9" s="1808"/>
      <c r="FJ9" s="1808"/>
      <c r="FK9" s="1808"/>
      <c r="FL9" s="1808"/>
      <c r="FM9" s="1808"/>
      <c r="FN9" s="1808"/>
      <c r="FO9" s="1808"/>
      <c r="FP9" s="1808"/>
      <c r="FQ9" s="1808"/>
      <c r="FR9" s="1808"/>
      <c r="FS9" s="1808"/>
      <c r="FT9" s="1808"/>
      <c r="FU9" s="1808"/>
      <c r="FV9" s="1808"/>
      <c r="FW9" s="1808"/>
      <c r="FX9" s="1808"/>
      <c r="FY9" s="1808"/>
      <c r="FZ9" s="1808"/>
      <c r="GA9" s="1808"/>
      <c r="GB9" s="1808"/>
      <c r="GC9" s="1808"/>
      <c r="GD9" s="1808"/>
      <c r="GE9" s="1808"/>
      <c r="GF9" s="1808"/>
      <c r="GG9" s="1808"/>
      <c r="GH9" s="1808"/>
      <c r="GI9" s="1808"/>
      <c r="GJ9" s="1808"/>
      <c r="GK9" s="1808"/>
      <c r="GL9" s="1808"/>
      <c r="GM9" s="1808"/>
      <c r="GN9" s="1808"/>
      <c r="GO9" s="1808"/>
      <c r="GP9" s="1808"/>
      <c r="GQ9" s="1808"/>
      <c r="GR9" s="1808"/>
      <c r="GS9" s="1808"/>
      <c r="GT9" s="1808"/>
      <c r="GU9" s="1808"/>
      <c r="GV9" s="1808"/>
      <c r="GW9" s="1808"/>
      <c r="GX9" s="1808"/>
      <c r="GY9" s="1808"/>
      <c r="GZ9" s="1808"/>
      <c r="HA9" s="1808"/>
      <c r="HB9" s="1808"/>
      <c r="HC9" s="1808"/>
      <c r="HD9" s="1808"/>
      <c r="HE9" s="1808"/>
      <c r="HF9" s="1808"/>
      <c r="HG9" s="1808"/>
    </row>
    <row r="10" spans="1:215" s="1893" customFormat="1" ht="18" customHeight="1" thickBot="1" x14ac:dyDescent="0.25">
      <c r="A10" s="2028"/>
      <c r="B10" s="1900"/>
      <c r="C10" s="1901" t="s">
        <v>14</v>
      </c>
      <c r="D10" s="1902" t="s">
        <v>16</v>
      </c>
      <c r="E10" s="1903" t="s">
        <v>17</v>
      </c>
      <c r="F10" s="1897"/>
      <c r="G10" s="2051"/>
      <c r="H10" s="1806"/>
      <c r="I10" s="1806"/>
      <c r="J10" s="1806"/>
      <c r="K10" s="1806"/>
      <c r="L10" s="1806"/>
      <c r="M10" s="1806"/>
      <c r="N10" s="1806"/>
      <c r="O10" s="1806"/>
      <c r="P10" s="1806"/>
      <c r="Q10" s="1806"/>
      <c r="R10" s="1806"/>
      <c r="S10" s="1806"/>
      <c r="T10" s="1806"/>
      <c r="U10" s="1806"/>
      <c r="V10" s="1806"/>
      <c r="W10" s="1806"/>
      <c r="X10" s="1806"/>
      <c r="Y10" s="1806"/>
      <c r="Z10" s="1806"/>
      <c r="AA10" s="1806"/>
      <c r="AB10" s="1806"/>
      <c r="AC10" s="1806"/>
      <c r="AD10" s="1806"/>
      <c r="AE10" s="1806"/>
      <c r="AF10" s="1806"/>
      <c r="AG10" s="1806"/>
      <c r="AH10" s="1806"/>
      <c r="AI10" s="1806"/>
      <c r="AJ10" s="1806"/>
      <c r="AK10" s="1806"/>
      <c r="AL10" s="1806"/>
      <c r="AM10" s="1806"/>
      <c r="AN10" s="1806"/>
      <c r="AO10" s="1806"/>
      <c r="AP10" s="1806"/>
      <c r="AQ10" s="1806"/>
      <c r="AR10" s="1806"/>
      <c r="AS10" s="1806"/>
      <c r="AT10" s="1806"/>
      <c r="AU10" s="1806"/>
      <c r="AV10" s="1806"/>
      <c r="AW10" s="1806"/>
      <c r="AX10" s="1806"/>
      <c r="AY10" s="1806"/>
      <c r="AZ10" s="1806"/>
      <c r="BA10" s="1806"/>
      <c r="BB10" s="1806"/>
      <c r="BC10" s="1806"/>
      <c r="BD10" s="1806"/>
      <c r="BE10" s="1806"/>
      <c r="BF10" s="1806"/>
      <c r="BG10" s="1806"/>
      <c r="BH10" s="1806"/>
      <c r="BI10" s="1806"/>
      <c r="BJ10" s="1806"/>
      <c r="BK10" s="1806"/>
      <c r="BL10" s="1806"/>
      <c r="BM10" s="1806"/>
      <c r="BN10" s="1806"/>
      <c r="BO10" s="1806"/>
      <c r="BP10" s="1806"/>
      <c r="BQ10" s="1806"/>
      <c r="BR10" s="1806"/>
      <c r="BS10" s="1806"/>
      <c r="BT10" s="1806"/>
      <c r="BU10" s="1806"/>
      <c r="BV10" s="1806"/>
      <c r="BW10" s="1806"/>
      <c r="BX10" s="1806"/>
      <c r="BY10" s="1806"/>
      <c r="BZ10" s="1806"/>
      <c r="CA10" s="1806"/>
      <c r="CB10" s="1806"/>
      <c r="CC10" s="1806"/>
      <c r="CD10" s="1806"/>
      <c r="CE10" s="1806"/>
      <c r="CF10" s="1806"/>
      <c r="CG10" s="1806"/>
      <c r="CH10" s="1806"/>
      <c r="CI10" s="1806"/>
      <c r="CJ10" s="1806"/>
      <c r="CK10" s="1806"/>
      <c r="CL10" s="1806"/>
      <c r="CM10" s="1806"/>
      <c r="CN10" s="1806"/>
      <c r="CO10" s="1806"/>
      <c r="CP10" s="1806"/>
      <c r="CQ10" s="1806"/>
      <c r="CR10" s="1806"/>
      <c r="CS10" s="1806"/>
      <c r="CT10" s="1806"/>
      <c r="CU10" s="1806"/>
      <c r="CV10" s="1806"/>
      <c r="CW10" s="1806"/>
      <c r="CX10" s="1806"/>
      <c r="CY10" s="1806"/>
      <c r="CZ10" s="1806"/>
      <c r="DA10" s="1806"/>
      <c r="DB10" s="1806"/>
      <c r="DC10" s="1806"/>
      <c r="DD10" s="1806"/>
      <c r="DE10" s="1806"/>
      <c r="DF10" s="1806"/>
      <c r="DG10" s="1806"/>
      <c r="DH10" s="1806"/>
      <c r="DI10" s="1806"/>
      <c r="DJ10" s="1806"/>
      <c r="DK10" s="1806"/>
      <c r="DL10" s="1806"/>
      <c r="DM10" s="1806"/>
      <c r="DN10" s="1806"/>
      <c r="DO10" s="1806"/>
      <c r="DP10" s="1806"/>
      <c r="DQ10" s="1806"/>
      <c r="DR10" s="1806"/>
      <c r="DS10" s="1806"/>
      <c r="DT10" s="1806"/>
      <c r="DU10" s="1806"/>
      <c r="DV10" s="1806"/>
      <c r="DW10" s="1806"/>
      <c r="DX10" s="1806"/>
      <c r="DY10" s="1806"/>
      <c r="DZ10" s="1806"/>
      <c r="EA10" s="1806"/>
      <c r="EB10" s="1806"/>
      <c r="EC10" s="1806"/>
      <c r="ED10" s="1806"/>
      <c r="EE10" s="1806"/>
      <c r="EF10" s="1806"/>
      <c r="EG10" s="1806"/>
      <c r="EH10" s="1806"/>
      <c r="EI10" s="1806"/>
      <c r="EJ10" s="1806"/>
      <c r="EK10" s="1806"/>
      <c r="EL10" s="1806"/>
      <c r="EM10" s="1806"/>
      <c r="EN10" s="1806"/>
      <c r="EO10" s="1806"/>
      <c r="EP10" s="1806"/>
      <c r="EQ10" s="1806"/>
      <c r="ER10" s="1806"/>
      <c r="ES10" s="1806"/>
      <c r="ET10" s="1806"/>
      <c r="EU10" s="1806"/>
      <c r="EV10" s="1806"/>
      <c r="EW10" s="1806"/>
      <c r="EX10" s="1806"/>
      <c r="EY10" s="1806"/>
      <c r="EZ10" s="1806"/>
      <c r="FA10" s="1806"/>
      <c r="FB10" s="1806"/>
      <c r="FC10" s="1806"/>
      <c r="FD10" s="1806"/>
      <c r="FE10" s="1806"/>
      <c r="FF10" s="1806"/>
      <c r="FG10" s="1806"/>
      <c r="FH10" s="1806"/>
      <c r="FI10" s="1806"/>
      <c r="FJ10" s="1806"/>
      <c r="FK10" s="1806"/>
      <c r="FL10" s="1806"/>
      <c r="FM10" s="1806"/>
      <c r="FN10" s="1806"/>
      <c r="FO10" s="1806"/>
      <c r="FP10" s="1806"/>
      <c r="FQ10" s="1806"/>
      <c r="FR10" s="1806"/>
      <c r="FS10" s="1806"/>
      <c r="FT10" s="1806"/>
      <c r="FU10" s="1806"/>
      <c r="FV10" s="1806"/>
      <c r="FW10" s="1806"/>
      <c r="FX10" s="1806"/>
      <c r="FY10" s="1806"/>
      <c r="FZ10" s="1806"/>
      <c r="GA10" s="1806"/>
      <c r="GB10" s="1806"/>
      <c r="GC10" s="1806"/>
      <c r="GD10" s="1806"/>
      <c r="GE10" s="1806"/>
      <c r="GF10" s="1806"/>
      <c r="GG10" s="1806"/>
      <c r="GH10" s="1806"/>
      <c r="GI10" s="1806"/>
      <c r="GJ10" s="1806"/>
      <c r="GK10" s="1806"/>
      <c r="GL10" s="1806"/>
      <c r="GM10" s="1806"/>
      <c r="GN10" s="1806"/>
      <c r="GO10" s="1806"/>
      <c r="GP10" s="1806"/>
      <c r="GQ10" s="1806"/>
      <c r="GR10" s="1806"/>
      <c r="GS10" s="1806"/>
      <c r="GT10" s="1806"/>
      <c r="GU10" s="1806"/>
      <c r="GV10" s="1806"/>
      <c r="GW10" s="1806"/>
      <c r="GX10" s="1806"/>
      <c r="GY10" s="1806"/>
      <c r="GZ10" s="1806"/>
      <c r="HA10" s="1806"/>
      <c r="HB10" s="1806"/>
      <c r="HC10" s="1806"/>
      <c r="HD10" s="1806"/>
      <c r="HE10" s="1806"/>
      <c r="HF10" s="1806"/>
      <c r="HG10" s="1806"/>
    </row>
    <row r="11" spans="1:215" s="1893" customFormat="1" ht="15" customHeight="1" thickBot="1" x14ac:dyDescent="0.25">
      <c r="A11" s="2028"/>
      <c r="B11" s="1904" t="s">
        <v>545</v>
      </c>
      <c r="C11" s="1905" t="s">
        <v>546</v>
      </c>
      <c r="D11" s="1905" t="s">
        <v>547</v>
      </c>
      <c r="E11" s="1906" t="s">
        <v>548</v>
      </c>
      <c r="F11" s="1907">
        <v>0</v>
      </c>
      <c r="G11" s="2053"/>
      <c r="H11" s="1809">
        <v>0</v>
      </c>
      <c r="I11" s="1809">
        <v>0</v>
      </c>
      <c r="J11" s="1809">
        <v>0</v>
      </c>
      <c r="K11" s="1809">
        <v>0</v>
      </c>
      <c r="L11" s="1809">
        <v>0</v>
      </c>
      <c r="M11" s="1809">
        <v>0</v>
      </c>
      <c r="N11" s="1809">
        <v>0</v>
      </c>
      <c r="O11" s="1809">
        <v>0</v>
      </c>
      <c r="P11" s="1809">
        <v>0</v>
      </c>
      <c r="Q11" s="1809">
        <v>0</v>
      </c>
      <c r="R11" s="1809">
        <v>0</v>
      </c>
      <c r="S11" s="1809">
        <v>0</v>
      </c>
      <c r="T11" s="1809">
        <v>0</v>
      </c>
      <c r="U11" s="1809">
        <v>0</v>
      </c>
      <c r="V11" s="1809">
        <v>0</v>
      </c>
      <c r="W11" s="1809">
        <v>0</v>
      </c>
      <c r="X11" s="1809">
        <v>0</v>
      </c>
      <c r="Y11" s="1809">
        <v>0</v>
      </c>
      <c r="Z11" s="1809">
        <v>0</v>
      </c>
      <c r="AA11" s="1809">
        <v>0</v>
      </c>
      <c r="AB11" s="1809">
        <v>0</v>
      </c>
      <c r="AC11" s="1809">
        <v>0</v>
      </c>
      <c r="AD11" s="1809">
        <v>0</v>
      </c>
      <c r="AE11" s="1809">
        <v>0</v>
      </c>
      <c r="AF11" s="1809">
        <v>0</v>
      </c>
      <c r="AG11" s="1809">
        <v>0</v>
      </c>
      <c r="AH11" s="1809">
        <v>0</v>
      </c>
      <c r="AI11" s="1809">
        <v>0</v>
      </c>
      <c r="AJ11" s="1809">
        <v>0</v>
      </c>
      <c r="AK11" s="1809">
        <v>0</v>
      </c>
      <c r="AL11" s="1809">
        <v>0</v>
      </c>
      <c r="AM11" s="1809">
        <v>0</v>
      </c>
      <c r="AN11" s="1809">
        <v>0</v>
      </c>
      <c r="AO11" s="1809">
        <v>0</v>
      </c>
      <c r="AP11" s="1809">
        <v>0</v>
      </c>
      <c r="AQ11" s="1809">
        <v>0</v>
      </c>
      <c r="AR11" s="1809">
        <v>0</v>
      </c>
      <c r="AS11" s="1809">
        <v>0</v>
      </c>
      <c r="AT11" s="1809">
        <v>0</v>
      </c>
      <c r="AU11" s="1809">
        <v>0</v>
      </c>
      <c r="AV11" s="1809">
        <v>0</v>
      </c>
      <c r="AW11" s="1809">
        <v>0</v>
      </c>
      <c r="AX11" s="1809">
        <v>0</v>
      </c>
      <c r="AY11" s="1809">
        <v>0</v>
      </c>
      <c r="AZ11" s="1809">
        <v>0</v>
      </c>
      <c r="BA11" s="1809">
        <v>0</v>
      </c>
      <c r="BB11" s="1809">
        <v>0</v>
      </c>
      <c r="BC11" s="1809">
        <v>0</v>
      </c>
      <c r="BD11" s="1809">
        <v>0</v>
      </c>
      <c r="BE11" s="1809">
        <v>0</v>
      </c>
      <c r="BF11" s="1809">
        <v>0</v>
      </c>
      <c r="BG11" s="1809">
        <v>0</v>
      </c>
      <c r="BH11" s="1809">
        <v>0</v>
      </c>
      <c r="BI11" s="1809">
        <v>0</v>
      </c>
      <c r="BJ11" s="1809">
        <v>0</v>
      </c>
      <c r="BK11" s="1809">
        <v>0</v>
      </c>
      <c r="BL11" s="1809">
        <v>0</v>
      </c>
      <c r="BM11" s="1809">
        <v>0</v>
      </c>
      <c r="BN11" s="1809">
        <v>0</v>
      </c>
      <c r="BO11" s="1809">
        <v>0</v>
      </c>
      <c r="BP11" s="1809">
        <v>0</v>
      </c>
      <c r="BQ11" s="1809">
        <v>0</v>
      </c>
      <c r="BR11" s="1809">
        <v>0</v>
      </c>
      <c r="BS11" s="1809">
        <v>0</v>
      </c>
      <c r="BT11" s="1809">
        <v>0</v>
      </c>
      <c r="BU11" s="1809">
        <v>0</v>
      </c>
      <c r="BV11" s="1809">
        <v>0</v>
      </c>
      <c r="BW11" s="1809">
        <v>0</v>
      </c>
      <c r="BX11" s="1809">
        <v>0</v>
      </c>
      <c r="BY11" s="1809">
        <v>0</v>
      </c>
      <c r="BZ11" s="1809">
        <v>0</v>
      </c>
      <c r="CA11" s="1809">
        <v>0</v>
      </c>
      <c r="CB11" s="1809">
        <v>0</v>
      </c>
      <c r="CC11" s="1809">
        <v>0</v>
      </c>
      <c r="CD11" s="1809">
        <v>0</v>
      </c>
      <c r="CE11" s="1809">
        <v>0</v>
      </c>
      <c r="CF11" s="1809">
        <v>0</v>
      </c>
      <c r="CG11" s="1809">
        <v>0</v>
      </c>
      <c r="CH11" s="1809">
        <v>0</v>
      </c>
      <c r="CI11" s="1809">
        <v>0</v>
      </c>
      <c r="CJ11" s="1809">
        <v>0</v>
      </c>
      <c r="CK11" s="1809">
        <v>0</v>
      </c>
      <c r="CL11" s="1809">
        <v>0</v>
      </c>
      <c r="CM11" s="1809">
        <v>0</v>
      </c>
      <c r="CN11" s="1809">
        <v>0</v>
      </c>
      <c r="CO11" s="1809">
        <v>0</v>
      </c>
      <c r="CP11" s="1809">
        <v>0</v>
      </c>
      <c r="CQ11" s="1809">
        <v>0</v>
      </c>
      <c r="CR11" s="1809">
        <v>0</v>
      </c>
      <c r="CS11" s="1809">
        <v>0</v>
      </c>
      <c r="CT11" s="1809">
        <v>0</v>
      </c>
      <c r="CU11" s="1809">
        <v>0</v>
      </c>
      <c r="CV11" s="1809">
        <v>0</v>
      </c>
      <c r="CW11" s="1809">
        <v>0</v>
      </c>
      <c r="CX11" s="1809">
        <v>0</v>
      </c>
      <c r="CY11" s="1809">
        <v>0</v>
      </c>
      <c r="CZ11" s="1809">
        <v>0</v>
      </c>
      <c r="DA11" s="1809">
        <v>0</v>
      </c>
      <c r="DB11" s="1809">
        <v>0</v>
      </c>
      <c r="DC11" s="1809">
        <v>0</v>
      </c>
      <c r="DD11" s="1809">
        <v>0</v>
      </c>
      <c r="DE11" s="1809">
        <v>0</v>
      </c>
      <c r="DF11" s="1809">
        <v>0</v>
      </c>
      <c r="DG11" s="1809">
        <v>0</v>
      </c>
      <c r="DH11" s="1809">
        <v>0</v>
      </c>
      <c r="DI11" s="1809">
        <v>0</v>
      </c>
      <c r="DJ11" s="1809">
        <v>0</v>
      </c>
      <c r="DK11" s="1809">
        <v>0</v>
      </c>
      <c r="DL11" s="1809">
        <v>0</v>
      </c>
      <c r="DM11" s="1809">
        <v>0</v>
      </c>
      <c r="DN11" s="1809">
        <v>0</v>
      </c>
      <c r="DO11" s="1809">
        <v>0</v>
      </c>
      <c r="DP11" s="1809">
        <v>0</v>
      </c>
      <c r="DQ11" s="1809">
        <v>0</v>
      </c>
      <c r="DR11" s="1809">
        <v>0</v>
      </c>
      <c r="DS11" s="1809">
        <v>0</v>
      </c>
      <c r="DT11" s="1809">
        <v>0</v>
      </c>
      <c r="DU11" s="1809">
        <v>0</v>
      </c>
      <c r="DV11" s="1809">
        <v>0</v>
      </c>
      <c r="DW11" s="1809">
        <v>0</v>
      </c>
      <c r="DX11" s="1809">
        <v>0</v>
      </c>
      <c r="DY11" s="1809">
        <v>0</v>
      </c>
      <c r="DZ11" s="1809">
        <v>0</v>
      </c>
      <c r="EA11" s="1809">
        <v>0</v>
      </c>
      <c r="EB11" s="1809">
        <v>0</v>
      </c>
      <c r="EC11" s="1809">
        <v>0</v>
      </c>
      <c r="ED11" s="1809">
        <v>0</v>
      </c>
      <c r="EE11" s="1809">
        <v>0</v>
      </c>
      <c r="EF11" s="1809">
        <v>0</v>
      </c>
      <c r="EG11" s="1809">
        <v>0</v>
      </c>
      <c r="EH11" s="1809">
        <v>0</v>
      </c>
      <c r="EI11" s="1809">
        <v>0</v>
      </c>
      <c r="EJ11" s="1809">
        <v>0</v>
      </c>
      <c r="EK11" s="1809">
        <v>0</v>
      </c>
      <c r="EL11" s="1809">
        <v>0</v>
      </c>
      <c r="EM11" s="1809">
        <v>0</v>
      </c>
      <c r="EN11" s="1809">
        <v>0</v>
      </c>
      <c r="EO11" s="1809">
        <v>0</v>
      </c>
      <c r="EP11" s="1809">
        <v>0</v>
      </c>
      <c r="EQ11" s="1809">
        <v>0</v>
      </c>
      <c r="ER11" s="1809">
        <v>0</v>
      </c>
      <c r="ES11" s="1809">
        <v>0</v>
      </c>
      <c r="ET11" s="1809">
        <v>0</v>
      </c>
      <c r="EU11" s="1809">
        <v>0</v>
      </c>
      <c r="EV11" s="1809">
        <v>0</v>
      </c>
      <c r="EW11" s="1809">
        <v>0</v>
      </c>
      <c r="EX11" s="1809">
        <v>0</v>
      </c>
      <c r="EY11" s="1809">
        <v>0</v>
      </c>
      <c r="EZ11" s="1809">
        <v>0</v>
      </c>
      <c r="FA11" s="1809">
        <v>0</v>
      </c>
      <c r="FB11" s="1809">
        <v>0</v>
      </c>
      <c r="FC11" s="1809">
        <v>0</v>
      </c>
      <c r="FD11" s="1809">
        <v>0</v>
      </c>
      <c r="FE11" s="1809">
        <v>0</v>
      </c>
      <c r="FF11" s="1809">
        <v>0</v>
      </c>
      <c r="FG11" s="1809">
        <v>0</v>
      </c>
      <c r="FH11" s="1809">
        <v>0</v>
      </c>
      <c r="FI11" s="1809">
        <v>0</v>
      </c>
      <c r="FJ11" s="1809">
        <v>0</v>
      </c>
      <c r="FK11" s="1809">
        <v>0</v>
      </c>
      <c r="FL11" s="1809">
        <v>0</v>
      </c>
      <c r="FM11" s="1809">
        <v>0</v>
      </c>
      <c r="FN11" s="1809">
        <v>0</v>
      </c>
      <c r="FO11" s="1809">
        <v>0</v>
      </c>
      <c r="FP11" s="1809">
        <v>0</v>
      </c>
      <c r="FQ11" s="1809">
        <v>0</v>
      </c>
      <c r="FR11" s="1809">
        <v>0</v>
      </c>
      <c r="FS11" s="1809">
        <v>0</v>
      </c>
      <c r="FT11" s="1809">
        <v>0</v>
      </c>
      <c r="FU11" s="1809">
        <v>0</v>
      </c>
      <c r="FV11" s="1809">
        <v>0</v>
      </c>
      <c r="FW11" s="1809">
        <v>0</v>
      </c>
      <c r="FX11" s="1809">
        <v>0</v>
      </c>
      <c r="FY11" s="1809">
        <v>0</v>
      </c>
      <c r="FZ11" s="1809">
        <v>0</v>
      </c>
      <c r="GA11" s="1809">
        <v>0</v>
      </c>
      <c r="GB11" s="1809">
        <v>0</v>
      </c>
      <c r="GC11" s="1809">
        <v>0</v>
      </c>
      <c r="GD11" s="1809">
        <v>0</v>
      </c>
      <c r="GE11" s="1809">
        <v>0</v>
      </c>
      <c r="GF11" s="1809">
        <v>0</v>
      </c>
      <c r="GG11" s="1809">
        <v>0</v>
      </c>
      <c r="GH11" s="1809">
        <v>0</v>
      </c>
      <c r="GI11" s="1809">
        <v>0</v>
      </c>
      <c r="GJ11" s="1809">
        <v>0</v>
      </c>
      <c r="GK11" s="1809">
        <v>0</v>
      </c>
      <c r="GL11" s="1809">
        <v>0</v>
      </c>
      <c r="GM11" s="1809">
        <v>0</v>
      </c>
      <c r="GN11" s="1809">
        <v>0</v>
      </c>
      <c r="GO11" s="1809">
        <v>0</v>
      </c>
      <c r="GP11" s="1809">
        <v>0</v>
      </c>
      <c r="GQ11" s="1809">
        <v>0</v>
      </c>
      <c r="GR11" s="1809">
        <v>0</v>
      </c>
      <c r="GS11" s="1809">
        <v>0</v>
      </c>
      <c r="GT11" s="1809">
        <v>0</v>
      </c>
      <c r="GU11" s="1809">
        <v>0</v>
      </c>
      <c r="GV11" s="1809">
        <v>0</v>
      </c>
      <c r="GW11" s="1809">
        <v>0</v>
      </c>
      <c r="GX11" s="1809">
        <v>0</v>
      </c>
      <c r="GY11" s="1809">
        <v>0</v>
      </c>
      <c r="GZ11" s="1809">
        <v>0</v>
      </c>
      <c r="HA11" s="1809">
        <v>0</v>
      </c>
      <c r="HB11" s="1809">
        <v>0</v>
      </c>
      <c r="HC11" s="1809">
        <v>0</v>
      </c>
      <c r="HD11" s="1809">
        <v>0</v>
      </c>
      <c r="HE11" s="1809">
        <v>0</v>
      </c>
      <c r="HF11" s="1809">
        <v>0</v>
      </c>
      <c r="HG11" s="1809">
        <v>0</v>
      </c>
    </row>
    <row r="12" spans="1:215" s="1893" customFormat="1" ht="15" customHeight="1" thickBot="1" x14ac:dyDescent="0.25">
      <c r="A12" s="2028"/>
      <c r="B12" s="1904" t="s">
        <v>100</v>
      </c>
      <c r="C12" s="1905" t="s">
        <v>83</v>
      </c>
      <c r="D12" s="1905" t="s">
        <v>84</v>
      </c>
      <c r="E12" s="1906" t="s">
        <v>85</v>
      </c>
      <c r="F12" s="1907">
        <v>0</v>
      </c>
      <c r="G12" s="2053"/>
      <c r="H12" s="1809">
        <v>0</v>
      </c>
      <c r="I12" s="1809">
        <v>0</v>
      </c>
      <c r="J12" s="1809">
        <v>0</v>
      </c>
      <c r="K12" s="1809">
        <v>0</v>
      </c>
      <c r="L12" s="1809">
        <v>0</v>
      </c>
      <c r="M12" s="1809">
        <v>0</v>
      </c>
      <c r="N12" s="1809">
        <v>0</v>
      </c>
      <c r="O12" s="1809">
        <v>0</v>
      </c>
      <c r="P12" s="1809">
        <v>0</v>
      </c>
      <c r="Q12" s="1809">
        <v>0</v>
      </c>
      <c r="R12" s="1809">
        <v>0</v>
      </c>
      <c r="S12" s="1809">
        <v>0</v>
      </c>
      <c r="T12" s="1809">
        <v>0</v>
      </c>
      <c r="U12" s="1809">
        <v>0</v>
      </c>
      <c r="V12" s="1809">
        <v>0</v>
      </c>
      <c r="W12" s="1809">
        <v>0</v>
      </c>
      <c r="X12" s="1809">
        <v>0</v>
      </c>
      <c r="Y12" s="1809">
        <v>0</v>
      </c>
      <c r="Z12" s="1809">
        <v>0</v>
      </c>
      <c r="AA12" s="1809">
        <v>0</v>
      </c>
      <c r="AB12" s="1809">
        <v>0</v>
      </c>
      <c r="AC12" s="1809">
        <v>0</v>
      </c>
      <c r="AD12" s="1809">
        <v>0</v>
      </c>
      <c r="AE12" s="1809">
        <v>0</v>
      </c>
      <c r="AF12" s="1809">
        <v>0</v>
      </c>
      <c r="AG12" s="1809">
        <v>0</v>
      </c>
      <c r="AH12" s="1809">
        <v>0</v>
      </c>
      <c r="AI12" s="1809">
        <v>0</v>
      </c>
      <c r="AJ12" s="1809">
        <v>0</v>
      </c>
      <c r="AK12" s="1809">
        <v>0</v>
      </c>
      <c r="AL12" s="1809">
        <v>0</v>
      </c>
      <c r="AM12" s="1809">
        <v>0</v>
      </c>
      <c r="AN12" s="1809">
        <v>0</v>
      </c>
      <c r="AO12" s="1809">
        <v>0</v>
      </c>
      <c r="AP12" s="1809">
        <v>0</v>
      </c>
      <c r="AQ12" s="1809">
        <v>0</v>
      </c>
      <c r="AR12" s="1809">
        <v>0</v>
      </c>
      <c r="AS12" s="1809">
        <v>0</v>
      </c>
      <c r="AT12" s="1809">
        <v>0</v>
      </c>
      <c r="AU12" s="1809">
        <v>0</v>
      </c>
      <c r="AV12" s="1809">
        <v>0</v>
      </c>
      <c r="AW12" s="1809">
        <v>0</v>
      </c>
      <c r="AX12" s="1809">
        <v>0</v>
      </c>
      <c r="AY12" s="1809">
        <v>0</v>
      </c>
      <c r="AZ12" s="1809">
        <v>0</v>
      </c>
      <c r="BA12" s="1809">
        <v>0</v>
      </c>
      <c r="BB12" s="1809">
        <v>0</v>
      </c>
      <c r="BC12" s="1809">
        <v>0</v>
      </c>
      <c r="BD12" s="1809">
        <v>0</v>
      </c>
      <c r="BE12" s="1809">
        <v>0</v>
      </c>
      <c r="BF12" s="1809">
        <v>0</v>
      </c>
      <c r="BG12" s="1809">
        <v>0</v>
      </c>
      <c r="BH12" s="1809">
        <v>0</v>
      </c>
      <c r="BI12" s="1809">
        <v>0</v>
      </c>
      <c r="BJ12" s="1809">
        <v>0</v>
      </c>
      <c r="BK12" s="1809">
        <v>0</v>
      </c>
      <c r="BL12" s="1809">
        <v>0</v>
      </c>
      <c r="BM12" s="1809">
        <v>0</v>
      </c>
      <c r="BN12" s="1809">
        <v>0</v>
      </c>
      <c r="BO12" s="1809">
        <v>0</v>
      </c>
      <c r="BP12" s="1809">
        <v>0</v>
      </c>
      <c r="BQ12" s="1809">
        <v>0</v>
      </c>
      <c r="BR12" s="1809">
        <v>0</v>
      </c>
      <c r="BS12" s="1809">
        <v>0</v>
      </c>
      <c r="BT12" s="1809">
        <v>0</v>
      </c>
      <c r="BU12" s="1809">
        <v>0</v>
      </c>
      <c r="BV12" s="1809">
        <v>0</v>
      </c>
      <c r="BW12" s="1809">
        <v>0</v>
      </c>
      <c r="BX12" s="1809">
        <v>0</v>
      </c>
      <c r="BY12" s="1809">
        <v>0</v>
      </c>
      <c r="BZ12" s="1809">
        <v>0</v>
      </c>
      <c r="CA12" s="1809">
        <v>0</v>
      </c>
      <c r="CB12" s="1809">
        <v>0</v>
      </c>
      <c r="CC12" s="1809">
        <v>0</v>
      </c>
      <c r="CD12" s="1809">
        <v>0</v>
      </c>
      <c r="CE12" s="1809">
        <v>0</v>
      </c>
      <c r="CF12" s="1809">
        <v>0</v>
      </c>
      <c r="CG12" s="1809">
        <v>0</v>
      </c>
      <c r="CH12" s="1809">
        <v>0</v>
      </c>
      <c r="CI12" s="1809">
        <v>0</v>
      </c>
      <c r="CJ12" s="1809">
        <v>0</v>
      </c>
      <c r="CK12" s="1809">
        <v>0</v>
      </c>
      <c r="CL12" s="1809">
        <v>0</v>
      </c>
      <c r="CM12" s="1809">
        <v>0</v>
      </c>
      <c r="CN12" s="1809">
        <v>0</v>
      </c>
      <c r="CO12" s="1809">
        <v>0</v>
      </c>
      <c r="CP12" s="1809">
        <v>0</v>
      </c>
      <c r="CQ12" s="1809">
        <v>0</v>
      </c>
      <c r="CR12" s="1809">
        <v>0</v>
      </c>
      <c r="CS12" s="1809">
        <v>0</v>
      </c>
      <c r="CT12" s="1809">
        <v>0</v>
      </c>
      <c r="CU12" s="1809">
        <v>0</v>
      </c>
      <c r="CV12" s="1809">
        <v>0</v>
      </c>
      <c r="CW12" s="1809">
        <v>0</v>
      </c>
      <c r="CX12" s="1809">
        <v>0</v>
      </c>
      <c r="CY12" s="1809">
        <v>0</v>
      </c>
      <c r="CZ12" s="1809">
        <v>0</v>
      </c>
      <c r="DA12" s="1809">
        <v>0</v>
      </c>
      <c r="DB12" s="1809">
        <v>0</v>
      </c>
      <c r="DC12" s="1809">
        <v>0</v>
      </c>
      <c r="DD12" s="1809">
        <v>0</v>
      </c>
      <c r="DE12" s="1809">
        <v>0</v>
      </c>
      <c r="DF12" s="1809">
        <v>0</v>
      </c>
      <c r="DG12" s="1809">
        <v>0</v>
      </c>
      <c r="DH12" s="1809">
        <v>0</v>
      </c>
      <c r="DI12" s="1809">
        <v>0</v>
      </c>
      <c r="DJ12" s="1809">
        <v>0</v>
      </c>
      <c r="DK12" s="1809">
        <v>0</v>
      </c>
      <c r="DL12" s="1809">
        <v>0</v>
      </c>
      <c r="DM12" s="1809">
        <v>0</v>
      </c>
      <c r="DN12" s="1809">
        <v>0</v>
      </c>
      <c r="DO12" s="1809">
        <v>0</v>
      </c>
      <c r="DP12" s="1809">
        <v>0</v>
      </c>
      <c r="DQ12" s="1809">
        <v>0</v>
      </c>
      <c r="DR12" s="1809">
        <v>0</v>
      </c>
      <c r="DS12" s="1809">
        <v>0</v>
      </c>
      <c r="DT12" s="1809">
        <v>0</v>
      </c>
      <c r="DU12" s="1809">
        <v>0</v>
      </c>
      <c r="DV12" s="1809">
        <v>0</v>
      </c>
      <c r="DW12" s="1809">
        <v>0</v>
      </c>
      <c r="DX12" s="1809">
        <v>0</v>
      </c>
      <c r="DY12" s="1809">
        <v>0</v>
      </c>
      <c r="DZ12" s="1809">
        <v>0</v>
      </c>
      <c r="EA12" s="1809">
        <v>0</v>
      </c>
      <c r="EB12" s="1809">
        <v>0</v>
      </c>
      <c r="EC12" s="1809">
        <v>0</v>
      </c>
      <c r="ED12" s="1809">
        <v>0</v>
      </c>
      <c r="EE12" s="1809">
        <v>0</v>
      </c>
      <c r="EF12" s="1809">
        <v>0</v>
      </c>
      <c r="EG12" s="1809">
        <v>0</v>
      </c>
      <c r="EH12" s="1809">
        <v>0</v>
      </c>
      <c r="EI12" s="1809">
        <v>0</v>
      </c>
      <c r="EJ12" s="1809">
        <v>0</v>
      </c>
      <c r="EK12" s="1809">
        <v>0</v>
      </c>
      <c r="EL12" s="1809">
        <v>0</v>
      </c>
      <c r="EM12" s="1809">
        <v>0</v>
      </c>
      <c r="EN12" s="1809">
        <v>0</v>
      </c>
      <c r="EO12" s="1809">
        <v>0</v>
      </c>
      <c r="EP12" s="1809">
        <v>0</v>
      </c>
      <c r="EQ12" s="1809">
        <v>0</v>
      </c>
      <c r="ER12" s="1809">
        <v>0</v>
      </c>
      <c r="ES12" s="1809">
        <v>0</v>
      </c>
      <c r="ET12" s="1809">
        <v>0</v>
      </c>
      <c r="EU12" s="1809">
        <v>0</v>
      </c>
      <c r="EV12" s="1809">
        <v>0</v>
      </c>
      <c r="EW12" s="1809">
        <v>0</v>
      </c>
      <c r="EX12" s="1809">
        <v>0</v>
      </c>
      <c r="EY12" s="1809">
        <v>0</v>
      </c>
      <c r="EZ12" s="1809">
        <v>0</v>
      </c>
      <c r="FA12" s="1809">
        <v>0</v>
      </c>
      <c r="FB12" s="1809">
        <v>0</v>
      </c>
      <c r="FC12" s="1809">
        <v>0</v>
      </c>
      <c r="FD12" s="1809">
        <v>0</v>
      </c>
      <c r="FE12" s="1809">
        <v>0</v>
      </c>
      <c r="FF12" s="1809">
        <v>0</v>
      </c>
      <c r="FG12" s="1809">
        <v>0</v>
      </c>
      <c r="FH12" s="1809">
        <v>0</v>
      </c>
      <c r="FI12" s="1809">
        <v>0</v>
      </c>
      <c r="FJ12" s="1809">
        <v>0</v>
      </c>
      <c r="FK12" s="1809">
        <v>0</v>
      </c>
      <c r="FL12" s="1809">
        <v>0</v>
      </c>
      <c r="FM12" s="1809">
        <v>0</v>
      </c>
      <c r="FN12" s="1809">
        <v>0</v>
      </c>
      <c r="FO12" s="1809">
        <v>0</v>
      </c>
      <c r="FP12" s="1809">
        <v>0</v>
      </c>
      <c r="FQ12" s="1809">
        <v>0</v>
      </c>
      <c r="FR12" s="1809">
        <v>0</v>
      </c>
      <c r="FS12" s="1809">
        <v>0</v>
      </c>
      <c r="FT12" s="1809">
        <v>0</v>
      </c>
      <c r="FU12" s="1809">
        <v>0</v>
      </c>
      <c r="FV12" s="1809">
        <v>0</v>
      </c>
      <c r="FW12" s="1809">
        <v>0</v>
      </c>
      <c r="FX12" s="1809">
        <v>0</v>
      </c>
      <c r="FY12" s="1809">
        <v>0</v>
      </c>
      <c r="FZ12" s="1809">
        <v>0</v>
      </c>
      <c r="GA12" s="1809">
        <v>0</v>
      </c>
      <c r="GB12" s="1809">
        <v>0</v>
      </c>
      <c r="GC12" s="1809">
        <v>0</v>
      </c>
      <c r="GD12" s="1809">
        <v>0</v>
      </c>
      <c r="GE12" s="1809">
        <v>0</v>
      </c>
      <c r="GF12" s="1809">
        <v>0</v>
      </c>
      <c r="GG12" s="1809">
        <v>0</v>
      </c>
      <c r="GH12" s="1809">
        <v>0</v>
      </c>
      <c r="GI12" s="1809">
        <v>0</v>
      </c>
      <c r="GJ12" s="1809">
        <v>0</v>
      </c>
      <c r="GK12" s="1809">
        <v>0</v>
      </c>
      <c r="GL12" s="1809">
        <v>0</v>
      </c>
      <c r="GM12" s="1809">
        <v>0</v>
      </c>
      <c r="GN12" s="1809">
        <v>0</v>
      </c>
      <c r="GO12" s="1809">
        <v>0</v>
      </c>
      <c r="GP12" s="1809">
        <v>0</v>
      </c>
      <c r="GQ12" s="1809">
        <v>0</v>
      </c>
      <c r="GR12" s="1809">
        <v>0</v>
      </c>
      <c r="GS12" s="1809">
        <v>0</v>
      </c>
      <c r="GT12" s="1809">
        <v>0</v>
      </c>
      <c r="GU12" s="1809">
        <v>0</v>
      </c>
      <c r="GV12" s="1809">
        <v>0</v>
      </c>
      <c r="GW12" s="1809">
        <v>0</v>
      </c>
      <c r="GX12" s="1809">
        <v>0</v>
      </c>
      <c r="GY12" s="1809">
        <v>0</v>
      </c>
      <c r="GZ12" s="1809">
        <v>0</v>
      </c>
      <c r="HA12" s="1809">
        <v>0</v>
      </c>
      <c r="HB12" s="1809">
        <v>0</v>
      </c>
      <c r="HC12" s="1809">
        <v>0</v>
      </c>
      <c r="HD12" s="1809">
        <v>0</v>
      </c>
      <c r="HE12" s="1809">
        <v>0</v>
      </c>
      <c r="HF12" s="1809">
        <v>0</v>
      </c>
      <c r="HG12" s="1809">
        <v>0</v>
      </c>
    </row>
    <row r="13" spans="1:215" s="1893" customFormat="1" ht="18" customHeight="1" thickBot="1" x14ac:dyDescent="0.25">
      <c r="A13" s="2028"/>
      <c r="B13" s="2068" t="s">
        <v>549</v>
      </c>
      <c r="C13" s="2068"/>
      <c r="D13" s="2068"/>
      <c r="E13" s="2069"/>
      <c r="F13" s="1908"/>
      <c r="G13" s="2053"/>
      <c r="H13" s="1810"/>
      <c r="I13" s="1810"/>
      <c r="J13" s="1810"/>
      <c r="K13" s="1810"/>
      <c r="L13" s="1810"/>
      <c r="M13" s="1810"/>
      <c r="N13" s="1810"/>
      <c r="O13" s="1810"/>
      <c r="P13" s="1810"/>
      <c r="Q13" s="1810"/>
      <c r="R13" s="1810"/>
      <c r="S13" s="1810"/>
      <c r="T13" s="1810"/>
      <c r="U13" s="1810"/>
      <c r="V13" s="1810"/>
      <c r="W13" s="1810"/>
      <c r="X13" s="1810"/>
      <c r="Y13" s="1810"/>
      <c r="Z13" s="1810"/>
      <c r="AA13" s="1810"/>
      <c r="AB13" s="1810"/>
      <c r="AC13" s="1810"/>
      <c r="AD13" s="1810"/>
      <c r="AE13" s="1810"/>
      <c r="AF13" s="1810"/>
      <c r="AG13" s="1810"/>
      <c r="AH13" s="1810"/>
      <c r="AI13" s="1810"/>
      <c r="AJ13" s="1810"/>
      <c r="AK13" s="1810"/>
      <c r="AL13" s="1810"/>
      <c r="AM13" s="1810"/>
      <c r="AN13" s="1810"/>
      <c r="AO13" s="1810"/>
      <c r="AP13" s="1810"/>
      <c r="AQ13" s="1810"/>
      <c r="AR13" s="1810"/>
      <c r="AS13" s="1810"/>
      <c r="AT13" s="1810"/>
      <c r="AU13" s="1810"/>
      <c r="AV13" s="1810"/>
      <c r="AW13" s="1810"/>
      <c r="AX13" s="1810"/>
      <c r="AY13" s="1810"/>
      <c r="AZ13" s="1810"/>
      <c r="BA13" s="1810"/>
      <c r="BB13" s="1810"/>
      <c r="BC13" s="1810"/>
      <c r="BD13" s="1810"/>
      <c r="BE13" s="1810"/>
      <c r="BF13" s="1810"/>
      <c r="BG13" s="1810"/>
      <c r="BH13" s="1810"/>
      <c r="BI13" s="1810"/>
      <c r="BJ13" s="1810"/>
      <c r="BK13" s="1810"/>
      <c r="BL13" s="1810"/>
      <c r="BM13" s="1810"/>
      <c r="BN13" s="1810"/>
      <c r="BO13" s="1810"/>
      <c r="BP13" s="1810"/>
      <c r="BQ13" s="1810"/>
      <c r="BR13" s="1810"/>
      <c r="BS13" s="1810"/>
      <c r="BT13" s="1810"/>
      <c r="BU13" s="1810"/>
      <c r="BV13" s="1810"/>
      <c r="BW13" s="1810"/>
      <c r="BX13" s="1810"/>
      <c r="BY13" s="1810"/>
      <c r="BZ13" s="1810"/>
      <c r="CA13" s="1810"/>
      <c r="CB13" s="1810"/>
      <c r="CC13" s="1810"/>
      <c r="CD13" s="1810"/>
      <c r="CE13" s="1810"/>
      <c r="CF13" s="1810"/>
      <c r="CG13" s="1810"/>
      <c r="CH13" s="1810"/>
      <c r="CI13" s="1810"/>
      <c r="CJ13" s="1810"/>
      <c r="CK13" s="1810"/>
      <c r="CL13" s="1810"/>
      <c r="CM13" s="1810"/>
      <c r="CN13" s="1810"/>
      <c r="CO13" s="1810"/>
      <c r="CP13" s="1810"/>
      <c r="CQ13" s="1810"/>
      <c r="CR13" s="1810"/>
      <c r="CS13" s="1810"/>
      <c r="CT13" s="1810"/>
      <c r="CU13" s="1810"/>
      <c r="CV13" s="1810"/>
      <c r="CW13" s="1810"/>
      <c r="CX13" s="1810"/>
      <c r="CY13" s="1810"/>
      <c r="CZ13" s="1810"/>
      <c r="DA13" s="1810"/>
      <c r="DB13" s="1810"/>
      <c r="DC13" s="1810"/>
      <c r="DD13" s="1810"/>
      <c r="DE13" s="1810"/>
      <c r="DF13" s="1810"/>
      <c r="DG13" s="1810"/>
      <c r="DH13" s="1810"/>
      <c r="DI13" s="1810"/>
      <c r="DJ13" s="1810"/>
      <c r="DK13" s="1810"/>
      <c r="DL13" s="1810"/>
      <c r="DM13" s="1810"/>
      <c r="DN13" s="1810"/>
      <c r="DO13" s="1810"/>
      <c r="DP13" s="1810"/>
      <c r="DQ13" s="1810"/>
      <c r="DR13" s="1810"/>
      <c r="DS13" s="1810"/>
      <c r="DT13" s="1810"/>
      <c r="DU13" s="1810"/>
      <c r="DV13" s="1810"/>
      <c r="DW13" s="1810"/>
      <c r="DX13" s="1810"/>
      <c r="DY13" s="1810"/>
      <c r="DZ13" s="1810"/>
      <c r="EA13" s="1810"/>
      <c r="EB13" s="1810"/>
      <c r="EC13" s="1810"/>
      <c r="ED13" s="1810"/>
      <c r="EE13" s="1810"/>
      <c r="EF13" s="1810"/>
      <c r="EG13" s="1810"/>
      <c r="EH13" s="1810"/>
      <c r="EI13" s="1810"/>
      <c r="EJ13" s="1810"/>
      <c r="EK13" s="1810"/>
      <c r="EL13" s="1810"/>
      <c r="EM13" s="1810"/>
      <c r="EN13" s="1810"/>
      <c r="EO13" s="1810"/>
      <c r="EP13" s="1810"/>
      <c r="EQ13" s="1810"/>
      <c r="ER13" s="1810"/>
      <c r="ES13" s="1810"/>
      <c r="ET13" s="1810"/>
      <c r="EU13" s="1810"/>
      <c r="EV13" s="1810"/>
      <c r="EW13" s="1810"/>
      <c r="EX13" s="1810"/>
      <c r="EY13" s="1810"/>
      <c r="EZ13" s="1810"/>
      <c r="FA13" s="1810"/>
      <c r="FB13" s="1810"/>
      <c r="FC13" s="1810"/>
      <c r="FD13" s="1810"/>
      <c r="FE13" s="1810"/>
      <c r="FF13" s="1810"/>
      <c r="FG13" s="1810"/>
      <c r="FH13" s="1810"/>
      <c r="FI13" s="1810"/>
      <c r="FJ13" s="1810"/>
      <c r="FK13" s="1810"/>
      <c r="FL13" s="1810"/>
      <c r="FM13" s="1810"/>
      <c r="FN13" s="1810"/>
      <c r="FO13" s="1810"/>
      <c r="FP13" s="1810"/>
      <c r="FQ13" s="1810"/>
      <c r="FR13" s="1810"/>
      <c r="FS13" s="1810"/>
      <c r="FT13" s="1810"/>
      <c r="FU13" s="1810"/>
      <c r="FV13" s="1810"/>
      <c r="FW13" s="1810"/>
      <c r="FX13" s="1810"/>
      <c r="FY13" s="1810"/>
      <c r="FZ13" s="1810"/>
      <c r="GA13" s="1810"/>
      <c r="GB13" s="1810"/>
      <c r="GC13" s="1810"/>
      <c r="GD13" s="1810"/>
      <c r="GE13" s="1810"/>
      <c r="GF13" s="1810"/>
      <c r="GG13" s="1810"/>
      <c r="GH13" s="1810"/>
      <c r="GI13" s="1810"/>
      <c r="GJ13" s="1810"/>
      <c r="GK13" s="1810"/>
      <c r="GL13" s="1810"/>
      <c r="GM13" s="1810"/>
      <c r="GN13" s="1810"/>
      <c r="GO13" s="1810"/>
      <c r="GP13" s="1810"/>
      <c r="GQ13" s="1810"/>
      <c r="GR13" s="1810"/>
      <c r="GS13" s="1810"/>
      <c r="GT13" s="1810"/>
      <c r="GU13" s="1810"/>
      <c r="GV13" s="1810"/>
      <c r="GW13" s="1810"/>
      <c r="GX13" s="1810"/>
      <c r="GY13" s="1810"/>
      <c r="GZ13" s="1810"/>
      <c r="HA13" s="1810"/>
      <c r="HB13" s="1810"/>
      <c r="HC13" s="1810"/>
      <c r="HD13" s="1810"/>
      <c r="HE13" s="1810"/>
      <c r="HF13" s="1810"/>
      <c r="HG13" s="1810"/>
    </row>
    <row r="14" spans="1:215" s="1893" customFormat="1" ht="15" customHeight="1" thickBot="1" x14ac:dyDescent="0.25">
      <c r="A14" s="2028"/>
      <c r="B14" s="1904" t="s">
        <v>201</v>
      </c>
      <c r="C14" s="1909" t="s">
        <v>101</v>
      </c>
      <c r="D14" s="1909" t="s">
        <v>102</v>
      </c>
      <c r="E14" s="1910" t="s">
        <v>103</v>
      </c>
      <c r="F14" s="1907">
        <v>0</v>
      </c>
      <c r="G14" s="2053"/>
      <c r="H14" s="1809">
        <v>0</v>
      </c>
      <c r="I14" s="1809">
        <v>0</v>
      </c>
      <c r="J14" s="1809">
        <v>0</v>
      </c>
      <c r="K14" s="1809">
        <v>0</v>
      </c>
      <c r="L14" s="1809">
        <v>0</v>
      </c>
      <c r="M14" s="1809">
        <v>0</v>
      </c>
      <c r="N14" s="1809">
        <v>0</v>
      </c>
      <c r="O14" s="1809">
        <v>0</v>
      </c>
      <c r="P14" s="1809">
        <v>0</v>
      </c>
      <c r="Q14" s="1809">
        <v>0</v>
      </c>
      <c r="R14" s="1809">
        <v>0</v>
      </c>
      <c r="S14" s="1809">
        <v>0</v>
      </c>
      <c r="T14" s="1809">
        <v>0</v>
      </c>
      <c r="U14" s="1809">
        <v>0</v>
      </c>
      <c r="V14" s="1809">
        <v>0</v>
      </c>
      <c r="W14" s="1809">
        <v>0</v>
      </c>
      <c r="X14" s="1809">
        <v>0</v>
      </c>
      <c r="Y14" s="1809">
        <v>0</v>
      </c>
      <c r="Z14" s="1809">
        <v>0</v>
      </c>
      <c r="AA14" s="1809">
        <v>0</v>
      </c>
      <c r="AB14" s="1809">
        <v>0</v>
      </c>
      <c r="AC14" s="1809">
        <v>0</v>
      </c>
      <c r="AD14" s="1809">
        <v>0</v>
      </c>
      <c r="AE14" s="1809">
        <v>0</v>
      </c>
      <c r="AF14" s="1809">
        <v>0</v>
      </c>
      <c r="AG14" s="1809">
        <v>0</v>
      </c>
      <c r="AH14" s="1809">
        <v>0</v>
      </c>
      <c r="AI14" s="1809">
        <v>0</v>
      </c>
      <c r="AJ14" s="1809">
        <v>0</v>
      </c>
      <c r="AK14" s="1809">
        <v>0</v>
      </c>
      <c r="AL14" s="1809">
        <v>0</v>
      </c>
      <c r="AM14" s="1809">
        <v>0</v>
      </c>
      <c r="AN14" s="1809">
        <v>0</v>
      </c>
      <c r="AO14" s="1809">
        <v>0</v>
      </c>
      <c r="AP14" s="1809">
        <v>0</v>
      </c>
      <c r="AQ14" s="1809">
        <v>0</v>
      </c>
      <c r="AR14" s="1809">
        <v>0</v>
      </c>
      <c r="AS14" s="1809">
        <v>0</v>
      </c>
      <c r="AT14" s="1809">
        <v>0</v>
      </c>
      <c r="AU14" s="1809">
        <v>0</v>
      </c>
      <c r="AV14" s="1809">
        <v>0</v>
      </c>
      <c r="AW14" s="1809">
        <v>0</v>
      </c>
      <c r="AX14" s="1809">
        <v>0</v>
      </c>
      <c r="AY14" s="1809">
        <v>0</v>
      </c>
      <c r="AZ14" s="1809">
        <v>0</v>
      </c>
      <c r="BA14" s="1809">
        <v>0</v>
      </c>
      <c r="BB14" s="1809">
        <v>0</v>
      </c>
      <c r="BC14" s="1809">
        <v>0</v>
      </c>
      <c r="BD14" s="1809">
        <v>0</v>
      </c>
      <c r="BE14" s="1809">
        <v>0</v>
      </c>
      <c r="BF14" s="1809">
        <v>0</v>
      </c>
      <c r="BG14" s="1809">
        <v>0</v>
      </c>
      <c r="BH14" s="1809">
        <v>0</v>
      </c>
      <c r="BI14" s="1809">
        <v>0</v>
      </c>
      <c r="BJ14" s="1809">
        <v>0</v>
      </c>
      <c r="BK14" s="1809">
        <v>0</v>
      </c>
      <c r="BL14" s="1809">
        <v>0</v>
      </c>
      <c r="BM14" s="1809">
        <v>0</v>
      </c>
      <c r="BN14" s="1809">
        <v>0</v>
      </c>
      <c r="BO14" s="1809">
        <v>0</v>
      </c>
      <c r="BP14" s="1809">
        <v>0</v>
      </c>
      <c r="BQ14" s="1809">
        <v>0</v>
      </c>
      <c r="BR14" s="1809">
        <v>0</v>
      </c>
      <c r="BS14" s="1809">
        <v>0</v>
      </c>
      <c r="BT14" s="1809">
        <v>0</v>
      </c>
      <c r="BU14" s="1809">
        <v>0</v>
      </c>
      <c r="BV14" s="1809">
        <v>0</v>
      </c>
      <c r="BW14" s="1809">
        <v>0</v>
      </c>
      <c r="BX14" s="1809">
        <v>0</v>
      </c>
      <c r="BY14" s="1809">
        <v>0</v>
      </c>
      <c r="BZ14" s="1809">
        <v>0</v>
      </c>
      <c r="CA14" s="1809">
        <v>0</v>
      </c>
      <c r="CB14" s="1809">
        <v>0</v>
      </c>
      <c r="CC14" s="1809">
        <v>0</v>
      </c>
      <c r="CD14" s="1809">
        <v>0</v>
      </c>
      <c r="CE14" s="1809">
        <v>0</v>
      </c>
      <c r="CF14" s="1809">
        <v>0</v>
      </c>
      <c r="CG14" s="1809">
        <v>0</v>
      </c>
      <c r="CH14" s="1809">
        <v>0</v>
      </c>
      <c r="CI14" s="1809">
        <v>0</v>
      </c>
      <c r="CJ14" s="1809">
        <v>0</v>
      </c>
      <c r="CK14" s="1809">
        <v>0</v>
      </c>
      <c r="CL14" s="1809">
        <v>0</v>
      </c>
      <c r="CM14" s="1809">
        <v>0</v>
      </c>
      <c r="CN14" s="1809">
        <v>0</v>
      </c>
      <c r="CO14" s="1809">
        <v>0</v>
      </c>
      <c r="CP14" s="1809">
        <v>0</v>
      </c>
      <c r="CQ14" s="1809">
        <v>0</v>
      </c>
      <c r="CR14" s="1809">
        <v>0</v>
      </c>
      <c r="CS14" s="1809">
        <v>0</v>
      </c>
      <c r="CT14" s="1809">
        <v>0</v>
      </c>
      <c r="CU14" s="1809">
        <v>0</v>
      </c>
      <c r="CV14" s="1809">
        <v>0</v>
      </c>
      <c r="CW14" s="1809">
        <v>0</v>
      </c>
      <c r="CX14" s="1809">
        <v>0</v>
      </c>
      <c r="CY14" s="1809">
        <v>0</v>
      </c>
      <c r="CZ14" s="1809">
        <v>0</v>
      </c>
      <c r="DA14" s="1809">
        <v>0</v>
      </c>
      <c r="DB14" s="1809">
        <v>0</v>
      </c>
      <c r="DC14" s="1809">
        <v>0</v>
      </c>
      <c r="DD14" s="1809">
        <v>0</v>
      </c>
      <c r="DE14" s="1809">
        <v>0</v>
      </c>
      <c r="DF14" s="1809">
        <v>0</v>
      </c>
      <c r="DG14" s="1809">
        <v>0</v>
      </c>
      <c r="DH14" s="1809">
        <v>0</v>
      </c>
      <c r="DI14" s="1809">
        <v>0</v>
      </c>
      <c r="DJ14" s="1809">
        <v>0</v>
      </c>
      <c r="DK14" s="1809">
        <v>0</v>
      </c>
      <c r="DL14" s="1809">
        <v>0</v>
      </c>
      <c r="DM14" s="1809">
        <v>0</v>
      </c>
      <c r="DN14" s="1809">
        <v>0</v>
      </c>
      <c r="DO14" s="1809">
        <v>0</v>
      </c>
      <c r="DP14" s="1809">
        <v>0</v>
      </c>
      <c r="DQ14" s="1809">
        <v>0</v>
      </c>
      <c r="DR14" s="1809">
        <v>0</v>
      </c>
      <c r="DS14" s="1809">
        <v>0</v>
      </c>
      <c r="DT14" s="1809">
        <v>0</v>
      </c>
      <c r="DU14" s="1809">
        <v>0</v>
      </c>
      <c r="DV14" s="1809">
        <v>0</v>
      </c>
      <c r="DW14" s="1809">
        <v>0</v>
      </c>
      <c r="DX14" s="1809">
        <v>0</v>
      </c>
      <c r="DY14" s="1809">
        <v>0</v>
      </c>
      <c r="DZ14" s="1809">
        <v>0</v>
      </c>
      <c r="EA14" s="1809">
        <v>0</v>
      </c>
      <c r="EB14" s="1809">
        <v>0</v>
      </c>
      <c r="EC14" s="1809">
        <v>0</v>
      </c>
      <c r="ED14" s="1809">
        <v>0</v>
      </c>
      <c r="EE14" s="1809">
        <v>0</v>
      </c>
      <c r="EF14" s="1809">
        <v>0</v>
      </c>
      <c r="EG14" s="1809">
        <v>0</v>
      </c>
      <c r="EH14" s="1809">
        <v>0</v>
      </c>
      <c r="EI14" s="1809">
        <v>0</v>
      </c>
      <c r="EJ14" s="1809">
        <v>0</v>
      </c>
      <c r="EK14" s="1809">
        <v>0</v>
      </c>
      <c r="EL14" s="1809">
        <v>0</v>
      </c>
      <c r="EM14" s="1809">
        <v>0</v>
      </c>
      <c r="EN14" s="1809">
        <v>0</v>
      </c>
      <c r="EO14" s="1809">
        <v>0</v>
      </c>
      <c r="EP14" s="1809">
        <v>0</v>
      </c>
      <c r="EQ14" s="1809">
        <v>0</v>
      </c>
      <c r="ER14" s="1809">
        <v>0</v>
      </c>
      <c r="ES14" s="1809">
        <v>0</v>
      </c>
      <c r="ET14" s="1809">
        <v>0</v>
      </c>
      <c r="EU14" s="1809">
        <v>0</v>
      </c>
      <c r="EV14" s="1809">
        <v>0</v>
      </c>
      <c r="EW14" s="1809">
        <v>0</v>
      </c>
      <c r="EX14" s="1809">
        <v>0</v>
      </c>
      <c r="EY14" s="1809">
        <v>0</v>
      </c>
      <c r="EZ14" s="1809">
        <v>0</v>
      </c>
      <c r="FA14" s="1809">
        <v>0</v>
      </c>
      <c r="FB14" s="1809">
        <v>0</v>
      </c>
      <c r="FC14" s="1809">
        <v>0</v>
      </c>
      <c r="FD14" s="1809">
        <v>0</v>
      </c>
      <c r="FE14" s="1809">
        <v>0</v>
      </c>
      <c r="FF14" s="1809">
        <v>0</v>
      </c>
      <c r="FG14" s="1809">
        <v>0</v>
      </c>
      <c r="FH14" s="1809">
        <v>0</v>
      </c>
      <c r="FI14" s="1809">
        <v>0</v>
      </c>
      <c r="FJ14" s="1809">
        <v>0</v>
      </c>
      <c r="FK14" s="1809">
        <v>0</v>
      </c>
      <c r="FL14" s="1809">
        <v>0</v>
      </c>
      <c r="FM14" s="1809">
        <v>0</v>
      </c>
      <c r="FN14" s="1809">
        <v>0</v>
      </c>
      <c r="FO14" s="1809">
        <v>0</v>
      </c>
      <c r="FP14" s="1809">
        <v>0</v>
      </c>
      <c r="FQ14" s="1809">
        <v>0</v>
      </c>
      <c r="FR14" s="1809">
        <v>0</v>
      </c>
      <c r="FS14" s="1809">
        <v>0</v>
      </c>
      <c r="FT14" s="1809">
        <v>0</v>
      </c>
      <c r="FU14" s="1809">
        <v>0</v>
      </c>
      <c r="FV14" s="1809">
        <v>0</v>
      </c>
      <c r="FW14" s="1809">
        <v>0</v>
      </c>
      <c r="FX14" s="1809">
        <v>0</v>
      </c>
      <c r="FY14" s="1809">
        <v>0</v>
      </c>
      <c r="FZ14" s="1809">
        <v>0</v>
      </c>
      <c r="GA14" s="1809">
        <v>0</v>
      </c>
      <c r="GB14" s="1809">
        <v>0</v>
      </c>
      <c r="GC14" s="1809">
        <v>0</v>
      </c>
      <c r="GD14" s="1809">
        <v>0</v>
      </c>
      <c r="GE14" s="1809">
        <v>0</v>
      </c>
      <c r="GF14" s="1809">
        <v>0</v>
      </c>
      <c r="GG14" s="1809">
        <v>0</v>
      </c>
      <c r="GH14" s="1809">
        <v>0</v>
      </c>
      <c r="GI14" s="1809">
        <v>0</v>
      </c>
      <c r="GJ14" s="1809">
        <v>0</v>
      </c>
      <c r="GK14" s="1809">
        <v>0</v>
      </c>
      <c r="GL14" s="1809">
        <v>0</v>
      </c>
      <c r="GM14" s="1809">
        <v>0</v>
      </c>
      <c r="GN14" s="1809">
        <v>0</v>
      </c>
      <c r="GO14" s="1809">
        <v>0</v>
      </c>
      <c r="GP14" s="1809">
        <v>0</v>
      </c>
      <c r="GQ14" s="1809">
        <v>0</v>
      </c>
      <c r="GR14" s="1809">
        <v>0</v>
      </c>
      <c r="GS14" s="1809">
        <v>0</v>
      </c>
      <c r="GT14" s="1809">
        <v>0</v>
      </c>
      <c r="GU14" s="1809">
        <v>0</v>
      </c>
      <c r="GV14" s="1809">
        <v>0</v>
      </c>
      <c r="GW14" s="1809">
        <v>0</v>
      </c>
      <c r="GX14" s="1809">
        <v>0</v>
      </c>
      <c r="GY14" s="1809">
        <v>0</v>
      </c>
      <c r="GZ14" s="1809">
        <v>0</v>
      </c>
      <c r="HA14" s="1809">
        <v>0</v>
      </c>
      <c r="HB14" s="1809">
        <v>0</v>
      </c>
      <c r="HC14" s="1809">
        <v>0</v>
      </c>
      <c r="HD14" s="1809">
        <v>0</v>
      </c>
      <c r="HE14" s="1809">
        <v>0</v>
      </c>
      <c r="HF14" s="1809">
        <v>0</v>
      </c>
      <c r="HG14" s="1809">
        <v>0</v>
      </c>
    </row>
    <row r="15" spans="1:215" s="1893" customFormat="1" ht="15" customHeight="1" thickBot="1" x14ac:dyDescent="0.25">
      <c r="A15" s="2028"/>
      <c r="B15" s="1904" t="s">
        <v>202</v>
      </c>
      <c r="C15" s="1909" t="s">
        <v>55</v>
      </c>
      <c r="D15" s="1909" t="s">
        <v>104</v>
      </c>
      <c r="E15" s="1910" t="s">
        <v>56</v>
      </c>
      <c r="F15" s="1907">
        <v>0</v>
      </c>
      <c r="G15" s="2053"/>
      <c r="H15" s="1811">
        <v>0</v>
      </c>
      <c r="I15" s="1811">
        <v>0</v>
      </c>
      <c r="J15" s="1811">
        <v>0</v>
      </c>
      <c r="K15" s="1811">
        <v>0</v>
      </c>
      <c r="L15" s="1811">
        <v>0</v>
      </c>
      <c r="M15" s="1811">
        <v>0</v>
      </c>
      <c r="N15" s="1811">
        <v>0</v>
      </c>
      <c r="O15" s="1811">
        <v>0</v>
      </c>
      <c r="P15" s="1811">
        <v>0</v>
      </c>
      <c r="Q15" s="1811">
        <v>0</v>
      </c>
      <c r="R15" s="1811">
        <v>0</v>
      </c>
      <c r="S15" s="1811">
        <v>0</v>
      </c>
      <c r="T15" s="1811">
        <v>0</v>
      </c>
      <c r="U15" s="1811">
        <v>0</v>
      </c>
      <c r="V15" s="1811">
        <v>0</v>
      </c>
      <c r="W15" s="1811">
        <v>0</v>
      </c>
      <c r="X15" s="1811">
        <v>0</v>
      </c>
      <c r="Y15" s="1811">
        <v>0</v>
      </c>
      <c r="Z15" s="1811">
        <v>0</v>
      </c>
      <c r="AA15" s="1811">
        <v>0</v>
      </c>
      <c r="AB15" s="1811">
        <v>0</v>
      </c>
      <c r="AC15" s="1811">
        <v>0</v>
      </c>
      <c r="AD15" s="1811">
        <v>0</v>
      </c>
      <c r="AE15" s="1811">
        <v>0</v>
      </c>
      <c r="AF15" s="1811">
        <v>0</v>
      </c>
      <c r="AG15" s="1811">
        <v>0</v>
      </c>
      <c r="AH15" s="1811">
        <v>0</v>
      </c>
      <c r="AI15" s="1811">
        <v>0</v>
      </c>
      <c r="AJ15" s="1811">
        <v>0</v>
      </c>
      <c r="AK15" s="1811">
        <v>0</v>
      </c>
      <c r="AL15" s="1811">
        <v>0</v>
      </c>
      <c r="AM15" s="1811">
        <v>0</v>
      </c>
      <c r="AN15" s="1811">
        <v>0</v>
      </c>
      <c r="AO15" s="1811">
        <v>0</v>
      </c>
      <c r="AP15" s="1811">
        <v>0</v>
      </c>
      <c r="AQ15" s="1811">
        <v>0</v>
      </c>
      <c r="AR15" s="1811">
        <v>0</v>
      </c>
      <c r="AS15" s="1811">
        <v>0</v>
      </c>
      <c r="AT15" s="1811">
        <v>0</v>
      </c>
      <c r="AU15" s="1811">
        <v>0</v>
      </c>
      <c r="AV15" s="1811">
        <v>0</v>
      </c>
      <c r="AW15" s="1811">
        <v>0</v>
      </c>
      <c r="AX15" s="1811">
        <v>0</v>
      </c>
      <c r="AY15" s="1811">
        <v>0</v>
      </c>
      <c r="AZ15" s="1811">
        <v>0</v>
      </c>
      <c r="BA15" s="1811">
        <v>0</v>
      </c>
      <c r="BB15" s="1811">
        <v>0</v>
      </c>
      <c r="BC15" s="1811">
        <v>0</v>
      </c>
      <c r="BD15" s="1811">
        <v>0</v>
      </c>
      <c r="BE15" s="1811">
        <v>0</v>
      </c>
      <c r="BF15" s="1811">
        <v>0</v>
      </c>
      <c r="BG15" s="1811">
        <v>0</v>
      </c>
      <c r="BH15" s="1811">
        <v>0</v>
      </c>
      <c r="BI15" s="1811">
        <v>0</v>
      </c>
      <c r="BJ15" s="1811">
        <v>0</v>
      </c>
      <c r="BK15" s="1811">
        <v>0</v>
      </c>
      <c r="BL15" s="1811">
        <v>0</v>
      </c>
      <c r="BM15" s="1811">
        <v>0</v>
      </c>
      <c r="BN15" s="1811">
        <v>0</v>
      </c>
      <c r="BO15" s="1811">
        <v>0</v>
      </c>
      <c r="BP15" s="1811">
        <v>0</v>
      </c>
      <c r="BQ15" s="1811">
        <v>0</v>
      </c>
      <c r="BR15" s="1811">
        <v>0</v>
      </c>
      <c r="BS15" s="1811">
        <v>0</v>
      </c>
      <c r="BT15" s="1811">
        <v>0</v>
      </c>
      <c r="BU15" s="1811">
        <v>0</v>
      </c>
      <c r="BV15" s="1811">
        <v>0</v>
      </c>
      <c r="BW15" s="1811">
        <v>0</v>
      </c>
      <c r="BX15" s="1811">
        <v>0</v>
      </c>
      <c r="BY15" s="1811">
        <v>0</v>
      </c>
      <c r="BZ15" s="1811">
        <v>0</v>
      </c>
      <c r="CA15" s="1811">
        <v>0</v>
      </c>
      <c r="CB15" s="1811">
        <v>0</v>
      </c>
      <c r="CC15" s="1811">
        <v>0</v>
      </c>
      <c r="CD15" s="1811">
        <v>0</v>
      </c>
      <c r="CE15" s="1811">
        <v>0</v>
      </c>
      <c r="CF15" s="1811">
        <v>0</v>
      </c>
      <c r="CG15" s="1811">
        <v>0</v>
      </c>
      <c r="CH15" s="1811">
        <v>0</v>
      </c>
      <c r="CI15" s="1811">
        <v>0</v>
      </c>
      <c r="CJ15" s="1811">
        <v>0</v>
      </c>
      <c r="CK15" s="1811">
        <v>0</v>
      </c>
      <c r="CL15" s="1811">
        <v>0</v>
      </c>
      <c r="CM15" s="1811">
        <v>0</v>
      </c>
      <c r="CN15" s="1811">
        <v>0</v>
      </c>
      <c r="CO15" s="1811">
        <v>0</v>
      </c>
      <c r="CP15" s="1811">
        <v>0</v>
      </c>
      <c r="CQ15" s="1811">
        <v>0</v>
      </c>
      <c r="CR15" s="1811">
        <v>0</v>
      </c>
      <c r="CS15" s="1811">
        <v>0</v>
      </c>
      <c r="CT15" s="1811">
        <v>0</v>
      </c>
      <c r="CU15" s="1811">
        <v>0</v>
      </c>
      <c r="CV15" s="1811">
        <v>0</v>
      </c>
      <c r="CW15" s="1811">
        <v>0</v>
      </c>
      <c r="CX15" s="1811">
        <v>0</v>
      </c>
      <c r="CY15" s="1811">
        <v>0</v>
      </c>
      <c r="CZ15" s="1811">
        <v>0</v>
      </c>
      <c r="DA15" s="1811">
        <v>0</v>
      </c>
      <c r="DB15" s="1811">
        <v>0</v>
      </c>
      <c r="DC15" s="1811">
        <v>0</v>
      </c>
      <c r="DD15" s="1811">
        <v>0</v>
      </c>
      <c r="DE15" s="1811">
        <v>0</v>
      </c>
      <c r="DF15" s="1811">
        <v>0</v>
      </c>
      <c r="DG15" s="1811">
        <v>0</v>
      </c>
      <c r="DH15" s="1811">
        <v>0</v>
      </c>
      <c r="DI15" s="1811">
        <v>0</v>
      </c>
      <c r="DJ15" s="1811">
        <v>0</v>
      </c>
      <c r="DK15" s="1811">
        <v>0</v>
      </c>
      <c r="DL15" s="1811">
        <v>0</v>
      </c>
      <c r="DM15" s="1811">
        <v>0</v>
      </c>
      <c r="DN15" s="1811">
        <v>0</v>
      </c>
      <c r="DO15" s="1811">
        <v>0</v>
      </c>
      <c r="DP15" s="1811">
        <v>0</v>
      </c>
      <c r="DQ15" s="1811">
        <v>0</v>
      </c>
      <c r="DR15" s="1811">
        <v>0</v>
      </c>
      <c r="DS15" s="1811">
        <v>0</v>
      </c>
      <c r="DT15" s="1811">
        <v>0</v>
      </c>
      <c r="DU15" s="1811">
        <v>0</v>
      </c>
      <c r="DV15" s="1811">
        <v>0</v>
      </c>
      <c r="DW15" s="1811">
        <v>0</v>
      </c>
      <c r="DX15" s="1811">
        <v>0</v>
      </c>
      <c r="DY15" s="1811">
        <v>0</v>
      </c>
      <c r="DZ15" s="1811">
        <v>0</v>
      </c>
      <c r="EA15" s="1811">
        <v>0</v>
      </c>
      <c r="EB15" s="1811">
        <v>0</v>
      </c>
      <c r="EC15" s="1811">
        <v>0</v>
      </c>
      <c r="ED15" s="1811">
        <v>0</v>
      </c>
      <c r="EE15" s="1811">
        <v>0</v>
      </c>
      <c r="EF15" s="1811">
        <v>0</v>
      </c>
      <c r="EG15" s="1811">
        <v>0</v>
      </c>
      <c r="EH15" s="1811">
        <v>0</v>
      </c>
      <c r="EI15" s="1811">
        <v>0</v>
      </c>
      <c r="EJ15" s="1811">
        <v>0</v>
      </c>
      <c r="EK15" s="1811">
        <v>0</v>
      </c>
      <c r="EL15" s="1811">
        <v>0</v>
      </c>
      <c r="EM15" s="1811">
        <v>0</v>
      </c>
      <c r="EN15" s="1811">
        <v>0</v>
      </c>
      <c r="EO15" s="1811">
        <v>0</v>
      </c>
      <c r="EP15" s="1811">
        <v>0</v>
      </c>
      <c r="EQ15" s="1811">
        <v>0</v>
      </c>
      <c r="ER15" s="1811">
        <v>0</v>
      </c>
      <c r="ES15" s="1811">
        <v>0</v>
      </c>
      <c r="ET15" s="1811">
        <v>0</v>
      </c>
      <c r="EU15" s="1811">
        <v>0</v>
      </c>
      <c r="EV15" s="1811">
        <v>0</v>
      </c>
      <c r="EW15" s="1811">
        <v>0</v>
      </c>
      <c r="EX15" s="1811">
        <v>0</v>
      </c>
      <c r="EY15" s="1811">
        <v>0</v>
      </c>
      <c r="EZ15" s="1811">
        <v>0</v>
      </c>
      <c r="FA15" s="1811">
        <v>0</v>
      </c>
      <c r="FB15" s="1811">
        <v>0</v>
      </c>
      <c r="FC15" s="1811">
        <v>0</v>
      </c>
      <c r="FD15" s="1811">
        <v>0</v>
      </c>
      <c r="FE15" s="1811">
        <v>0</v>
      </c>
      <c r="FF15" s="1811">
        <v>0</v>
      </c>
      <c r="FG15" s="1811">
        <v>0</v>
      </c>
      <c r="FH15" s="1811">
        <v>0</v>
      </c>
      <c r="FI15" s="1811">
        <v>0</v>
      </c>
      <c r="FJ15" s="1811">
        <v>0</v>
      </c>
      <c r="FK15" s="1811">
        <v>0</v>
      </c>
      <c r="FL15" s="1811">
        <v>0</v>
      </c>
      <c r="FM15" s="1811">
        <v>0</v>
      </c>
      <c r="FN15" s="1811">
        <v>0</v>
      </c>
      <c r="FO15" s="1811">
        <v>0</v>
      </c>
      <c r="FP15" s="1811">
        <v>0</v>
      </c>
      <c r="FQ15" s="1811">
        <v>0</v>
      </c>
      <c r="FR15" s="1811">
        <v>0</v>
      </c>
      <c r="FS15" s="1811">
        <v>0</v>
      </c>
      <c r="FT15" s="1811">
        <v>0</v>
      </c>
      <c r="FU15" s="1811">
        <v>0</v>
      </c>
      <c r="FV15" s="1811">
        <v>0</v>
      </c>
      <c r="FW15" s="1811">
        <v>0</v>
      </c>
      <c r="FX15" s="1811">
        <v>0</v>
      </c>
      <c r="FY15" s="1811">
        <v>0</v>
      </c>
      <c r="FZ15" s="1811">
        <v>0</v>
      </c>
      <c r="GA15" s="1811">
        <v>0</v>
      </c>
      <c r="GB15" s="1811">
        <v>0</v>
      </c>
      <c r="GC15" s="1811">
        <v>0</v>
      </c>
      <c r="GD15" s="1811">
        <v>0</v>
      </c>
      <c r="GE15" s="1811">
        <v>0</v>
      </c>
      <c r="GF15" s="1811">
        <v>0</v>
      </c>
      <c r="GG15" s="1811">
        <v>0</v>
      </c>
      <c r="GH15" s="1811">
        <v>0</v>
      </c>
      <c r="GI15" s="1811">
        <v>0</v>
      </c>
      <c r="GJ15" s="1811">
        <v>0</v>
      </c>
      <c r="GK15" s="1811">
        <v>0</v>
      </c>
      <c r="GL15" s="1811">
        <v>0</v>
      </c>
      <c r="GM15" s="1811">
        <v>0</v>
      </c>
      <c r="GN15" s="1811">
        <v>0</v>
      </c>
      <c r="GO15" s="1811">
        <v>0</v>
      </c>
      <c r="GP15" s="1811">
        <v>0</v>
      </c>
      <c r="GQ15" s="1811">
        <v>0</v>
      </c>
      <c r="GR15" s="1811">
        <v>0</v>
      </c>
      <c r="GS15" s="1811">
        <v>0</v>
      </c>
      <c r="GT15" s="1811">
        <v>0</v>
      </c>
      <c r="GU15" s="1811">
        <v>0</v>
      </c>
      <c r="GV15" s="1811">
        <v>0</v>
      </c>
      <c r="GW15" s="1811">
        <v>0</v>
      </c>
      <c r="GX15" s="1811">
        <v>0</v>
      </c>
      <c r="GY15" s="1811">
        <v>0</v>
      </c>
      <c r="GZ15" s="1811">
        <v>0</v>
      </c>
      <c r="HA15" s="1811">
        <v>0</v>
      </c>
      <c r="HB15" s="1811">
        <v>0</v>
      </c>
      <c r="HC15" s="1811">
        <v>0</v>
      </c>
      <c r="HD15" s="1811">
        <v>0</v>
      </c>
      <c r="HE15" s="1811">
        <v>0</v>
      </c>
      <c r="HF15" s="1811">
        <v>0</v>
      </c>
      <c r="HG15" s="1811">
        <v>0</v>
      </c>
    </row>
    <row r="16" spans="1:215" s="1893" customFormat="1" ht="21" customHeight="1" thickBot="1" x14ac:dyDescent="0.25">
      <c r="A16" s="2028"/>
      <c r="B16" s="2021" t="s">
        <v>2393</v>
      </c>
      <c r="C16" s="2021"/>
      <c r="D16" s="2021"/>
      <c r="E16" s="2022"/>
      <c r="F16" s="1911">
        <f t="shared" ref="F16" si="0">SUM(F11:F15)</f>
        <v>0</v>
      </c>
      <c r="G16" s="2053"/>
      <c r="H16" s="1938">
        <f>SUM(H11:H15)</f>
        <v>0</v>
      </c>
      <c r="I16" s="1938">
        <f t="shared" ref="I16:BT16" si="1">SUM(I11:I15)</f>
        <v>0</v>
      </c>
      <c r="J16" s="1938">
        <f t="shared" si="1"/>
        <v>0</v>
      </c>
      <c r="K16" s="1938">
        <f t="shared" si="1"/>
        <v>0</v>
      </c>
      <c r="L16" s="1938">
        <f t="shared" si="1"/>
        <v>0</v>
      </c>
      <c r="M16" s="1938">
        <f t="shared" si="1"/>
        <v>0</v>
      </c>
      <c r="N16" s="1938">
        <f t="shared" si="1"/>
        <v>0</v>
      </c>
      <c r="O16" s="1938">
        <f t="shared" si="1"/>
        <v>0</v>
      </c>
      <c r="P16" s="1938">
        <f t="shared" si="1"/>
        <v>0</v>
      </c>
      <c r="Q16" s="1938">
        <f t="shared" si="1"/>
        <v>0</v>
      </c>
      <c r="R16" s="1938">
        <f t="shared" si="1"/>
        <v>0</v>
      </c>
      <c r="S16" s="1938">
        <f t="shared" si="1"/>
        <v>0</v>
      </c>
      <c r="T16" s="1938">
        <f t="shared" si="1"/>
        <v>0</v>
      </c>
      <c r="U16" s="1938">
        <f t="shared" si="1"/>
        <v>0</v>
      </c>
      <c r="V16" s="1938">
        <f t="shared" si="1"/>
        <v>0</v>
      </c>
      <c r="W16" s="1938">
        <f t="shared" si="1"/>
        <v>0</v>
      </c>
      <c r="X16" s="1938">
        <f t="shared" si="1"/>
        <v>0</v>
      </c>
      <c r="Y16" s="1938">
        <f t="shared" si="1"/>
        <v>0</v>
      </c>
      <c r="Z16" s="1938">
        <f t="shared" si="1"/>
        <v>0</v>
      </c>
      <c r="AA16" s="1938">
        <f t="shared" si="1"/>
        <v>0</v>
      </c>
      <c r="AB16" s="1938">
        <f t="shared" si="1"/>
        <v>0</v>
      </c>
      <c r="AC16" s="1938">
        <f t="shared" si="1"/>
        <v>0</v>
      </c>
      <c r="AD16" s="1938">
        <f t="shared" si="1"/>
        <v>0</v>
      </c>
      <c r="AE16" s="1938">
        <f t="shared" si="1"/>
        <v>0</v>
      </c>
      <c r="AF16" s="1938">
        <f t="shared" si="1"/>
        <v>0</v>
      </c>
      <c r="AG16" s="1938">
        <f t="shared" si="1"/>
        <v>0</v>
      </c>
      <c r="AH16" s="1938">
        <f t="shared" si="1"/>
        <v>0</v>
      </c>
      <c r="AI16" s="1938">
        <f t="shared" si="1"/>
        <v>0</v>
      </c>
      <c r="AJ16" s="1938">
        <f t="shared" si="1"/>
        <v>0</v>
      </c>
      <c r="AK16" s="1938">
        <f t="shared" si="1"/>
        <v>0</v>
      </c>
      <c r="AL16" s="1938">
        <f t="shared" si="1"/>
        <v>0</v>
      </c>
      <c r="AM16" s="1938">
        <f t="shared" si="1"/>
        <v>0</v>
      </c>
      <c r="AN16" s="1938">
        <f t="shared" si="1"/>
        <v>0</v>
      </c>
      <c r="AO16" s="1938">
        <f t="shared" si="1"/>
        <v>0</v>
      </c>
      <c r="AP16" s="1938">
        <f t="shared" si="1"/>
        <v>0</v>
      </c>
      <c r="AQ16" s="1938">
        <f t="shared" si="1"/>
        <v>0</v>
      </c>
      <c r="AR16" s="1938">
        <f t="shared" si="1"/>
        <v>0</v>
      </c>
      <c r="AS16" s="1938">
        <f t="shared" si="1"/>
        <v>0</v>
      </c>
      <c r="AT16" s="1938">
        <f t="shared" si="1"/>
        <v>0</v>
      </c>
      <c r="AU16" s="1938">
        <f t="shared" si="1"/>
        <v>0</v>
      </c>
      <c r="AV16" s="1938">
        <f t="shared" si="1"/>
        <v>0</v>
      </c>
      <c r="AW16" s="1938">
        <f t="shared" si="1"/>
        <v>0</v>
      </c>
      <c r="AX16" s="1938">
        <f t="shared" si="1"/>
        <v>0</v>
      </c>
      <c r="AY16" s="1938">
        <f t="shared" si="1"/>
        <v>0</v>
      </c>
      <c r="AZ16" s="1938">
        <f t="shared" si="1"/>
        <v>0</v>
      </c>
      <c r="BA16" s="1938">
        <f t="shared" si="1"/>
        <v>0</v>
      </c>
      <c r="BB16" s="1938">
        <f t="shared" si="1"/>
        <v>0</v>
      </c>
      <c r="BC16" s="1938">
        <f t="shared" si="1"/>
        <v>0</v>
      </c>
      <c r="BD16" s="1938">
        <f t="shared" si="1"/>
        <v>0</v>
      </c>
      <c r="BE16" s="1938">
        <f t="shared" si="1"/>
        <v>0</v>
      </c>
      <c r="BF16" s="1938">
        <f t="shared" si="1"/>
        <v>0</v>
      </c>
      <c r="BG16" s="1938">
        <f t="shared" si="1"/>
        <v>0</v>
      </c>
      <c r="BH16" s="1938">
        <f t="shared" si="1"/>
        <v>0</v>
      </c>
      <c r="BI16" s="1938">
        <f t="shared" si="1"/>
        <v>0</v>
      </c>
      <c r="BJ16" s="1938">
        <f t="shared" si="1"/>
        <v>0</v>
      </c>
      <c r="BK16" s="1938">
        <f t="shared" si="1"/>
        <v>0</v>
      </c>
      <c r="BL16" s="1938">
        <f t="shared" si="1"/>
        <v>0</v>
      </c>
      <c r="BM16" s="1938">
        <f t="shared" si="1"/>
        <v>0</v>
      </c>
      <c r="BN16" s="1938">
        <f t="shared" si="1"/>
        <v>0</v>
      </c>
      <c r="BO16" s="1938">
        <f t="shared" si="1"/>
        <v>0</v>
      </c>
      <c r="BP16" s="1938">
        <f t="shared" si="1"/>
        <v>0</v>
      </c>
      <c r="BQ16" s="1938">
        <f t="shared" si="1"/>
        <v>0</v>
      </c>
      <c r="BR16" s="1938">
        <f t="shared" si="1"/>
        <v>0</v>
      </c>
      <c r="BS16" s="1938">
        <f t="shared" si="1"/>
        <v>0</v>
      </c>
      <c r="BT16" s="1938">
        <f t="shared" si="1"/>
        <v>0</v>
      </c>
      <c r="BU16" s="1938">
        <f t="shared" ref="BU16:EF16" si="2">SUM(BU11:BU15)</f>
        <v>0</v>
      </c>
      <c r="BV16" s="1938">
        <f t="shared" si="2"/>
        <v>0</v>
      </c>
      <c r="BW16" s="1938">
        <f t="shared" si="2"/>
        <v>0</v>
      </c>
      <c r="BX16" s="1938">
        <f t="shared" si="2"/>
        <v>0</v>
      </c>
      <c r="BY16" s="1938">
        <f t="shared" si="2"/>
        <v>0</v>
      </c>
      <c r="BZ16" s="1938">
        <f t="shared" si="2"/>
        <v>0</v>
      </c>
      <c r="CA16" s="1938">
        <f t="shared" si="2"/>
        <v>0</v>
      </c>
      <c r="CB16" s="1938">
        <f t="shared" si="2"/>
        <v>0</v>
      </c>
      <c r="CC16" s="1938">
        <f t="shared" si="2"/>
        <v>0</v>
      </c>
      <c r="CD16" s="1938">
        <f t="shared" si="2"/>
        <v>0</v>
      </c>
      <c r="CE16" s="1938">
        <f t="shared" si="2"/>
        <v>0</v>
      </c>
      <c r="CF16" s="1938">
        <f t="shared" si="2"/>
        <v>0</v>
      </c>
      <c r="CG16" s="1938">
        <f t="shared" si="2"/>
        <v>0</v>
      </c>
      <c r="CH16" s="1938">
        <f t="shared" si="2"/>
        <v>0</v>
      </c>
      <c r="CI16" s="1938">
        <f t="shared" si="2"/>
        <v>0</v>
      </c>
      <c r="CJ16" s="1938">
        <f t="shared" si="2"/>
        <v>0</v>
      </c>
      <c r="CK16" s="1938">
        <f t="shared" si="2"/>
        <v>0</v>
      </c>
      <c r="CL16" s="1938">
        <f t="shared" si="2"/>
        <v>0</v>
      </c>
      <c r="CM16" s="1938">
        <f t="shared" si="2"/>
        <v>0</v>
      </c>
      <c r="CN16" s="1938">
        <f t="shared" si="2"/>
        <v>0</v>
      </c>
      <c r="CO16" s="1938">
        <f t="shared" si="2"/>
        <v>0</v>
      </c>
      <c r="CP16" s="1938">
        <f t="shared" si="2"/>
        <v>0</v>
      </c>
      <c r="CQ16" s="1938">
        <f t="shared" si="2"/>
        <v>0</v>
      </c>
      <c r="CR16" s="1938">
        <f t="shared" si="2"/>
        <v>0</v>
      </c>
      <c r="CS16" s="1938">
        <f t="shared" si="2"/>
        <v>0</v>
      </c>
      <c r="CT16" s="1938">
        <f t="shared" si="2"/>
        <v>0</v>
      </c>
      <c r="CU16" s="1938">
        <f t="shared" si="2"/>
        <v>0</v>
      </c>
      <c r="CV16" s="1938">
        <f t="shared" si="2"/>
        <v>0</v>
      </c>
      <c r="CW16" s="1938">
        <f t="shared" si="2"/>
        <v>0</v>
      </c>
      <c r="CX16" s="1938">
        <f t="shared" si="2"/>
        <v>0</v>
      </c>
      <c r="CY16" s="1938">
        <f t="shared" si="2"/>
        <v>0</v>
      </c>
      <c r="CZ16" s="1938">
        <f t="shared" si="2"/>
        <v>0</v>
      </c>
      <c r="DA16" s="1938">
        <f t="shared" si="2"/>
        <v>0</v>
      </c>
      <c r="DB16" s="1938">
        <f t="shared" si="2"/>
        <v>0</v>
      </c>
      <c r="DC16" s="1938">
        <f t="shared" si="2"/>
        <v>0</v>
      </c>
      <c r="DD16" s="1938">
        <f t="shared" si="2"/>
        <v>0</v>
      </c>
      <c r="DE16" s="1938">
        <f t="shared" si="2"/>
        <v>0</v>
      </c>
      <c r="DF16" s="1938">
        <f t="shared" si="2"/>
        <v>0</v>
      </c>
      <c r="DG16" s="1938">
        <f t="shared" si="2"/>
        <v>0</v>
      </c>
      <c r="DH16" s="1938">
        <f t="shared" si="2"/>
        <v>0</v>
      </c>
      <c r="DI16" s="1938">
        <f t="shared" si="2"/>
        <v>0</v>
      </c>
      <c r="DJ16" s="1938">
        <f t="shared" si="2"/>
        <v>0</v>
      </c>
      <c r="DK16" s="1938">
        <f t="shared" si="2"/>
        <v>0</v>
      </c>
      <c r="DL16" s="1938">
        <f t="shared" si="2"/>
        <v>0</v>
      </c>
      <c r="DM16" s="1938">
        <f t="shared" si="2"/>
        <v>0</v>
      </c>
      <c r="DN16" s="1938">
        <f t="shared" si="2"/>
        <v>0</v>
      </c>
      <c r="DO16" s="1938">
        <f t="shared" si="2"/>
        <v>0</v>
      </c>
      <c r="DP16" s="1938">
        <f t="shared" si="2"/>
        <v>0</v>
      </c>
      <c r="DQ16" s="1938">
        <f t="shared" si="2"/>
        <v>0</v>
      </c>
      <c r="DR16" s="1938">
        <f t="shared" si="2"/>
        <v>0</v>
      </c>
      <c r="DS16" s="1938">
        <f t="shared" si="2"/>
        <v>0</v>
      </c>
      <c r="DT16" s="1938">
        <f t="shared" si="2"/>
        <v>0</v>
      </c>
      <c r="DU16" s="1938">
        <f t="shared" si="2"/>
        <v>0</v>
      </c>
      <c r="DV16" s="1938">
        <f t="shared" si="2"/>
        <v>0</v>
      </c>
      <c r="DW16" s="1938">
        <f t="shared" si="2"/>
        <v>0</v>
      </c>
      <c r="DX16" s="1938">
        <f t="shared" si="2"/>
        <v>0</v>
      </c>
      <c r="DY16" s="1938">
        <f t="shared" si="2"/>
        <v>0</v>
      </c>
      <c r="DZ16" s="1938">
        <f t="shared" si="2"/>
        <v>0</v>
      </c>
      <c r="EA16" s="1938">
        <f t="shared" si="2"/>
        <v>0</v>
      </c>
      <c r="EB16" s="1938">
        <f t="shared" si="2"/>
        <v>0</v>
      </c>
      <c r="EC16" s="1938">
        <f t="shared" si="2"/>
        <v>0</v>
      </c>
      <c r="ED16" s="1938">
        <f t="shared" si="2"/>
        <v>0</v>
      </c>
      <c r="EE16" s="1938">
        <f t="shared" si="2"/>
        <v>0</v>
      </c>
      <c r="EF16" s="1938">
        <f t="shared" si="2"/>
        <v>0</v>
      </c>
      <c r="EG16" s="1938">
        <f t="shared" ref="EG16:GR16" si="3">SUM(EG11:EG15)</f>
        <v>0</v>
      </c>
      <c r="EH16" s="1938">
        <f t="shared" si="3"/>
        <v>0</v>
      </c>
      <c r="EI16" s="1938">
        <f t="shared" si="3"/>
        <v>0</v>
      </c>
      <c r="EJ16" s="1938">
        <f t="shared" si="3"/>
        <v>0</v>
      </c>
      <c r="EK16" s="1938">
        <f t="shared" si="3"/>
        <v>0</v>
      </c>
      <c r="EL16" s="1938">
        <f t="shared" si="3"/>
        <v>0</v>
      </c>
      <c r="EM16" s="1938">
        <f t="shared" si="3"/>
        <v>0</v>
      </c>
      <c r="EN16" s="1938">
        <f t="shared" si="3"/>
        <v>0</v>
      </c>
      <c r="EO16" s="1938">
        <f t="shared" si="3"/>
        <v>0</v>
      </c>
      <c r="EP16" s="1938">
        <f t="shared" si="3"/>
        <v>0</v>
      </c>
      <c r="EQ16" s="1938">
        <f t="shared" si="3"/>
        <v>0</v>
      </c>
      <c r="ER16" s="1938">
        <f t="shared" si="3"/>
        <v>0</v>
      </c>
      <c r="ES16" s="1938">
        <f t="shared" si="3"/>
        <v>0</v>
      </c>
      <c r="ET16" s="1938">
        <f t="shared" si="3"/>
        <v>0</v>
      </c>
      <c r="EU16" s="1938">
        <f t="shared" si="3"/>
        <v>0</v>
      </c>
      <c r="EV16" s="1938">
        <f t="shared" si="3"/>
        <v>0</v>
      </c>
      <c r="EW16" s="1938">
        <f t="shared" si="3"/>
        <v>0</v>
      </c>
      <c r="EX16" s="1938">
        <f t="shared" si="3"/>
        <v>0</v>
      </c>
      <c r="EY16" s="1938">
        <f t="shared" si="3"/>
        <v>0</v>
      </c>
      <c r="EZ16" s="1938">
        <f t="shared" si="3"/>
        <v>0</v>
      </c>
      <c r="FA16" s="1938">
        <f t="shared" si="3"/>
        <v>0</v>
      </c>
      <c r="FB16" s="1938">
        <f t="shared" si="3"/>
        <v>0</v>
      </c>
      <c r="FC16" s="1938">
        <f t="shared" si="3"/>
        <v>0</v>
      </c>
      <c r="FD16" s="1938">
        <f t="shared" si="3"/>
        <v>0</v>
      </c>
      <c r="FE16" s="1938">
        <f t="shared" si="3"/>
        <v>0</v>
      </c>
      <c r="FF16" s="1938">
        <f t="shared" si="3"/>
        <v>0</v>
      </c>
      <c r="FG16" s="1938">
        <f t="shared" si="3"/>
        <v>0</v>
      </c>
      <c r="FH16" s="1938">
        <f t="shared" si="3"/>
        <v>0</v>
      </c>
      <c r="FI16" s="1938">
        <f t="shared" si="3"/>
        <v>0</v>
      </c>
      <c r="FJ16" s="1938">
        <f t="shared" si="3"/>
        <v>0</v>
      </c>
      <c r="FK16" s="1938">
        <f t="shared" si="3"/>
        <v>0</v>
      </c>
      <c r="FL16" s="1938">
        <f t="shared" si="3"/>
        <v>0</v>
      </c>
      <c r="FM16" s="1938">
        <f t="shared" si="3"/>
        <v>0</v>
      </c>
      <c r="FN16" s="1938">
        <f t="shared" si="3"/>
        <v>0</v>
      </c>
      <c r="FO16" s="1938">
        <f t="shared" si="3"/>
        <v>0</v>
      </c>
      <c r="FP16" s="1938">
        <f t="shared" si="3"/>
        <v>0</v>
      </c>
      <c r="FQ16" s="1938">
        <f t="shared" si="3"/>
        <v>0</v>
      </c>
      <c r="FR16" s="1938">
        <f t="shared" si="3"/>
        <v>0</v>
      </c>
      <c r="FS16" s="1938">
        <f t="shared" si="3"/>
        <v>0</v>
      </c>
      <c r="FT16" s="1938">
        <f t="shared" si="3"/>
        <v>0</v>
      </c>
      <c r="FU16" s="1938">
        <f t="shared" si="3"/>
        <v>0</v>
      </c>
      <c r="FV16" s="1938">
        <f t="shared" si="3"/>
        <v>0</v>
      </c>
      <c r="FW16" s="1938">
        <f t="shared" si="3"/>
        <v>0</v>
      </c>
      <c r="FX16" s="1938">
        <f t="shared" si="3"/>
        <v>0</v>
      </c>
      <c r="FY16" s="1938">
        <f t="shared" si="3"/>
        <v>0</v>
      </c>
      <c r="FZ16" s="1938">
        <f t="shared" si="3"/>
        <v>0</v>
      </c>
      <c r="GA16" s="1938">
        <f t="shared" si="3"/>
        <v>0</v>
      </c>
      <c r="GB16" s="1938">
        <f t="shared" si="3"/>
        <v>0</v>
      </c>
      <c r="GC16" s="1938">
        <f t="shared" si="3"/>
        <v>0</v>
      </c>
      <c r="GD16" s="1938">
        <f t="shared" si="3"/>
        <v>0</v>
      </c>
      <c r="GE16" s="1938">
        <f t="shared" si="3"/>
        <v>0</v>
      </c>
      <c r="GF16" s="1938">
        <f t="shared" si="3"/>
        <v>0</v>
      </c>
      <c r="GG16" s="1938">
        <f t="shared" si="3"/>
        <v>0</v>
      </c>
      <c r="GH16" s="1938">
        <f t="shared" si="3"/>
        <v>0</v>
      </c>
      <c r="GI16" s="1938">
        <f t="shared" si="3"/>
        <v>0</v>
      </c>
      <c r="GJ16" s="1938">
        <f t="shared" si="3"/>
        <v>0</v>
      </c>
      <c r="GK16" s="1938">
        <f t="shared" si="3"/>
        <v>0</v>
      </c>
      <c r="GL16" s="1938">
        <f t="shared" si="3"/>
        <v>0</v>
      </c>
      <c r="GM16" s="1938">
        <f t="shared" si="3"/>
        <v>0</v>
      </c>
      <c r="GN16" s="1938">
        <f t="shared" si="3"/>
        <v>0</v>
      </c>
      <c r="GO16" s="1938">
        <f t="shared" si="3"/>
        <v>0</v>
      </c>
      <c r="GP16" s="1938">
        <f t="shared" si="3"/>
        <v>0</v>
      </c>
      <c r="GQ16" s="1938">
        <f t="shared" si="3"/>
        <v>0</v>
      </c>
      <c r="GR16" s="1938">
        <f t="shared" si="3"/>
        <v>0</v>
      </c>
      <c r="GS16" s="1938">
        <f t="shared" ref="GS16:HG16" si="4">SUM(GS11:GS15)</f>
        <v>0</v>
      </c>
      <c r="GT16" s="1938">
        <f t="shared" si="4"/>
        <v>0</v>
      </c>
      <c r="GU16" s="1938">
        <f t="shared" si="4"/>
        <v>0</v>
      </c>
      <c r="GV16" s="1938">
        <f t="shared" si="4"/>
        <v>0</v>
      </c>
      <c r="GW16" s="1938">
        <f t="shared" si="4"/>
        <v>0</v>
      </c>
      <c r="GX16" s="1938">
        <f t="shared" si="4"/>
        <v>0</v>
      </c>
      <c r="GY16" s="1938">
        <f t="shared" si="4"/>
        <v>0</v>
      </c>
      <c r="GZ16" s="1938">
        <f t="shared" si="4"/>
        <v>0</v>
      </c>
      <c r="HA16" s="1938">
        <f t="shared" si="4"/>
        <v>0</v>
      </c>
      <c r="HB16" s="1938">
        <f t="shared" si="4"/>
        <v>0</v>
      </c>
      <c r="HC16" s="1938">
        <f t="shared" si="4"/>
        <v>0</v>
      </c>
      <c r="HD16" s="1938">
        <f t="shared" si="4"/>
        <v>0</v>
      </c>
      <c r="HE16" s="1938">
        <f t="shared" si="4"/>
        <v>0</v>
      </c>
      <c r="HF16" s="1938">
        <f t="shared" si="4"/>
        <v>0</v>
      </c>
      <c r="HG16" s="1938">
        <f t="shared" si="4"/>
        <v>0</v>
      </c>
    </row>
    <row r="17" spans="1:215" s="1893" customFormat="1" ht="21" customHeight="1" thickBot="1" x14ac:dyDescent="0.25">
      <c r="A17" s="2028"/>
      <c r="B17" s="2025"/>
      <c r="C17" s="2026"/>
      <c r="D17" s="2026"/>
      <c r="E17" s="1912" t="s">
        <v>602</v>
      </c>
      <c r="F17" s="1913">
        <f t="shared" ref="F17" si="5">F16/12</f>
        <v>0</v>
      </c>
      <c r="G17" s="2054"/>
      <c r="H17" s="1939">
        <f>H16/12</f>
        <v>0</v>
      </c>
      <c r="I17" s="1939">
        <f t="shared" ref="I17:BT17" si="6">I16/12</f>
        <v>0</v>
      </c>
      <c r="J17" s="1939">
        <f t="shared" si="6"/>
        <v>0</v>
      </c>
      <c r="K17" s="1939">
        <f t="shared" si="6"/>
        <v>0</v>
      </c>
      <c r="L17" s="1939">
        <f t="shared" si="6"/>
        <v>0</v>
      </c>
      <c r="M17" s="1939">
        <f t="shared" si="6"/>
        <v>0</v>
      </c>
      <c r="N17" s="1939">
        <f t="shared" si="6"/>
        <v>0</v>
      </c>
      <c r="O17" s="1939">
        <f t="shared" si="6"/>
        <v>0</v>
      </c>
      <c r="P17" s="1939">
        <f t="shared" si="6"/>
        <v>0</v>
      </c>
      <c r="Q17" s="1939">
        <f t="shared" si="6"/>
        <v>0</v>
      </c>
      <c r="R17" s="1939">
        <f t="shared" si="6"/>
        <v>0</v>
      </c>
      <c r="S17" s="1939">
        <f t="shared" si="6"/>
        <v>0</v>
      </c>
      <c r="T17" s="1939">
        <f t="shared" si="6"/>
        <v>0</v>
      </c>
      <c r="U17" s="1939">
        <f t="shared" si="6"/>
        <v>0</v>
      </c>
      <c r="V17" s="1939">
        <f t="shared" si="6"/>
        <v>0</v>
      </c>
      <c r="W17" s="1939">
        <f t="shared" si="6"/>
        <v>0</v>
      </c>
      <c r="X17" s="1939">
        <f t="shared" si="6"/>
        <v>0</v>
      </c>
      <c r="Y17" s="1939">
        <f t="shared" si="6"/>
        <v>0</v>
      </c>
      <c r="Z17" s="1939">
        <f t="shared" si="6"/>
        <v>0</v>
      </c>
      <c r="AA17" s="1939">
        <f t="shared" si="6"/>
        <v>0</v>
      </c>
      <c r="AB17" s="1939">
        <f t="shared" si="6"/>
        <v>0</v>
      </c>
      <c r="AC17" s="1939">
        <f t="shared" si="6"/>
        <v>0</v>
      </c>
      <c r="AD17" s="1939">
        <f t="shared" si="6"/>
        <v>0</v>
      </c>
      <c r="AE17" s="1939">
        <f t="shared" si="6"/>
        <v>0</v>
      </c>
      <c r="AF17" s="1939">
        <f t="shared" si="6"/>
        <v>0</v>
      </c>
      <c r="AG17" s="1939">
        <f t="shared" si="6"/>
        <v>0</v>
      </c>
      <c r="AH17" s="1939">
        <f t="shared" si="6"/>
        <v>0</v>
      </c>
      <c r="AI17" s="1939">
        <f t="shared" si="6"/>
        <v>0</v>
      </c>
      <c r="AJ17" s="1939">
        <f t="shared" si="6"/>
        <v>0</v>
      </c>
      <c r="AK17" s="1939">
        <f t="shared" si="6"/>
        <v>0</v>
      </c>
      <c r="AL17" s="1939">
        <f t="shared" si="6"/>
        <v>0</v>
      </c>
      <c r="AM17" s="1939">
        <f t="shared" si="6"/>
        <v>0</v>
      </c>
      <c r="AN17" s="1939">
        <f t="shared" si="6"/>
        <v>0</v>
      </c>
      <c r="AO17" s="1939">
        <f t="shared" si="6"/>
        <v>0</v>
      </c>
      <c r="AP17" s="1939">
        <f t="shared" si="6"/>
        <v>0</v>
      </c>
      <c r="AQ17" s="1939">
        <f t="shared" si="6"/>
        <v>0</v>
      </c>
      <c r="AR17" s="1939">
        <f t="shared" si="6"/>
        <v>0</v>
      </c>
      <c r="AS17" s="1939">
        <f t="shared" si="6"/>
        <v>0</v>
      </c>
      <c r="AT17" s="1939">
        <f t="shared" si="6"/>
        <v>0</v>
      </c>
      <c r="AU17" s="1939">
        <f t="shared" si="6"/>
        <v>0</v>
      </c>
      <c r="AV17" s="1939">
        <f t="shared" si="6"/>
        <v>0</v>
      </c>
      <c r="AW17" s="1939">
        <f t="shared" si="6"/>
        <v>0</v>
      </c>
      <c r="AX17" s="1939">
        <f t="shared" si="6"/>
        <v>0</v>
      </c>
      <c r="AY17" s="1939">
        <f t="shared" si="6"/>
        <v>0</v>
      </c>
      <c r="AZ17" s="1939">
        <f t="shared" si="6"/>
        <v>0</v>
      </c>
      <c r="BA17" s="1939">
        <f t="shared" si="6"/>
        <v>0</v>
      </c>
      <c r="BB17" s="1939">
        <f t="shared" si="6"/>
        <v>0</v>
      </c>
      <c r="BC17" s="1939">
        <f t="shared" si="6"/>
        <v>0</v>
      </c>
      <c r="BD17" s="1939">
        <f t="shared" si="6"/>
        <v>0</v>
      </c>
      <c r="BE17" s="1939">
        <f t="shared" si="6"/>
        <v>0</v>
      </c>
      <c r="BF17" s="1939">
        <f t="shared" si="6"/>
        <v>0</v>
      </c>
      <c r="BG17" s="1939">
        <f t="shared" si="6"/>
        <v>0</v>
      </c>
      <c r="BH17" s="1939">
        <f t="shared" si="6"/>
        <v>0</v>
      </c>
      <c r="BI17" s="1939">
        <f t="shared" si="6"/>
        <v>0</v>
      </c>
      <c r="BJ17" s="1939">
        <f t="shared" si="6"/>
        <v>0</v>
      </c>
      <c r="BK17" s="1939">
        <f t="shared" si="6"/>
        <v>0</v>
      </c>
      <c r="BL17" s="1939">
        <f t="shared" si="6"/>
        <v>0</v>
      </c>
      <c r="BM17" s="1939">
        <f t="shared" si="6"/>
        <v>0</v>
      </c>
      <c r="BN17" s="1939">
        <f t="shared" si="6"/>
        <v>0</v>
      </c>
      <c r="BO17" s="1939">
        <f t="shared" si="6"/>
        <v>0</v>
      </c>
      <c r="BP17" s="1939">
        <f t="shared" si="6"/>
        <v>0</v>
      </c>
      <c r="BQ17" s="1939">
        <f t="shared" si="6"/>
        <v>0</v>
      </c>
      <c r="BR17" s="1939">
        <f t="shared" si="6"/>
        <v>0</v>
      </c>
      <c r="BS17" s="1939">
        <f t="shared" si="6"/>
        <v>0</v>
      </c>
      <c r="BT17" s="1939">
        <f t="shared" si="6"/>
        <v>0</v>
      </c>
      <c r="BU17" s="1939">
        <f t="shared" ref="BU17:EF17" si="7">BU16/12</f>
        <v>0</v>
      </c>
      <c r="BV17" s="1939">
        <f t="shared" si="7"/>
        <v>0</v>
      </c>
      <c r="BW17" s="1939">
        <f t="shared" si="7"/>
        <v>0</v>
      </c>
      <c r="BX17" s="1939">
        <f t="shared" si="7"/>
        <v>0</v>
      </c>
      <c r="BY17" s="1939">
        <f t="shared" si="7"/>
        <v>0</v>
      </c>
      <c r="BZ17" s="1939">
        <f t="shared" si="7"/>
        <v>0</v>
      </c>
      <c r="CA17" s="1939">
        <f t="shared" si="7"/>
        <v>0</v>
      </c>
      <c r="CB17" s="1939">
        <f t="shared" si="7"/>
        <v>0</v>
      </c>
      <c r="CC17" s="1939">
        <f t="shared" si="7"/>
        <v>0</v>
      </c>
      <c r="CD17" s="1939">
        <f t="shared" si="7"/>
        <v>0</v>
      </c>
      <c r="CE17" s="1939">
        <f t="shared" si="7"/>
        <v>0</v>
      </c>
      <c r="CF17" s="1939">
        <f t="shared" si="7"/>
        <v>0</v>
      </c>
      <c r="CG17" s="1939">
        <f t="shared" si="7"/>
        <v>0</v>
      </c>
      <c r="CH17" s="1939">
        <f t="shared" si="7"/>
        <v>0</v>
      </c>
      <c r="CI17" s="1939">
        <f t="shared" si="7"/>
        <v>0</v>
      </c>
      <c r="CJ17" s="1939">
        <f t="shared" si="7"/>
        <v>0</v>
      </c>
      <c r="CK17" s="1939">
        <f t="shared" si="7"/>
        <v>0</v>
      </c>
      <c r="CL17" s="1939">
        <f t="shared" si="7"/>
        <v>0</v>
      </c>
      <c r="CM17" s="1939">
        <f t="shared" si="7"/>
        <v>0</v>
      </c>
      <c r="CN17" s="1939">
        <f t="shared" si="7"/>
        <v>0</v>
      </c>
      <c r="CO17" s="1939">
        <f t="shared" si="7"/>
        <v>0</v>
      </c>
      <c r="CP17" s="1939">
        <f t="shared" si="7"/>
        <v>0</v>
      </c>
      <c r="CQ17" s="1939">
        <f t="shared" si="7"/>
        <v>0</v>
      </c>
      <c r="CR17" s="1939">
        <f t="shared" si="7"/>
        <v>0</v>
      </c>
      <c r="CS17" s="1939">
        <f t="shared" si="7"/>
        <v>0</v>
      </c>
      <c r="CT17" s="1939">
        <f t="shared" si="7"/>
        <v>0</v>
      </c>
      <c r="CU17" s="1939">
        <f t="shared" si="7"/>
        <v>0</v>
      </c>
      <c r="CV17" s="1939">
        <f t="shared" si="7"/>
        <v>0</v>
      </c>
      <c r="CW17" s="1939">
        <f t="shared" si="7"/>
        <v>0</v>
      </c>
      <c r="CX17" s="1939">
        <f t="shared" si="7"/>
        <v>0</v>
      </c>
      <c r="CY17" s="1939">
        <f t="shared" si="7"/>
        <v>0</v>
      </c>
      <c r="CZ17" s="1939">
        <f t="shared" si="7"/>
        <v>0</v>
      </c>
      <c r="DA17" s="1939">
        <f t="shared" si="7"/>
        <v>0</v>
      </c>
      <c r="DB17" s="1939">
        <f t="shared" si="7"/>
        <v>0</v>
      </c>
      <c r="DC17" s="1939">
        <f t="shared" si="7"/>
        <v>0</v>
      </c>
      <c r="DD17" s="1939">
        <f t="shared" si="7"/>
        <v>0</v>
      </c>
      <c r="DE17" s="1939">
        <f t="shared" si="7"/>
        <v>0</v>
      </c>
      <c r="DF17" s="1939">
        <f t="shared" si="7"/>
        <v>0</v>
      </c>
      <c r="DG17" s="1939">
        <f t="shared" si="7"/>
        <v>0</v>
      </c>
      <c r="DH17" s="1939">
        <f t="shared" si="7"/>
        <v>0</v>
      </c>
      <c r="DI17" s="1939">
        <f t="shared" si="7"/>
        <v>0</v>
      </c>
      <c r="DJ17" s="1939">
        <f t="shared" si="7"/>
        <v>0</v>
      </c>
      <c r="DK17" s="1939">
        <f t="shared" si="7"/>
        <v>0</v>
      </c>
      <c r="DL17" s="1939">
        <f t="shared" si="7"/>
        <v>0</v>
      </c>
      <c r="DM17" s="1939">
        <f t="shared" si="7"/>
        <v>0</v>
      </c>
      <c r="DN17" s="1939">
        <f t="shared" si="7"/>
        <v>0</v>
      </c>
      <c r="DO17" s="1939">
        <f t="shared" si="7"/>
        <v>0</v>
      </c>
      <c r="DP17" s="1939">
        <f t="shared" si="7"/>
        <v>0</v>
      </c>
      <c r="DQ17" s="1939">
        <f t="shared" si="7"/>
        <v>0</v>
      </c>
      <c r="DR17" s="1939">
        <f t="shared" si="7"/>
        <v>0</v>
      </c>
      <c r="DS17" s="1939">
        <f t="shared" si="7"/>
        <v>0</v>
      </c>
      <c r="DT17" s="1939">
        <f t="shared" si="7"/>
        <v>0</v>
      </c>
      <c r="DU17" s="1939">
        <f t="shared" si="7"/>
        <v>0</v>
      </c>
      <c r="DV17" s="1939">
        <f t="shared" si="7"/>
        <v>0</v>
      </c>
      <c r="DW17" s="1939">
        <f t="shared" si="7"/>
        <v>0</v>
      </c>
      <c r="DX17" s="1939">
        <f t="shared" si="7"/>
        <v>0</v>
      </c>
      <c r="DY17" s="1939">
        <f t="shared" si="7"/>
        <v>0</v>
      </c>
      <c r="DZ17" s="1939">
        <f t="shared" si="7"/>
        <v>0</v>
      </c>
      <c r="EA17" s="1939">
        <f t="shared" si="7"/>
        <v>0</v>
      </c>
      <c r="EB17" s="1939">
        <f t="shared" si="7"/>
        <v>0</v>
      </c>
      <c r="EC17" s="1939">
        <f t="shared" si="7"/>
        <v>0</v>
      </c>
      <c r="ED17" s="1939">
        <f t="shared" si="7"/>
        <v>0</v>
      </c>
      <c r="EE17" s="1939">
        <f t="shared" si="7"/>
        <v>0</v>
      </c>
      <c r="EF17" s="1939">
        <f t="shared" si="7"/>
        <v>0</v>
      </c>
      <c r="EG17" s="1939">
        <f t="shared" ref="EG17:GR17" si="8">EG16/12</f>
        <v>0</v>
      </c>
      <c r="EH17" s="1939">
        <f t="shared" si="8"/>
        <v>0</v>
      </c>
      <c r="EI17" s="1939">
        <f t="shared" si="8"/>
        <v>0</v>
      </c>
      <c r="EJ17" s="1939">
        <f t="shared" si="8"/>
        <v>0</v>
      </c>
      <c r="EK17" s="1939">
        <f t="shared" si="8"/>
        <v>0</v>
      </c>
      <c r="EL17" s="1939">
        <f t="shared" si="8"/>
        <v>0</v>
      </c>
      <c r="EM17" s="1939">
        <f t="shared" si="8"/>
        <v>0</v>
      </c>
      <c r="EN17" s="1939">
        <f t="shared" si="8"/>
        <v>0</v>
      </c>
      <c r="EO17" s="1939">
        <f t="shared" si="8"/>
        <v>0</v>
      </c>
      <c r="EP17" s="1939">
        <f t="shared" si="8"/>
        <v>0</v>
      </c>
      <c r="EQ17" s="1939">
        <f t="shared" si="8"/>
        <v>0</v>
      </c>
      <c r="ER17" s="1939">
        <f t="shared" si="8"/>
        <v>0</v>
      </c>
      <c r="ES17" s="1939">
        <f t="shared" si="8"/>
        <v>0</v>
      </c>
      <c r="ET17" s="1939">
        <f t="shared" si="8"/>
        <v>0</v>
      </c>
      <c r="EU17" s="1939">
        <f t="shared" si="8"/>
        <v>0</v>
      </c>
      <c r="EV17" s="1939">
        <f t="shared" si="8"/>
        <v>0</v>
      </c>
      <c r="EW17" s="1939">
        <f t="shared" si="8"/>
        <v>0</v>
      </c>
      <c r="EX17" s="1939">
        <f t="shared" si="8"/>
        <v>0</v>
      </c>
      <c r="EY17" s="1939">
        <f t="shared" si="8"/>
        <v>0</v>
      </c>
      <c r="EZ17" s="1939">
        <f t="shared" si="8"/>
        <v>0</v>
      </c>
      <c r="FA17" s="1939">
        <f t="shared" si="8"/>
        <v>0</v>
      </c>
      <c r="FB17" s="1939">
        <f t="shared" si="8"/>
        <v>0</v>
      </c>
      <c r="FC17" s="1939">
        <f t="shared" si="8"/>
        <v>0</v>
      </c>
      <c r="FD17" s="1939">
        <f t="shared" si="8"/>
        <v>0</v>
      </c>
      <c r="FE17" s="1939">
        <f t="shared" si="8"/>
        <v>0</v>
      </c>
      <c r="FF17" s="1939">
        <f t="shared" si="8"/>
        <v>0</v>
      </c>
      <c r="FG17" s="1939">
        <f t="shared" si="8"/>
        <v>0</v>
      </c>
      <c r="FH17" s="1939">
        <f t="shared" si="8"/>
        <v>0</v>
      </c>
      <c r="FI17" s="1939">
        <f t="shared" si="8"/>
        <v>0</v>
      </c>
      <c r="FJ17" s="1939">
        <f t="shared" si="8"/>
        <v>0</v>
      </c>
      <c r="FK17" s="1939">
        <f t="shared" si="8"/>
        <v>0</v>
      </c>
      <c r="FL17" s="1939">
        <f t="shared" si="8"/>
        <v>0</v>
      </c>
      <c r="FM17" s="1939">
        <f t="shared" si="8"/>
        <v>0</v>
      </c>
      <c r="FN17" s="1939">
        <f t="shared" si="8"/>
        <v>0</v>
      </c>
      <c r="FO17" s="1939">
        <f t="shared" si="8"/>
        <v>0</v>
      </c>
      <c r="FP17" s="1939">
        <f t="shared" si="8"/>
        <v>0</v>
      </c>
      <c r="FQ17" s="1939">
        <f t="shared" si="8"/>
        <v>0</v>
      </c>
      <c r="FR17" s="1939">
        <f t="shared" si="8"/>
        <v>0</v>
      </c>
      <c r="FS17" s="1939">
        <f t="shared" si="8"/>
        <v>0</v>
      </c>
      <c r="FT17" s="1939">
        <f t="shared" si="8"/>
        <v>0</v>
      </c>
      <c r="FU17" s="1939">
        <f t="shared" si="8"/>
        <v>0</v>
      </c>
      <c r="FV17" s="1939">
        <f t="shared" si="8"/>
        <v>0</v>
      </c>
      <c r="FW17" s="1939">
        <f t="shared" si="8"/>
        <v>0</v>
      </c>
      <c r="FX17" s="1939">
        <f t="shared" si="8"/>
        <v>0</v>
      </c>
      <c r="FY17" s="1939">
        <f t="shared" si="8"/>
        <v>0</v>
      </c>
      <c r="FZ17" s="1939">
        <f t="shared" si="8"/>
        <v>0</v>
      </c>
      <c r="GA17" s="1939">
        <f t="shared" si="8"/>
        <v>0</v>
      </c>
      <c r="GB17" s="1939">
        <f t="shared" si="8"/>
        <v>0</v>
      </c>
      <c r="GC17" s="1939">
        <f t="shared" si="8"/>
        <v>0</v>
      </c>
      <c r="GD17" s="1939">
        <f t="shared" si="8"/>
        <v>0</v>
      </c>
      <c r="GE17" s="1939">
        <f t="shared" si="8"/>
        <v>0</v>
      </c>
      <c r="GF17" s="1939">
        <f t="shared" si="8"/>
        <v>0</v>
      </c>
      <c r="GG17" s="1939">
        <f t="shared" si="8"/>
        <v>0</v>
      </c>
      <c r="GH17" s="1939">
        <f t="shared" si="8"/>
        <v>0</v>
      </c>
      <c r="GI17" s="1939">
        <f t="shared" si="8"/>
        <v>0</v>
      </c>
      <c r="GJ17" s="1939">
        <f t="shared" si="8"/>
        <v>0</v>
      </c>
      <c r="GK17" s="1939">
        <f t="shared" si="8"/>
        <v>0</v>
      </c>
      <c r="GL17" s="1939">
        <f t="shared" si="8"/>
        <v>0</v>
      </c>
      <c r="GM17" s="1939">
        <f t="shared" si="8"/>
        <v>0</v>
      </c>
      <c r="GN17" s="1939">
        <f t="shared" si="8"/>
        <v>0</v>
      </c>
      <c r="GO17" s="1939">
        <f t="shared" si="8"/>
        <v>0</v>
      </c>
      <c r="GP17" s="1939">
        <f t="shared" si="8"/>
        <v>0</v>
      </c>
      <c r="GQ17" s="1939">
        <f t="shared" si="8"/>
        <v>0</v>
      </c>
      <c r="GR17" s="1939">
        <f t="shared" si="8"/>
        <v>0</v>
      </c>
      <c r="GS17" s="1939">
        <f t="shared" ref="GS17:HG17" si="9">GS16/12</f>
        <v>0</v>
      </c>
      <c r="GT17" s="1939">
        <f t="shared" si="9"/>
        <v>0</v>
      </c>
      <c r="GU17" s="1939">
        <f t="shared" si="9"/>
        <v>0</v>
      </c>
      <c r="GV17" s="1939">
        <f t="shared" si="9"/>
        <v>0</v>
      </c>
      <c r="GW17" s="1939">
        <f t="shared" si="9"/>
        <v>0</v>
      </c>
      <c r="GX17" s="1939">
        <f t="shared" si="9"/>
        <v>0</v>
      </c>
      <c r="GY17" s="1939">
        <f t="shared" si="9"/>
        <v>0</v>
      </c>
      <c r="GZ17" s="1939">
        <f t="shared" si="9"/>
        <v>0</v>
      </c>
      <c r="HA17" s="1939">
        <f t="shared" si="9"/>
        <v>0</v>
      </c>
      <c r="HB17" s="1939">
        <f t="shared" si="9"/>
        <v>0</v>
      </c>
      <c r="HC17" s="1939">
        <f t="shared" si="9"/>
        <v>0</v>
      </c>
      <c r="HD17" s="1939">
        <f t="shared" si="9"/>
        <v>0</v>
      </c>
      <c r="HE17" s="1939">
        <f t="shared" si="9"/>
        <v>0</v>
      </c>
      <c r="HF17" s="1939">
        <f t="shared" si="9"/>
        <v>0</v>
      </c>
      <c r="HG17" s="1939">
        <f t="shared" si="9"/>
        <v>0</v>
      </c>
    </row>
    <row r="18" spans="1:215" s="1893" customFormat="1" ht="21" customHeight="1" thickBot="1" x14ac:dyDescent="0.25">
      <c r="A18" s="2057" t="s">
        <v>73</v>
      </c>
      <c r="B18" s="2034" t="s">
        <v>590</v>
      </c>
      <c r="C18" s="2035"/>
      <c r="D18" s="2035"/>
      <c r="E18" s="2036"/>
      <c r="F18" s="1914"/>
      <c r="G18" s="2052"/>
      <c r="H18" s="1808"/>
      <c r="I18" s="1808"/>
      <c r="J18" s="1808"/>
      <c r="K18" s="1808"/>
      <c r="L18" s="1808"/>
      <c r="M18" s="1808"/>
      <c r="N18" s="1808"/>
      <c r="O18" s="1808"/>
      <c r="P18" s="1808"/>
      <c r="Q18" s="1808"/>
      <c r="R18" s="1808"/>
      <c r="S18" s="1808"/>
      <c r="T18" s="1808"/>
      <c r="U18" s="1808"/>
      <c r="V18" s="1808"/>
      <c r="W18" s="1808"/>
      <c r="X18" s="1808"/>
      <c r="Y18" s="1808"/>
      <c r="Z18" s="1808"/>
      <c r="AA18" s="1808"/>
      <c r="AB18" s="1808"/>
      <c r="AC18" s="1808"/>
      <c r="AD18" s="1808"/>
      <c r="AE18" s="1808"/>
      <c r="AF18" s="1808"/>
      <c r="AG18" s="1808"/>
      <c r="AH18" s="1808"/>
      <c r="AI18" s="1808"/>
      <c r="AJ18" s="1808"/>
      <c r="AK18" s="1808"/>
      <c r="AL18" s="1808"/>
      <c r="AM18" s="1808"/>
      <c r="AN18" s="1808"/>
      <c r="AO18" s="1808"/>
      <c r="AP18" s="1808"/>
      <c r="AQ18" s="1808"/>
      <c r="AR18" s="1808"/>
      <c r="AS18" s="1808"/>
      <c r="AT18" s="1808"/>
      <c r="AU18" s="1808"/>
      <c r="AV18" s="1808"/>
      <c r="AW18" s="1808"/>
      <c r="AX18" s="1808"/>
      <c r="AY18" s="1808"/>
      <c r="AZ18" s="1808"/>
      <c r="BA18" s="1808"/>
      <c r="BB18" s="1808"/>
      <c r="BC18" s="1808"/>
      <c r="BD18" s="1808"/>
      <c r="BE18" s="1808"/>
      <c r="BF18" s="1808"/>
      <c r="BG18" s="1808"/>
      <c r="BH18" s="1808"/>
      <c r="BI18" s="1808"/>
      <c r="BJ18" s="1808"/>
      <c r="BK18" s="1808"/>
      <c r="BL18" s="1808"/>
      <c r="BM18" s="1808"/>
      <c r="BN18" s="1808"/>
      <c r="BO18" s="1808"/>
      <c r="BP18" s="1808"/>
      <c r="BQ18" s="1808"/>
      <c r="BR18" s="1808"/>
      <c r="BS18" s="1808"/>
      <c r="BT18" s="1808"/>
      <c r="BU18" s="1808"/>
      <c r="BV18" s="1808"/>
      <c r="BW18" s="1808"/>
      <c r="BX18" s="1808"/>
      <c r="BY18" s="1808"/>
      <c r="BZ18" s="1808"/>
      <c r="CA18" s="1808"/>
      <c r="CB18" s="1808"/>
      <c r="CC18" s="1808"/>
      <c r="CD18" s="1808"/>
      <c r="CE18" s="1808"/>
      <c r="CF18" s="1808"/>
      <c r="CG18" s="1808"/>
      <c r="CH18" s="1808"/>
      <c r="CI18" s="1808"/>
      <c r="CJ18" s="1808"/>
      <c r="CK18" s="1808"/>
      <c r="CL18" s="1808"/>
      <c r="CM18" s="1808"/>
      <c r="CN18" s="1808"/>
      <c r="CO18" s="1808"/>
      <c r="CP18" s="1808"/>
      <c r="CQ18" s="1808"/>
      <c r="CR18" s="1808"/>
      <c r="CS18" s="1808"/>
      <c r="CT18" s="1808"/>
      <c r="CU18" s="1808"/>
      <c r="CV18" s="1808"/>
      <c r="CW18" s="1808"/>
      <c r="CX18" s="1808"/>
      <c r="CY18" s="1808"/>
      <c r="CZ18" s="1808"/>
      <c r="DA18" s="1808"/>
      <c r="DB18" s="1808"/>
      <c r="DC18" s="1808"/>
      <c r="DD18" s="1808"/>
      <c r="DE18" s="1808"/>
      <c r="DF18" s="1808"/>
      <c r="DG18" s="1808"/>
      <c r="DH18" s="1808"/>
      <c r="DI18" s="1808"/>
      <c r="DJ18" s="1808"/>
      <c r="DK18" s="1808"/>
      <c r="DL18" s="1808"/>
      <c r="DM18" s="1808"/>
      <c r="DN18" s="1808"/>
      <c r="DO18" s="1808"/>
      <c r="DP18" s="1808"/>
      <c r="DQ18" s="1808"/>
      <c r="DR18" s="1808"/>
      <c r="DS18" s="1808"/>
      <c r="DT18" s="1808"/>
      <c r="DU18" s="1808"/>
      <c r="DV18" s="1808"/>
      <c r="DW18" s="1808"/>
      <c r="DX18" s="1808"/>
      <c r="DY18" s="1808"/>
      <c r="DZ18" s="1808"/>
      <c r="EA18" s="1808"/>
      <c r="EB18" s="1808"/>
      <c r="EC18" s="1808"/>
      <c r="ED18" s="1808"/>
      <c r="EE18" s="1808"/>
      <c r="EF18" s="1808"/>
      <c r="EG18" s="1808"/>
      <c r="EH18" s="1808"/>
      <c r="EI18" s="1808"/>
      <c r="EJ18" s="1808"/>
      <c r="EK18" s="1808"/>
      <c r="EL18" s="1808"/>
      <c r="EM18" s="1808"/>
      <c r="EN18" s="1808"/>
      <c r="EO18" s="1808"/>
      <c r="EP18" s="1808"/>
      <c r="EQ18" s="1808"/>
      <c r="ER18" s="1808"/>
      <c r="ES18" s="1808"/>
      <c r="ET18" s="1808"/>
      <c r="EU18" s="1808"/>
      <c r="EV18" s="1808"/>
      <c r="EW18" s="1808"/>
      <c r="EX18" s="1808"/>
      <c r="EY18" s="1808"/>
      <c r="EZ18" s="1808"/>
      <c r="FA18" s="1808"/>
      <c r="FB18" s="1808"/>
      <c r="FC18" s="1808"/>
      <c r="FD18" s="1808"/>
      <c r="FE18" s="1808"/>
      <c r="FF18" s="1808"/>
      <c r="FG18" s="1808"/>
      <c r="FH18" s="1808"/>
      <c r="FI18" s="1808"/>
      <c r="FJ18" s="1808"/>
      <c r="FK18" s="1808"/>
      <c r="FL18" s="1808"/>
      <c r="FM18" s="1808"/>
      <c r="FN18" s="1808"/>
      <c r="FO18" s="1808"/>
      <c r="FP18" s="1808"/>
      <c r="FQ18" s="1808"/>
      <c r="FR18" s="1808"/>
      <c r="FS18" s="1808"/>
      <c r="FT18" s="1808"/>
      <c r="FU18" s="1808"/>
      <c r="FV18" s="1808"/>
      <c r="FW18" s="1808"/>
      <c r="FX18" s="1808"/>
      <c r="FY18" s="1808"/>
      <c r="FZ18" s="1808"/>
      <c r="GA18" s="1808"/>
      <c r="GB18" s="1808"/>
      <c r="GC18" s="1808"/>
      <c r="GD18" s="1808"/>
      <c r="GE18" s="1808"/>
      <c r="GF18" s="1808"/>
      <c r="GG18" s="1808"/>
      <c r="GH18" s="1808"/>
      <c r="GI18" s="1808"/>
      <c r="GJ18" s="1808"/>
      <c r="GK18" s="1808"/>
      <c r="GL18" s="1808"/>
      <c r="GM18" s="1808"/>
      <c r="GN18" s="1808"/>
      <c r="GO18" s="1808"/>
      <c r="GP18" s="1808"/>
      <c r="GQ18" s="1808"/>
      <c r="GR18" s="1808"/>
      <c r="GS18" s="1808"/>
      <c r="GT18" s="1808"/>
      <c r="GU18" s="1808"/>
      <c r="GV18" s="1808"/>
      <c r="GW18" s="1808"/>
      <c r="GX18" s="1808"/>
      <c r="GY18" s="1808"/>
      <c r="GZ18" s="1808"/>
      <c r="HA18" s="1808"/>
      <c r="HB18" s="1808"/>
      <c r="HC18" s="1808"/>
      <c r="HD18" s="1808"/>
      <c r="HE18" s="1808"/>
      <c r="HF18" s="1808"/>
      <c r="HG18" s="1808"/>
    </row>
    <row r="19" spans="1:215" s="1893" customFormat="1" ht="21" customHeight="1" thickBot="1" x14ac:dyDescent="0.25">
      <c r="A19" s="2057"/>
      <c r="B19" s="2029" t="s">
        <v>886</v>
      </c>
      <c r="C19" s="2030"/>
      <c r="D19" s="2030"/>
      <c r="E19" s="2031"/>
      <c r="F19" s="1897"/>
      <c r="G19" s="2051"/>
      <c r="H19" s="1806"/>
      <c r="I19" s="1806"/>
      <c r="J19" s="1806"/>
      <c r="K19" s="1806"/>
      <c r="L19" s="1806"/>
      <c r="M19" s="1806"/>
      <c r="N19" s="1806"/>
      <c r="O19" s="1806"/>
      <c r="P19" s="1806"/>
      <c r="Q19" s="1806"/>
      <c r="R19" s="1806"/>
      <c r="S19" s="1806"/>
      <c r="T19" s="1806"/>
      <c r="U19" s="1806"/>
      <c r="V19" s="1806"/>
      <c r="W19" s="1806"/>
      <c r="X19" s="1806"/>
      <c r="Y19" s="1806"/>
      <c r="Z19" s="1806"/>
      <c r="AA19" s="1806"/>
      <c r="AB19" s="1806"/>
      <c r="AC19" s="1806"/>
      <c r="AD19" s="1806"/>
      <c r="AE19" s="1806"/>
      <c r="AF19" s="1806"/>
      <c r="AG19" s="1806"/>
      <c r="AH19" s="1806"/>
      <c r="AI19" s="1806"/>
      <c r="AJ19" s="1806"/>
      <c r="AK19" s="1806"/>
      <c r="AL19" s="1806"/>
      <c r="AM19" s="1806"/>
      <c r="AN19" s="1806"/>
      <c r="AO19" s="1806"/>
      <c r="AP19" s="1806"/>
      <c r="AQ19" s="1806"/>
      <c r="AR19" s="1806"/>
      <c r="AS19" s="1806"/>
      <c r="AT19" s="1806"/>
      <c r="AU19" s="1806"/>
      <c r="AV19" s="1806"/>
      <c r="AW19" s="1806"/>
      <c r="AX19" s="1806"/>
      <c r="AY19" s="1806"/>
      <c r="AZ19" s="1806"/>
      <c r="BA19" s="1806"/>
      <c r="BB19" s="1806"/>
      <c r="BC19" s="1806"/>
      <c r="BD19" s="1806"/>
      <c r="BE19" s="1806"/>
      <c r="BF19" s="1806"/>
      <c r="BG19" s="1806"/>
      <c r="BH19" s="1806"/>
      <c r="BI19" s="1806"/>
      <c r="BJ19" s="1806"/>
      <c r="BK19" s="1806"/>
      <c r="BL19" s="1806"/>
      <c r="BM19" s="1806"/>
      <c r="BN19" s="1806"/>
      <c r="BO19" s="1806"/>
      <c r="BP19" s="1806"/>
      <c r="BQ19" s="1806"/>
      <c r="BR19" s="1806"/>
      <c r="BS19" s="1806"/>
      <c r="BT19" s="1806"/>
      <c r="BU19" s="1806"/>
      <c r="BV19" s="1806"/>
      <c r="BW19" s="1806"/>
      <c r="BX19" s="1806"/>
      <c r="BY19" s="1806"/>
      <c r="BZ19" s="1806"/>
      <c r="CA19" s="1806"/>
      <c r="CB19" s="1806"/>
      <c r="CC19" s="1806"/>
      <c r="CD19" s="1806"/>
      <c r="CE19" s="1806"/>
      <c r="CF19" s="1806"/>
      <c r="CG19" s="1806"/>
      <c r="CH19" s="1806"/>
      <c r="CI19" s="1806"/>
      <c r="CJ19" s="1806"/>
      <c r="CK19" s="1806"/>
      <c r="CL19" s="1806"/>
      <c r="CM19" s="1806"/>
      <c r="CN19" s="1806"/>
      <c r="CO19" s="1806"/>
      <c r="CP19" s="1806"/>
      <c r="CQ19" s="1806"/>
      <c r="CR19" s="1806"/>
      <c r="CS19" s="1806"/>
      <c r="CT19" s="1806"/>
      <c r="CU19" s="1806"/>
      <c r="CV19" s="1806"/>
      <c r="CW19" s="1806"/>
      <c r="CX19" s="1806"/>
      <c r="CY19" s="1806"/>
      <c r="CZ19" s="1806"/>
      <c r="DA19" s="1806"/>
      <c r="DB19" s="1806"/>
      <c r="DC19" s="1806"/>
      <c r="DD19" s="1806"/>
      <c r="DE19" s="1806"/>
      <c r="DF19" s="1806"/>
      <c r="DG19" s="1806"/>
      <c r="DH19" s="1806"/>
      <c r="DI19" s="1806"/>
      <c r="DJ19" s="1806"/>
      <c r="DK19" s="1806"/>
      <c r="DL19" s="1806"/>
      <c r="DM19" s="1806"/>
      <c r="DN19" s="1806"/>
      <c r="DO19" s="1806"/>
      <c r="DP19" s="1806"/>
      <c r="DQ19" s="1806"/>
      <c r="DR19" s="1806"/>
      <c r="DS19" s="1806"/>
      <c r="DT19" s="1806"/>
      <c r="DU19" s="1806"/>
      <c r="DV19" s="1806"/>
      <c r="DW19" s="1806"/>
      <c r="DX19" s="1806"/>
      <c r="DY19" s="1806"/>
      <c r="DZ19" s="1806"/>
      <c r="EA19" s="1806"/>
      <c r="EB19" s="1806"/>
      <c r="EC19" s="1806"/>
      <c r="ED19" s="1806"/>
      <c r="EE19" s="1806"/>
      <c r="EF19" s="1806"/>
      <c r="EG19" s="1806"/>
      <c r="EH19" s="1806"/>
      <c r="EI19" s="1806"/>
      <c r="EJ19" s="1806"/>
      <c r="EK19" s="1806"/>
      <c r="EL19" s="1806"/>
      <c r="EM19" s="1806"/>
      <c r="EN19" s="1806"/>
      <c r="EO19" s="1806"/>
      <c r="EP19" s="1806"/>
      <c r="EQ19" s="1806"/>
      <c r="ER19" s="1806"/>
      <c r="ES19" s="1806"/>
      <c r="ET19" s="1806"/>
      <c r="EU19" s="1806"/>
      <c r="EV19" s="1806"/>
      <c r="EW19" s="1806"/>
      <c r="EX19" s="1806"/>
      <c r="EY19" s="1806"/>
      <c r="EZ19" s="1806"/>
      <c r="FA19" s="1806"/>
      <c r="FB19" s="1806"/>
      <c r="FC19" s="1806"/>
      <c r="FD19" s="1806"/>
      <c r="FE19" s="1806"/>
      <c r="FF19" s="1806"/>
      <c r="FG19" s="1806"/>
      <c r="FH19" s="1806"/>
      <c r="FI19" s="1806"/>
      <c r="FJ19" s="1806"/>
      <c r="FK19" s="1806"/>
      <c r="FL19" s="1806"/>
      <c r="FM19" s="1806"/>
      <c r="FN19" s="1806"/>
      <c r="FO19" s="1806"/>
      <c r="FP19" s="1806"/>
      <c r="FQ19" s="1806"/>
      <c r="FR19" s="1806"/>
      <c r="FS19" s="1806"/>
      <c r="FT19" s="1806"/>
      <c r="FU19" s="1806"/>
      <c r="FV19" s="1806"/>
      <c r="FW19" s="1806"/>
      <c r="FX19" s="1806"/>
      <c r="FY19" s="1806"/>
      <c r="FZ19" s="1806"/>
      <c r="GA19" s="1806"/>
      <c r="GB19" s="1806"/>
      <c r="GC19" s="1806"/>
      <c r="GD19" s="1806"/>
      <c r="GE19" s="1806"/>
      <c r="GF19" s="1806"/>
      <c r="GG19" s="1806"/>
      <c r="GH19" s="1806"/>
      <c r="GI19" s="1806"/>
      <c r="GJ19" s="1806"/>
      <c r="GK19" s="1806"/>
      <c r="GL19" s="1806"/>
      <c r="GM19" s="1806"/>
      <c r="GN19" s="1806"/>
      <c r="GO19" s="1806"/>
      <c r="GP19" s="1806"/>
      <c r="GQ19" s="1806"/>
      <c r="GR19" s="1806"/>
      <c r="GS19" s="1806"/>
      <c r="GT19" s="1806"/>
      <c r="GU19" s="1806"/>
      <c r="GV19" s="1806"/>
      <c r="GW19" s="1806"/>
      <c r="GX19" s="1806"/>
      <c r="GY19" s="1806"/>
      <c r="GZ19" s="1806"/>
      <c r="HA19" s="1806"/>
      <c r="HB19" s="1806"/>
      <c r="HC19" s="1806"/>
      <c r="HD19" s="1806"/>
      <c r="HE19" s="1806"/>
      <c r="HF19" s="1806"/>
      <c r="HG19" s="1806"/>
    </row>
    <row r="20" spans="1:215" s="1893" customFormat="1" ht="15" customHeight="1" thickBot="1" x14ac:dyDescent="0.25">
      <c r="A20" s="2057"/>
      <c r="B20" s="2013" t="s">
        <v>710</v>
      </c>
      <c r="C20" s="2014"/>
      <c r="D20" s="2014"/>
      <c r="E20" s="2015"/>
      <c r="F20" s="1898"/>
      <c r="G20" s="2051"/>
      <c r="H20" s="1807"/>
      <c r="I20" s="1807"/>
      <c r="J20" s="1807"/>
      <c r="K20" s="1807"/>
      <c r="L20" s="1807"/>
      <c r="M20" s="1807"/>
      <c r="N20" s="1807"/>
      <c r="O20" s="1807"/>
      <c r="P20" s="1807"/>
      <c r="Q20" s="1807"/>
      <c r="R20" s="1807"/>
      <c r="S20" s="1807"/>
      <c r="T20" s="1807"/>
      <c r="U20" s="1807"/>
      <c r="V20" s="1807"/>
      <c r="W20" s="1807"/>
      <c r="X20" s="1807"/>
      <c r="Y20" s="1807"/>
      <c r="Z20" s="1807"/>
      <c r="AA20" s="1807"/>
      <c r="AB20" s="1807"/>
      <c r="AC20" s="1807"/>
      <c r="AD20" s="1807"/>
      <c r="AE20" s="1807"/>
      <c r="AF20" s="1807"/>
      <c r="AG20" s="1807"/>
      <c r="AH20" s="1807"/>
      <c r="AI20" s="1807"/>
      <c r="AJ20" s="1807"/>
      <c r="AK20" s="1807"/>
      <c r="AL20" s="1807"/>
      <c r="AM20" s="1807"/>
      <c r="AN20" s="1807"/>
      <c r="AO20" s="1807"/>
      <c r="AP20" s="1807"/>
      <c r="AQ20" s="1807"/>
      <c r="AR20" s="1807"/>
      <c r="AS20" s="1807"/>
      <c r="AT20" s="1807"/>
      <c r="AU20" s="1807"/>
      <c r="AV20" s="1807"/>
      <c r="AW20" s="1807"/>
      <c r="AX20" s="1807"/>
      <c r="AY20" s="1807"/>
      <c r="AZ20" s="1807"/>
      <c r="BA20" s="1807"/>
      <c r="BB20" s="1807"/>
      <c r="BC20" s="1807"/>
      <c r="BD20" s="1807"/>
      <c r="BE20" s="1807"/>
      <c r="BF20" s="1807"/>
      <c r="BG20" s="1807"/>
      <c r="BH20" s="1807"/>
      <c r="BI20" s="1807"/>
      <c r="BJ20" s="1807"/>
      <c r="BK20" s="1807"/>
      <c r="BL20" s="1807"/>
      <c r="BM20" s="1807"/>
      <c r="BN20" s="1807"/>
      <c r="BO20" s="1807"/>
      <c r="BP20" s="1807"/>
      <c r="BQ20" s="1807"/>
      <c r="BR20" s="1807"/>
      <c r="BS20" s="1807"/>
      <c r="BT20" s="1807"/>
      <c r="BU20" s="1807"/>
      <c r="BV20" s="1807"/>
      <c r="BW20" s="1807"/>
      <c r="BX20" s="1807"/>
      <c r="BY20" s="1807"/>
      <c r="BZ20" s="1807"/>
      <c r="CA20" s="1807"/>
      <c r="CB20" s="1807"/>
      <c r="CC20" s="1807"/>
      <c r="CD20" s="1807"/>
      <c r="CE20" s="1807"/>
      <c r="CF20" s="1807"/>
      <c r="CG20" s="1807"/>
      <c r="CH20" s="1807"/>
      <c r="CI20" s="1807"/>
      <c r="CJ20" s="1807"/>
      <c r="CK20" s="1807"/>
      <c r="CL20" s="1807"/>
      <c r="CM20" s="1807"/>
      <c r="CN20" s="1807"/>
      <c r="CO20" s="1807"/>
      <c r="CP20" s="1807"/>
      <c r="CQ20" s="1807"/>
      <c r="CR20" s="1807"/>
      <c r="CS20" s="1807"/>
      <c r="CT20" s="1807"/>
      <c r="CU20" s="1807"/>
      <c r="CV20" s="1807"/>
      <c r="CW20" s="1807"/>
      <c r="CX20" s="1807"/>
      <c r="CY20" s="1807"/>
      <c r="CZ20" s="1807"/>
      <c r="DA20" s="1807"/>
      <c r="DB20" s="1807"/>
      <c r="DC20" s="1807"/>
      <c r="DD20" s="1807"/>
      <c r="DE20" s="1807"/>
      <c r="DF20" s="1807"/>
      <c r="DG20" s="1807"/>
      <c r="DH20" s="1807"/>
      <c r="DI20" s="1807"/>
      <c r="DJ20" s="1807"/>
      <c r="DK20" s="1807"/>
      <c r="DL20" s="1807"/>
      <c r="DM20" s="1807"/>
      <c r="DN20" s="1807"/>
      <c r="DO20" s="1807"/>
      <c r="DP20" s="1807"/>
      <c r="DQ20" s="1807"/>
      <c r="DR20" s="1807"/>
      <c r="DS20" s="1807"/>
      <c r="DT20" s="1807"/>
      <c r="DU20" s="1807"/>
      <c r="DV20" s="1807"/>
      <c r="DW20" s="1807"/>
      <c r="DX20" s="1807"/>
      <c r="DY20" s="1807"/>
      <c r="DZ20" s="1807"/>
      <c r="EA20" s="1807"/>
      <c r="EB20" s="1807"/>
      <c r="EC20" s="1807"/>
      <c r="ED20" s="1807"/>
      <c r="EE20" s="1807"/>
      <c r="EF20" s="1807"/>
      <c r="EG20" s="1807"/>
      <c r="EH20" s="1807"/>
      <c r="EI20" s="1807"/>
      <c r="EJ20" s="1807"/>
      <c r="EK20" s="1807"/>
      <c r="EL20" s="1807"/>
      <c r="EM20" s="1807"/>
      <c r="EN20" s="1807"/>
      <c r="EO20" s="1807"/>
      <c r="EP20" s="1807"/>
      <c r="EQ20" s="1807"/>
      <c r="ER20" s="1807"/>
      <c r="ES20" s="1807"/>
      <c r="ET20" s="1807"/>
      <c r="EU20" s="1807"/>
      <c r="EV20" s="1807"/>
      <c r="EW20" s="1807"/>
      <c r="EX20" s="1807"/>
      <c r="EY20" s="1807"/>
      <c r="EZ20" s="1807"/>
      <c r="FA20" s="1807"/>
      <c r="FB20" s="1807"/>
      <c r="FC20" s="1807"/>
      <c r="FD20" s="1807"/>
      <c r="FE20" s="1807"/>
      <c r="FF20" s="1807"/>
      <c r="FG20" s="1807"/>
      <c r="FH20" s="1807"/>
      <c r="FI20" s="1807"/>
      <c r="FJ20" s="1807"/>
      <c r="FK20" s="1807"/>
      <c r="FL20" s="1807"/>
      <c r="FM20" s="1807"/>
      <c r="FN20" s="1807"/>
      <c r="FO20" s="1807"/>
      <c r="FP20" s="1807"/>
      <c r="FQ20" s="1807"/>
      <c r="FR20" s="1807"/>
      <c r="FS20" s="1807"/>
      <c r="FT20" s="1807"/>
      <c r="FU20" s="1807"/>
      <c r="FV20" s="1807"/>
      <c r="FW20" s="1807"/>
      <c r="FX20" s="1807"/>
      <c r="FY20" s="1807"/>
      <c r="FZ20" s="1807"/>
      <c r="GA20" s="1807"/>
      <c r="GB20" s="1807"/>
      <c r="GC20" s="1807"/>
      <c r="GD20" s="1807"/>
      <c r="GE20" s="1807"/>
      <c r="GF20" s="1807"/>
      <c r="GG20" s="1807"/>
      <c r="GH20" s="1807"/>
      <c r="GI20" s="1807"/>
      <c r="GJ20" s="1807"/>
      <c r="GK20" s="1807"/>
      <c r="GL20" s="1807"/>
      <c r="GM20" s="1807"/>
      <c r="GN20" s="1807"/>
      <c r="GO20" s="1807"/>
      <c r="GP20" s="1807"/>
      <c r="GQ20" s="1807"/>
      <c r="GR20" s="1807"/>
      <c r="GS20" s="1807"/>
      <c r="GT20" s="1807"/>
      <c r="GU20" s="1807"/>
      <c r="GV20" s="1807"/>
      <c r="GW20" s="1807"/>
      <c r="GX20" s="1807"/>
      <c r="GY20" s="1807"/>
      <c r="GZ20" s="1807"/>
      <c r="HA20" s="1807"/>
      <c r="HB20" s="1807"/>
      <c r="HC20" s="1807"/>
      <c r="HD20" s="1807"/>
      <c r="HE20" s="1807"/>
      <c r="HF20" s="1807"/>
      <c r="HG20" s="1807"/>
    </row>
    <row r="21" spans="1:215" s="1893" customFormat="1" ht="15" customHeight="1" thickBot="1" x14ac:dyDescent="0.25">
      <c r="A21" s="2057"/>
      <c r="B21" s="2013" t="s">
        <v>841</v>
      </c>
      <c r="C21" s="2014"/>
      <c r="D21" s="2014"/>
      <c r="E21" s="2015"/>
      <c r="F21" s="1898"/>
      <c r="G21" s="2051"/>
      <c r="H21" s="1807"/>
      <c r="I21" s="1807"/>
      <c r="J21" s="1807"/>
      <c r="K21" s="1807"/>
      <c r="L21" s="1807"/>
      <c r="M21" s="1807"/>
      <c r="N21" s="1807"/>
      <c r="O21" s="1807"/>
      <c r="P21" s="1807"/>
      <c r="Q21" s="1807"/>
      <c r="R21" s="1807"/>
      <c r="S21" s="1807"/>
      <c r="T21" s="1807"/>
      <c r="U21" s="1807"/>
      <c r="V21" s="1807"/>
      <c r="W21" s="1807"/>
      <c r="X21" s="1807"/>
      <c r="Y21" s="1807"/>
      <c r="Z21" s="1807"/>
      <c r="AA21" s="1807"/>
      <c r="AB21" s="1807"/>
      <c r="AC21" s="1807"/>
      <c r="AD21" s="1807"/>
      <c r="AE21" s="1807"/>
      <c r="AF21" s="1807"/>
      <c r="AG21" s="1807"/>
      <c r="AH21" s="1807"/>
      <c r="AI21" s="1807"/>
      <c r="AJ21" s="1807"/>
      <c r="AK21" s="1807"/>
      <c r="AL21" s="1807"/>
      <c r="AM21" s="1807"/>
      <c r="AN21" s="1807"/>
      <c r="AO21" s="1807"/>
      <c r="AP21" s="1807"/>
      <c r="AQ21" s="1807"/>
      <c r="AR21" s="1807"/>
      <c r="AS21" s="1807"/>
      <c r="AT21" s="1807"/>
      <c r="AU21" s="1807"/>
      <c r="AV21" s="1807"/>
      <c r="AW21" s="1807"/>
      <c r="AX21" s="1807"/>
      <c r="AY21" s="1807"/>
      <c r="AZ21" s="1807"/>
      <c r="BA21" s="1807"/>
      <c r="BB21" s="1807"/>
      <c r="BC21" s="1807"/>
      <c r="BD21" s="1807"/>
      <c r="BE21" s="1807"/>
      <c r="BF21" s="1807"/>
      <c r="BG21" s="1807"/>
      <c r="BH21" s="1807"/>
      <c r="BI21" s="1807"/>
      <c r="BJ21" s="1807"/>
      <c r="BK21" s="1807"/>
      <c r="BL21" s="1807"/>
      <c r="BM21" s="1807"/>
      <c r="BN21" s="1807"/>
      <c r="BO21" s="1807"/>
      <c r="BP21" s="1807"/>
      <c r="BQ21" s="1807"/>
      <c r="BR21" s="1807"/>
      <c r="BS21" s="1807"/>
      <c r="BT21" s="1807"/>
      <c r="BU21" s="1807"/>
      <c r="BV21" s="1807"/>
      <c r="BW21" s="1807"/>
      <c r="BX21" s="1807"/>
      <c r="BY21" s="1807"/>
      <c r="BZ21" s="1807"/>
      <c r="CA21" s="1807"/>
      <c r="CB21" s="1807"/>
      <c r="CC21" s="1807"/>
      <c r="CD21" s="1807"/>
      <c r="CE21" s="1807"/>
      <c r="CF21" s="1807"/>
      <c r="CG21" s="1807"/>
      <c r="CH21" s="1807"/>
      <c r="CI21" s="1807"/>
      <c r="CJ21" s="1807"/>
      <c r="CK21" s="1807"/>
      <c r="CL21" s="1807"/>
      <c r="CM21" s="1807"/>
      <c r="CN21" s="1807"/>
      <c r="CO21" s="1807"/>
      <c r="CP21" s="1807"/>
      <c r="CQ21" s="1807"/>
      <c r="CR21" s="1807"/>
      <c r="CS21" s="1807"/>
      <c r="CT21" s="1807"/>
      <c r="CU21" s="1807"/>
      <c r="CV21" s="1807"/>
      <c r="CW21" s="1807"/>
      <c r="CX21" s="1807"/>
      <c r="CY21" s="1807"/>
      <c r="CZ21" s="1807"/>
      <c r="DA21" s="1807"/>
      <c r="DB21" s="1807"/>
      <c r="DC21" s="1807"/>
      <c r="DD21" s="1807"/>
      <c r="DE21" s="1807"/>
      <c r="DF21" s="1807"/>
      <c r="DG21" s="1807"/>
      <c r="DH21" s="1807"/>
      <c r="DI21" s="1807"/>
      <c r="DJ21" s="1807"/>
      <c r="DK21" s="1807"/>
      <c r="DL21" s="1807"/>
      <c r="DM21" s="1807"/>
      <c r="DN21" s="1807"/>
      <c r="DO21" s="1807"/>
      <c r="DP21" s="1807"/>
      <c r="DQ21" s="1807"/>
      <c r="DR21" s="1807"/>
      <c r="DS21" s="1807"/>
      <c r="DT21" s="1807"/>
      <c r="DU21" s="1807"/>
      <c r="DV21" s="1807"/>
      <c r="DW21" s="1807"/>
      <c r="DX21" s="1807"/>
      <c r="DY21" s="1807"/>
      <c r="DZ21" s="1807"/>
      <c r="EA21" s="1807"/>
      <c r="EB21" s="1807"/>
      <c r="EC21" s="1807"/>
      <c r="ED21" s="1807"/>
      <c r="EE21" s="1807"/>
      <c r="EF21" s="1807"/>
      <c r="EG21" s="1807"/>
      <c r="EH21" s="1807"/>
      <c r="EI21" s="1807"/>
      <c r="EJ21" s="1807"/>
      <c r="EK21" s="1807"/>
      <c r="EL21" s="1807"/>
      <c r="EM21" s="1807"/>
      <c r="EN21" s="1807"/>
      <c r="EO21" s="1807"/>
      <c r="EP21" s="1807"/>
      <c r="EQ21" s="1807"/>
      <c r="ER21" s="1807"/>
      <c r="ES21" s="1807"/>
      <c r="ET21" s="1807"/>
      <c r="EU21" s="1807"/>
      <c r="EV21" s="1807"/>
      <c r="EW21" s="1807"/>
      <c r="EX21" s="1807"/>
      <c r="EY21" s="1807"/>
      <c r="EZ21" s="1807"/>
      <c r="FA21" s="1807"/>
      <c r="FB21" s="1807"/>
      <c r="FC21" s="1807"/>
      <c r="FD21" s="1807"/>
      <c r="FE21" s="1807"/>
      <c r="FF21" s="1807"/>
      <c r="FG21" s="1807"/>
      <c r="FH21" s="1807"/>
      <c r="FI21" s="1807"/>
      <c r="FJ21" s="1807"/>
      <c r="FK21" s="1807"/>
      <c r="FL21" s="1807"/>
      <c r="FM21" s="1807"/>
      <c r="FN21" s="1807"/>
      <c r="FO21" s="1807"/>
      <c r="FP21" s="1807"/>
      <c r="FQ21" s="1807"/>
      <c r="FR21" s="1807"/>
      <c r="FS21" s="1807"/>
      <c r="FT21" s="1807"/>
      <c r="FU21" s="1807"/>
      <c r="FV21" s="1807"/>
      <c r="FW21" s="1807"/>
      <c r="FX21" s="1807"/>
      <c r="FY21" s="1807"/>
      <c r="FZ21" s="1807"/>
      <c r="GA21" s="1807"/>
      <c r="GB21" s="1807"/>
      <c r="GC21" s="1807"/>
      <c r="GD21" s="1807"/>
      <c r="GE21" s="1807"/>
      <c r="GF21" s="1807"/>
      <c r="GG21" s="1807"/>
      <c r="GH21" s="1807"/>
      <c r="GI21" s="1807"/>
      <c r="GJ21" s="1807"/>
      <c r="GK21" s="1807"/>
      <c r="GL21" s="1807"/>
      <c r="GM21" s="1807"/>
      <c r="GN21" s="1807"/>
      <c r="GO21" s="1807"/>
      <c r="GP21" s="1807"/>
      <c r="GQ21" s="1807"/>
      <c r="GR21" s="1807"/>
      <c r="GS21" s="1807"/>
      <c r="GT21" s="1807"/>
      <c r="GU21" s="1807"/>
      <c r="GV21" s="1807"/>
      <c r="GW21" s="1807"/>
      <c r="GX21" s="1807"/>
      <c r="GY21" s="1807"/>
      <c r="GZ21" s="1807"/>
      <c r="HA21" s="1807"/>
      <c r="HB21" s="1807"/>
      <c r="HC21" s="1807"/>
      <c r="HD21" s="1807"/>
      <c r="HE21" s="1807"/>
      <c r="HF21" s="1807"/>
      <c r="HG21" s="1807"/>
    </row>
    <row r="22" spans="1:215" s="1893" customFormat="1" ht="15" customHeight="1" thickBot="1" x14ac:dyDescent="0.25">
      <c r="A22" s="2057"/>
      <c r="B22" s="2013" t="s">
        <v>889</v>
      </c>
      <c r="C22" s="2014"/>
      <c r="D22" s="2014"/>
      <c r="E22" s="2015"/>
      <c r="F22" s="1898"/>
      <c r="G22" s="2051"/>
      <c r="H22" s="1807"/>
      <c r="I22" s="1807"/>
      <c r="J22" s="1807"/>
      <c r="K22" s="1807"/>
      <c r="L22" s="1807"/>
      <c r="M22" s="1807"/>
      <c r="N22" s="1807"/>
      <c r="O22" s="1807"/>
      <c r="P22" s="1807"/>
      <c r="Q22" s="1807"/>
      <c r="R22" s="1807"/>
      <c r="S22" s="1807"/>
      <c r="T22" s="1807"/>
      <c r="U22" s="1807"/>
      <c r="V22" s="1807"/>
      <c r="W22" s="1807"/>
      <c r="X22" s="1807"/>
      <c r="Y22" s="1807"/>
      <c r="Z22" s="1807"/>
      <c r="AA22" s="1807"/>
      <c r="AB22" s="1807"/>
      <c r="AC22" s="1807"/>
      <c r="AD22" s="1807"/>
      <c r="AE22" s="1807"/>
      <c r="AF22" s="1807"/>
      <c r="AG22" s="1807"/>
      <c r="AH22" s="1807"/>
      <c r="AI22" s="1807"/>
      <c r="AJ22" s="1807"/>
      <c r="AK22" s="1807"/>
      <c r="AL22" s="1807"/>
      <c r="AM22" s="1807"/>
      <c r="AN22" s="1807"/>
      <c r="AO22" s="1807"/>
      <c r="AP22" s="1807"/>
      <c r="AQ22" s="1807"/>
      <c r="AR22" s="1807"/>
      <c r="AS22" s="1807"/>
      <c r="AT22" s="1807"/>
      <c r="AU22" s="1807"/>
      <c r="AV22" s="1807"/>
      <c r="AW22" s="1807"/>
      <c r="AX22" s="1807"/>
      <c r="AY22" s="1807"/>
      <c r="AZ22" s="1807"/>
      <c r="BA22" s="1807"/>
      <c r="BB22" s="1807"/>
      <c r="BC22" s="1807"/>
      <c r="BD22" s="1807"/>
      <c r="BE22" s="1807"/>
      <c r="BF22" s="1807"/>
      <c r="BG22" s="1807"/>
      <c r="BH22" s="1807"/>
      <c r="BI22" s="1807"/>
      <c r="BJ22" s="1807"/>
      <c r="BK22" s="1807"/>
      <c r="BL22" s="1807"/>
      <c r="BM22" s="1807"/>
      <c r="BN22" s="1807"/>
      <c r="BO22" s="1807"/>
      <c r="BP22" s="1807"/>
      <c r="BQ22" s="1807"/>
      <c r="BR22" s="1807"/>
      <c r="BS22" s="1807"/>
      <c r="BT22" s="1807"/>
      <c r="BU22" s="1807"/>
      <c r="BV22" s="1807"/>
      <c r="BW22" s="1807"/>
      <c r="BX22" s="1807"/>
      <c r="BY22" s="1807"/>
      <c r="BZ22" s="1807"/>
      <c r="CA22" s="1807"/>
      <c r="CB22" s="1807"/>
      <c r="CC22" s="1807"/>
      <c r="CD22" s="1807"/>
      <c r="CE22" s="1807"/>
      <c r="CF22" s="1807"/>
      <c r="CG22" s="1807"/>
      <c r="CH22" s="1807"/>
      <c r="CI22" s="1807"/>
      <c r="CJ22" s="1807"/>
      <c r="CK22" s="1807"/>
      <c r="CL22" s="1807"/>
      <c r="CM22" s="1807"/>
      <c r="CN22" s="1807"/>
      <c r="CO22" s="1807"/>
      <c r="CP22" s="1807"/>
      <c r="CQ22" s="1807"/>
      <c r="CR22" s="1807"/>
      <c r="CS22" s="1807"/>
      <c r="CT22" s="1807"/>
      <c r="CU22" s="1807"/>
      <c r="CV22" s="1807"/>
      <c r="CW22" s="1807"/>
      <c r="CX22" s="1807"/>
      <c r="CY22" s="1807"/>
      <c r="CZ22" s="1807"/>
      <c r="DA22" s="1807"/>
      <c r="DB22" s="1807"/>
      <c r="DC22" s="1807"/>
      <c r="DD22" s="1807"/>
      <c r="DE22" s="1807"/>
      <c r="DF22" s="1807"/>
      <c r="DG22" s="1807"/>
      <c r="DH22" s="1807"/>
      <c r="DI22" s="1807"/>
      <c r="DJ22" s="1807"/>
      <c r="DK22" s="1807"/>
      <c r="DL22" s="1807"/>
      <c r="DM22" s="1807"/>
      <c r="DN22" s="1807"/>
      <c r="DO22" s="1807"/>
      <c r="DP22" s="1807"/>
      <c r="DQ22" s="1807"/>
      <c r="DR22" s="1807"/>
      <c r="DS22" s="1807"/>
      <c r="DT22" s="1807"/>
      <c r="DU22" s="1807"/>
      <c r="DV22" s="1807"/>
      <c r="DW22" s="1807"/>
      <c r="DX22" s="1807"/>
      <c r="DY22" s="1807"/>
      <c r="DZ22" s="1807"/>
      <c r="EA22" s="1807"/>
      <c r="EB22" s="1807"/>
      <c r="EC22" s="1807"/>
      <c r="ED22" s="1807"/>
      <c r="EE22" s="1807"/>
      <c r="EF22" s="1807"/>
      <c r="EG22" s="1807"/>
      <c r="EH22" s="1807"/>
      <c r="EI22" s="1807"/>
      <c r="EJ22" s="1807"/>
      <c r="EK22" s="1807"/>
      <c r="EL22" s="1807"/>
      <c r="EM22" s="1807"/>
      <c r="EN22" s="1807"/>
      <c r="EO22" s="1807"/>
      <c r="EP22" s="1807"/>
      <c r="EQ22" s="1807"/>
      <c r="ER22" s="1807"/>
      <c r="ES22" s="1807"/>
      <c r="ET22" s="1807"/>
      <c r="EU22" s="1807"/>
      <c r="EV22" s="1807"/>
      <c r="EW22" s="1807"/>
      <c r="EX22" s="1807"/>
      <c r="EY22" s="1807"/>
      <c r="EZ22" s="1807"/>
      <c r="FA22" s="1807"/>
      <c r="FB22" s="1807"/>
      <c r="FC22" s="1807"/>
      <c r="FD22" s="1807"/>
      <c r="FE22" s="1807"/>
      <c r="FF22" s="1807"/>
      <c r="FG22" s="1807"/>
      <c r="FH22" s="1807"/>
      <c r="FI22" s="1807"/>
      <c r="FJ22" s="1807"/>
      <c r="FK22" s="1807"/>
      <c r="FL22" s="1807"/>
      <c r="FM22" s="1807"/>
      <c r="FN22" s="1807"/>
      <c r="FO22" s="1807"/>
      <c r="FP22" s="1807"/>
      <c r="FQ22" s="1807"/>
      <c r="FR22" s="1807"/>
      <c r="FS22" s="1807"/>
      <c r="FT22" s="1807"/>
      <c r="FU22" s="1807"/>
      <c r="FV22" s="1807"/>
      <c r="FW22" s="1807"/>
      <c r="FX22" s="1807"/>
      <c r="FY22" s="1807"/>
      <c r="FZ22" s="1807"/>
      <c r="GA22" s="1807"/>
      <c r="GB22" s="1807"/>
      <c r="GC22" s="1807"/>
      <c r="GD22" s="1807"/>
      <c r="GE22" s="1807"/>
      <c r="GF22" s="1807"/>
      <c r="GG22" s="1807"/>
      <c r="GH22" s="1807"/>
      <c r="GI22" s="1807"/>
      <c r="GJ22" s="1807"/>
      <c r="GK22" s="1807"/>
      <c r="GL22" s="1807"/>
      <c r="GM22" s="1807"/>
      <c r="GN22" s="1807"/>
      <c r="GO22" s="1807"/>
      <c r="GP22" s="1807"/>
      <c r="GQ22" s="1807"/>
      <c r="GR22" s="1807"/>
      <c r="GS22" s="1807"/>
      <c r="GT22" s="1807"/>
      <c r="GU22" s="1807"/>
      <c r="GV22" s="1807"/>
      <c r="GW22" s="1807"/>
      <c r="GX22" s="1807"/>
      <c r="GY22" s="1807"/>
      <c r="GZ22" s="1807"/>
      <c r="HA22" s="1807"/>
      <c r="HB22" s="1807"/>
      <c r="HC22" s="1807"/>
      <c r="HD22" s="1807"/>
      <c r="HE22" s="1807"/>
      <c r="HF22" s="1807"/>
      <c r="HG22" s="1807"/>
    </row>
    <row r="23" spans="1:215" s="1893" customFormat="1" ht="15" customHeight="1" thickBot="1" x14ac:dyDescent="0.25">
      <c r="A23" s="2057"/>
      <c r="B23" s="2013" t="s">
        <v>711</v>
      </c>
      <c r="C23" s="2014"/>
      <c r="D23" s="2014"/>
      <c r="E23" s="2015"/>
      <c r="F23" s="1898"/>
      <c r="G23" s="2051"/>
      <c r="H23" s="1807"/>
      <c r="I23" s="1807"/>
      <c r="J23" s="1807"/>
      <c r="K23" s="1807"/>
      <c r="L23" s="1807"/>
      <c r="M23" s="1807"/>
      <c r="N23" s="1807"/>
      <c r="O23" s="1807"/>
      <c r="P23" s="1807"/>
      <c r="Q23" s="1807"/>
      <c r="R23" s="1807"/>
      <c r="S23" s="1807"/>
      <c r="T23" s="1807"/>
      <c r="U23" s="1807"/>
      <c r="V23" s="1807"/>
      <c r="W23" s="1807"/>
      <c r="X23" s="1807"/>
      <c r="Y23" s="1807"/>
      <c r="Z23" s="1807"/>
      <c r="AA23" s="1807"/>
      <c r="AB23" s="1807"/>
      <c r="AC23" s="1807"/>
      <c r="AD23" s="1807"/>
      <c r="AE23" s="1807"/>
      <c r="AF23" s="1807"/>
      <c r="AG23" s="1807"/>
      <c r="AH23" s="1807"/>
      <c r="AI23" s="1807"/>
      <c r="AJ23" s="1807"/>
      <c r="AK23" s="1807"/>
      <c r="AL23" s="1807"/>
      <c r="AM23" s="1807"/>
      <c r="AN23" s="1807"/>
      <c r="AO23" s="1807"/>
      <c r="AP23" s="1807"/>
      <c r="AQ23" s="1807"/>
      <c r="AR23" s="1807"/>
      <c r="AS23" s="1807"/>
      <c r="AT23" s="1807"/>
      <c r="AU23" s="1807"/>
      <c r="AV23" s="1807"/>
      <c r="AW23" s="1807"/>
      <c r="AX23" s="1807"/>
      <c r="AY23" s="1807"/>
      <c r="AZ23" s="1807"/>
      <c r="BA23" s="1807"/>
      <c r="BB23" s="1807"/>
      <c r="BC23" s="1807"/>
      <c r="BD23" s="1807"/>
      <c r="BE23" s="1807"/>
      <c r="BF23" s="1807"/>
      <c r="BG23" s="1807"/>
      <c r="BH23" s="1807"/>
      <c r="BI23" s="1807"/>
      <c r="BJ23" s="1807"/>
      <c r="BK23" s="1807"/>
      <c r="BL23" s="1807"/>
      <c r="BM23" s="1807"/>
      <c r="BN23" s="1807"/>
      <c r="BO23" s="1807"/>
      <c r="BP23" s="1807"/>
      <c r="BQ23" s="1807"/>
      <c r="BR23" s="1807"/>
      <c r="BS23" s="1807"/>
      <c r="BT23" s="1807"/>
      <c r="BU23" s="1807"/>
      <c r="BV23" s="1807"/>
      <c r="BW23" s="1807"/>
      <c r="BX23" s="1807"/>
      <c r="BY23" s="1807"/>
      <c r="BZ23" s="1807"/>
      <c r="CA23" s="1807"/>
      <c r="CB23" s="1807"/>
      <c r="CC23" s="1807"/>
      <c r="CD23" s="1807"/>
      <c r="CE23" s="1807"/>
      <c r="CF23" s="1807"/>
      <c r="CG23" s="1807"/>
      <c r="CH23" s="1807"/>
      <c r="CI23" s="1807"/>
      <c r="CJ23" s="1807"/>
      <c r="CK23" s="1807"/>
      <c r="CL23" s="1807"/>
      <c r="CM23" s="1807"/>
      <c r="CN23" s="1807"/>
      <c r="CO23" s="1807"/>
      <c r="CP23" s="1807"/>
      <c r="CQ23" s="1807"/>
      <c r="CR23" s="1807"/>
      <c r="CS23" s="1807"/>
      <c r="CT23" s="1807"/>
      <c r="CU23" s="1807"/>
      <c r="CV23" s="1807"/>
      <c r="CW23" s="1807"/>
      <c r="CX23" s="1807"/>
      <c r="CY23" s="1807"/>
      <c r="CZ23" s="1807"/>
      <c r="DA23" s="1807"/>
      <c r="DB23" s="1807"/>
      <c r="DC23" s="1807"/>
      <c r="DD23" s="1807"/>
      <c r="DE23" s="1807"/>
      <c r="DF23" s="1807"/>
      <c r="DG23" s="1807"/>
      <c r="DH23" s="1807"/>
      <c r="DI23" s="1807"/>
      <c r="DJ23" s="1807"/>
      <c r="DK23" s="1807"/>
      <c r="DL23" s="1807"/>
      <c r="DM23" s="1807"/>
      <c r="DN23" s="1807"/>
      <c r="DO23" s="1807"/>
      <c r="DP23" s="1807"/>
      <c r="DQ23" s="1807"/>
      <c r="DR23" s="1807"/>
      <c r="DS23" s="1807"/>
      <c r="DT23" s="1807"/>
      <c r="DU23" s="1807"/>
      <c r="DV23" s="1807"/>
      <c r="DW23" s="1807"/>
      <c r="DX23" s="1807"/>
      <c r="DY23" s="1807"/>
      <c r="DZ23" s="1807"/>
      <c r="EA23" s="1807"/>
      <c r="EB23" s="1807"/>
      <c r="EC23" s="1807"/>
      <c r="ED23" s="1807"/>
      <c r="EE23" s="1807"/>
      <c r="EF23" s="1807"/>
      <c r="EG23" s="1807"/>
      <c r="EH23" s="1807"/>
      <c r="EI23" s="1807"/>
      <c r="EJ23" s="1807"/>
      <c r="EK23" s="1807"/>
      <c r="EL23" s="1807"/>
      <c r="EM23" s="1807"/>
      <c r="EN23" s="1807"/>
      <c r="EO23" s="1807"/>
      <c r="EP23" s="1807"/>
      <c r="EQ23" s="1807"/>
      <c r="ER23" s="1807"/>
      <c r="ES23" s="1807"/>
      <c r="ET23" s="1807"/>
      <c r="EU23" s="1807"/>
      <c r="EV23" s="1807"/>
      <c r="EW23" s="1807"/>
      <c r="EX23" s="1807"/>
      <c r="EY23" s="1807"/>
      <c r="EZ23" s="1807"/>
      <c r="FA23" s="1807"/>
      <c r="FB23" s="1807"/>
      <c r="FC23" s="1807"/>
      <c r="FD23" s="1807"/>
      <c r="FE23" s="1807"/>
      <c r="FF23" s="1807"/>
      <c r="FG23" s="1807"/>
      <c r="FH23" s="1807"/>
      <c r="FI23" s="1807"/>
      <c r="FJ23" s="1807"/>
      <c r="FK23" s="1807"/>
      <c r="FL23" s="1807"/>
      <c r="FM23" s="1807"/>
      <c r="FN23" s="1807"/>
      <c r="FO23" s="1807"/>
      <c r="FP23" s="1807"/>
      <c r="FQ23" s="1807"/>
      <c r="FR23" s="1807"/>
      <c r="FS23" s="1807"/>
      <c r="FT23" s="1807"/>
      <c r="FU23" s="1807"/>
      <c r="FV23" s="1807"/>
      <c r="FW23" s="1807"/>
      <c r="FX23" s="1807"/>
      <c r="FY23" s="1807"/>
      <c r="FZ23" s="1807"/>
      <c r="GA23" s="1807"/>
      <c r="GB23" s="1807"/>
      <c r="GC23" s="1807"/>
      <c r="GD23" s="1807"/>
      <c r="GE23" s="1807"/>
      <c r="GF23" s="1807"/>
      <c r="GG23" s="1807"/>
      <c r="GH23" s="1807"/>
      <c r="GI23" s="1807"/>
      <c r="GJ23" s="1807"/>
      <c r="GK23" s="1807"/>
      <c r="GL23" s="1807"/>
      <c r="GM23" s="1807"/>
      <c r="GN23" s="1807"/>
      <c r="GO23" s="1807"/>
      <c r="GP23" s="1807"/>
      <c r="GQ23" s="1807"/>
      <c r="GR23" s="1807"/>
      <c r="GS23" s="1807"/>
      <c r="GT23" s="1807"/>
      <c r="GU23" s="1807"/>
      <c r="GV23" s="1807"/>
      <c r="GW23" s="1807"/>
      <c r="GX23" s="1807"/>
      <c r="GY23" s="1807"/>
      <c r="GZ23" s="1807"/>
      <c r="HA23" s="1807"/>
      <c r="HB23" s="1807"/>
      <c r="HC23" s="1807"/>
      <c r="HD23" s="1807"/>
      <c r="HE23" s="1807"/>
      <c r="HF23" s="1807"/>
      <c r="HG23" s="1807"/>
    </row>
    <row r="24" spans="1:215" s="1893" customFormat="1" ht="15" customHeight="1" thickBot="1" x14ac:dyDescent="0.25">
      <c r="A24" s="2057"/>
      <c r="B24" s="2062" t="s">
        <v>840</v>
      </c>
      <c r="C24" s="2063"/>
      <c r="D24" s="2063"/>
      <c r="E24" s="2064"/>
      <c r="F24" s="1898"/>
      <c r="G24" s="2051"/>
      <c r="H24" s="1807"/>
      <c r="I24" s="1807"/>
      <c r="J24" s="1807"/>
      <c r="K24" s="1807"/>
      <c r="L24" s="1807"/>
      <c r="M24" s="1807"/>
      <c r="N24" s="1807"/>
      <c r="O24" s="1807"/>
      <c r="P24" s="1807"/>
      <c r="Q24" s="1807"/>
      <c r="R24" s="1807"/>
      <c r="S24" s="1807"/>
      <c r="T24" s="1807"/>
      <c r="U24" s="1807"/>
      <c r="V24" s="1807"/>
      <c r="W24" s="1807"/>
      <c r="X24" s="1807"/>
      <c r="Y24" s="1807"/>
      <c r="Z24" s="1807"/>
      <c r="AA24" s="1807"/>
      <c r="AB24" s="1807"/>
      <c r="AC24" s="1807"/>
      <c r="AD24" s="1807"/>
      <c r="AE24" s="1807"/>
      <c r="AF24" s="1807"/>
      <c r="AG24" s="1807"/>
      <c r="AH24" s="1807"/>
      <c r="AI24" s="1807"/>
      <c r="AJ24" s="1807"/>
      <c r="AK24" s="1807"/>
      <c r="AL24" s="1807"/>
      <c r="AM24" s="1807"/>
      <c r="AN24" s="1807"/>
      <c r="AO24" s="1807"/>
      <c r="AP24" s="1807"/>
      <c r="AQ24" s="1807"/>
      <c r="AR24" s="1807"/>
      <c r="AS24" s="1807"/>
      <c r="AT24" s="1807"/>
      <c r="AU24" s="1807"/>
      <c r="AV24" s="1807"/>
      <c r="AW24" s="1807"/>
      <c r="AX24" s="1807"/>
      <c r="AY24" s="1807"/>
      <c r="AZ24" s="1807"/>
      <c r="BA24" s="1807"/>
      <c r="BB24" s="1807"/>
      <c r="BC24" s="1807"/>
      <c r="BD24" s="1807"/>
      <c r="BE24" s="1807"/>
      <c r="BF24" s="1807"/>
      <c r="BG24" s="1807"/>
      <c r="BH24" s="1807"/>
      <c r="BI24" s="1807"/>
      <c r="BJ24" s="1807"/>
      <c r="BK24" s="1807"/>
      <c r="BL24" s="1807"/>
      <c r="BM24" s="1807"/>
      <c r="BN24" s="1807"/>
      <c r="BO24" s="1807"/>
      <c r="BP24" s="1807"/>
      <c r="BQ24" s="1807"/>
      <c r="BR24" s="1807"/>
      <c r="BS24" s="1807"/>
      <c r="BT24" s="1807"/>
      <c r="BU24" s="1807"/>
      <c r="BV24" s="1807"/>
      <c r="BW24" s="1807"/>
      <c r="BX24" s="1807"/>
      <c r="BY24" s="1807"/>
      <c r="BZ24" s="1807"/>
      <c r="CA24" s="1807"/>
      <c r="CB24" s="1807"/>
      <c r="CC24" s="1807"/>
      <c r="CD24" s="1807"/>
      <c r="CE24" s="1807"/>
      <c r="CF24" s="1807"/>
      <c r="CG24" s="1807"/>
      <c r="CH24" s="1807"/>
      <c r="CI24" s="1807"/>
      <c r="CJ24" s="1807"/>
      <c r="CK24" s="1807"/>
      <c r="CL24" s="1807"/>
      <c r="CM24" s="1807"/>
      <c r="CN24" s="1807"/>
      <c r="CO24" s="1807"/>
      <c r="CP24" s="1807"/>
      <c r="CQ24" s="1807"/>
      <c r="CR24" s="1807"/>
      <c r="CS24" s="1807"/>
      <c r="CT24" s="1807"/>
      <c r="CU24" s="1807"/>
      <c r="CV24" s="1807"/>
      <c r="CW24" s="1807"/>
      <c r="CX24" s="1807"/>
      <c r="CY24" s="1807"/>
      <c r="CZ24" s="1807"/>
      <c r="DA24" s="1807"/>
      <c r="DB24" s="1807"/>
      <c r="DC24" s="1807"/>
      <c r="DD24" s="1807"/>
      <c r="DE24" s="1807"/>
      <c r="DF24" s="1807"/>
      <c r="DG24" s="1807"/>
      <c r="DH24" s="1807"/>
      <c r="DI24" s="1807"/>
      <c r="DJ24" s="1807"/>
      <c r="DK24" s="1807"/>
      <c r="DL24" s="1807"/>
      <c r="DM24" s="1807"/>
      <c r="DN24" s="1807"/>
      <c r="DO24" s="1807"/>
      <c r="DP24" s="1807"/>
      <c r="DQ24" s="1807"/>
      <c r="DR24" s="1807"/>
      <c r="DS24" s="1807"/>
      <c r="DT24" s="1807"/>
      <c r="DU24" s="1807"/>
      <c r="DV24" s="1807"/>
      <c r="DW24" s="1807"/>
      <c r="DX24" s="1807"/>
      <c r="DY24" s="1807"/>
      <c r="DZ24" s="1807"/>
      <c r="EA24" s="1807"/>
      <c r="EB24" s="1807"/>
      <c r="EC24" s="1807"/>
      <c r="ED24" s="1807"/>
      <c r="EE24" s="1807"/>
      <c r="EF24" s="1807"/>
      <c r="EG24" s="1807"/>
      <c r="EH24" s="1807"/>
      <c r="EI24" s="1807"/>
      <c r="EJ24" s="1807"/>
      <c r="EK24" s="1807"/>
      <c r="EL24" s="1807"/>
      <c r="EM24" s="1807"/>
      <c r="EN24" s="1807"/>
      <c r="EO24" s="1807"/>
      <c r="EP24" s="1807"/>
      <c r="EQ24" s="1807"/>
      <c r="ER24" s="1807"/>
      <c r="ES24" s="1807"/>
      <c r="ET24" s="1807"/>
      <c r="EU24" s="1807"/>
      <c r="EV24" s="1807"/>
      <c r="EW24" s="1807"/>
      <c r="EX24" s="1807"/>
      <c r="EY24" s="1807"/>
      <c r="EZ24" s="1807"/>
      <c r="FA24" s="1807"/>
      <c r="FB24" s="1807"/>
      <c r="FC24" s="1807"/>
      <c r="FD24" s="1807"/>
      <c r="FE24" s="1807"/>
      <c r="FF24" s="1807"/>
      <c r="FG24" s="1807"/>
      <c r="FH24" s="1807"/>
      <c r="FI24" s="1807"/>
      <c r="FJ24" s="1807"/>
      <c r="FK24" s="1807"/>
      <c r="FL24" s="1807"/>
      <c r="FM24" s="1807"/>
      <c r="FN24" s="1807"/>
      <c r="FO24" s="1807"/>
      <c r="FP24" s="1807"/>
      <c r="FQ24" s="1807"/>
      <c r="FR24" s="1807"/>
      <c r="FS24" s="1807"/>
      <c r="FT24" s="1807"/>
      <c r="FU24" s="1807"/>
      <c r="FV24" s="1807"/>
      <c r="FW24" s="1807"/>
      <c r="FX24" s="1807"/>
      <c r="FY24" s="1807"/>
      <c r="FZ24" s="1807"/>
      <c r="GA24" s="1807"/>
      <c r="GB24" s="1807"/>
      <c r="GC24" s="1807"/>
      <c r="GD24" s="1807"/>
      <c r="GE24" s="1807"/>
      <c r="GF24" s="1807"/>
      <c r="GG24" s="1807"/>
      <c r="GH24" s="1807"/>
      <c r="GI24" s="1807"/>
      <c r="GJ24" s="1807"/>
      <c r="GK24" s="1807"/>
      <c r="GL24" s="1807"/>
      <c r="GM24" s="1807"/>
      <c r="GN24" s="1807"/>
      <c r="GO24" s="1807"/>
      <c r="GP24" s="1807"/>
      <c r="GQ24" s="1807"/>
      <c r="GR24" s="1807"/>
      <c r="GS24" s="1807"/>
      <c r="GT24" s="1807"/>
      <c r="GU24" s="1807"/>
      <c r="GV24" s="1807"/>
      <c r="GW24" s="1807"/>
      <c r="GX24" s="1807"/>
      <c r="GY24" s="1807"/>
      <c r="GZ24" s="1807"/>
      <c r="HA24" s="1807"/>
      <c r="HB24" s="1807"/>
      <c r="HC24" s="1807"/>
      <c r="HD24" s="1807"/>
      <c r="HE24" s="1807"/>
      <c r="HF24" s="1807"/>
      <c r="HG24" s="1807"/>
    </row>
    <row r="25" spans="1:215" s="1893" customFormat="1" ht="15" customHeight="1" thickBot="1" x14ac:dyDescent="0.25">
      <c r="A25" s="2057"/>
      <c r="B25" s="2013" t="s">
        <v>839</v>
      </c>
      <c r="C25" s="2014"/>
      <c r="D25" s="2014"/>
      <c r="E25" s="2015"/>
      <c r="F25" s="1898"/>
      <c r="G25" s="2051"/>
      <c r="H25" s="1807"/>
      <c r="I25" s="1807"/>
      <c r="J25" s="1807"/>
      <c r="K25" s="1807"/>
      <c r="L25" s="1807"/>
      <c r="M25" s="1807"/>
      <c r="N25" s="1807"/>
      <c r="O25" s="1807"/>
      <c r="P25" s="1807"/>
      <c r="Q25" s="1807"/>
      <c r="R25" s="1807"/>
      <c r="S25" s="1807"/>
      <c r="T25" s="1807"/>
      <c r="U25" s="1807"/>
      <c r="V25" s="1807"/>
      <c r="W25" s="1807"/>
      <c r="X25" s="1807"/>
      <c r="Y25" s="1807"/>
      <c r="Z25" s="1807"/>
      <c r="AA25" s="1807"/>
      <c r="AB25" s="1807"/>
      <c r="AC25" s="1807"/>
      <c r="AD25" s="1807"/>
      <c r="AE25" s="1807"/>
      <c r="AF25" s="1807"/>
      <c r="AG25" s="1807"/>
      <c r="AH25" s="1807"/>
      <c r="AI25" s="1807"/>
      <c r="AJ25" s="1807"/>
      <c r="AK25" s="1807"/>
      <c r="AL25" s="1807"/>
      <c r="AM25" s="1807"/>
      <c r="AN25" s="1807"/>
      <c r="AO25" s="1807"/>
      <c r="AP25" s="1807"/>
      <c r="AQ25" s="1807"/>
      <c r="AR25" s="1807"/>
      <c r="AS25" s="1807"/>
      <c r="AT25" s="1807"/>
      <c r="AU25" s="1807"/>
      <c r="AV25" s="1807"/>
      <c r="AW25" s="1807"/>
      <c r="AX25" s="1807"/>
      <c r="AY25" s="1807"/>
      <c r="AZ25" s="1807"/>
      <c r="BA25" s="1807"/>
      <c r="BB25" s="1807"/>
      <c r="BC25" s="1807"/>
      <c r="BD25" s="1807"/>
      <c r="BE25" s="1807"/>
      <c r="BF25" s="1807"/>
      <c r="BG25" s="1807"/>
      <c r="BH25" s="1807"/>
      <c r="BI25" s="1807"/>
      <c r="BJ25" s="1807"/>
      <c r="BK25" s="1807"/>
      <c r="BL25" s="1807"/>
      <c r="BM25" s="1807"/>
      <c r="BN25" s="1807"/>
      <c r="BO25" s="1807"/>
      <c r="BP25" s="1807"/>
      <c r="BQ25" s="1807"/>
      <c r="BR25" s="1807"/>
      <c r="BS25" s="1807"/>
      <c r="BT25" s="1807"/>
      <c r="BU25" s="1807"/>
      <c r="BV25" s="1807"/>
      <c r="BW25" s="1807"/>
      <c r="BX25" s="1807"/>
      <c r="BY25" s="1807"/>
      <c r="BZ25" s="1807"/>
      <c r="CA25" s="1807"/>
      <c r="CB25" s="1807"/>
      <c r="CC25" s="1807"/>
      <c r="CD25" s="1807"/>
      <c r="CE25" s="1807"/>
      <c r="CF25" s="1807"/>
      <c r="CG25" s="1807"/>
      <c r="CH25" s="1807"/>
      <c r="CI25" s="1807"/>
      <c r="CJ25" s="1807"/>
      <c r="CK25" s="1807"/>
      <c r="CL25" s="1807"/>
      <c r="CM25" s="1807"/>
      <c r="CN25" s="1807"/>
      <c r="CO25" s="1807"/>
      <c r="CP25" s="1807"/>
      <c r="CQ25" s="1807"/>
      <c r="CR25" s="1807"/>
      <c r="CS25" s="1807"/>
      <c r="CT25" s="1807"/>
      <c r="CU25" s="1807"/>
      <c r="CV25" s="1807"/>
      <c r="CW25" s="1807"/>
      <c r="CX25" s="1807"/>
      <c r="CY25" s="1807"/>
      <c r="CZ25" s="1807"/>
      <c r="DA25" s="1807"/>
      <c r="DB25" s="1807"/>
      <c r="DC25" s="1807"/>
      <c r="DD25" s="1807"/>
      <c r="DE25" s="1807"/>
      <c r="DF25" s="1807"/>
      <c r="DG25" s="1807"/>
      <c r="DH25" s="1807"/>
      <c r="DI25" s="1807"/>
      <c r="DJ25" s="1807"/>
      <c r="DK25" s="1807"/>
      <c r="DL25" s="1807"/>
      <c r="DM25" s="1807"/>
      <c r="DN25" s="1807"/>
      <c r="DO25" s="1807"/>
      <c r="DP25" s="1807"/>
      <c r="DQ25" s="1807"/>
      <c r="DR25" s="1807"/>
      <c r="DS25" s="1807"/>
      <c r="DT25" s="1807"/>
      <c r="DU25" s="1807"/>
      <c r="DV25" s="1807"/>
      <c r="DW25" s="1807"/>
      <c r="DX25" s="1807"/>
      <c r="DY25" s="1807"/>
      <c r="DZ25" s="1807"/>
      <c r="EA25" s="1807"/>
      <c r="EB25" s="1807"/>
      <c r="EC25" s="1807"/>
      <c r="ED25" s="1807"/>
      <c r="EE25" s="1807"/>
      <c r="EF25" s="1807"/>
      <c r="EG25" s="1807"/>
      <c r="EH25" s="1807"/>
      <c r="EI25" s="1807"/>
      <c r="EJ25" s="1807"/>
      <c r="EK25" s="1807"/>
      <c r="EL25" s="1807"/>
      <c r="EM25" s="1807"/>
      <c r="EN25" s="1807"/>
      <c r="EO25" s="1807"/>
      <c r="EP25" s="1807"/>
      <c r="EQ25" s="1807"/>
      <c r="ER25" s="1807"/>
      <c r="ES25" s="1807"/>
      <c r="ET25" s="1807"/>
      <c r="EU25" s="1807"/>
      <c r="EV25" s="1807"/>
      <c r="EW25" s="1807"/>
      <c r="EX25" s="1807"/>
      <c r="EY25" s="1807"/>
      <c r="EZ25" s="1807"/>
      <c r="FA25" s="1807"/>
      <c r="FB25" s="1807"/>
      <c r="FC25" s="1807"/>
      <c r="FD25" s="1807"/>
      <c r="FE25" s="1807"/>
      <c r="FF25" s="1807"/>
      <c r="FG25" s="1807"/>
      <c r="FH25" s="1807"/>
      <c r="FI25" s="1807"/>
      <c r="FJ25" s="1807"/>
      <c r="FK25" s="1807"/>
      <c r="FL25" s="1807"/>
      <c r="FM25" s="1807"/>
      <c r="FN25" s="1807"/>
      <c r="FO25" s="1807"/>
      <c r="FP25" s="1807"/>
      <c r="FQ25" s="1807"/>
      <c r="FR25" s="1807"/>
      <c r="FS25" s="1807"/>
      <c r="FT25" s="1807"/>
      <c r="FU25" s="1807"/>
      <c r="FV25" s="1807"/>
      <c r="FW25" s="1807"/>
      <c r="FX25" s="1807"/>
      <c r="FY25" s="1807"/>
      <c r="FZ25" s="1807"/>
      <c r="GA25" s="1807"/>
      <c r="GB25" s="1807"/>
      <c r="GC25" s="1807"/>
      <c r="GD25" s="1807"/>
      <c r="GE25" s="1807"/>
      <c r="GF25" s="1807"/>
      <c r="GG25" s="1807"/>
      <c r="GH25" s="1807"/>
      <c r="GI25" s="1807"/>
      <c r="GJ25" s="1807"/>
      <c r="GK25" s="1807"/>
      <c r="GL25" s="1807"/>
      <c r="GM25" s="1807"/>
      <c r="GN25" s="1807"/>
      <c r="GO25" s="1807"/>
      <c r="GP25" s="1807"/>
      <c r="GQ25" s="1807"/>
      <c r="GR25" s="1807"/>
      <c r="GS25" s="1807"/>
      <c r="GT25" s="1807"/>
      <c r="GU25" s="1807"/>
      <c r="GV25" s="1807"/>
      <c r="GW25" s="1807"/>
      <c r="GX25" s="1807"/>
      <c r="GY25" s="1807"/>
      <c r="GZ25" s="1807"/>
      <c r="HA25" s="1807"/>
      <c r="HB25" s="1807"/>
      <c r="HC25" s="1807"/>
      <c r="HD25" s="1807"/>
      <c r="HE25" s="1807"/>
      <c r="HF25" s="1807"/>
      <c r="HG25" s="1807"/>
    </row>
    <row r="26" spans="1:215" s="1893" customFormat="1" ht="30" customHeight="1" thickBot="1" x14ac:dyDescent="0.25">
      <c r="A26" s="2057"/>
      <c r="B26" s="2029" t="s">
        <v>2403</v>
      </c>
      <c r="C26" s="2030"/>
      <c r="D26" s="2030"/>
      <c r="E26" s="2031"/>
      <c r="F26" s="1899"/>
      <c r="G26" s="2052"/>
      <c r="H26" s="1808"/>
      <c r="I26" s="1808"/>
      <c r="J26" s="1808"/>
      <c r="K26" s="1808"/>
      <c r="L26" s="1808"/>
      <c r="M26" s="1808"/>
      <c r="N26" s="1808"/>
      <c r="O26" s="1808"/>
      <c r="P26" s="1808"/>
      <c r="Q26" s="1808"/>
      <c r="R26" s="1808"/>
      <c r="S26" s="1808"/>
      <c r="T26" s="1808"/>
      <c r="U26" s="1808"/>
      <c r="V26" s="1808"/>
      <c r="W26" s="1808"/>
      <c r="X26" s="1808"/>
      <c r="Y26" s="1808"/>
      <c r="Z26" s="1808"/>
      <c r="AA26" s="1808"/>
      <c r="AB26" s="1808"/>
      <c r="AC26" s="1808"/>
      <c r="AD26" s="1808"/>
      <c r="AE26" s="1808"/>
      <c r="AF26" s="1808"/>
      <c r="AG26" s="1808"/>
      <c r="AH26" s="1808"/>
      <c r="AI26" s="1808"/>
      <c r="AJ26" s="1808"/>
      <c r="AK26" s="1808"/>
      <c r="AL26" s="1808"/>
      <c r="AM26" s="1808"/>
      <c r="AN26" s="1808"/>
      <c r="AO26" s="1808"/>
      <c r="AP26" s="1808"/>
      <c r="AQ26" s="1808"/>
      <c r="AR26" s="1808"/>
      <c r="AS26" s="1808"/>
      <c r="AT26" s="1808"/>
      <c r="AU26" s="1808"/>
      <c r="AV26" s="1808"/>
      <c r="AW26" s="1808"/>
      <c r="AX26" s="1808"/>
      <c r="AY26" s="1808"/>
      <c r="AZ26" s="1808"/>
      <c r="BA26" s="1808"/>
      <c r="BB26" s="1808"/>
      <c r="BC26" s="1808"/>
      <c r="BD26" s="1808"/>
      <c r="BE26" s="1808"/>
      <c r="BF26" s="1808"/>
      <c r="BG26" s="1808"/>
      <c r="BH26" s="1808"/>
      <c r="BI26" s="1808"/>
      <c r="BJ26" s="1808"/>
      <c r="BK26" s="1808"/>
      <c r="BL26" s="1808"/>
      <c r="BM26" s="1808"/>
      <c r="BN26" s="1808"/>
      <c r="BO26" s="1808"/>
      <c r="BP26" s="1808"/>
      <c r="BQ26" s="1808"/>
      <c r="BR26" s="1808"/>
      <c r="BS26" s="1808"/>
      <c r="BT26" s="1808"/>
      <c r="BU26" s="1808"/>
      <c r="BV26" s="1808"/>
      <c r="BW26" s="1808"/>
      <c r="BX26" s="1808"/>
      <c r="BY26" s="1808"/>
      <c r="BZ26" s="1808"/>
      <c r="CA26" s="1808"/>
      <c r="CB26" s="1808"/>
      <c r="CC26" s="1808"/>
      <c r="CD26" s="1808"/>
      <c r="CE26" s="1808"/>
      <c r="CF26" s="1808"/>
      <c r="CG26" s="1808"/>
      <c r="CH26" s="1808"/>
      <c r="CI26" s="1808"/>
      <c r="CJ26" s="1808"/>
      <c r="CK26" s="1808"/>
      <c r="CL26" s="1808"/>
      <c r="CM26" s="1808"/>
      <c r="CN26" s="1808"/>
      <c r="CO26" s="1808"/>
      <c r="CP26" s="1808"/>
      <c r="CQ26" s="1808"/>
      <c r="CR26" s="1808"/>
      <c r="CS26" s="1808"/>
      <c r="CT26" s="1808"/>
      <c r="CU26" s="1808"/>
      <c r="CV26" s="1808"/>
      <c r="CW26" s="1808"/>
      <c r="CX26" s="1808"/>
      <c r="CY26" s="1808"/>
      <c r="CZ26" s="1808"/>
      <c r="DA26" s="1808"/>
      <c r="DB26" s="1808"/>
      <c r="DC26" s="1808"/>
      <c r="DD26" s="1808"/>
      <c r="DE26" s="1808"/>
      <c r="DF26" s="1808"/>
      <c r="DG26" s="1808"/>
      <c r="DH26" s="1808"/>
      <c r="DI26" s="1808"/>
      <c r="DJ26" s="1808"/>
      <c r="DK26" s="1808"/>
      <c r="DL26" s="1808"/>
      <c r="DM26" s="1808"/>
      <c r="DN26" s="1808"/>
      <c r="DO26" s="1808"/>
      <c r="DP26" s="1808"/>
      <c r="DQ26" s="1808"/>
      <c r="DR26" s="1808"/>
      <c r="DS26" s="1808"/>
      <c r="DT26" s="1808"/>
      <c r="DU26" s="1808"/>
      <c r="DV26" s="1808"/>
      <c r="DW26" s="1808"/>
      <c r="DX26" s="1808"/>
      <c r="DY26" s="1808"/>
      <c r="DZ26" s="1808"/>
      <c r="EA26" s="1808"/>
      <c r="EB26" s="1808"/>
      <c r="EC26" s="1808"/>
      <c r="ED26" s="1808"/>
      <c r="EE26" s="1808"/>
      <c r="EF26" s="1808"/>
      <c r="EG26" s="1808"/>
      <c r="EH26" s="1808"/>
      <c r="EI26" s="1808"/>
      <c r="EJ26" s="1808"/>
      <c r="EK26" s="1808"/>
      <c r="EL26" s="1808"/>
      <c r="EM26" s="1808"/>
      <c r="EN26" s="1808"/>
      <c r="EO26" s="1808"/>
      <c r="EP26" s="1808"/>
      <c r="EQ26" s="1808"/>
      <c r="ER26" s="1808"/>
      <c r="ES26" s="1808"/>
      <c r="ET26" s="1808"/>
      <c r="EU26" s="1808"/>
      <c r="EV26" s="1808"/>
      <c r="EW26" s="1808"/>
      <c r="EX26" s="1808"/>
      <c r="EY26" s="1808"/>
      <c r="EZ26" s="1808"/>
      <c r="FA26" s="1808"/>
      <c r="FB26" s="1808"/>
      <c r="FC26" s="1808"/>
      <c r="FD26" s="1808"/>
      <c r="FE26" s="1808"/>
      <c r="FF26" s="1808"/>
      <c r="FG26" s="1808"/>
      <c r="FH26" s="1808"/>
      <c r="FI26" s="1808"/>
      <c r="FJ26" s="1808"/>
      <c r="FK26" s="1808"/>
      <c r="FL26" s="1808"/>
      <c r="FM26" s="1808"/>
      <c r="FN26" s="1808"/>
      <c r="FO26" s="1808"/>
      <c r="FP26" s="1808"/>
      <c r="FQ26" s="1808"/>
      <c r="FR26" s="1808"/>
      <c r="FS26" s="1808"/>
      <c r="FT26" s="1808"/>
      <c r="FU26" s="1808"/>
      <c r="FV26" s="1808"/>
      <c r="FW26" s="1808"/>
      <c r="FX26" s="1808"/>
      <c r="FY26" s="1808"/>
      <c r="FZ26" s="1808"/>
      <c r="GA26" s="1808"/>
      <c r="GB26" s="1808"/>
      <c r="GC26" s="1808"/>
      <c r="GD26" s="1808"/>
      <c r="GE26" s="1808"/>
      <c r="GF26" s="1808"/>
      <c r="GG26" s="1808"/>
      <c r="GH26" s="1808"/>
      <c r="GI26" s="1808"/>
      <c r="GJ26" s="1808"/>
      <c r="GK26" s="1808"/>
      <c r="GL26" s="1808"/>
      <c r="GM26" s="1808"/>
      <c r="GN26" s="1808"/>
      <c r="GO26" s="1808"/>
      <c r="GP26" s="1808"/>
      <c r="GQ26" s="1808"/>
      <c r="GR26" s="1808"/>
      <c r="GS26" s="1808"/>
      <c r="GT26" s="1808"/>
      <c r="GU26" s="1808"/>
      <c r="GV26" s="1808"/>
      <c r="GW26" s="1808"/>
      <c r="GX26" s="1808"/>
      <c r="GY26" s="1808"/>
      <c r="GZ26" s="1808"/>
      <c r="HA26" s="1808"/>
      <c r="HB26" s="1808"/>
      <c r="HC26" s="1808"/>
      <c r="HD26" s="1808"/>
      <c r="HE26" s="1808"/>
      <c r="HF26" s="1808"/>
      <c r="HG26" s="1808"/>
    </row>
    <row r="27" spans="1:215" s="1894" customFormat="1" ht="18" customHeight="1" thickBot="1" x14ac:dyDescent="0.25">
      <c r="A27" s="2057"/>
      <c r="B27" s="1915"/>
      <c r="C27" s="1902" t="s">
        <v>15</v>
      </c>
      <c r="D27" s="1902" t="s">
        <v>16</v>
      </c>
      <c r="E27" s="1903" t="s">
        <v>17</v>
      </c>
      <c r="F27" s="1899"/>
      <c r="G27" s="2052"/>
      <c r="H27" s="1808"/>
      <c r="I27" s="1808"/>
      <c r="J27" s="1808"/>
      <c r="K27" s="1808"/>
      <c r="L27" s="1808"/>
      <c r="M27" s="1808"/>
      <c r="N27" s="1808"/>
      <c r="O27" s="1808"/>
      <c r="P27" s="1808"/>
      <c r="Q27" s="1808"/>
      <c r="R27" s="1808"/>
      <c r="S27" s="1808"/>
      <c r="T27" s="1808"/>
      <c r="U27" s="1808"/>
      <c r="V27" s="1808"/>
      <c r="W27" s="1808"/>
      <c r="X27" s="1808"/>
      <c r="Y27" s="1808"/>
      <c r="Z27" s="1808"/>
      <c r="AA27" s="1808"/>
      <c r="AB27" s="1808"/>
      <c r="AC27" s="1808"/>
      <c r="AD27" s="1808"/>
      <c r="AE27" s="1808"/>
      <c r="AF27" s="1808"/>
      <c r="AG27" s="1808"/>
      <c r="AH27" s="1808"/>
      <c r="AI27" s="1808"/>
      <c r="AJ27" s="1808"/>
      <c r="AK27" s="1808"/>
      <c r="AL27" s="1808"/>
      <c r="AM27" s="1808"/>
      <c r="AN27" s="1808"/>
      <c r="AO27" s="1808"/>
      <c r="AP27" s="1808"/>
      <c r="AQ27" s="1808"/>
      <c r="AR27" s="1808"/>
      <c r="AS27" s="1808"/>
      <c r="AT27" s="1808"/>
      <c r="AU27" s="1808"/>
      <c r="AV27" s="1808"/>
      <c r="AW27" s="1808"/>
      <c r="AX27" s="1808"/>
      <c r="AY27" s="1808"/>
      <c r="AZ27" s="1808"/>
      <c r="BA27" s="1808"/>
      <c r="BB27" s="1808"/>
      <c r="BC27" s="1808"/>
      <c r="BD27" s="1808"/>
      <c r="BE27" s="1808"/>
      <c r="BF27" s="1808"/>
      <c r="BG27" s="1808"/>
      <c r="BH27" s="1808"/>
      <c r="BI27" s="1808"/>
      <c r="BJ27" s="1808"/>
      <c r="BK27" s="1808"/>
      <c r="BL27" s="1808"/>
      <c r="BM27" s="1808"/>
      <c r="BN27" s="1808"/>
      <c r="BO27" s="1808"/>
      <c r="BP27" s="1808"/>
      <c r="BQ27" s="1808"/>
      <c r="BR27" s="1808"/>
      <c r="BS27" s="1808"/>
      <c r="BT27" s="1808"/>
      <c r="BU27" s="1808"/>
      <c r="BV27" s="1808"/>
      <c r="BW27" s="1808"/>
      <c r="BX27" s="1808"/>
      <c r="BY27" s="1808"/>
      <c r="BZ27" s="1808"/>
      <c r="CA27" s="1808"/>
      <c r="CB27" s="1808"/>
      <c r="CC27" s="1808"/>
      <c r="CD27" s="1808"/>
      <c r="CE27" s="1808"/>
      <c r="CF27" s="1808"/>
      <c r="CG27" s="1808"/>
      <c r="CH27" s="1808"/>
      <c r="CI27" s="1808"/>
      <c r="CJ27" s="1808"/>
      <c r="CK27" s="1808"/>
      <c r="CL27" s="1808"/>
      <c r="CM27" s="1808"/>
      <c r="CN27" s="1808"/>
      <c r="CO27" s="1808"/>
      <c r="CP27" s="1808"/>
      <c r="CQ27" s="1808"/>
      <c r="CR27" s="1808"/>
      <c r="CS27" s="1808"/>
      <c r="CT27" s="1808"/>
      <c r="CU27" s="1808"/>
      <c r="CV27" s="1808"/>
      <c r="CW27" s="1808"/>
      <c r="CX27" s="1808"/>
      <c r="CY27" s="1808"/>
      <c r="CZ27" s="1808"/>
      <c r="DA27" s="1808"/>
      <c r="DB27" s="1808"/>
      <c r="DC27" s="1808"/>
      <c r="DD27" s="1808"/>
      <c r="DE27" s="1808"/>
      <c r="DF27" s="1808"/>
      <c r="DG27" s="1808"/>
      <c r="DH27" s="1808"/>
      <c r="DI27" s="1808"/>
      <c r="DJ27" s="1808"/>
      <c r="DK27" s="1808"/>
      <c r="DL27" s="1808"/>
      <c r="DM27" s="1808"/>
      <c r="DN27" s="1808"/>
      <c r="DO27" s="1808"/>
      <c r="DP27" s="1808"/>
      <c r="DQ27" s="1808"/>
      <c r="DR27" s="1808"/>
      <c r="DS27" s="1808"/>
      <c r="DT27" s="1808"/>
      <c r="DU27" s="1808"/>
      <c r="DV27" s="1808"/>
      <c r="DW27" s="1808"/>
      <c r="DX27" s="1808"/>
      <c r="DY27" s="1808"/>
      <c r="DZ27" s="1808"/>
      <c r="EA27" s="1808"/>
      <c r="EB27" s="1808"/>
      <c r="EC27" s="1808"/>
      <c r="ED27" s="1808"/>
      <c r="EE27" s="1808"/>
      <c r="EF27" s="1808"/>
      <c r="EG27" s="1808"/>
      <c r="EH27" s="1808"/>
      <c r="EI27" s="1808"/>
      <c r="EJ27" s="1808"/>
      <c r="EK27" s="1808"/>
      <c r="EL27" s="1808"/>
      <c r="EM27" s="1808"/>
      <c r="EN27" s="1808"/>
      <c r="EO27" s="1808"/>
      <c r="EP27" s="1808"/>
      <c r="EQ27" s="1808"/>
      <c r="ER27" s="1808"/>
      <c r="ES27" s="1808"/>
      <c r="ET27" s="1808"/>
      <c r="EU27" s="1808"/>
      <c r="EV27" s="1808"/>
      <c r="EW27" s="1808"/>
      <c r="EX27" s="1808"/>
      <c r="EY27" s="1808"/>
      <c r="EZ27" s="1808"/>
      <c r="FA27" s="1808"/>
      <c r="FB27" s="1808"/>
      <c r="FC27" s="1808"/>
      <c r="FD27" s="1808"/>
      <c r="FE27" s="1808"/>
      <c r="FF27" s="1808"/>
      <c r="FG27" s="1808"/>
      <c r="FH27" s="1808"/>
      <c r="FI27" s="1808"/>
      <c r="FJ27" s="1808"/>
      <c r="FK27" s="1808"/>
      <c r="FL27" s="1808"/>
      <c r="FM27" s="1808"/>
      <c r="FN27" s="1808"/>
      <c r="FO27" s="1808"/>
      <c r="FP27" s="1808"/>
      <c r="FQ27" s="1808"/>
      <c r="FR27" s="1808"/>
      <c r="FS27" s="1808"/>
      <c r="FT27" s="1808"/>
      <c r="FU27" s="1808"/>
      <c r="FV27" s="1808"/>
      <c r="FW27" s="1808"/>
      <c r="FX27" s="1808"/>
      <c r="FY27" s="1808"/>
      <c r="FZ27" s="1808"/>
      <c r="GA27" s="1808"/>
      <c r="GB27" s="1808"/>
      <c r="GC27" s="1808"/>
      <c r="GD27" s="1808"/>
      <c r="GE27" s="1808"/>
      <c r="GF27" s="1808"/>
      <c r="GG27" s="1808"/>
      <c r="GH27" s="1808"/>
      <c r="GI27" s="1808"/>
      <c r="GJ27" s="1808"/>
      <c r="GK27" s="1808"/>
      <c r="GL27" s="1808"/>
      <c r="GM27" s="1808"/>
      <c r="GN27" s="1808"/>
      <c r="GO27" s="1808"/>
      <c r="GP27" s="1808"/>
      <c r="GQ27" s="1808"/>
      <c r="GR27" s="1808"/>
      <c r="GS27" s="1808"/>
      <c r="GT27" s="1808"/>
      <c r="GU27" s="1808"/>
      <c r="GV27" s="1808"/>
      <c r="GW27" s="1808"/>
      <c r="GX27" s="1808"/>
      <c r="GY27" s="1808"/>
      <c r="GZ27" s="1808"/>
      <c r="HA27" s="1808"/>
      <c r="HB27" s="1808"/>
      <c r="HC27" s="1808"/>
      <c r="HD27" s="1808"/>
      <c r="HE27" s="1808"/>
      <c r="HF27" s="1808"/>
      <c r="HG27" s="1808"/>
    </row>
    <row r="28" spans="1:215" s="1894" customFormat="1" ht="30" customHeight="1" thickBot="1" x14ac:dyDescent="0.25">
      <c r="A28" s="2057"/>
      <c r="B28" s="1904" t="s">
        <v>57</v>
      </c>
      <c r="C28" s="1784" t="s">
        <v>835</v>
      </c>
      <c r="D28" s="1784" t="s">
        <v>836</v>
      </c>
      <c r="E28" s="1785" t="s">
        <v>837</v>
      </c>
      <c r="F28" s="1916">
        <v>0</v>
      </c>
      <c r="G28" s="2053"/>
      <c r="H28" s="1809">
        <v>0</v>
      </c>
      <c r="I28" s="1809">
        <v>0</v>
      </c>
      <c r="J28" s="1809">
        <v>0</v>
      </c>
      <c r="K28" s="1809">
        <v>0</v>
      </c>
      <c r="L28" s="1809">
        <v>0</v>
      </c>
      <c r="M28" s="1809">
        <v>0</v>
      </c>
      <c r="N28" s="1809">
        <v>0</v>
      </c>
      <c r="O28" s="1809">
        <v>0</v>
      </c>
      <c r="P28" s="1809">
        <v>0</v>
      </c>
      <c r="Q28" s="1809">
        <v>0</v>
      </c>
      <c r="R28" s="1809">
        <v>0</v>
      </c>
      <c r="S28" s="1809">
        <v>0</v>
      </c>
      <c r="T28" s="1809">
        <v>0</v>
      </c>
      <c r="U28" s="1809">
        <v>0</v>
      </c>
      <c r="V28" s="1809">
        <v>0</v>
      </c>
      <c r="W28" s="1809">
        <v>0</v>
      </c>
      <c r="X28" s="1809">
        <v>0</v>
      </c>
      <c r="Y28" s="1809">
        <v>0</v>
      </c>
      <c r="Z28" s="1809">
        <v>0</v>
      </c>
      <c r="AA28" s="1809">
        <v>0</v>
      </c>
      <c r="AB28" s="1809">
        <v>0</v>
      </c>
      <c r="AC28" s="1809">
        <v>0</v>
      </c>
      <c r="AD28" s="1809">
        <v>0</v>
      </c>
      <c r="AE28" s="1809">
        <v>0</v>
      </c>
      <c r="AF28" s="1809">
        <v>0</v>
      </c>
      <c r="AG28" s="1809">
        <v>0</v>
      </c>
      <c r="AH28" s="1809">
        <v>0</v>
      </c>
      <c r="AI28" s="1809">
        <v>0</v>
      </c>
      <c r="AJ28" s="1809">
        <v>0</v>
      </c>
      <c r="AK28" s="1809">
        <v>0</v>
      </c>
      <c r="AL28" s="1809">
        <v>0</v>
      </c>
      <c r="AM28" s="1809">
        <v>0</v>
      </c>
      <c r="AN28" s="1809">
        <v>0</v>
      </c>
      <c r="AO28" s="1809">
        <v>0</v>
      </c>
      <c r="AP28" s="1809">
        <v>0</v>
      </c>
      <c r="AQ28" s="1809">
        <v>0</v>
      </c>
      <c r="AR28" s="1809">
        <v>0</v>
      </c>
      <c r="AS28" s="1809">
        <v>0</v>
      </c>
      <c r="AT28" s="1809">
        <v>0</v>
      </c>
      <c r="AU28" s="1809">
        <v>0</v>
      </c>
      <c r="AV28" s="1809">
        <v>0</v>
      </c>
      <c r="AW28" s="1809">
        <v>0</v>
      </c>
      <c r="AX28" s="1809">
        <v>0</v>
      </c>
      <c r="AY28" s="1809">
        <v>0</v>
      </c>
      <c r="AZ28" s="1809">
        <v>0</v>
      </c>
      <c r="BA28" s="1809">
        <v>0</v>
      </c>
      <c r="BB28" s="1809">
        <v>0</v>
      </c>
      <c r="BC28" s="1809">
        <v>0</v>
      </c>
      <c r="BD28" s="1809">
        <v>0</v>
      </c>
      <c r="BE28" s="1809">
        <v>0</v>
      </c>
      <c r="BF28" s="1809">
        <v>0</v>
      </c>
      <c r="BG28" s="1809">
        <v>0</v>
      </c>
      <c r="BH28" s="1809">
        <v>0</v>
      </c>
      <c r="BI28" s="1809">
        <v>0</v>
      </c>
      <c r="BJ28" s="1809">
        <v>0</v>
      </c>
      <c r="BK28" s="1809">
        <v>0</v>
      </c>
      <c r="BL28" s="1809">
        <v>0</v>
      </c>
      <c r="BM28" s="1809">
        <v>0</v>
      </c>
      <c r="BN28" s="1809">
        <v>0</v>
      </c>
      <c r="BO28" s="1809">
        <v>0</v>
      </c>
      <c r="BP28" s="1809">
        <v>0</v>
      </c>
      <c r="BQ28" s="1809">
        <v>0</v>
      </c>
      <c r="BR28" s="1809">
        <v>0</v>
      </c>
      <c r="BS28" s="1809">
        <v>0</v>
      </c>
      <c r="BT28" s="1809">
        <v>0</v>
      </c>
      <c r="BU28" s="1809">
        <v>0</v>
      </c>
      <c r="BV28" s="1809">
        <v>0</v>
      </c>
      <c r="BW28" s="1809">
        <v>0</v>
      </c>
      <c r="BX28" s="1809">
        <v>0</v>
      </c>
      <c r="BY28" s="1809">
        <v>0</v>
      </c>
      <c r="BZ28" s="1809">
        <v>0</v>
      </c>
      <c r="CA28" s="1809">
        <v>0</v>
      </c>
      <c r="CB28" s="1809">
        <v>0</v>
      </c>
      <c r="CC28" s="1809">
        <v>0</v>
      </c>
      <c r="CD28" s="1809">
        <v>0</v>
      </c>
      <c r="CE28" s="1809">
        <v>0</v>
      </c>
      <c r="CF28" s="1809">
        <v>0</v>
      </c>
      <c r="CG28" s="1809">
        <v>0</v>
      </c>
      <c r="CH28" s="1809">
        <v>0</v>
      </c>
      <c r="CI28" s="1809">
        <v>0</v>
      </c>
      <c r="CJ28" s="1809">
        <v>0</v>
      </c>
      <c r="CK28" s="1809">
        <v>0</v>
      </c>
      <c r="CL28" s="1809">
        <v>0</v>
      </c>
      <c r="CM28" s="1809">
        <v>0</v>
      </c>
      <c r="CN28" s="1809">
        <v>0</v>
      </c>
      <c r="CO28" s="1809">
        <v>0</v>
      </c>
      <c r="CP28" s="1809">
        <v>0</v>
      </c>
      <c r="CQ28" s="1809">
        <v>0</v>
      </c>
      <c r="CR28" s="1809">
        <v>0</v>
      </c>
      <c r="CS28" s="1809">
        <v>0</v>
      </c>
      <c r="CT28" s="1809">
        <v>0</v>
      </c>
      <c r="CU28" s="1809">
        <v>0</v>
      </c>
      <c r="CV28" s="1809">
        <v>0</v>
      </c>
      <c r="CW28" s="1809">
        <v>0</v>
      </c>
      <c r="CX28" s="1809">
        <v>0</v>
      </c>
      <c r="CY28" s="1809">
        <v>0</v>
      </c>
      <c r="CZ28" s="1809">
        <v>0</v>
      </c>
      <c r="DA28" s="1809">
        <v>0</v>
      </c>
      <c r="DB28" s="1809">
        <v>0</v>
      </c>
      <c r="DC28" s="1809">
        <v>0</v>
      </c>
      <c r="DD28" s="1809">
        <v>0</v>
      </c>
      <c r="DE28" s="1809">
        <v>0</v>
      </c>
      <c r="DF28" s="1809">
        <v>0</v>
      </c>
      <c r="DG28" s="1809">
        <v>0</v>
      </c>
      <c r="DH28" s="1809">
        <v>0</v>
      </c>
      <c r="DI28" s="1809">
        <v>0</v>
      </c>
      <c r="DJ28" s="1809">
        <v>0</v>
      </c>
      <c r="DK28" s="1809">
        <v>0</v>
      </c>
      <c r="DL28" s="1809">
        <v>0</v>
      </c>
      <c r="DM28" s="1809">
        <v>0</v>
      </c>
      <c r="DN28" s="1809">
        <v>0</v>
      </c>
      <c r="DO28" s="1809">
        <v>0</v>
      </c>
      <c r="DP28" s="1809">
        <v>0</v>
      </c>
      <c r="DQ28" s="1809">
        <v>0</v>
      </c>
      <c r="DR28" s="1809">
        <v>0</v>
      </c>
      <c r="DS28" s="1809">
        <v>0</v>
      </c>
      <c r="DT28" s="1809">
        <v>0</v>
      </c>
      <c r="DU28" s="1809">
        <v>0</v>
      </c>
      <c r="DV28" s="1809">
        <v>0</v>
      </c>
      <c r="DW28" s="1809">
        <v>0</v>
      </c>
      <c r="DX28" s="1809">
        <v>0</v>
      </c>
      <c r="DY28" s="1809">
        <v>0</v>
      </c>
      <c r="DZ28" s="1809">
        <v>0</v>
      </c>
      <c r="EA28" s="1809">
        <v>0</v>
      </c>
      <c r="EB28" s="1809">
        <v>0</v>
      </c>
      <c r="EC28" s="1809">
        <v>0</v>
      </c>
      <c r="ED28" s="1809">
        <v>0</v>
      </c>
      <c r="EE28" s="1809">
        <v>0</v>
      </c>
      <c r="EF28" s="1809">
        <v>0</v>
      </c>
      <c r="EG28" s="1809">
        <v>0</v>
      </c>
      <c r="EH28" s="1809">
        <v>0</v>
      </c>
      <c r="EI28" s="1809">
        <v>0</v>
      </c>
      <c r="EJ28" s="1809">
        <v>0</v>
      </c>
      <c r="EK28" s="1809">
        <v>0</v>
      </c>
      <c r="EL28" s="1809">
        <v>0</v>
      </c>
      <c r="EM28" s="1809">
        <v>0</v>
      </c>
      <c r="EN28" s="1809">
        <v>0</v>
      </c>
      <c r="EO28" s="1809">
        <v>0</v>
      </c>
      <c r="EP28" s="1809">
        <v>0</v>
      </c>
      <c r="EQ28" s="1809">
        <v>0</v>
      </c>
      <c r="ER28" s="1809">
        <v>0</v>
      </c>
      <c r="ES28" s="1809">
        <v>0</v>
      </c>
      <c r="ET28" s="1809">
        <v>0</v>
      </c>
      <c r="EU28" s="1809">
        <v>0</v>
      </c>
      <c r="EV28" s="1809">
        <v>0</v>
      </c>
      <c r="EW28" s="1809">
        <v>0</v>
      </c>
      <c r="EX28" s="1809">
        <v>0</v>
      </c>
      <c r="EY28" s="1809">
        <v>0</v>
      </c>
      <c r="EZ28" s="1809">
        <v>0</v>
      </c>
      <c r="FA28" s="1809">
        <v>0</v>
      </c>
      <c r="FB28" s="1809">
        <v>0</v>
      </c>
      <c r="FC28" s="1809">
        <v>0</v>
      </c>
      <c r="FD28" s="1809">
        <v>0</v>
      </c>
      <c r="FE28" s="1809">
        <v>0</v>
      </c>
      <c r="FF28" s="1809">
        <v>0</v>
      </c>
      <c r="FG28" s="1809">
        <v>0</v>
      </c>
      <c r="FH28" s="1809">
        <v>0</v>
      </c>
      <c r="FI28" s="1809">
        <v>0</v>
      </c>
      <c r="FJ28" s="1809">
        <v>0</v>
      </c>
      <c r="FK28" s="1809">
        <v>0</v>
      </c>
      <c r="FL28" s="1809">
        <v>0</v>
      </c>
      <c r="FM28" s="1809">
        <v>0</v>
      </c>
      <c r="FN28" s="1809">
        <v>0</v>
      </c>
      <c r="FO28" s="1809">
        <v>0</v>
      </c>
      <c r="FP28" s="1809">
        <v>0</v>
      </c>
      <c r="FQ28" s="1809">
        <v>0</v>
      </c>
      <c r="FR28" s="1809">
        <v>0</v>
      </c>
      <c r="FS28" s="1809">
        <v>0</v>
      </c>
      <c r="FT28" s="1809">
        <v>0</v>
      </c>
      <c r="FU28" s="1809">
        <v>0</v>
      </c>
      <c r="FV28" s="1809">
        <v>0</v>
      </c>
      <c r="FW28" s="1809">
        <v>0</v>
      </c>
      <c r="FX28" s="1809">
        <v>0</v>
      </c>
      <c r="FY28" s="1809">
        <v>0</v>
      </c>
      <c r="FZ28" s="1809">
        <v>0</v>
      </c>
      <c r="GA28" s="1809">
        <v>0</v>
      </c>
      <c r="GB28" s="1809">
        <v>0</v>
      </c>
      <c r="GC28" s="1809">
        <v>0</v>
      </c>
      <c r="GD28" s="1809">
        <v>0</v>
      </c>
      <c r="GE28" s="1809">
        <v>0</v>
      </c>
      <c r="GF28" s="1809">
        <v>0</v>
      </c>
      <c r="GG28" s="1809">
        <v>0</v>
      </c>
      <c r="GH28" s="1809">
        <v>0</v>
      </c>
      <c r="GI28" s="1809">
        <v>0</v>
      </c>
      <c r="GJ28" s="1809">
        <v>0</v>
      </c>
      <c r="GK28" s="1809">
        <v>0</v>
      </c>
      <c r="GL28" s="1809">
        <v>0</v>
      </c>
      <c r="GM28" s="1809">
        <v>0</v>
      </c>
      <c r="GN28" s="1809">
        <v>0</v>
      </c>
      <c r="GO28" s="1809">
        <v>0</v>
      </c>
      <c r="GP28" s="1809">
        <v>0</v>
      </c>
      <c r="GQ28" s="1809">
        <v>0</v>
      </c>
      <c r="GR28" s="1809">
        <v>0</v>
      </c>
      <c r="GS28" s="1809">
        <v>0</v>
      </c>
      <c r="GT28" s="1809">
        <v>0</v>
      </c>
      <c r="GU28" s="1809">
        <v>0</v>
      </c>
      <c r="GV28" s="1809">
        <v>0</v>
      </c>
      <c r="GW28" s="1809">
        <v>0</v>
      </c>
      <c r="GX28" s="1809">
        <v>0</v>
      </c>
      <c r="GY28" s="1809">
        <v>0</v>
      </c>
      <c r="GZ28" s="1809">
        <v>0</v>
      </c>
      <c r="HA28" s="1809">
        <v>0</v>
      </c>
      <c r="HB28" s="1809">
        <v>0</v>
      </c>
      <c r="HC28" s="1809">
        <v>0</v>
      </c>
      <c r="HD28" s="1809">
        <v>0</v>
      </c>
      <c r="HE28" s="1809">
        <v>0</v>
      </c>
      <c r="HF28" s="1809">
        <v>0</v>
      </c>
      <c r="HG28" s="1809">
        <v>0</v>
      </c>
    </row>
    <row r="29" spans="1:215" s="1894" customFormat="1" ht="15" customHeight="1" thickBot="1" x14ac:dyDescent="0.25">
      <c r="A29" s="2057"/>
      <c r="B29" s="1904" t="s">
        <v>58</v>
      </c>
      <c r="C29" s="1909" t="s">
        <v>97</v>
      </c>
      <c r="D29" s="1909" t="s">
        <v>96</v>
      </c>
      <c r="E29" s="1910" t="s">
        <v>98</v>
      </c>
      <c r="F29" s="1916">
        <v>0</v>
      </c>
      <c r="G29" s="2053"/>
      <c r="H29" s="1809">
        <v>0</v>
      </c>
      <c r="I29" s="1809">
        <v>0</v>
      </c>
      <c r="J29" s="1809">
        <v>0</v>
      </c>
      <c r="K29" s="1809">
        <v>0</v>
      </c>
      <c r="L29" s="1809">
        <v>0</v>
      </c>
      <c r="M29" s="1809">
        <v>0</v>
      </c>
      <c r="N29" s="1809">
        <v>0</v>
      </c>
      <c r="O29" s="1809">
        <v>0</v>
      </c>
      <c r="P29" s="1809">
        <v>0</v>
      </c>
      <c r="Q29" s="1809">
        <v>0</v>
      </c>
      <c r="R29" s="1809">
        <v>0</v>
      </c>
      <c r="S29" s="1809">
        <v>0</v>
      </c>
      <c r="T29" s="1809">
        <v>0</v>
      </c>
      <c r="U29" s="1809">
        <v>0</v>
      </c>
      <c r="V29" s="1809">
        <v>0</v>
      </c>
      <c r="W29" s="1809">
        <v>0</v>
      </c>
      <c r="X29" s="1809">
        <v>0</v>
      </c>
      <c r="Y29" s="1809">
        <v>0</v>
      </c>
      <c r="Z29" s="1809">
        <v>0</v>
      </c>
      <c r="AA29" s="1809">
        <v>0</v>
      </c>
      <c r="AB29" s="1809">
        <v>0</v>
      </c>
      <c r="AC29" s="1809">
        <v>0</v>
      </c>
      <c r="AD29" s="1809">
        <v>0</v>
      </c>
      <c r="AE29" s="1809">
        <v>0</v>
      </c>
      <c r="AF29" s="1809">
        <v>0</v>
      </c>
      <c r="AG29" s="1809">
        <v>0</v>
      </c>
      <c r="AH29" s="1809">
        <v>0</v>
      </c>
      <c r="AI29" s="1809">
        <v>0</v>
      </c>
      <c r="AJ29" s="1809">
        <v>0</v>
      </c>
      <c r="AK29" s="1809">
        <v>0</v>
      </c>
      <c r="AL29" s="1809">
        <v>0</v>
      </c>
      <c r="AM29" s="1809">
        <v>0</v>
      </c>
      <c r="AN29" s="1809">
        <v>0</v>
      </c>
      <c r="AO29" s="1809">
        <v>0</v>
      </c>
      <c r="AP29" s="1809">
        <v>0</v>
      </c>
      <c r="AQ29" s="1809">
        <v>0</v>
      </c>
      <c r="AR29" s="1809">
        <v>0</v>
      </c>
      <c r="AS29" s="1809">
        <v>0</v>
      </c>
      <c r="AT29" s="1809">
        <v>0</v>
      </c>
      <c r="AU29" s="1809">
        <v>0</v>
      </c>
      <c r="AV29" s="1809">
        <v>0</v>
      </c>
      <c r="AW29" s="1809">
        <v>0</v>
      </c>
      <c r="AX29" s="1809">
        <v>0</v>
      </c>
      <c r="AY29" s="1809">
        <v>0</v>
      </c>
      <c r="AZ29" s="1809">
        <v>0</v>
      </c>
      <c r="BA29" s="1809">
        <v>0</v>
      </c>
      <c r="BB29" s="1809">
        <v>0</v>
      </c>
      <c r="BC29" s="1809">
        <v>0</v>
      </c>
      <c r="BD29" s="1809">
        <v>0</v>
      </c>
      <c r="BE29" s="1809">
        <v>0</v>
      </c>
      <c r="BF29" s="1809">
        <v>0</v>
      </c>
      <c r="BG29" s="1809">
        <v>0</v>
      </c>
      <c r="BH29" s="1809">
        <v>0</v>
      </c>
      <c r="BI29" s="1809">
        <v>0</v>
      </c>
      <c r="BJ29" s="1809">
        <v>0</v>
      </c>
      <c r="BK29" s="1809">
        <v>0</v>
      </c>
      <c r="BL29" s="1809">
        <v>0</v>
      </c>
      <c r="BM29" s="1809">
        <v>0</v>
      </c>
      <c r="BN29" s="1809">
        <v>0</v>
      </c>
      <c r="BO29" s="1809">
        <v>0</v>
      </c>
      <c r="BP29" s="1809">
        <v>0</v>
      </c>
      <c r="BQ29" s="1809">
        <v>0</v>
      </c>
      <c r="BR29" s="1809">
        <v>0</v>
      </c>
      <c r="BS29" s="1809">
        <v>0</v>
      </c>
      <c r="BT29" s="1809">
        <v>0</v>
      </c>
      <c r="BU29" s="1809">
        <v>0</v>
      </c>
      <c r="BV29" s="1809">
        <v>0</v>
      </c>
      <c r="BW29" s="1809">
        <v>0</v>
      </c>
      <c r="BX29" s="1809">
        <v>0</v>
      </c>
      <c r="BY29" s="1809">
        <v>0</v>
      </c>
      <c r="BZ29" s="1809">
        <v>0</v>
      </c>
      <c r="CA29" s="1809">
        <v>0</v>
      </c>
      <c r="CB29" s="1809">
        <v>0</v>
      </c>
      <c r="CC29" s="1809">
        <v>0</v>
      </c>
      <c r="CD29" s="1809">
        <v>0</v>
      </c>
      <c r="CE29" s="1809">
        <v>0</v>
      </c>
      <c r="CF29" s="1809">
        <v>0</v>
      </c>
      <c r="CG29" s="1809">
        <v>0</v>
      </c>
      <c r="CH29" s="1809">
        <v>0</v>
      </c>
      <c r="CI29" s="1809">
        <v>0</v>
      </c>
      <c r="CJ29" s="1809">
        <v>0</v>
      </c>
      <c r="CK29" s="1809">
        <v>0</v>
      </c>
      <c r="CL29" s="1809">
        <v>0</v>
      </c>
      <c r="CM29" s="1809">
        <v>0</v>
      </c>
      <c r="CN29" s="1809">
        <v>0</v>
      </c>
      <c r="CO29" s="1809">
        <v>0</v>
      </c>
      <c r="CP29" s="1809">
        <v>0</v>
      </c>
      <c r="CQ29" s="1809">
        <v>0</v>
      </c>
      <c r="CR29" s="1809">
        <v>0</v>
      </c>
      <c r="CS29" s="1809">
        <v>0</v>
      </c>
      <c r="CT29" s="1809">
        <v>0</v>
      </c>
      <c r="CU29" s="1809">
        <v>0</v>
      </c>
      <c r="CV29" s="1809">
        <v>0</v>
      </c>
      <c r="CW29" s="1809">
        <v>0</v>
      </c>
      <c r="CX29" s="1809">
        <v>0</v>
      </c>
      <c r="CY29" s="1809">
        <v>0</v>
      </c>
      <c r="CZ29" s="1809">
        <v>0</v>
      </c>
      <c r="DA29" s="1809">
        <v>0</v>
      </c>
      <c r="DB29" s="1809">
        <v>0</v>
      </c>
      <c r="DC29" s="1809">
        <v>0</v>
      </c>
      <c r="DD29" s="1809">
        <v>0</v>
      </c>
      <c r="DE29" s="1809">
        <v>0</v>
      </c>
      <c r="DF29" s="1809">
        <v>0</v>
      </c>
      <c r="DG29" s="1809">
        <v>0</v>
      </c>
      <c r="DH29" s="1809">
        <v>0</v>
      </c>
      <c r="DI29" s="1809">
        <v>0</v>
      </c>
      <c r="DJ29" s="1809">
        <v>0</v>
      </c>
      <c r="DK29" s="1809">
        <v>0</v>
      </c>
      <c r="DL29" s="1809">
        <v>0</v>
      </c>
      <c r="DM29" s="1809">
        <v>0</v>
      </c>
      <c r="DN29" s="1809">
        <v>0</v>
      </c>
      <c r="DO29" s="1809">
        <v>0</v>
      </c>
      <c r="DP29" s="1809">
        <v>0</v>
      </c>
      <c r="DQ29" s="1809">
        <v>0</v>
      </c>
      <c r="DR29" s="1809">
        <v>0</v>
      </c>
      <c r="DS29" s="1809">
        <v>0</v>
      </c>
      <c r="DT29" s="1809">
        <v>0</v>
      </c>
      <c r="DU29" s="1809">
        <v>0</v>
      </c>
      <c r="DV29" s="1809">
        <v>0</v>
      </c>
      <c r="DW29" s="1809">
        <v>0</v>
      </c>
      <c r="DX29" s="1809">
        <v>0</v>
      </c>
      <c r="DY29" s="1809">
        <v>0</v>
      </c>
      <c r="DZ29" s="1809">
        <v>0</v>
      </c>
      <c r="EA29" s="1809">
        <v>0</v>
      </c>
      <c r="EB29" s="1809">
        <v>0</v>
      </c>
      <c r="EC29" s="1809">
        <v>0</v>
      </c>
      <c r="ED29" s="1809">
        <v>0</v>
      </c>
      <c r="EE29" s="1809">
        <v>0</v>
      </c>
      <c r="EF29" s="1809">
        <v>0</v>
      </c>
      <c r="EG29" s="1809">
        <v>0</v>
      </c>
      <c r="EH29" s="1809">
        <v>0</v>
      </c>
      <c r="EI29" s="1809">
        <v>0</v>
      </c>
      <c r="EJ29" s="1809">
        <v>0</v>
      </c>
      <c r="EK29" s="1809">
        <v>0</v>
      </c>
      <c r="EL29" s="1809">
        <v>0</v>
      </c>
      <c r="EM29" s="1809">
        <v>0</v>
      </c>
      <c r="EN29" s="1809">
        <v>0</v>
      </c>
      <c r="EO29" s="1809">
        <v>0</v>
      </c>
      <c r="EP29" s="1809">
        <v>0</v>
      </c>
      <c r="EQ29" s="1809">
        <v>0</v>
      </c>
      <c r="ER29" s="1809">
        <v>0</v>
      </c>
      <c r="ES29" s="1809">
        <v>0</v>
      </c>
      <c r="ET29" s="1809">
        <v>0</v>
      </c>
      <c r="EU29" s="1809">
        <v>0</v>
      </c>
      <c r="EV29" s="1809">
        <v>0</v>
      </c>
      <c r="EW29" s="1809">
        <v>0</v>
      </c>
      <c r="EX29" s="1809">
        <v>0</v>
      </c>
      <c r="EY29" s="1809">
        <v>0</v>
      </c>
      <c r="EZ29" s="1809">
        <v>0</v>
      </c>
      <c r="FA29" s="1809">
        <v>0</v>
      </c>
      <c r="FB29" s="1809">
        <v>0</v>
      </c>
      <c r="FC29" s="1809">
        <v>0</v>
      </c>
      <c r="FD29" s="1809">
        <v>0</v>
      </c>
      <c r="FE29" s="1809">
        <v>0</v>
      </c>
      <c r="FF29" s="1809">
        <v>0</v>
      </c>
      <c r="FG29" s="1809">
        <v>0</v>
      </c>
      <c r="FH29" s="1809">
        <v>0</v>
      </c>
      <c r="FI29" s="1809">
        <v>0</v>
      </c>
      <c r="FJ29" s="1809">
        <v>0</v>
      </c>
      <c r="FK29" s="1809">
        <v>0</v>
      </c>
      <c r="FL29" s="1809">
        <v>0</v>
      </c>
      <c r="FM29" s="1809">
        <v>0</v>
      </c>
      <c r="FN29" s="1809">
        <v>0</v>
      </c>
      <c r="FO29" s="1809">
        <v>0</v>
      </c>
      <c r="FP29" s="1809">
        <v>0</v>
      </c>
      <c r="FQ29" s="1809">
        <v>0</v>
      </c>
      <c r="FR29" s="1809">
        <v>0</v>
      </c>
      <c r="FS29" s="1809">
        <v>0</v>
      </c>
      <c r="FT29" s="1809">
        <v>0</v>
      </c>
      <c r="FU29" s="1809">
        <v>0</v>
      </c>
      <c r="FV29" s="1809">
        <v>0</v>
      </c>
      <c r="FW29" s="1809">
        <v>0</v>
      </c>
      <c r="FX29" s="1809">
        <v>0</v>
      </c>
      <c r="FY29" s="1809">
        <v>0</v>
      </c>
      <c r="FZ29" s="1809">
        <v>0</v>
      </c>
      <c r="GA29" s="1809">
        <v>0</v>
      </c>
      <c r="GB29" s="1809">
        <v>0</v>
      </c>
      <c r="GC29" s="1809">
        <v>0</v>
      </c>
      <c r="GD29" s="1809">
        <v>0</v>
      </c>
      <c r="GE29" s="1809">
        <v>0</v>
      </c>
      <c r="GF29" s="1809">
        <v>0</v>
      </c>
      <c r="GG29" s="1809">
        <v>0</v>
      </c>
      <c r="GH29" s="1809">
        <v>0</v>
      </c>
      <c r="GI29" s="1809">
        <v>0</v>
      </c>
      <c r="GJ29" s="1809">
        <v>0</v>
      </c>
      <c r="GK29" s="1809">
        <v>0</v>
      </c>
      <c r="GL29" s="1809">
        <v>0</v>
      </c>
      <c r="GM29" s="1809">
        <v>0</v>
      </c>
      <c r="GN29" s="1809">
        <v>0</v>
      </c>
      <c r="GO29" s="1809">
        <v>0</v>
      </c>
      <c r="GP29" s="1809">
        <v>0</v>
      </c>
      <c r="GQ29" s="1809">
        <v>0</v>
      </c>
      <c r="GR29" s="1809">
        <v>0</v>
      </c>
      <c r="GS29" s="1809">
        <v>0</v>
      </c>
      <c r="GT29" s="1809">
        <v>0</v>
      </c>
      <c r="GU29" s="1809">
        <v>0</v>
      </c>
      <c r="GV29" s="1809">
        <v>0</v>
      </c>
      <c r="GW29" s="1809">
        <v>0</v>
      </c>
      <c r="GX29" s="1809">
        <v>0</v>
      </c>
      <c r="GY29" s="1809">
        <v>0</v>
      </c>
      <c r="GZ29" s="1809">
        <v>0</v>
      </c>
      <c r="HA29" s="1809">
        <v>0</v>
      </c>
      <c r="HB29" s="1809">
        <v>0</v>
      </c>
      <c r="HC29" s="1809">
        <v>0</v>
      </c>
      <c r="HD29" s="1809">
        <v>0</v>
      </c>
      <c r="HE29" s="1809">
        <v>0</v>
      </c>
      <c r="HF29" s="1809">
        <v>0</v>
      </c>
      <c r="HG29" s="1809">
        <v>0</v>
      </c>
    </row>
    <row r="30" spans="1:215" s="1894" customFormat="1" ht="15" customHeight="1" thickBot="1" x14ac:dyDescent="0.25">
      <c r="A30" s="2057"/>
      <c r="B30" s="1904" t="s">
        <v>59</v>
      </c>
      <c r="C30" s="1782" t="s">
        <v>833</v>
      </c>
      <c r="D30" s="1782" t="s">
        <v>834</v>
      </c>
      <c r="E30" s="1783" t="s">
        <v>838</v>
      </c>
      <c r="F30" s="1916">
        <v>0</v>
      </c>
      <c r="G30" s="2053"/>
      <c r="H30" s="1809">
        <v>0</v>
      </c>
      <c r="I30" s="1809">
        <v>0</v>
      </c>
      <c r="J30" s="1809">
        <v>0</v>
      </c>
      <c r="K30" s="1809">
        <v>0</v>
      </c>
      <c r="L30" s="1809">
        <v>0</v>
      </c>
      <c r="M30" s="1809">
        <v>0</v>
      </c>
      <c r="N30" s="1809">
        <v>0</v>
      </c>
      <c r="O30" s="1809">
        <v>0</v>
      </c>
      <c r="P30" s="1809">
        <v>0</v>
      </c>
      <c r="Q30" s="1809">
        <v>0</v>
      </c>
      <c r="R30" s="1809">
        <v>0</v>
      </c>
      <c r="S30" s="1809">
        <v>0</v>
      </c>
      <c r="T30" s="1809">
        <v>0</v>
      </c>
      <c r="U30" s="1809">
        <v>0</v>
      </c>
      <c r="V30" s="1809">
        <v>0</v>
      </c>
      <c r="W30" s="1809">
        <v>0</v>
      </c>
      <c r="X30" s="1809">
        <v>0</v>
      </c>
      <c r="Y30" s="1809">
        <v>0</v>
      </c>
      <c r="Z30" s="1809">
        <v>0</v>
      </c>
      <c r="AA30" s="1809">
        <v>0</v>
      </c>
      <c r="AB30" s="1809">
        <v>0</v>
      </c>
      <c r="AC30" s="1809">
        <v>0</v>
      </c>
      <c r="AD30" s="1809">
        <v>0</v>
      </c>
      <c r="AE30" s="1809">
        <v>0</v>
      </c>
      <c r="AF30" s="1809">
        <v>0</v>
      </c>
      <c r="AG30" s="1809">
        <v>0</v>
      </c>
      <c r="AH30" s="1809">
        <v>0</v>
      </c>
      <c r="AI30" s="1809">
        <v>0</v>
      </c>
      <c r="AJ30" s="1809">
        <v>0</v>
      </c>
      <c r="AK30" s="1809">
        <v>0</v>
      </c>
      <c r="AL30" s="1809">
        <v>0</v>
      </c>
      <c r="AM30" s="1809">
        <v>0</v>
      </c>
      <c r="AN30" s="1809">
        <v>0</v>
      </c>
      <c r="AO30" s="1809">
        <v>0</v>
      </c>
      <c r="AP30" s="1809">
        <v>0</v>
      </c>
      <c r="AQ30" s="1809">
        <v>0</v>
      </c>
      <c r="AR30" s="1809">
        <v>0</v>
      </c>
      <c r="AS30" s="1809">
        <v>0</v>
      </c>
      <c r="AT30" s="1809">
        <v>0</v>
      </c>
      <c r="AU30" s="1809">
        <v>0</v>
      </c>
      <c r="AV30" s="1809">
        <v>0</v>
      </c>
      <c r="AW30" s="1809">
        <v>0</v>
      </c>
      <c r="AX30" s="1809">
        <v>0</v>
      </c>
      <c r="AY30" s="1809">
        <v>0</v>
      </c>
      <c r="AZ30" s="1809">
        <v>0</v>
      </c>
      <c r="BA30" s="1809">
        <v>0</v>
      </c>
      <c r="BB30" s="1809">
        <v>0</v>
      </c>
      <c r="BC30" s="1809">
        <v>0</v>
      </c>
      <c r="BD30" s="1809">
        <v>0</v>
      </c>
      <c r="BE30" s="1809">
        <v>0</v>
      </c>
      <c r="BF30" s="1809">
        <v>0</v>
      </c>
      <c r="BG30" s="1809">
        <v>0</v>
      </c>
      <c r="BH30" s="1809">
        <v>0</v>
      </c>
      <c r="BI30" s="1809">
        <v>0</v>
      </c>
      <c r="BJ30" s="1809">
        <v>0</v>
      </c>
      <c r="BK30" s="1809">
        <v>0</v>
      </c>
      <c r="BL30" s="1809">
        <v>0</v>
      </c>
      <c r="BM30" s="1809">
        <v>0</v>
      </c>
      <c r="BN30" s="1809">
        <v>0</v>
      </c>
      <c r="BO30" s="1809">
        <v>0</v>
      </c>
      <c r="BP30" s="1809">
        <v>0</v>
      </c>
      <c r="BQ30" s="1809">
        <v>0</v>
      </c>
      <c r="BR30" s="1809">
        <v>0</v>
      </c>
      <c r="BS30" s="1809">
        <v>0</v>
      </c>
      <c r="BT30" s="1809">
        <v>0</v>
      </c>
      <c r="BU30" s="1809">
        <v>0</v>
      </c>
      <c r="BV30" s="1809">
        <v>0</v>
      </c>
      <c r="BW30" s="1809">
        <v>0</v>
      </c>
      <c r="BX30" s="1809">
        <v>0</v>
      </c>
      <c r="BY30" s="1809">
        <v>0</v>
      </c>
      <c r="BZ30" s="1809">
        <v>0</v>
      </c>
      <c r="CA30" s="1809">
        <v>0</v>
      </c>
      <c r="CB30" s="1809">
        <v>0</v>
      </c>
      <c r="CC30" s="1809">
        <v>0</v>
      </c>
      <c r="CD30" s="1809">
        <v>0</v>
      </c>
      <c r="CE30" s="1809">
        <v>0</v>
      </c>
      <c r="CF30" s="1809">
        <v>0</v>
      </c>
      <c r="CG30" s="1809">
        <v>0</v>
      </c>
      <c r="CH30" s="1809">
        <v>0</v>
      </c>
      <c r="CI30" s="1809">
        <v>0</v>
      </c>
      <c r="CJ30" s="1809">
        <v>0</v>
      </c>
      <c r="CK30" s="1809">
        <v>0</v>
      </c>
      <c r="CL30" s="1809">
        <v>0</v>
      </c>
      <c r="CM30" s="1809">
        <v>0</v>
      </c>
      <c r="CN30" s="1809">
        <v>0</v>
      </c>
      <c r="CO30" s="1809">
        <v>0</v>
      </c>
      <c r="CP30" s="1809">
        <v>0</v>
      </c>
      <c r="CQ30" s="1809">
        <v>0</v>
      </c>
      <c r="CR30" s="1809">
        <v>0</v>
      </c>
      <c r="CS30" s="1809">
        <v>0</v>
      </c>
      <c r="CT30" s="1809">
        <v>0</v>
      </c>
      <c r="CU30" s="1809">
        <v>0</v>
      </c>
      <c r="CV30" s="1809">
        <v>0</v>
      </c>
      <c r="CW30" s="1809">
        <v>0</v>
      </c>
      <c r="CX30" s="1809">
        <v>0</v>
      </c>
      <c r="CY30" s="1809">
        <v>0</v>
      </c>
      <c r="CZ30" s="1809">
        <v>0</v>
      </c>
      <c r="DA30" s="1809">
        <v>0</v>
      </c>
      <c r="DB30" s="1809">
        <v>0</v>
      </c>
      <c r="DC30" s="1809">
        <v>0</v>
      </c>
      <c r="DD30" s="1809">
        <v>0</v>
      </c>
      <c r="DE30" s="1809">
        <v>0</v>
      </c>
      <c r="DF30" s="1809">
        <v>0</v>
      </c>
      <c r="DG30" s="1809">
        <v>0</v>
      </c>
      <c r="DH30" s="1809">
        <v>0</v>
      </c>
      <c r="DI30" s="1809">
        <v>0</v>
      </c>
      <c r="DJ30" s="1809">
        <v>0</v>
      </c>
      <c r="DK30" s="1809">
        <v>0</v>
      </c>
      <c r="DL30" s="1809">
        <v>0</v>
      </c>
      <c r="DM30" s="1809">
        <v>0</v>
      </c>
      <c r="DN30" s="1809">
        <v>0</v>
      </c>
      <c r="DO30" s="1809">
        <v>0</v>
      </c>
      <c r="DP30" s="1809">
        <v>0</v>
      </c>
      <c r="DQ30" s="1809">
        <v>0</v>
      </c>
      <c r="DR30" s="1809">
        <v>0</v>
      </c>
      <c r="DS30" s="1809">
        <v>0</v>
      </c>
      <c r="DT30" s="1809">
        <v>0</v>
      </c>
      <c r="DU30" s="1809">
        <v>0</v>
      </c>
      <c r="DV30" s="1809">
        <v>0</v>
      </c>
      <c r="DW30" s="1809">
        <v>0</v>
      </c>
      <c r="DX30" s="1809">
        <v>0</v>
      </c>
      <c r="DY30" s="1809">
        <v>0</v>
      </c>
      <c r="DZ30" s="1809">
        <v>0</v>
      </c>
      <c r="EA30" s="1809">
        <v>0</v>
      </c>
      <c r="EB30" s="1809">
        <v>0</v>
      </c>
      <c r="EC30" s="1809">
        <v>0</v>
      </c>
      <c r="ED30" s="1809">
        <v>0</v>
      </c>
      <c r="EE30" s="1809">
        <v>0</v>
      </c>
      <c r="EF30" s="1809">
        <v>0</v>
      </c>
      <c r="EG30" s="1809">
        <v>0</v>
      </c>
      <c r="EH30" s="1809">
        <v>0</v>
      </c>
      <c r="EI30" s="1809">
        <v>0</v>
      </c>
      <c r="EJ30" s="1809">
        <v>0</v>
      </c>
      <c r="EK30" s="1809">
        <v>0</v>
      </c>
      <c r="EL30" s="1809">
        <v>0</v>
      </c>
      <c r="EM30" s="1809">
        <v>0</v>
      </c>
      <c r="EN30" s="1809">
        <v>0</v>
      </c>
      <c r="EO30" s="1809">
        <v>0</v>
      </c>
      <c r="EP30" s="1809">
        <v>0</v>
      </c>
      <c r="EQ30" s="1809">
        <v>0</v>
      </c>
      <c r="ER30" s="1809">
        <v>0</v>
      </c>
      <c r="ES30" s="1809">
        <v>0</v>
      </c>
      <c r="ET30" s="1809">
        <v>0</v>
      </c>
      <c r="EU30" s="1809">
        <v>0</v>
      </c>
      <c r="EV30" s="1809">
        <v>0</v>
      </c>
      <c r="EW30" s="1809">
        <v>0</v>
      </c>
      <c r="EX30" s="1809">
        <v>0</v>
      </c>
      <c r="EY30" s="1809">
        <v>0</v>
      </c>
      <c r="EZ30" s="1809">
        <v>0</v>
      </c>
      <c r="FA30" s="1809">
        <v>0</v>
      </c>
      <c r="FB30" s="1809">
        <v>0</v>
      </c>
      <c r="FC30" s="1809">
        <v>0</v>
      </c>
      <c r="FD30" s="1809">
        <v>0</v>
      </c>
      <c r="FE30" s="1809">
        <v>0</v>
      </c>
      <c r="FF30" s="1809">
        <v>0</v>
      </c>
      <c r="FG30" s="1809">
        <v>0</v>
      </c>
      <c r="FH30" s="1809">
        <v>0</v>
      </c>
      <c r="FI30" s="1809">
        <v>0</v>
      </c>
      <c r="FJ30" s="1809">
        <v>0</v>
      </c>
      <c r="FK30" s="1809">
        <v>0</v>
      </c>
      <c r="FL30" s="1809">
        <v>0</v>
      </c>
      <c r="FM30" s="1809">
        <v>0</v>
      </c>
      <c r="FN30" s="1809">
        <v>0</v>
      </c>
      <c r="FO30" s="1809">
        <v>0</v>
      </c>
      <c r="FP30" s="1809">
        <v>0</v>
      </c>
      <c r="FQ30" s="1809">
        <v>0</v>
      </c>
      <c r="FR30" s="1809">
        <v>0</v>
      </c>
      <c r="FS30" s="1809">
        <v>0</v>
      </c>
      <c r="FT30" s="1809">
        <v>0</v>
      </c>
      <c r="FU30" s="1809">
        <v>0</v>
      </c>
      <c r="FV30" s="1809">
        <v>0</v>
      </c>
      <c r="FW30" s="1809">
        <v>0</v>
      </c>
      <c r="FX30" s="1809">
        <v>0</v>
      </c>
      <c r="FY30" s="1809">
        <v>0</v>
      </c>
      <c r="FZ30" s="1809">
        <v>0</v>
      </c>
      <c r="GA30" s="1809">
        <v>0</v>
      </c>
      <c r="GB30" s="1809">
        <v>0</v>
      </c>
      <c r="GC30" s="1809">
        <v>0</v>
      </c>
      <c r="GD30" s="1809">
        <v>0</v>
      </c>
      <c r="GE30" s="1809">
        <v>0</v>
      </c>
      <c r="GF30" s="1809">
        <v>0</v>
      </c>
      <c r="GG30" s="1809">
        <v>0</v>
      </c>
      <c r="GH30" s="1809">
        <v>0</v>
      </c>
      <c r="GI30" s="1809">
        <v>0</v>
      </c>
      <c r="GJ30" s="1809">
        <v>0</v>
      </c>
      <c r="GK30" s="1809">
        <v>0</v>
      </c>
      <c r="GL30" s="1809">
        <v>0</v>
      </c>
      <c r="GM30" s="1809">
        <v>0</v>
      </c>
      <c r="GN30" s="1809">
        <v>0</v>
      </c>
      <c r="GO30" s="1809">
        <v>0</v>
      </c>
      <c r="GP30" s="1809">
        <v>0</v>
      </c>
      <c r="GQ30" s="1809">
        <v>0</v>
      </c>
      <c r="GR30" s="1809">
        <v>0</v>
      </c>
      <c r="GS30" s="1809">
        <v>0</v>
      </c>
      <c r="GT30" s="1809">
        <v>0</v>
      </c>
      <c r="GU30" s="1809">
        <v>0</v>
      </c>
      <c r="GV30" s="1809">
        <v>0</v>
      </c>
      <c r="GW30" s="1809">
        <v>0</v>
      </c>
      <c r="GX30" s="1809">
        <v>0</v>
      </c>
      <c r="GY30" s="1809">
        <v>0</v>
      </c>
      <c r="GZ30" s="1809">
        <v>0</v>
      </c>
      <c r="HA30" s="1809">
        <v>0</v>
      </c>
      <c r="HB30" s="1809">
        <v>0</v>
      </c>
      <c r="HC30" s="1809">
        <v>0</v>
      </c>
      <c r="HD30" s="1809">
        <v>0</v>
      </c>
      <c r="HE30" s="1809">
        <v>0</v>
      </c>
      <c r="HF30" s="1809">
        <v>0</v>
      </c>
      <c r="HG30" s="1809">
        <v>0</v>
      </c>
    </row>
    <row r="31" spans="1:215" s="1894" customFormat="1" ht="21" customHeight="1" thickBot="1" x14ac:dyDescent="0.25">
      <c r="A31" s="2057"/>
      <c r="B31" s="2021" t="s">
        <v>2393</v>
      </c>
      <c r="C31" s="2021"/>
      <c r="D31" s="2021"/>
      <c r="E31" s="2022"/>
      <c r="F31" s="1917">
        <f t="shared" ref="F31" si="10">SUM(F28:F30)</f>
        <v>0</v>
      </c>
      <c r="G31" s="2053"/>
      <c r="H31" s="1940">
        <f>SUM(H28:H30)</f>
        <v>0</v>
      </c>
      <c r="I31" s="1940">
        <f t="shared" ref="I31:BT31" si="11">SUM(I28:I30)</f>
        <v>0</v>
      </c>
      <c r="J31" s="1940">
        <f t="shared" si="11"/>
        <v>0</v>
      </c>
      <c r="K31" s="1940">
        <f t="shared" si="11"/>
        <v>0</v>
      </c>
      <c r="L31" s="1940">
        <f t="shared" si="11"/>
        <v>0</v>
      </c>
      <c r="M31" s="1940">
        <f t="shared" si="11"/>
        <v>0</v>
      </c>
      <c r="N31" s="1940">
        <f t="shared" si="11"/>
        <v>0</v>
      </c>
      <c r="O31" s="1940">
        <f t="shared" si="11"/>
        <v>0</v>
      </c>
      <c r="P31" s="1940">
        <f t="shared" si="11"/>
        <v>0</v>
      </c>
      <c r="Q31" s="1940">
        <f t="shared" si="11"/>
        <v>0</v>
      </c>
      <c r="R31" s="1940">
        <f t="shared" si="11"/>
        <v>0</v>
      </c>
      <c r="S31" s="1940">
        <f t="shared" si="11"/>
        <v>0</v>
      </c>
      <c r="T31" s="1940">
        <f t="shared" si="11"/>
        <v>0</v>
      </c>
      <c r="U31" s="1940">
        <f t="shared" si="11"/>
        <v>0</v>
      </c>
      <c r="V31" s="1940">
        <f t="shared" si="11"/>
        <v>0</v>
      </c>
      <c r="W31" s="1940">
        <f t="shared" si="11"/>
        <v>0</v>
      </c>
      <c r="X31" s="1940">
        <f t="shared" si="11"/>
        <v>0</v>
      </c>
      <c r="Y31" s="1940">
        <f t="shared" si="11"/>
        <v>0</v>
      </c>
      <c r="Z31" s="1940">
        <f t="shared" si="11"/>
        <v>0</v>
      </c>
      <c r="AA31" s="1940">
        <f t="shared" si="11"/>
        <v>0</v>
      </c>
      <c r="AB31" s="1940">
        <f t="shared" si="11"/>
        <v>0</v>
      </c>
      <c r="AC31" s="1940">
        <f t="shared" si="11"/>
        <v>0</v>
      </c>
      <c r="AD31" s="1940">
        <f t="shared" si="11"/>
        <v>0</v>
      </c>
      <c r="AE31" s="1940">
        <f t="shared" si="11"/>
        <v>0</v>
      </c>
      <c r="AF31" s="1940">
        <f t="shared" si="11"/>
        <v>0</v>
      </c>
      <c r="AG31" s="1940">
        <f t="shared" si="11"/>
        <v>0</v>
      </c>
      <c r="AH31" s="1940">
        <f t="shared" si="11"/>
        <v>0</v>
      </c>
      <c r="AI31" s="1940">
        <f t="shared" si="11"/>
        <v>0</v>
      </c>
      <c r="AJ31" s="1940">
        <f t="shared" si="11"/>
        <v>0</v>
      </c>
      <c r="AK31" s="1940">
        <f t="shared" si="11"/>
        <v>0</v>
      </c>
      <c r="AL31" s="1940">
        <f t="shared" si="11"/>
        <v>0</v>
      </c>
      <c r="AM31" s="1940">
        <f t="shared" si="11"/>
        <v>0</v>
      </c>
      <c r="AN31" s="1940">
        <f t="shared" si="11"/>
        <v>0</v>
      </c>
      <c r="AO31" s="1940">
        <f t="shared" si="11"/>
        <v>0</v>
      </c>
      <c r="AP31" s="1940">
        <f t="shared" si="11"/>
        <v>0</v>
      </c>
      <c r="AQ31" s="1940">
        <f t="shared" si="11"/>
        <v>0</v>
      </c>
      <c r="AR31" s="1940">
        <f t="shared" si="11"/>
        <v>0</v>
      </c>
      <c r="AS31" s="1940">
        <f t="shared" si="11"/>
        <v>0</v>
      </c>
      <c r="AT31" s="1940">
        <f t="shared" si="11"/>
        <v>0</v>
      </c>
      <c r="AU31" s="1940">
        <f t="shared" si="11"/>
        <v>0</v>
      </c>
      <c r="AV31" s="1940">
        <f t="shared" si="11"/>
        <v>0</v>
      </c>
      <c r="AW31" s="1940">
        <f t="shared" si="11"/>
        <v>0</v>
      </c>
      <c r="AX31" s="1940">
        <f t="shared" si="11"/>
        <v>0</v>
      </c>
      <c r="AY31" s="1940">
        <f t="shared" si="11"/>
        <v>0</v>
      </c>
      <c r="AZ31" s="1940">
        <f t="shared" si="11"/>
        <v>0</v>
      </c>
      <c r="BA31" s="1940">
        <f t="shared" si="11"/>
        <v>0</v>
      </c>
      <c r="BB31" s="1940">
        <f t="shared" si="11"/>
        <v>0</v>
      </c>
      <c r="BC31" s="1940">
        <f t="shared" si="11"/>
        <v>0</v>
      </c>
      <c r="BD31" s="1940">
        <f t="shared" si="11"/>
        <v>0</v>
      </c>
      <c r="BE31" s="1940">
        <f t="shared" si="11"/>
        <v>0</v>
      </c>
      <c r="BF31" s="1940">
        <f t="shared" si="11"/>
        <v>0</v>
      </c>
      <c r="BG31" s="1940">
        <f t="shared" si="11"/>
        <v>0</v>
      </c>
      <c r="BH31" s="1940">
        <f t="shared" si="11"/>
        <v>0</v>
      </c>
      <c r="BI31" s="1940">
        <f t="shared" si="11"/>
        <v>0</v>
      </c>
      <c r="BJ31" s="1940">
        <f t="shared" si="11"/>
        <v>0</v>
      </c>
      <c r="BK31" s="1940">
        <f t="shared" si="11"/>
        <v>0</v>
      </c>
      <c r="BL31" s="1940">
        <f t="shared" si="11"/>
        <v>0</v>
      </c>
      <c r="BM31" s="1940">
        <f t="shared" si="11"/>
        <v>0</v>
      </c>
      <c r="BN31" s="1940">
        <f t="shared" si="11"/>
        <v>0</v>
      </c>
      <c r="BO31" s="1940">
        <f t="shared" si="11"/>
        <v>0</v>
      </c>
      <c r="BP31" s="1940">
        <f t="shared" si="11"/>
        <v>0</v>
      </c>
      <c r="BQ31" s="1940">
        <f t="shared" si="11"/>
        <v>0</v>
      </c>
      <c r="BR31" s="1940">
        <f t="shared" si="11"/>
        <v>0</v>
      </c>
      <c r="BS31" s="1940">
        <f t="shared" si="11"/>
        <v>0</v>
      </c>
      <c r="BT31" s="1940">
        <f t="shared" si="11"/>
        <v>0</v>
      </c>
      <c r="BU31" s="1940">
        <f t="shared" ref="BU31:EF31" si="12">SUM(BU28:BU30)</f>
        <v>0</v>
      </c>
      <c r="BV31" s="1940">
        <f t="shared" si="12"/>
        <v>0</v>
      </c>
      <c r="BW31" s="1940">
        <f t="shared" si="12"/>
        <v>0</v>
      </c>
      <c r="BX31" s="1940">
        <f t="shared" si="12"/>
        <v>0</v>
      </c>
      <c r="BY31" s="1940">
        <f t="shared" si="12"/>
        <v>0</v>
      </c>
      <c r="BZ31" s="1940">
        <f t="shared" si="12"/>
        <v>0</v>
      </c>
      <c r="CA31" s="1940">
        <f t="shared" si="12"/>
        <v>0</v>
      </c>
      <c r="CB31" s="1940">
        <f t="shared" si="12"/>
        <v>0</v>
      </c>
      <c r="CC31" s="1940">
        <f t="shared" si="12"/>
        <v>0</v>
      </c>
      <c r="CD31" s="1940">
        <f t="shared" si="12"/>
        <v>0</v>
      </c>
      <c r="CE31" s="1940">
        <f t="shared" si="12"/>
        <v>0</v>
      </c>
      <c r="CF31" s="1940">
        <f t="shared" si="12"/>
        <v>0</v>
      </c>
      <c r="CG31" s="1940">
        <f t="shared" si="12"/>
        <v>0</v>
      </c>
      <c r="CH31" s="1940">
        <f t="shared" si="12"/>
        <v>0</v>
      </c>
      <c r="CI31" s="1940">
        <f t="shared" si="12"/>
        <v>0</v>
      </c>
      <c r="CJ31" s="1940">
        <f t="shared" si="12"/>
        <v>0</v>
      </c>
      <c r="CK31" s="1940">
        <f t="shared" si="12"/>
        <v>0</v>
      </c>
      <c r="CL31" s="1940">
        <f t="shared" si="12"/>
        <v>0</v>
      </c>
      <c r="CM31" s="1940">
        <f t="shared" si="12"/>
        <v>0</v>
      </c>
      <c r="CN31" s="1940">
        <f t="shared" si="12"/>
        <v>0</v>
      </c>
      <c r="CO31" s="1940">
        <f t="shared" si="12"/>
        <v>0</v>
      </c>
      <c r="CP31" s="1940">
        <f t="shared" si="12"/>
        <v>0</v>
      </c>
      <c r="CQ31" s="1940">
        <f t="shared" si="12"/>
        <v>0</v>
      </c>
      <c r="CR31" s="1940">
        <f t="shared" si="12"/>
        <v>0</v>
      </c>
      <c r="CS31" s="1940">
        <f t="shared" si="12"/>
        <v>0</v>
      </c>
      <c r="CT31" s="1940">
        <f t="shared" si="12"/>
        <v>0</v>
      </c>
      <c r="CU31" s="1940">
        <f t="shared" si="12"/>
        <v>0</v>
      </c>
      <c r="CV31" s="1940">
        <f t="shared" si="12"/>
        <v>0</v>
      </c>
      <c r="CW31" s="1940">
        <f t="shared" si="12"/>
        <v>0</v>
      </c>
      <c r="CX31" s="1940">
        <f t="shared" si="12"/>
        <v>0</v>
      </c>
      <c r="CY31" s="1940">
        <f t="shared" si="12"/>
        <v>0</v>
      </c>
      <c r="CZ31" s="1940">
        <f t="shared" si="12"/>
        <v>0</v>
      </c>
      <c r="DA31" s="1940">
        <f t="shared" si="12"/>
        <v>0</v>
      </c>
      <c r="DB31" s="1940">
        <f t="shared" si="12"/>
        <v>0</v>
      </c>
      <c r="DC31" s="1940">
        <f t="shared" si="12"/>
        <v>0</v>
      </c>
      <c r="DD31" s="1940">
        <f t="shared" si="12"/>
        <v>0</v>
      </c>
      <c r="DE31" s="1940">
        <f t="shared" si="12"/>
        <v>0</v>
      </c>
      <c r="DF31" s="1940">
        <f t="shared" si="12"/>
        <v>0</v>
      </c>
      <c r="DG31" s="1940">
        <f t="shared" si="12"/>
        <v>0</v>
      </c>
      <c r="DH31" s="1940">
        <f t="shared" si="12"/>
        <v>0</v>
      </c>
      <c r="DI31" s="1940">
        <f t="shared" si="12"/>
        <v>0</v>
      </c>
      <c r="DJ31" s="1940">
        <f t="shared" si="12"/>
        <v>0</v>
      </c>
      <c r="DK31" s="1940">
        <f t="shared" si="12"/>
        <v>0</v>
      </c>
      <c r="DL31" s="1940">
        <f t="shared" si="12"/>
        <v>0</v>
      </c>
      <c r="DM31" s="1940">
        <f t="shared" si="12"/>
        <v>0</v>
      </c>
      <c r="DN31" s="1940">
        <f t="shared" si="12"/>
        <v>0</v>
      </c>
      <c r="DO31" s="1940">
        <f t="shared" si="12"/>
        <v>0</v>
      </c>
      <c r="DP31" s="1940">
        <f t="shared" si="12"/>
        <v>0</v>
      </c>
      <c r="DQ31" s="1940">
        <f t="shared" si="12"/>
        <v>0</v>
      </c>
      <c r="DR31" s="1940">
        <f t="shared" si="12"/>
        <v>0</v>
      </c>
      <c r="DS31" s="1940">
        <f t="shared" si="12"/>
        <v>0</v>
      </c>
      <c r="DT31" s="1940">
        <f t="shared" si="12"/>
        <v>0</v>
      </c>
      <c r="DU31" s="1940">
        <f t="shared" si="12"/>
        <v>0</v>
      </c>
      <c r="DV31" s="1940">
        <f t="shared" si="12"/>
        <v>0</v>
      </c>
      <c r="DW31" s="1940">
        <f t="shared" si="12"/>
        <v>0</v>
      </c>
      <c r="DX31" s="1940">
        <f t="shared" si="12"/>
        <v>0</v>
      </c>
      <c r="DY31" s="1940">
        <f t="shared" si="12"/>
        <v>0</v>
      </c>
      <c r="DZ31" s="1940">
        <f t="shared" si="12"/>
        <v>0</v>
      </c>
      <c r="EA31" s="1940">
        <f t="shared" si="12"/>
        <v>0</v>
      </c>
      <c r="EB31" s="1940">
        <f t="shared" si="12"/>
        <v>0</v>
      </c>
      <c r="EC31" s="1940">
        <f t="shared" si="12"/>
        <v>0</v>
      </c>
      <c r="ED31" s="1940">
        <f t="shared" si="12"/>
        <v>0</v>
      </c>
      <c r="EE31" s="1940">
        <f t="shared" si="12"/>
        <v>0</v>
      </c>
      <c r="EF31" s="1940">
        <f t="shared" si="12"/>
        <v>0</v>
      </c>
      <c r="EG31" s="1940">
        <f t="shared" ref="EG31:GR31" si="13">SUM(EG28:EG30)</f>
        <v>0</v>
      </c>
      <c r="EH31" s="1940">
        <f t="shared" si="13"/>
        <v>0</v>
      </c>
      <c r="EI31" s="1940">
        <f t="shared" si="13"/>
        <v>0</v>
      </c>
      <c r="EJ31" s="1940">
        <f t="shared" si="13"/>
        <v>0</v>
      </c>
      <c r="EK31" s="1940">
        <f t="shared" si="13"/>
        <v>0</v>
      </c>
      <c r="EL31" s="1940">
        <f t="shared" si="13"/>
        <v>0</v>
      </c>
      <c r="EM31" s="1940">
        <f t="shared" si="13"/>
        <v>0</v>
      </c>
      <c r="EN31" s="1940">
        <f t="shared" si="13"/>
        <v>0</v>
      </c>
      <c r="EO31" s="1940">
        <f t="shared" si="13"/>
        <v>0</v>
      </c>
      <c r="EP31" s="1940">
        <f t="shared" si="13"/>
        <v>0</v>
      </c>
      <c r="EQ31" s="1940">
        <f t="shared" si="13"/>
        <v>0</v>
      </c>
      <c r="ER31" s="1940">
        <f t="shared" si="13"/>
        <v>0</v>
      </c>
      <c r="ES31" s="1940">
        <f t="shared" si="13"/>
        <v>0</v>
      </c>
      <c r="ET31" s="1940">
        <f t="shared" si="13"/>
        <v>0</v>
      </c>
      <c r="EU31" s="1940">
        <f t="shared" si="13"/>
        <v>0</v>
      </c>
      <c r="EV31" s="1940">
        <f t="shared" si="13"/>
        <v>0</v>
      </c>
      <c r="EW31" s="1940">
        <f t="shared" si="13"/>
        <v>0</v>
      </c>
      <c r="EX31" s="1940">
        <f t="shared" si="13"/>
        <v>0</v>
      </c>
      <c r="EY31" s="1940">
        <f t="shared" si="13"/>
        <v>0</v>
      </c>
      <c r="EZ31" s="1940">
        <f t="shared" si="13"/>
        <v>0</v>
      </c>
      <c r="FA31" s="1940">
        <f t="shared" si="13"/>
        <v>0</v>
      </c>
      <c r="FB31" s="1940">
        <f t="shared" si="13"/>
        <v>0</v>
      </c>
      <c r="FC31" s="1940">
        <f t="shared" si="13"/>
        <v>0</v>
      </c>
      <c r="FD31" s="1940">
        <f t="shared" si="13"/>
        <v>0</v>
      </c>
      <c r="FE31" s="1940">
        <f t="shared" si="13"/>
        <v>0</v>
      </c>
      <c r="FF31" s="1940">
        <f t="shared" si="13"/>
        <v>0</v>
      </c>
      <c r="FG31" s="1940">
        <f t="shared" si="13"/>
        <v>0</v>
      </c>
      <c r="FH31" s="1940">
        <f t="shared" si="13"/>
        <v>0</v>
      </c>
      <c r="FI31" s="1940">
        <f t="shared" si="13"/>
        <v>0</v>
      </c>
      <c r="FJ31" s="1940">
        <f t="shared" si="13"/>
        <v>0</v>
      </c>
      <c r="FK31" s="1940">
        <f t="shared" si="13"/>
        <v>0</v>
      </c>
      <c r="FL31" s="1940">
        <f t="shared" si="13"/>
        <v>0</v>
      </c>
      <c r="FM31" s="1940">
        <f t="shared" si="13"/>
        <v>0</v>
      </c>
      <c r="FN31" s="1940">
        <f t="shared" si="13"/>
        <v>0</v>
      </c>
      <c r="FO31" s="1940">
        <f t="shared" si="13"/>
        <v>0</v>
      </c>
      <c r="FP31" s="1940">
        <f t="shared" si="13"/>
        <v>0</v>
      </c>
      <c r="FQ31" s="1940">
        <f t="shared" si="13"/>
        <v>0</v>
      </c>
      <c r="FR31" s="1940">
        <f t="shared" si="13"/>
        <v>0</v>
      </c>
      <c r="FS31" s="1940">
        <f t="shared" si="13"/>
        <v>0</v>
      </c>
      <c r="FT31" s="1940">
        <f t="shared" si="13"/>
        <v>0</v>
      </c>
      <c r="FU31" s="1940">
        <f t="shared" si="13"/>
        <v>0</v>
      </c>
      <c r="FV31" s="1940">
        <f t="shared" si="13"/>
        <v>0</v>
      </c>
      <c r="FW31" s="1940">
        <f t="shared" si="13"/>
        <v>0</v>
      </c>
      <c r="FX31" s="1940">
        <f t="shared" si="13"/>
        <v>0</v>
      </c>
      <c r="FY31" s="1940">
        <f t="shared" si="13"/>
        <v>0</v>
      </c>
      <c r="FZ31" s="1940">
        <f t="shared" si="13"/>
        <v>0</v>
      </c>
      <c r="GA31" s="1940">
        <f t="shared" si="13"/>
        <v>0</v>
      </c>
      <c r="GB31" s="1940">
        <f t="shared" si="13"/>
        <v>0</v>
      </c>
      <c r="GC31" s="1940">
        <f t="shared" si="13"/>
        <v>0</v>
      </c>
      <c r="GD31" s="1940">
        <f t="shared" si="13"/>
        <v>0</v>
      </c>
      <c r="GE31" s="1940">
        <f t="shared" si="13"/>
        <v>0</v>
      </c>
      <c r="GF31" s="1940">
        <f t="shared" si="13"/>
        <v>0</v>
      </c>
      <c r="GG31" s="1940">
        <f t="shared" si="13"/>
        <v>0</v>
      </c>
      <c r="GH31" s="1940">
        <f t="shared" si="13"/>
        <v>0</v>
      </c>
      <c r="GI31" s="1940">
        <f t="shared" si="13"/>
        <v>0</v>
      </c>
      <c r="GJ31" s="1940">
        <f t="shared" si="13"/>
        <v>0</v>
      </c>
      <c r="GK31" s="1940">
        <f t="shared" si="13"/>
        <v>0</v>
      </c>
      <c r="GL31" s="1940">
        <f t="shared" si="13"/>
        <v>0</v>
      </c>
      <c r="GM31" s="1940">
        <f t="shared" si="13"/>
        <v>0</v>
      </c>
      <c r="GN31" s="1940">
        <f t="shared" si="13"/>
        <v>0</v>
      </c>
      <c r="GO31" s="1940">
        <f t="shared" si="13"/>
        <v>0</v>
      </c>
      <c r="GP31" s="1940">
        <f t="shared" si="13"/>
        <v>0</v>
      </c>
      <c r="GQ31" s="1940">
        <f t="shared" si="13"/>
        <v>0</v>
      </c>
      <c r="GR31" s="1940">
        <f t="shared" si="13"/>
        <v>0</v>
      </c>
      <c r="GS31" s="1940">
        <f t="shared" ref="GS31:HG31" si="14">SUM(GS28:GS30)</f>
        <v>0</v>
      </c>
      <c r="GT31" s="1940">
        <f t="shared" si="14"/>
        <v>0</v>
      </c>
      <c r="GU31" s="1940">
        <f t="shared" si="14"/>
        <v>0</v>
      </c>
      <c r="GV31" s="1940">
        <f t="shared" si="14"/>
        <v>0</v>
      </c>
      <c r="GW31" s="1940">
        <f t="shared" si="14"/>
        <v>0</v>
      </c>
      <c r="GX31" s="1940">
        <f t="shared" si="14"/>
        <v>0</v>
      </c>
      <c r="GY31" s="1940">
        <f t="shared" si="14"/>
        <v>0</v>
      </c>
      <c r="GZ31" s="1940">
        <f t="shared" si="14"/>
        <v>0</v>
      </c>
      <c r="HA31" s="1940">
        <f t="shared" si="14"/>
        <v>0</v>
      </c>
      <c r="HB31" s="1940">
        <f t="shared" si="14"/>
        <v>0</v>
      </c>
      <c r="HC31" s="1940">
        <f t="shared" si="14"/>
        <v>0</v>
      </c>
      <c r="HD31" s="1940">
        <f t="shared" si="14"/>
        <v>0</v>
      </c>
      <c r="HE31" s="1940">
        <f t="shared" si="14"/>
        <v>0</v>
      </c>
      <c r="HF31" s="1940">
        <f t="shared" si="14"/>
        <v>0</v>
      </c>
      <c r="HG31" s="1940">
        <f t="shared" si="14"/>
        <v>0</v>
      </c>
    </row>
    <row r="32" spans="1:215" s="1893" customFormat="1" ht="21" customHeight="1" thickBot="1" x14ac:dyDescent="0.25">
      <c r="A32" s="2057"/>
      <c r="B32" s="2025"/>
      <c r="C32" s="2026"/>
      <c r="D32" s="2026"/>
      <c r="E32" s="1912" t="s">
        <v>602</v>
      </c>
      <c r="F32" s="1918">
        <f t="shared" ref="F32" si="15">F31/9</f>
        <v>0</v>
      </c>
      <c r="G32" s="2054"/>
      <c r="H32" s="1941">
        <f>H31/9</f>
        <v>0</v>
      </c>
      <c r="I32" s="1941">
        <f t="shared" ref="I32:BT32" si="16">I31/9</f>
        <v>0</v>
      </c>
      <c r="J32" s="1941">
        <f t="shared" si="16"/>
        <v>0</v>
      </c>
      <c r="K32" s="1941">
        <f t="shared" si="16"/>
        <v>0</v>
      </c>
      <c r="L32" s="1941">
        <f t="shared" si="16"/>
        <v>0</v>
      </c>
      <c r="M32" s="1941">
        <f t="shared" si="16"/>
        <v>0</v>
      </c>
      <c r="N32" s="1941">
        <f t="shared" si="16"/>
        <v>0</v>
      </c>
      <c r="O32" s="1941">
        <f t="shared" si="16"/>
        <v>0</v>
      </c>
      <c r="P32" s="1941">
        <f t="shared" si="16"/>
        <v>0</v>
      </c>
      <c r="Q32" s="1941">
        <f t="shared" si="16"/>
        <v>0</v>
      </c>
      <c r="R32" s="1941">
        <f t="shared" si="16"/>
        <v>0</v>
      </c>
      <c r="S32" s="1941">
        <f t="shared" si="16"/>
        <v>0</v>
      </c>
      <c r="T32" s="1941">
        <f t="shared" si="16"/>
        <v>0</v>
      </c>
      <c r="U32" s="1941">
        <f t="shared" si="16"/>
        <v>0</v>
      </c>
      <c r="V32" s="1941">
        <f t="shared" si="16"/>
        <v>0</v>
      </c>
      <c r="W32" s="1941">
        <f t="shared" si="16"/>
        <v>0</v>
      </c>
      <c r="X32" s="1941">
        <f t="shared" si="16"/>
        <v>0</v>
      </c>
      <c r="Y32" s="1941">
        <f t="shared" si="16"/>
        <v>0</v>
      </c>
      <c r="Z32" s="1941">
        <f t="shared" si="16"/>
        <v>0</v>
      </c>
      <c r="AA32" s="1941">
        <f t="shared" si="16"/>
        <v>0</v>
      </c>
      <c r="AB32" s="1941">
        <f t="shared" si="16"/>
        <v>0</v>
      </c>
      <c r="AC32" s="1941">
        <f t="shared" si="16"/>
        <v>0</v>
      </c>
      <c r="AD32" s="1941">
        <f t="shared" si="16"/>
        <v>0</v>
      </c>
      <c r="AE32" s="1941">
        <f t="shared" si="16"/>
        <v>0</v>
      </c>
      <c r="AF32" s="1941">
        <f t="shared" si="16"/>
        <v>0</v>
      </c>
      <c r="AG32" s="1941">
        <f t="shared" si="16"/>
        <v>0</v>
      </c>
      <c r="AH32" s="1941">
        <f t="shared" si="16"/>
        <v>0</v>
      </c>
      <c r="AI32" s="1941">
        <f t="shared" si="16"/>
        <v>0</v>
      </c>
      <c r="AJ32" s="1941">
        <f t="shared" si="16"/>
        <v>0</v>
      </c>
      <c r="AK32" s="1941">
        <f t="shared" si="16"/>
        <v>0</v>
      </c>
      <c r="AL32" s="1941">
        <f t="shared" si="16"/>
        <v>0</v>
      </c>
      <c r="AM32" s="1941">
        <f t="shared" si="16"/>
        <v>0</v>
      </c>
      <c r="AN32" s="1941">
        <f t="shared" si="16"/>
        <v>0</v>
      </c>
      <c r="AO32" s="1941">
        <f t="shared" si="16"/>
        <v>0</v>
      </c>
      <c r="AP32" s="1941">
        <f t="shared" si="16"/>
        <v>0</v>
      </c>
      <c r="AQ32" s="1941">
        <f t="shared" si="16"/>
        <v>0</v>
      </c>
      <c r="AR32" s="1941">
        <f t="shared" si="16"/>
        <v>0</v>
      </c>
      <c r="AS32" s="1941">
        <f t="shared" si="16"/>
        <v>0</v>
      </c>
      <c r="AT32" s="1941">
        <f t="shared" si="16"/>
        <v>0</v>
      </c>
      <c r="AU32" s="1941">
        <f t="shared" si="16"/>
        <v>0</v>
      </c>
      <c r="AV32" s="1941">
        <f t="shared" si="16"/>
        <v>0</v>
      </c>
      <c r="AW32" s="1941">
        <f t="shared" si="16"/>
        <v>0</v>
      </c>
      <c r="AX32" s="1941">
        <f t="shared" si="16"/>
        <v>0</v>
      </c>
      <c r="AY32" s="1941">
        <f t="shared" si="16"/>
        <v>0</v>
      </c>
      <c r="AZ32" s="1941">
        <f t="shared" si="16"/>
        <v>0</v>
      </c>
      <c r="BA32" s="1941">
        <f t="shared" si="16"/>
        <v>0</v>
      </c>
      <c r="BB32" s="1941">
        <f t="shared" si="16"/>
        <v>0</v>
      </c>
      <c r="BC32" s="1941">
        <f t="shared" si="16"/>
        <v>0</v>
      </c>
      <c r="BD32" s="1941">
        <f t="shared" si="16"/>
        <v>0</v>
      </c>
      <c r="BE32" s="1941">
        <f t="shared" si="16"/>
        <v>0</v>
      </c>
      <c r="BF32" s="1941">
        <f t="shared" si="16"/>
        <v>0</v>
      </c>
      <c r="BG32" s="1941">
        <f t="shared" si="16"/>
        <v>0</v>
      </c>
      <c r="BH32" s="1941">
        <f t="shared" si="16"/>
        <v>0</v>
      </c>
      <c r="BI32" s="1941">
        <f t="shared" si="16"/>
        <v>0</v>
      </c>
      <c r="BJ32" s="1941">
        <f t="shared" si="16"/>
        <v>0</v>
      </c>
      <c r="BK32" s="1941">
        <f t="shared" si="16"/>
        <v>0</v>
      </c>
      <c r="BL32" s="1941">
        <f t="shared" si="16"/>
        <v>0</v>
      </c>
      <c r="BM32" s="1941">
        <f t="shared" si="16"/>
        <v>0</v>
      </c>
      <c r="BN32" s="1941">
        <f t="shared" si="16"/>
        <v>0</v>
      </c>
      <c r="BO32" s="1941">
        <f t="shared" si="16"/>
        <v>0</v>
      </c>
      <c r="BP32" s="1941">
        <f t="shared" si="16"/>
        <v>0</v>
      </c>
      <c r="BQ32" s="1941">
        <f t="shared" si="16"/>
        <v>0</v>
      </c>
      <c r="BR32" s="1941">
        <f t="shared" si="16"/>
        <v>0</v>
      </c>
      <c r="BS32" s="1941">
        <f t="shared" si="16"/>
        <v>0</v>
      </c>
      <c r="BT32" s="1941">
        <f t="shared" si="16"/>
        <v>0</v>
      </c>
      <c r="BU32" s="1941">
        <f t="shared" ref="BU32:EF32" si="17">BU31/9</f>
        <v>0</v>
      </c>
      <c r="BV32" s="1941">
        <f t="shared" si="17"/>
        <v>0</v>
      </c>
      <c r="BW32" s="1941">
        <f t="shared" si="17"/>
        <v>0</v>
      </c>
      <c r="BX32" s="1941">
        <f t="shared" si="17"/>
        <v>0</v>
      </c>
      <c r="BY32" s="1941">
        <f t="shared" si="17"/>
        <v>0</v>
      </c>
      <c r="BZ32" s="1941">
        <f t="shared" si="17"/>
        <v>0</v>
      </c>
      <c r="CA32" s="1941">
        <f t="shared" si="17"/>
        <v>0</v>
      </c>
      <c r="CB32" s="1941">
        <f t="shared" si="17"/>
        <v>0</v>
      </c>
      <c r="CC32" s="1941">
        <f t="shared" si="17"/>
        <v>0</v>
      </c>
      <c r="CD32" s="1941">
        <f t="shared" si="17"/>
        <v>0</v>
      </c>
      <c r="CE32" s="1941">
        <f t="shared" si="17"/>
        <v>0</v>
      </c>
      <c r="CF32" s="1941">
        <f t="shared" si="17"/>
        <v>0</v>
      </c>
      <c r="CG32" s="1941">
        <f t="shared" si="17"/>
        <v>0</v>
      </c>
      <c r="CH32" s="1941">
        <f t="shared" si="17"/>
        <v>0</v>
      </c>
      <c r="CI32" s="1941">
        <f t="shared" si="17"/>
        <v>0</v>
      </c>
      <c r="CJ32" s="1941">
        <f t="shared" si="17"/>
        <v>0</v>
      </c>
      <c r="CK32" s="1941">
        <f t="shared" si="17"/>
        <v>0</v>
      </c>
      <c r="CL32" s="1941">
        <f t="shared" si="17"/>
        <v>0</v>
      </c>
      <c r="CM32" s="1941">
        <f t="shared" si="17"/>
        <v>0</v>
      </c>
      <c r="CN32" s="1941">
        <f t="shared" si="17"/>
        <v>0</v>
      </c>
      <c r="CO32" s="1941">
        <f t="shared" si="17"/>
        <v>0</v>
      </c>
      <c r="CP32" s="1941">
        <f t="shared" si="17"/>
        <v>0</v>
      </c>
      <c r="CQ32" s="1941">
        <f t="shared" si="17"/>
        <v>0</v>
      </c>
      <c r="CR32" s="1941">
        <f t="shared" si="17"/>
        <v>0</v>
      </c>
      <c r="CS32" s="1941">
        <f t="shared" si="17"/>
        <v>0</v>
      </c>
      <c r="CT32" s="1941">
        <f t="shared" si="17"/>
        <v>0</v>
      </c>
      <c r="CU32" s="1941">
        <f t="shared" si="17"/>
        <v>0</v>
      </c>
      <c r="CV32" s="1941">
        <f t="shared" si="17"/>
        <v>0</v>
      </c>
      <c r="CW32" s="1941">
        <f t="shared" si="17"/>
        <v>0</v>
      </c>
      <c r="CX32" s="1941">
        <f t="shared" si="17"/>
        <v>0</v>
      </c>
      <c r="CY32" s="1941">
        <f t="shared" si="17"/>
        <v>0</v>
      </c>
      <c r="CZ32" s="1941">
        <f t="shared" si="17"/>
        <v>0</v>
      </c>
      <c r="DA32" s="1941">
        <f t="shared" si="17"/>
        <v>0</v>
      </c>
      <c r="DB32" s="1941">
        <f t="shared" si="17"/>
        <v>0</v>
      </c>
      <c r="DC32" s="1941">
        <f t="shared" si="17"/>
        <v>0</v>
      </c>
      <c r="DD32" s="1941">
        <f t="shared" si="17"/>
        <v>0</v>
      </c>
      <c r="DE32" s="1941">
        <f t="shared" si="17"/>
        <v>0</v>
      </c>
      <c r="DF32" s="1941">
        <f t="shared" si="17"/>
        <v>0</v>
      </c>
      <c r="DG32" s="1941">
        <f t="shared" si="17"/>
        <v>0</v>
      </c>
      <c r="DH32" s="1941">
        <f t="shared" si="17"/>
        <v>0</v>
      </c>
      <c r="DI32" s="1941">
        <f t="shared" si="17"/>
        <v>0</v>
      </c>
      <c r="DJ32" s="1941">
        <f t="shared" si="17"/>
        <v>0</v>
      </c>
      <c r="DK32" s="1941">
        <f t="shared" si="17"/>
        <v>0</v>
      </c>
      <c r="DL32" s="1941">
        <f t="shared" si="17"/>
        <v>0</v>
      </c>
      <c r="DM32" s="1941">
        <f t="shared" si="17"/>
        <v>0</v>
      </c>
      <c r="DN32" s="1941">
        <f t="shared" si="17"/>
        <v>0</v>
      </c>
      <c r="DO32" s="1941">
        <f t="shared" si="17"/>
        <v>0</v>
      </c>
      <c r="DP32" s="1941">
        <f t="shared" si="17"/>
        <v>0</v>
      </c>
      <c r="DQ32" s="1941">
        <f t="shared" si="17"/>
        <v>0</v>
      </c>
      <c r="DR32" s="1941">
        <f t="shared" si="17"/>
        <v>0</v>
      </c>
      <c r="DS32" s="1941">
        <f t="shared" si="17"/>
        <v>0</v>
      </c>
      <c r="DT32" s="1941">
        <f t="shared" si="17"/>
        <v>0</v>
      </c>
      <c r="DU32" s="1941">
        <f t="shared" si="17"/>
        <v>0</v>
      </c>
      <c r="DV32" s="1941">
        <f t="shared" si="17"/>
        <v>0</v>
      </c>
      <c r="DW32" s="1941">
        <f t="shared" si="17"/>
        <v>0</v>
      </c>
      <c r="DX32" s="1941">
        <f t="shared" si="17"/>
        <v>0</v>
      </c>
      <c r="DY32" s="1941">
        <f t="shared" si="17"/>
        <v>0</v>
      </c>
      <c r="DZ32" s="1941">
        <f t="shared" si="17"/>
        <v>0</v>
      </c>
      <c r="EA32" s="1941">
        <f t="shared" si="17"/>
        <v>0</v>
      </c>
      <c r="EB32" s="1941">
        <f t="shared" si="17"/>
        <v>0</v>
      </c>
      <c r="EC32" s="1941">
        <f t="shared" si="17"/>
        <v>0</v>
      </c>
      <c r="ED32" s="1941">
        <f t="shared" si="17"/>
        <v>0</v>
      </c>
      <c r="EE32" s="1941">
        <f t="shared" si="17"/>
        <v>0</v>
      </c>
      <c r="EF32" s="1941">
        <f t="shared" si="17"/>
        <v>0</v>
      </c>
      <c r="EG32" s="1941">
        <f t="shared" ref="EG32:GR32" si="18">EG31/9</f>
        <v>0</v>
      </c>
      <c r="EH32" s="1941">
        <f t="shared" si="18"/>
        <v>0</v>
      </c>
      <c r="EI32" s="1941">
        <f t="shared" si="18"/>
        <v>0</v>
      </c>
      <c r="EJ32" s="1941">
        <f t="shared" si="18"/>
        <v>0</v>
      </c>
      <c r="EK32" s="1941">
        <f t="shared" si="18"/>
        <v>0</v>
      </c>
      <c r="EL32" s="1941">
        <f t="shared" si="18"/>
        <v>0</v>
      </c>
      <c r="EM32" s="1941">
        <f t="shared" si="18"/>
        <v>0</v>
      </c>
      <c r="EN32" s="1941">
        <f t="shared" si="18"/>
        <v>0</v>
      </c>
      <c r="EO32" s="1941">
        <f t="shared" si="18"/>
        <v>0</v>
      </c>
      <c r="EP32" s="1941">
        <f t="shared" si="18"/>
        <v>0</v>
      </c>
      <c r="EQ32" s="1941">
        <f t="shared" si="18"/>
        <v>0</v>
      </c>
      <c r="ER32" s="1941">
        <f t="shared" si="18"/>
        <v>0</v>
      </c>
      <c r="ES32" s="1941">
        <f t="shared" si="18"/>
        <v>0</v>
      </c>
      <c r="ET32" s="1941">
        <f t="shared" si="18"/>
        <v>0</v>
      </c>
      <c r="EU32" s="1941">
        <f t="shared" si="18"/>
        <v>0</v>
      </c>
      <c r="EV32" s="1941">
        <f t="shared" si="18"/>
        <v>0</v>
      </c>
      <c r="EW32" s="1941">
        <f t="shared" si="18"/>
        <v>0</v>
      </c>
      <c r="EX32" s="1941">
        <f t="shared" si="18"/>
        <v>0</v>
      </c>
      <c r="EY32" s="1941">
        <f t="shared" si="18"/>
        <v>0</v>
      </c>
      <c r="EZ32" s="1941">
        <f t="shared" si="18"/>
        <v>0</v>
      </c>
      <c r="FA32" s="1941">
        <f t="shared" si="18"/>
        <v>0</v>
      </c>
      <c r="FB32" s="1941">
        <f t="shared" si="18"/>
        <v>0</v>
      </c>
      <c r="FC32" s="1941">
        <f t="shared" si="18"/>
        <v>0</v>
      </c>
      <c r="FD32" s="1941">
        <f t="shared" si="18"/>
        <v>0</v>
      </c>
      <c r="FE32" s="1941">
        <f t="shared" si="18"/>
        <v>0</v>
      </c>
      <c r="FF32" s="1941">
        <f t="shared" si="18"/>
        <v>0</v>
      </c>
      <c r="FG32" s="1941">
        <f t="shared" si="18"/>
        <v>0</v>
      </c>
      <c r="FH32" s="1941">
        <f t="shared" si="18"/>
        <v>0</v>
      </c>
      <c r="FI32" s="1941">
        <f t="shared" si="18"/>
        <v>0</v>
      </c>
      <c r="FJ32" s="1941">
        <f t="shared" si="18"/>
        <v>0</v>
      </c>
      <c r="FK32" s="1941">
        <f t="shared" si="18"/>
        <v>0</v>
      </c>
      <c r="FL32" s="1941">
        <f t="shared" si="18"/>
        <v>0</v>
      </c>
      <c r="FM32" s="1941">
        <f t="shared" si="18"/>
        <v>0</v>
      </c>
      <c r="FN32" s="1941">
        <f t="shared" si="18"/>
        <v>0</v>
      </c>
      <c r="FO32" s="1941">
        <f t="shared" si="18"/>
        <v>0</v>
      </c>
      <c r="FP32" s="1941">
        <f t="shared" si="18"/>
        <v>0</v>
      </c>
      <c r="FQ32" s="1941">
        <f t="shared" si="18"/>
        <v>0</v>
      </c>
      <c r="FR32" s="1941">
        <f t="shared" si="18"/>
        <v>0</v>
      </c>
      <c r="FS32" s="1941">
        <f t="shared" si="18"/>
        <v>0</v>
      </c>
      <c r="FT32" s="1941">
        <f t="shared" si="18"/>
        <v>0</v>
      </c>
      <c r="FU32" s="1941">
        <f t="shared" si="18"/>
        <v>0</v>
      </c>
      <c r="FV32" s="1941">
        <f t="shared" si="18"/>
        <v>0</v>
      </c>
      <c r="FW32" s="1941">
        <f t="shared" si="18"/>
        <v>0</v>
      </c>
      <c r="FX32" s="1941">
        <f t="shared" si="18"/>
        <v>0</v>
      </c>
      <c r="FY32" s="1941">
        <f t="shared" si="18"/>
        <v>0</v>
      </c>
      <c r="FZ32" s="1941">
        <f t="shared" si="18"/>
        <v>0</v>
      </c>
      <c r="GA32" s="1941">
        <f t="shared" si="18"/>
        <v>0</v>
      </c>
      <c r="GB32" s="1941">
        <f t="shared" si="18"/>
        <v>0</v>
      </c>
      <c r="GC32" s="1941">
        <f t="shared" si="18"/>
        <v>0</v>
      </c>
      <c r="GD32" s="1941">
        <f t="shared" si="18"/>
        <v>0</v>
      </c>
      <c r="GE32" s="1941">
        <f t="shared" si="18"/>
        <v>0</v>
      </c>
      <c r="GF32" s="1941">
        <f t="shared" si="18"/>
        <v>0</v>
      </c>
      <c r="GG32" s="1941">
        <f t="shared" si="18"/>
        <v>0</v>
      </c>
      <c r="GH32" s="1941">
        <f t="shared" si="18"/>
        <v>0</v>
      </c>
      <c r="GI32" s="1941">
        <f t="shared" si="18"/>
        <v>0</v>
      </c>
      <c r="GJ32" s="1941">
        <f t="shared" si="18"/>
        <v>0</v>
      </c>
      <c r="GK32" s="1941">
        <f t="shared" si="18"/>
        <v>0</v>
      </c>
      <c r="GL32" s="1941">
        <f t="shared" si="18"/>
        <v>0</v>
      </c>
      <c r="GM32" s="1941">
        <f t="shared" si="18"/>
        <v>0</v>
      </c>
      <c r="GN32" s="1941">
        <f t="shared" si="18"/>
        <v>0</v>
      </c>
      <c r="GO32" s="1941">
        <f t="shared" si="18"/>
        <v>0</v>
      </c>
      <c r="GP32" s="1941">
        <f t="shared" si="18"/>
        <v>0</v>
      </c>
      <c r="GQ32" s="1941">
        <f t="shared" si="18"/>
        <v>0</v>
      </c>
      <c r="GR32" s="1941">
        <f t="shared" si="18"/>
        <v>0</v>
      </c>
      <c r="GS32" s="1941">
        <f t="shared" ref="GS32:HG32" si="19">GS31/9</f>
        <v>0</v>
      </c>
      <c r="GT32" s="1941">
        <f t="shared" si="19"/>
        <v>0</v>
      </c>
      <c r="GU32" s="1941">
        <f t="shared" si="19"/>
        <v>0</v>
      </c>
      <c r="GV32" s="1941">
        <f t="shared" si="19"/>
        <v>0</v>
      </c>
      <c r="GW32" s="1941">
        <f t="shared" si="19"/>
        <v>0</v>
      </c>
      <c r="GX32" s="1941">
        <f t="shared" si="19"/>
        <v>0</v>
      </c>
      <c r="GY32" s="1941">
        <f t="shared" si="19"/>
        <v>0</v>
      </c>
      <c r="GZ32" s="1941">
        <f t="shared" si="19"/>
        <v>0</v>
      </c>
      <c r="HA32" s="1941">
        <f t="shared" si="19"/>
        <v>0</v>
      </c>
      <c r="HB32" s="1941">
        <f t="shared" si="19"/>
        <v>0</v>
      </c>
      <c r="HC32" s="1941">
        <f t="shared" si="19"/>
        <v>0</v>
      </c>
      <c r="HD32" s="1941">
        <f t="shared" si="19"/>
        <v>0</v>
      </c>
      <c r="HE32" s="1941">
        <f t="shared" si="19"/>
        <v>0</v>
      </c>
      <c r="HF32" s="1941">
        <f t="shared" si="19"/>
        <v>0</v>
      </c>
      <c r="HG32" s="1941">
        <f t="shared" si="19"/>
        <v>0</v>
      </c>
    </row>
    <row r="33" spans="1:215" s="1893" customFormat="1" ht="21" customHeight="1" thickBot="1" x14ac:dyDescent="0.25">
      <c r="A33" s="2027" t="s">
        <v>74</v>
      </c>
      <c r="B33" s="2034" t="s">
        <v>591</v>
      </c>
      <c r="C33" s="2035"/>
      <c r="D33" s="2035"/>
      <c r="E33" s="2036"/>
      <c r="F33" s="1914"/>
      <c r="G33" s="2052"/>
      <c r="H33" s="1808"/>
      <c r="I33" s="1808"/>
      <c r="J33" s="1808"/>
      <c r="K33" s="1808"/>
      <c r="L33" s="1808"/>
      <c r="M33" s="1808"/>
      <c r="N33" s="1808"/>
      <c r="O33" s="1808"/>
      <c r="P33" s="1808"/>
      <c r="Q33" s="1808"/>
      <c r="R33" s="1808"/>
      <c r="S33" s="1808"/>
      <c r="T33" s="1808"/>
      <c r="U33" s="1808"/>
      <c r="V33" s="1808"/>
      <c r="W33" s="1808"/>
      <c r="X33" s="1808"/>
      <c r="Y33" s="1808"/>
      <c r="Z33" s="1808"/>
      <c r="AA33" s="1808"/>
      <c r="AB33" s="1808"/>
      <c r="AC33" s="1808"/>
      <c r="AD33" s="1808"/>
      <c r="AE33" s="1808"/>
      <c r="AF33" s="1808"/>
      <c r="AG33" s="1808"/>
      <c r="AH33" s="1808"/>
      <c r="AI33" s="1808"/>
      <c r="AJ33" s="1808"/>
      <c r="AK33" s="1808"/>
      <c r="AL33" s="1808"/>
      <c r="AM33" s="1808"/>
      <c r="AN33" s="1808"/>
      <c r="AO33" s="1808"/>
      <c r="AP33" s="1808"/>
      <c r="AQ33" s="1808"/>
      <c r="AR33" s="1808"/>
      <c r="AS33" s="1808"/>
      <c r="AT33" s="1808"/>
      <c r="AU33" s="1808"/>
      <c r="AV33" s="1808"/>
      <c r="AW33" s="1808"/>
      <c r="AX33" s="1808"/>
      <c r="AY33" s="1808"/>
      <c r="AZ33" s="1808"/>
      <c r="BA33" s="1808"/>
      <c r="BB33" s="1808"/>
      <c r="BC33" s="1808"/>
      <c r="BD33" s="1808"/>
      <c r="BE33" s="1808"/>
      <c r="BF33" s="1808"/>
      <c r="BG33" s="1808"/>
      <c r="BH33" s="1808"/>
      <c r="BI33" s="1808"/>
      <c r="BJ33" s="1808"/>
      <c r="BK33" s="1808"/>
      <c r="BL33" s="1808"/>
      <c r="BM33" s="1808"/>
      <c r="BN33" s="1808"/>
      <c r="BO33" s="1808"/>
      <c r="BP33" s="1808"/>
      <c r="BQ33" s="1808"/>
      <c r="BR33" s="1808"/>
      <c r="BS33" s="1808"/>
      <c r="BT33" s="1808"/>
      <c r="BU33" s="1808"/>
      <c r="BV33" s="1808"/>
      <c r="BW33" s="1808"/>
      <c r="BX33" s="1808"/>
      <c r="BY33" s="1808"/>
      <c r="BZ33" s="1808"/>
      <c r="CA33" s="1808"/>
      <c r="CB33" s="1808"/>
      <c r="CC33" s="1808"/>
      <c r="CD33" s="1808"/>
      <c r="CE33" s="1808"/>
      <c r="CF33" s="1808"/>
      <c r="CG33" s="1808"/>
      <c r="CH33" s="1808"/>
      <c r="CI33" s="1808"/>
      <c r="CJ33" s="1808"/>
      <c r="CK33" s="1808"/>
      <c r="CL33" s="1808"/>
      <c r="CM33" s="1808"/>
      <c r="CN33" s="1808"/>
      <c r="CO33" s="1808"/>
      <c r="CP33" s="1808"/>
      <c r="CQ33" s="1808"/>
      <c r="CR33" s="1808"/>
      <c r="CS33" s="1808"/>
      <c r="CT33" s="1808"/>
      <c r="CU33" s="1808"/>
      <c r="CV33" s="1808"/>
      <c r="CW33" s="1808"/>
      <c r="CX33" s="1808"/>
      <c r="CY33" s="1808"/>
      <c r="CZ33" s="1808"/>
      <c r="DA33" s="1808"/>
      <c r="DB33" s="1808"/>
      <c r="DC33" s="1808"/>
      <c r="DD33" s="1808"/>
      <c r="DE33" s="1808"/>
      <c r="DF33" s="1808"/>
      <c r="DG33" s="1808"/>
      <c r="DH33" s="1808"/>
      <c r="DI33" s="1808"/>
      <c r="DJ33" s="1808"/>
      <c r="DK33" s="1808"/>
      <c r="DL33" s="1808"/>
      <c r="DM33" s="1808"/>
      <c r="DN33" s="1808"/>
      <c r="DO33" s="1808"/>
      <c r="DP33" s="1808"/>
      <c r="DQ33" s="1808"/>
      <c r="DR33" s="1808"/>
      <c r="DS33" s="1808"/>
      <c r="DT33" s="1808"/>
      <c r="DU33" s="1808"/>
      <c r="DV33" s="1808"/>
      <c r="DW33" s="1808"/>
      <c r="DX33" s="1808"/>
      <c r="DY33" s="1808"/>
      <c r="DZ33" s="1808"/>
      <c r="EA33" s="1808"/>
      <c r="EB33" s="1808"/>
      <c r="EC33" s="1808"/>
      <c r="ED33" s="1808"/>
      <c r="EE33" s="1808"/>
      <c r="EF33" s="1808"/>
      <c r="EG33" s="1808"/>
      <c r="EH33" s="1808"/>
      <c r="EI33" s="1808"/>
      <c r="EJ33" s="1808"/>
      <c r="EK33" s="1808"/>
      <c r="EL33" s="1808"/>
      <c r="EM33" s="1808"/>
      <c r="EN33" s="1808"/>
      <c r="EO33" s="1808"/>
      <c r="EP33" s="1808"/>
      <c r="EQ33" s="1808"/>
      <c r="ER33" s="1808"/>
      <c r="ES33" s="1808"/>
      <c r="ET33" s="1808"/>
      <c r="EU33" s="1808"/>
      <c r="EV33" s="1808"/>
      <c r="EW33" s="1808"/>
      <c r="EX33" s="1808"/>
      <c r="EY33" s="1808"/>
      <c r="EZ33" s="1808"/>
      <c r="FA33" s="1808"/>
      <c r="FB33" s="1808"/>
      <c r="FC33" s="1808"/>
      <c r="FD33" s="1808"/>
      <c r="FE33" s="1808"/>
      <c r="FF33" s="1808"/>
      <c r="FG33" s="1808"/>
      <c r="FH33" s="1808"/>
      <c r="FI33" s="1808"/>
      <c r="FJ33" s="1808"/>
      <c r="FK33" s="1808"/>
      <c r="FL33" s="1808"/>
      <c r="FM33" s="1808"/>
      <c r="FN33" s="1808"/>
      <c r="FO33" s="1808"/>
      <c r="FP33" s="1808"/>
      <c r="FQ33" s="1808"/>
      <c r="FR33" s="1808"/>
      <c r="FS33" s="1808"/>
      <c r="FT33" s="1808"/>
      <c r="FU33" s="1808"/>
      <c r="FV33" s="1808"/>
      <c r="FW33" s="1808"/>
      <c r="FX33" s="1808"/>
      <c r="FY33" s="1808"/>
      <c r="FZ33" s="1808"/>
      <c r="GA33" s="1808"/>
      <c r="GB33" s="1808"/>
      <c r="GC33" s="1808"/>
      <c r="GD33" s="1808"/>
      <c r="GE33" s="1808"/>
      <c r="GF33" s="1808"/>
      <c r="GG33" s="1808"/>
      <c r="GH33" s="1808"/>
      <c r="GI33" s="1808"/>
      <c r="GJ33" s="1808"/>
      <c r="GK33" s="1808"/>
      <c r="GL33" s="1808"/>
      <c r="GM33" s="1808"/>
      <c r="GN33" s="1808"/>
      <c r="GO33" s="1808"/>
      <c r="GP33" s="1808"/>
      <c r="GQ33" s="1808"/>
      <c r="GR33" s="1808"/>
      <c r="GS33" s="1808"/>
      <c r="GT33" s="1808"/>
      <c r="GU33" s="1808"/>
      <c r="GV33" s="1808"/>
      <c r="GW33" s="1808"/>
      <c r="GX33" s="1808"/>
      <c r="GY33" s="1808"/>
      <c r="GZ33" s="1808"/>
      <c r="HA33" s="1808"/>
      <c r="HB33" s="1808"/>
      <c r="HC33" s="1808"/>
      <c r="HD33" s="1808"/>
      <c r="HE33" s="1808"/>
      <c r="HF33" s="1808"/>
      <c r="HG33" s="1808"/>
    </row>
    <row r="34" spans="1:215" s="1893" customFormat="1" ht="21" customHeight="1" thickBot="1" x14ac:dyDescent="0.25">
      <c r="A34" s="2028"/>
      <c r="B34" s="2074" t="s">
        <v>681</v>
      </c>
      <c r="C34" s="2075"/>
      <c r="D34" s="2075"/>
      <c r="E34" s="2076"/>
      <c r="F34" s="1897"/>
      <c r="G34" s="2051"/>
      <c r="H34" s="1806"/>
      <c r="I34" s="1806"/>
      <c r="J34" s="1806"/>
      <c r="K34" s="1806"/>
      <c r="L34" s="1806"/>
      <c r="M34" s="1806"/>
      <c r="N34" s="1806"/>
      <c r="O34" s="1806"/>
      <c r="P34" s="1806"/>
      <c r="Q34" s="1806"/>
      <c r="R34" s="1806"/>
      <c r="S34" s="1806"/>
      <c r="T34" s="1806"/>
      <c r="U34" s="1806"/>
      <c r="V34" s="1806"/>
      <c r="W34" s="1806"/>
      <c r="X34" s="1806"/>
      <c r="Y34" s="1806"/>
      <c r="Z34" s="1806"/>
      <c r="AA34" s="1806"/>
      <c r="AB34" s="1806"/>
      <c r="AC34" s="1806"/>
      <c r="AD34" s="1806"/>
      <c r="AE34" s="1806"/>
      <c r="AF34" s="1806"/>
      <c r="AG34" s="1806"/>
      <c r="AH34" s="1806"/>
      <c r="AI34" s="1806"/>
      <c r="AJ34" s="1806"/>
      <c r="AK34" s="1806"/>
      <c r="AL34" s="1806"/>
      <c r="AM34" s="1806"/>
      <c r="AN34" s="1806"/>
      <c r="AO34" s="1806"/>
      <c r="AP34" s="1806"/>
      <c r="AQ34" s="1806"/>
      <c r="AR34" s="1806"/>
      <c r="AS34" s="1806"/>
      <c r="AT34" s="1806"/>
      <c r="AU34" s="1806"/>
      <c r="AV34" s="1806"/>
      <c r="AW34" s="1806"/>
      <c r="AX34" s="1806"/>
      <c r="AY34" s="1806"/>
      <c r="AZ34" s="1806"/>
      <c r="BA34" s="1806"/>
      <c r="BB34" s="1806"/>
      <c r="BC34" s="1806"/>
      <c r="BD34" s="1806"/>
      <c r="BE34" s="1806"/>
      <c r="BF34" s="1806"/>
      <c r="BG34" s="1806"/>
      <c r="BH34" s="1806"/>
      <c r="BI34" s="1806"/>
      <c r="BJ34" s="1806"/>
      <c r="BK34" s="1806"/>
      <c r="BL34" s="1806"/>
      <c r="BM34" s="1806"/>
      <c r="BN34" s="1806"/>
      <c r="BO34" s="1806"/>
      <c r="BP34" s="1806"/>
      <c r="BQ34" s="1806"/>
      <c r="BR34" s="1806"/>
      <c r="BS34" s="1806"/>
      <c r="BT34" s="1806"/>
      <c r="BU34" s="1806"/>
      <c r="BV34" s="1806"/>
      <c r="BW34" s="1806"/>
      <c r="BX34" s="1806"/>
      <c r="BY34" s="1806"/>
      <c r="BZ34" s="1806"/>
      <c r="CA34" s="1806"/>
      <c r="CB34" s="1806"/>
      <c r="CC34" s="1806"/>
      <c r="CD34" s="1806"/>
      <c r="CE34" s="1806"/>
      <c r="CF34" s="1806"/>
      <c r="CG34" s="1806"/>
      <c r="CH34" s="1806"/>
      <c r="CI34" s="1806"/>
      <c r="CJ34" s="1806"/>
      <c r="CK34" s="1806"/>
      <c r="CL34" s="1806"/>
      <c r="CM34" s="1806"/>
      <c r="CN34" s="1806"/>
      <c r="CO34" s="1806"/>
      <c r="CP34" s="1806"/>
      <c r="CQ34" s="1806"/>
      <c r="CR34" s="1806"/>
      <c r="CS34" s="1806"/>
      <c r="CT34" s="1806"/>
      <c r="CU34" s="1806"/>
      <c r="CV34" s="1806"/>
      <c r="CW34" s="1806"/>
      <c r="CX34" s="1806"/>
      <c r="CY34" s="1806"/>
      <c r="CZ34" s="1806"/>
      <c r="DA34" s="1806"/>
      <c r="DB34" s="1806"/>
      <c r="DC34" s="1806"/>
      <c r="DD34" s="1806"/>
      <c r="DE34" s="1806"/>
      <c r="DF34" s="1806"/>
      <c r="DG34" s="1806"/>
      <c r="DH34" s="1806"/>
      <c r="DI34" s="1806"/>
      <c r="DJ34" s="1806"/>
      <c r="DK34" s="1806"/>
      <c r="DL34" s="1806"/>
      <c r="DM34" s="1806"/>
      <c r="DN34" s="1806"/>
      <c r="DO34" s="1806"/>
      <c r="DP34" s="1806"/>
      <c r="DQ34" s="1806"/>
      <c r="DR34" s="1806"/>
      <c r="DS34" s="1806"/>
      <c r="DT34" s="1806"/>
      <c r="DU34" s="1806"/>
      <c r="DV34" s="1806"/>
      <c r="DW34" s="1806"/>
      <c r="DX34" s="1806"/>
      <c r="DY34" s="1806"/>
      <c r="DZ34" s="1806"/>
      <c r="EA34" s="1806"/>
      <c r="EB34" s="1806"/>
      <c r="EC34" s="1806"/>
      <c r="ED34" s="1806"/>
      <c r="EE34" s="1806"/>
      <c r="EF34" s="1806"/>
      <c r="EG34" s="1806"/>
      <c r="EH34" s="1806"/>
      <c r="EI34" s="1806"/>
      <c r="EJ34" s="1806"/>
      <c r="EK34" s="1806"/>
      <c r="EL34" s="1806"/>
      <c r="EM34" s="1806"/>
      <c r="EN34" s="1806"/>
      <c r="EO34" s="1806"/>
      <c r="EP34" s="1806"/>
      <c r="EQ34" s="1806"/>
      <c r="ER34" s="1806"/>
      <c r="ES34" s="1806"/>
      <c r="ET34" s="1806"/>
      <c r="EU34" s="1806"/>
      <c r="EV34" s="1806"/>
      <c r="EW34" s="1806"/>
      <c r="EX34" s="1806"/>
      <c r="EY34" s="1806"/>
      <c r="EZ34" s="1806"/>
      <c r="FA34" s="1806"/>
      <c r="FB34" s="1806"/>
      <c r="FC34" s="1806"/>
      <c r="FD34" s="1806"/>
      <c r="FE34" s="1806"/>
      <c r="FF34" s="1806"/>
      <c r="FG34" s="1806"/>
      <c r="FH34" s="1806"/>
      <c r="FI34" s="1806"/>
      <c r="FJ34" s="1806"/>
      <c r="FK34" s="1806"/>
      <c r="FL34" s="1806"/>
      <c r="FM34" s="1806"/>
      <c r="FN34" s="1806"/>
      <c r="FO34" s="1806"/>
      <c r="FP34" s="1806"/>
      <c r="FQ34" s="1806"/>
      <c r="FR34" s="1806"/>
      <c r="FS34" s="1806"/>
      <c r="FT34" s="1806"/>
      <c r="FU34" s="1806"/>
      <c r="FV34" s="1806"/>
      <c r="FW34" s="1806"/>
      <c r="FX34" s="1806"/>
      <c r="FY34" s="1806"/>
      <c r="FZ34" s="1806"/>
      <c r="GA34" s="1806"/>
      <c r="GB34" s="1806"/>
      <c r="GC34" s="1806"/>
      <c r="GD34" s="1806"/>
      <c r="GE34" s="1806"/>
      <c r="GF34" s="1806"/>
      <c r="GG34" s="1806"/>
      <c r="GH34" s="1806"/>
      <c r="GI34" s="1806"/>
      <c r="GJ34" s="1806"/>
      <c r="GK34" s="1806"/>
      <c r="GL34" s="1806"/>
      <c r="GM34" s="1806"/>
      <c r="GN34" s="1806"/>
      <c r="GO34" s="1806"/>
      <c r="GP34" s="1806"/>
      <c r="GQ34" s="1806"/>
      <c r="GR34" s="1806"/>
      <c r="GS34" s="1806"/>
      <c r="GT34" s="1806"/>
      <c r="GU34" s="1806"/>
      <c r="GV34" s="1806"/>
      <c r="GW34" s="1806"/>
      <c r="GX34" s="1806"/>
      <c r="GY34" s="1806"/>
      <c r="GZ34" s="1806"/>
      <c r="HA34" s="1806"/>
      <c r="HB34" s="1806"/>
      <c r="HC34" s="1806"/>
      <c r="HD34" s="1806"/>
      <c r="HE34" s="1806"/>
      <c r="HF34" s="1806"/>
      <c r="HG34" s="1806"/>
    </row>
    <row r="35" spans="1:215" s="1893" customFormat="1" ht="15" customHeight="1" thickBot="1" x14ac:dyDescent="0.25">
      <c r="A35" s="2028"/>
      <c r="B35" s="2013" t="s">
        <v>712</v>
      </c>
      <c r="C35" s="2014"/>
      <c r="D35" s="2014"/>
      <c r="E35" s="2015"/>
      <c r="F35" s="1898"/>
      <c r="G35" s="2051"/>
      <c r="H35" s="1807"/>
      <c r="I35" s="1807"/>
      <c r="J35" s="1807"/>
      <c r="K35" s="1807"/>
      <c r="L35" s="1807"/>
      <c r="M35" s="1807"/>
      <c r="N35" s="1807"/>
      <c r="O35" s="1807"/>
      <c r="P35" s="1807"/>
      <c r="Q35" s="1807"/>
      <c r="R35" s="1807"/>
      <c r="S35" s="1807"/>
      <c r="T35" s="1807"/>
      <c r="U35" s="1807"/>
      <c r="V35" s="1807"/>
      <c r="W35" s="1807"/>
      <c r="X35" s="1807"/>
      <c r="Y35" s="1807"/>
      <c r="Z35" s="1807"/>
      <c r="AA35" s="1807"/>
      <c r="AB35" s="1807"/>
      <c r="AC35" s="1807"/>
      <c r="AD35" s="1807"/>
      <c r="AE35" s="1807"/>
      <c r="AF35" s="1807"/>
      <c r="AG35" s="1807"/>
      <c r="AH35" s="1807"/>
      <c r="AI35" s="1807"/>
      <c r="AJ35" s="1807"/>
      <c r="AK35" s="1807"/>
      <c r="AL35" s="1807"/>
      <c r="AM35" s="1807"/>
      <c r="AN35" s="1807"/>
      <c r="AO35" s="1807"/>
      <c r="AP35" s="1807"/>
      <c r="AQ35" s="1807"/>
      <c r="AR35" s="1807"/>
      <c r="AS35" s="1807"/>
      <c r="AT35" s="1807"/>
      <c r="AU35" s="1807"/>
      <c r="AV35" s="1807"/>
      <c r="AW35" s="1807"/>
      <c r="AX35" s="1807"/>
      <c r="AY35" s="1807"/>
      <c r="AZ35" s="1807"/>
      <c r="BA35" s="1807"/>
      <c r="BB35" s="1807"/>
      <c r="BC35" s="1807"/>
      <c r="BD35" s="1807"/>
      <c r="BE35" s="1807"/>
      <c r="BF35" s="1807"/>
      <c r="BG35" s="1807"/>
      <c r="BH35" s="1807"/>
      <c r="BI35" s="1807"/>
      <c r="BJ35" s="1807"/>
      <c r="BK35" s="1807"/>
      <c r="BL35" s="1807"/>
      <c r="BM35" s="1807"/>
      <c r="BN35" s="1807"/>
      <c r="BO35" s="1807"/>
      <c r="BP35" s="1807"/>
      <c r="BQ35" s="1807"/>
      <c r="BR35" s="1807"/>
      <c r="BS35" s="1807"/>
      <c r="BT35" s="1807"/>
      <c r="BU35" s="1807"/>
      <c r="BV35" s="1807"/>
      <c r="BW35" s="1807"/>
      <c r="BX35" s="1807"/>
      <c r="BY35" s="1807"/>
      <c r="BZ35" s="1807"/>
      <c r="CA35" s="1807"/>
      <c r="CB35" s="1807"/>
      <c r="CC35" s="1807"/>
      <c r="CD35" s="1807"/>
      <c r="CE35" s="1807"/>
      <c r="CF35" s="1807"/>
      <c r="CG35" s="1807"/>
      <c r="CH35" s="1807"/>
      <c r="CI35" s="1807"/>
      <c r="CJ35" s="1807"/>
      <c r="CK35" s="1807"/>
      <c r="CL35" s="1807"/>
      <c r="CM35" s="1807"/>
      <c r="CN35" s="1807"/>
      <c r="CO35" s="1807"/>
      <c r="CP35" s="1807"/>
      <c r="CQ35" s="1807"/>
      <c r="CR35" s="1807"/>
      <c r="CS35" s="1807"/>
      <c r="CT35" s="1807"/>
      <c r="CU35" s="1807"/>
      <c r="CV35" s="1807"/>
      <c r="CW35" s="1807"/>
      <c r="CX35" s="1807"/>
      <c r="CY35" s="1807"/>
      <c r="CZ35" s="1807"/>
      <c r="DA35" s="1807"/>
      <c r="DB35" s="1807"/>
      <c r="DC35" s="1807"/>
      <c r="DD35" s="1807"/>
      <c r="DE35" s="1807"/>
      <c r="DF35" s="1807"/>
      <c r="DG35" s="1807"/>
      <c r="DH35" s="1807"/>
      <c r="DI35" s="1807"/>
      <c r="DJ35" s="1807"/>
      <c r="DK35" s="1807"/>
      <c r="DL35" s="1807"/>
      <c r="DM35" s="1807"/>
      <c r="DN35" s="1807"/>
      <c r="DO35" s="1807"/>
      <c r="DP35" s="1807"/>
      <c r="DQ35" s="1807"/>
      <c r="DR35" s="1807"/>
      <c r="DS35" s="1807"/>
      <c r="DT35" s="1807"/>
      <c r="DU35" s="1807"/>
      <c r="DV35" s="1807"/>
      <c r="DW35" s="1807"/>
      <c r="DX35" s="1807"/>
      <c r="DY35" s="1807"/>
      <c r="DZ35" s="1807"/>
      <c r="EA35" s="1807"/>
      <c r="EB35" s="1807"/>
      <c r="EC35" s="1807"/>
      <c r="ED35" s="1807"/>
      <c r="EE35" s="1807"/>
      <c r="EF35" s="1807"/>
      <c r="EG35" s="1807"/>
      <c r="EH35" s="1807"/>
      <c r="EI35" s="1807"/>
      <c r="EJ35" s="1807"/>
      <c r="EK35" s="1807"/>
      <c r="EL35" s="1807"/>
      <c r="EM35" s="1807"/>
      <c r="EN35" s="1807"/>
      <c r="EO35" s="1807"/>
      <c r="EP35" s="1807"/>
      <c r="EQ35" s="1807"/>
      <c r="ER35" s="1807"/>
      <c r="ES35" s="1807"/>
      <c r="ET35" s="1807"/>
      <c r="EU35" s="1807"/>
      <c r="EV35" s="1807"/>
      <c r="EW35" s="1807"/>
      <c r="EX35" s="1807"/>
      <c r="EY35" s="1807"/>
      <c r="EZ35" s="1807"/>
      <c r="FA35" s="1807"/>
      <c r="FB35" s="1807"/>
      <c r="FC35" s="1807"/>
      <c r="FD35" s="1807"/>
      <c r="FE35" s="1807"/>
      <c r="FF35" s="1807"/>
      <c r="FG35" s="1807"/>
      <c r="FH35" s="1807"/>
      <c r="FI35" s="1807"/>
      <c r="FJ35" s="1807"/>
      <c r="FK35" s="1807"/>
      <c r="FL35" s="1807"/>
      <c r="FM35" s="1807"/>
      <c r="FN35" s="1807"/>
      <c r="FO35" s="1807"/>
      <c r="FP35" s="1807"/>
      <c r="FQ35" s="1807"/>
      <c r="FR35" s="1807"/>
      <c r="FS35" s="1807"/>
      <c r="FT35" s="1807"/>
      <c r="FU35" s="1807"/>
      <c r="FV35" s="1807"/>
      <c r="FW35" s="1807"/>
      <c r="FX35" s="1807"/>
      <c r="FY35" s="1807"/>
      <c r="FZ35" s="1807"/>
      <c r="GA35" s="1807"/>
      <c r="GB35" s="1807"/>
      <c r="GC35" s="1807"/>
      <c r="GD35" s="1807"/>
      <c r="GE35" s="1807"/>
      <c r="GF35" s="1807"/>
      <c r="GG35" s="1807"/>
      <c r="GH35" s="1807"/>
      <c r="GI35" s="1807"/>
      <c r="GJ35" s="1807"/>
      <c r="GK35" s="1807"/>
      <c r="GL35" s="1807"/>
      <c r="GM35" s="1807"/>
      <c r="GN35" s="1807"/>
      <c r="GO35" s="1807"/>
      <c r="GP35" s="1807"/>
      <c r="GQ35" s="1807"/>
      <c r="GR35" s="1807"/>
      <c r="GS35" s="1807"/>
      <c r="GT35" s="1807"/>
      <c r="GU35" s="1807"/>
      <c r="GV35" s="1807"/>
      <c r="GW35" s="1807"/>
      <c r="GX35" s="1807"/>
      <c r="GY35" s="1807"/>
      <c r="GZ35" s="1807"/>
      <c r="HA35" s="1807"/>
      <c r="HB35" s="1807"/>
      <c r="HC35" s="1807"/>
      <c r="HD35" s="1807"/>
      <c r="HE35" s="1807"/>
      <c r="HF35" s="1807"/>
      <c r="HG35" s="1807"/>
    </row>
    <row r="36" spans="1:215" s="1893" customFormat="1" ht="15" customHeight="1" thickBot="1" x14ac:dyDescent="0.25">
      <c r="A36" s="2028"/>
      <c r="B36" s="2013" t="s">
        <v>713</v>
      </c>
      <c r="C36" s="2014"/>
      <c r="D36" s="2014"/>
      <c r="E36" s="2015"/>
      <c r="F36" s="1898"/>
      <c r="G36" s="2051"/>
      <c r="H36" s="1807"/>
      <c r="I36" s="1807"/>
      <c r="J36" s="1807"/>
      <c r="K36" s="1807"/>
      <c r="L36" s="1807"/>
      <c r="M36" s="1807"/>
      <c r="N36" s="1807"/>
      <c r="O36" s="1807"/>
      <c r="P36" s="1807"/>
      <c r="Q36" s="1807"/>
      <c r="R36" s="1807"/>
      <c r="S36" s="1807"/>
      <c r="T36" s="1807"/>
      <c r="U36" s="1807"/>
      <c r="V36" s="1807"/>
      <c r="W36" s="1807"/>
      <c r="X36" s="1807"/>
      <c r="Y36" s="1807"/>
      <c r="Z36" s="1807"/>
      <c r="AA36" s="1807"/>
      <c r="AB36" s="1807"/>
      <c r="AC36" s="1807"/>
      <c r="AD36" s="1807"/>
      <c r="AE36" s="1807"/>
      <c r="AF36" s="1807"/>
      <c r="AG36" s="1807"/>
      <c r="AH36" s="1807"/>
      <c r="AI36" s="1807"/>
      <c r="AJ36" s="1807"/>
      <c r="AK36" s="1807"/>
      <c r="AL36" s="1807"/>
      <c r="AM36" s="1807"/>
      <c r="AN36" s="1807"/>
      <c r="AO36" s="1807"/>
      <c r="AP36" s="1807"/>
      <c r="AQ36" s="1807"/>
      <c r="AR36" s="1807"/>
      <c r="AS36" s="1807"/>
      <c r="AT36" s="1807"/>
      <c r="AU36" s="1807"/>
      <c r="AV36" s="1807"/>
      <c r="AW36" s="1807"/>
      <c r="AX36" s="1807"/>
      <c r="AY36" s="1807"/>
      <c r="AZ36" s="1807"/>
      <c r="BA36" s="1807"/>
      <c r="BB36" s="1807"/>
      <c r="BC36" s="1807"/>
      <c r="BD36" s="1807"/>
      <c r="BE36" s="1807"/>
      <c r="BF36" s="1807"/>
      <c r="BG36" s="1807"/>
      <c r="BH36" s="1807"/>
      <c r="BI36" s="1807"/>
      <c r="BJ36" s="1807"/>
      <c r="BK36" s="1807"/>
      <c r="BL36" s="1807"/>
      <c r="BM36" s="1807"/>
      <c r="BN36" s="1807"/>
      <c r="BO36" s="1807"/>
      <c r="BP36" s="1807"/>
      <c r="BQ36" s="1807"/>
      <c r="BR36" s="1807"/>
      <c r="BS36" s="1807"/>
      <c r="BT36" s="1807"/>
      <c r="BU36" s="1807"/>
      <c r="BV36" s="1807"/>
      <c r="BW36" s="1807"/>
      <c r="BX36" s="1807"/>
      <c r="BY36" s="1807"/>
      <c r="BZ36" s="1807"/>
      <c r="CA36" s="1807"/>
      <c r="CB36" s="1807"/>
      <c r="CC36" s="1807"/>
      <c r="CD36" s="1807"/>
      <c r="CE36" s="1807"/>
      <c r="CF36" s="1807"/>
      <c r="CG36" s="1807"/>
      <c r="CH36" s="1807"/>
      <c r="CI36" s="1807"/>
      <c r="CJ36" s="1807"/>
      <c r="CK36" s="1807"/>
      <c r="CL36" s="1807"/>
      <c r="CM36" s="1807"/>
      <c r="CN36" s="1807"/>
      <c r="CO36" s="1807"/>
      <c r="CP36" s="1807"/>
      <c r="CQ36" s="1807"/>
      <c r="CR36" s="1807"/>
      <c r="CS36" s="1807"/>
      <c r="CT36" s="1807"/>
      <c r="CU36" s="1807"/>
      <c r="CV36" s="1807"/>
      <c r="CW36" s="1807"/>
      <c r="CX36" s="1807"/>
      <c r="CY36" s="1807"/>
      <c r="CZ36" s="1807"/>
      <c r="DA36" s="1807"/>
      <c r="DB36" s="1807"/>
      <c r="DC36" s="1807"/>
      <c r="DD36" s="1807"/>
      <c r="DE36" s="1807"/>
      <c r="DF36" s="1807"/>
      <c r="DG36" s="1807"/>
      <c r="DH36" s="1807"/>
      <c r="DI36" s="1807"/>
      <c r="DJ36" s="1807"/>
      <c r="DK36" s="1807"/>
      <c r="DL36" s="1807"/>
      <c r="DM36" s="1807"/>
      <c r="DN36" s="1807"/>
      <c r="DO36" s="1807"/>
      <c r="DP36" s="1807"/>
      <c r="DQ36" s="1807"/>
      <c r="DR36" s="1807"/>
      <c r="DS36" s="1807"/>
      <c r="DT36" s="1807"/>
      <c r="DU36" s="1807"/>
      <c r="DV36" s="1807"/>
      <c r="DW36" s="1807"/>
      <c r="DX36" s="1807"/>
      <c r="DY36" s="1807"/>
      <c r="DZ36" s="1807"/>
      <c r="EA36" s="1807"/>
      <c r="EB36" s="1807"/>
      <c r="EC36" s="1807"/>
      <c r="ED36" s="1807"/>
      <c r="EE36" s="1807"/>
      <c r="EF36" s="1807"/>
      <c r="EG36" s="1807"/>
      <c r="EH36" s="1807"/>
      <c r="EI36" s="1807"/>
      <c r="EJ36" s="1807"/>
      <c r="EK36" s="1807"/>
      <c r="EL36" s="1807"/>
      <c r="EM36" s="1807"/>
      <c r="EN36" s="1807"/>
      <c r="EO36" s="1807"/>
      <c r="EP36" s="1807"/>
      <c r="EQ36" s="1807"/>
      <c r="ER36" s="1807"/>
      <c r="ES36" s="1807"/>
      <c r="ET36" s="1807"/>
      <c r="EU36" s="1807"/>
      <c r="EV36" s="1807"/>
      <c r="EW36" s="1807"/>
      <c r="EX36" s="1807"/>
      <c r="EY36" s="1807"/>
      <c r="EZ36" s="1807"/>
      <c r="FA36" s="1807"/>
      <c r="FB36" s="1807"/>
      <c r="FC36" s="1807"/>
      <c r="FD36" s="1807"/>
      <c r="FE36" s="1807"/>
      <c r="FF36" s="1807"/>
      <c r="FG36" s="1807"/>
      <c r="FH36" s="1807"/>
      <c r="FI36" s="1807"/>
      <c r="FJ36" s="1807"/>
      <c r="FK36" s="1807"/>
      <c r="FL36" s="1807"/>
      <c r="FM36" s="1807"/>
      <c r="FN36" s="1807"/>
      <c r="FO36" s="1807"/>
      <c r="FP36" s="1807"/>
      <c r="FQ36" s="1807"/>
      <c r="FR36" s="1807"/>
      <c r="FS36" s="1807"/>
      <c r="FT36" s="1807"/>
      <c r="FU36" s="1807"/>
      <c r="FV36" s="1807"/>
      <c r="FW36" s="1807"/>
      <c r="FX36" s="1807"/>
      <c r="FY36" s="1807"/>
      <c r="FZ36" s="1807"/>
      <c r="GA36" s="1807"/>
      <c r="GB36" s="1807"/>
      <c r="GC36" s="1807"/>
      <c r="GD36" s="1807"/>
      <c r="GE36" s="1807"/>
      <c r="GF36" s="1807"/>
      <c r="GG36" s="1807"/>
      <c r="GH36" s="1807"/>
      <c r="GI36" s="1807"/>
      <c r="GJ36" s="1807"/>
      <c r="GK36" s="1807"/>
      <c r="GL36" s="1807"/>
      <c r="GM36" s="1807"/>
      <c r="GN36" s="1807"/>
      <c r="GO36" s="1807"/>
      <c r="GP36" s="1807"/>
      <c r="GQ36" s="1807"/>
      <c r="GR36" s="1807"/>
      <c r="GS36" s="1807"/>
      <c r="GT36" s="1807"/>
      <c r="GU36" s="1807"/>
      <c r="GV36" s="1807"/>
      <c r="GW36" s="1807"/>
      <c r="GX36" s="1807"/>
      <c r="GY36" s="1807"/>
      <c r="GZ36" s="1807"/>
      <c r="HA36" s="1807"/>
      <c r="HB36" s="1807"/>
      <c r="HC36" s="1807"/>
      <c r="HD36" s="1807"/>
      <c r="HE36" s="1807"/>
      <c r="HF36" s="1807"/>
      <c r="HG36" s="1807"/>
    </row>
    <row r="37" spans="1:215" s="1893" customFormat="1" ht="15" customHeight="1" thickBot="1" x14ac:dyDescent="0.25">
      <c r="A37" s="2028"/>
      <c r="B37" s="2013" t="s">
        <v>714</v>
      </c>
      <c r="C37" s="2014"/>
      <c r="D37" s="2014"/>
      <c r="E37" s="2015"/>
      <c r="F37" s="1898"/>
      <c r="G37" s="2051"/>
      <c r="H37" s="1807"/>
      <c r="I37" s="1807"/>
      <c r="J37" s="1807"/>
      <c r="K37" s="1807"/>
      <c r="L37" s="1807"/>
      <c r="M37" s="1807"/>
      <c r="N37" s="1807"/>
      <c r="O37" s="1807"/>
      <c r="P37" s="1807"/>
      <c r="Q37" s="1807"/>
      <c r="R37" s="1807"/>
      <c r="S37" s="1807"/>
      <c r="T37" s="1807"/>
      <c r="U37" s="1807"/>
      <c r="V37" s="1807"/>
      <c r="W37" s="1807"/>
      <c r="X37" s="1807"/>
      <c r="Y37" s="1807"/>
      <c r="Z37" s="1807"/>
      <c r="AA37" s="1807"/>
      <c r="AB37" s="1807"/>
      <c r="AC37" s="1807"/>
      <c r="AD37" s="1807"/>
      <c r="AE37" s="1807"/>
      <c r="AF37" s="1807"/>
      <c r="AG37" s="1807"/>
      <c r="AH37" s="1807"/>
      <c r="AI37" s="1807"/>
      <c r="AJ37" s="1807"/>
      <c r="AK37" s="1807"/>
      <c r="AL37" s="1807"/>
      <c r="AM37" s="1807"/>
      <c r="AN37" s="1807"/>
      <c r="AO37" s="1807"/>
      <c r="AP37" s="1807"/>
      <c r="AQ37" s="1807"/>
      <c r="AR37" s="1807"/>
      <c r="AS37" s="1807"/>
      <c r="AT37" s="1807"/>
      <c r="AU37" s="1807"/>
      <c r="AV37" s="1807"/>
      <c r="AW37" s="1807"/>
      <c r="AX37" s="1807"/>
      <c r="AY37" s="1807"/>
      <c r="AZ37" s="1807"/>
      <c r="BA37" s="1807"/>
      <c r="BB37" s="1807"/>
      <c r="BC37" s="1807"/>
      <c r="BD37" s="1807"/>
      <c r="BE37" s="1807"/>
      <c r="BF37" s="1807"/>
      <c r="BG37" s="1807"/>
      <c r="BH37" s="1807"/>
      <c r="BI37" s="1807"/>
      <c r="BJ37" s="1807"/>
      <c r="BK37" s="1807"/>
      <c r="BL37" s="1807"/>
      <c r="BM37" s="1807"/>
      <c r="BN37" s="1807"/>
      <c r="BO37" s="1807"/>
      <c r="BP37" s="1807"/>
      <c r="BQ37" s="1807"/>
      <c r="BR37" s="1807"/>
      <c r="BS37" s="1807"/>
      <c r="BT37" s="1807"/>
      <c r="BU37" s="1807"/>
      <c r="BV37" s="1807"/>
      <c r="BW37" s="1807"/>
      <c r="BX37" s="1807"/>
      <c r="BY37" s="1807"/>
      <c r="BZ37" s="1807"/>
      <c r="CA37" s="1807"/>
      <c r="CB37" s="1807"/>
      <c r="CC37" s="1807"/>
      <c r="CD37" s="1807"/>
      <c r="CE37" s="1807"/>
      <c r="CF37" s="1807"/>
      <c r="CG37" s="1807"/>
      <c r="CH37" s="1807"/>
      <c r="CI37" s="1807"/>
      <c r="CJ37" s="1807"/>
      <c r="CK37" s="1807"/>
      <c r="CL37" s="1807"/>
      <c r="CM37" s="1807"/>
      <c r="CN37" s="1807"/>
      <c r="CO37" s="1807"/>
      <c r="CP37" s="1807"/>
      <c r="CQ37" s="1807"/>
      <c r="CR37" s="1807"/>
      <c r="CS37" s="1807"/>
      <c r="CT37" s="1807"/>
      <c r="CU37" s="1807"/>
      <c r="CV37" s="1807"/>
      <c r="CW37" s="1807"/>
      <c r="CX37" s="1807"/>
      <c r="CY37" s="1807"/>
      <c r="CZ37" s="1807"/>
      <c r="DA37" s="1807"/>
      <c r="DB37" s="1807"/>
      <c r="DC37" s="1807"/>
      <c r="DD37" s="1807"/>
      <c r="DE37" s="1807"/>
      <c r="DF37" s="1807"/>
      <c r="DG37" s="1807"/>
      <c r="DH37" s="1807"/>
      <c r="DI37" s="1807"/>
      <c r="DJ37" s="1807"/>
      <c r="DK37" s="1807"/>
      <c r="DL37" s="1807"/>
      <c r="DM37" s="1807"/>
      <c r="DN37" s="1807"/>
      <c r="DO37" s="1807"/>
      <c r="DP37" s="1807"/>
      <c r="DQ37" s="1807"/>
      <c r="DR37" s="1807"/>
      <c r="DS37" s="1807"/>
      <c r="DT37" s="1807"/>
      <c r="DU37" s="1807"/>
      <c r="DV37" s="1807"/>
      <c r="DW37" s="1807"/>
      <c r="DX37" s="1807"/>
      <c r="DY37" s="1807"/>
      <c r="DZ37" s="1807"/>
      <c r="EA37" s="1807"/>
      <c r="EB37" s="1807"/>
      <c r="EC37" s="1807"/>
      <c r="ED37" s="1807"/>
      <c r="EE37" s="1807"/>
      <c r="EF37" s="1807"/>
      <c r="EG37" s="1807"/>
      <c r="EH37" s="1807"/>
      <c r="EI37" s="1807"/>
      <c r="EJ37" s="1807"/>
      <c r="EK37" s="1807"/>
      <c r="EL37" s="1807"/>
      <c r="EM37" s="1807"/>
      <c r="EN37" s="1807"/>
      <c r="EO37" s="1807"/>
      <c r="EP37" s="1807"/>
      <c r="EQ37" s="1807"/>
      <c r="ER37" s="1807"/>
      <c r="ES37" s="1807"/>
      <c r="ET37" s="1807"/>
      <c r="EU37" s="1807"/>
      <c r="EV37" s="1807"/>
      <c r="EW37" s="1807"/>
      <c r="EX37" s="1807"/>
      <c r="EY37" s="1807"/>
      <c r="EZ37" s="1807"/>
      <c r="FA37" s="1807"/>
      <c r="FB37" s="1807"/>
      <c r="FC37" s="1807"/>
      <c r="FD37" s="1807"/>
      <c r="FE37" s="1807"/>
      <c r="FF37" s="1807"/>
      <c r="FG37" s="1807"/>
      <c r="FH37" s="1807"/>
      <c r="FI37" s="1807"/>
      <c r="FJ37" s="1807"/>
      <c r="FK37" s="1807"/>
      <c r="FL37" s="1807"/>
      <c r="FM37" s="1807"/>
      <c r="FN37" s="1807"/>
      <c r="FO37" s="1807"/>
      <c r="FP37" s="1807"/>
      <c r="FQ37" s="1807"/>
      <c r="FR37" s="1807"/>
      <c r="FS37" s="1807"/>
      <c r="FT37" s="1807"/>
      <c r="FU37" s="1807"/>
      <c r="FV37" s="1807"/>
      <c r="FW37" s="1807"/>
      <c r="FX37" s="1807"/>
      <c r="FY37" s="1807"/>
      <c r="FZ37" s="1807"/>
      <c r="GA37" s="1807"/>
      <c r="GB37" s="1807"/>
      <c r="GC37" s="1807"/>
      <c r="GD37" s="1807"/>
      <c r="GE37" s="1807"/>
      <c r="GF37" s="1807"/>
      <c r="GG37" s="1807"/>
      <c r="GH37" s="1807"/>
      <c r="GI37" s="1807"/>
      <c r="GJ37" s="1807"/>
      <c r="GK37" s="1807"/>
      <c r="GL37" s="1807"/>
      <c r="GM37" s="1807"/>
      <c r="GN37" s="1807"/>
      <c r="GO37" s="1807"/>
      <c r="GP37" s="1807"/>
      <c r="GQ37" s="1807"/>
      <c r="GR37" s="1807"/>
      <c r="GS37" s="1807"/>
      <c r="GT37" s="1807"/>
      <c r="GU37" s="1807"/>
      <c r="GV37" s="1807"/>
      <c r="GW37" s="1807"/>
      <c r="GX37" s="1807"/>
      <c r="GY37" s="1807"/>
      <c r="GZ37" s="1807"/>
      <c r="HA37" s="1807"/>
      <c r="HB37" s="1807"/>
      <c r="HC37" s="1807"/>
      <c r="HD37" s="1807"/>
      <c r="HE37" s="1807"/>
      <c r="HF37" s="1807"/>
      <c r="HG37" s="1807"/>
    </row>
    <row r="38" spans="1:215" s="1893" customFormat="1" ht="15" customHeight="1" thickBot="1" x14ac:dyDescent="0.25">
      <c r="A38" s="2028"/>
      <c r="B38" s="2013" t="s">
        <v>715</v>
      </c>
      <c r="C38" s="2014"/>
      <c r="D38" s="2014"/>
      <c r="E38" s="2015"/>
      <c r="F38" s="1898"/>
      <c r="G38" s="2051"/>
      <c r="H38" s="1807"/>
      <c r="I38" s="1807"/>
      <c r="J38" s="1807"/>
      <c r="K38" s="1807"/>
      <c r="L38" s="1807"/>
      <c r="M38" s="1807"/>
      <c r="N38" s="1807"/>
      <c r="O38" s="1807"/>
      <c r="P38" s="1807"/>
      <c r="Q38" s="1807"/>
      <c r="R38" s="1807"/>
      <c r="S38" s="1807"/>
      <c r="T38" s="1807"/>
      <c r="U38" s="1807"/>
      <c r="V38" s="1807"/>
      <c r="W38" s="1807"/>
      <c r="X38" s="1807"/>
      <c r="Y38" s="1807"/>
      <c r="Z38" s="1807"/>
      <c r="AA38" s="1807"/>
      <c r="AB38" s="1807"/>
      <c r="AC38" s="1807"/>
      <c r="AD38" s="1807"/>
      <c r="AE38" s="1807"/>
      <c r="AF38" s="1807"/>
      <c r="AG38" s="1807"/>
      <c r="AH38" s="1807"/>
      <c r="AI38" s="1807"/>
      <c r="AJ38" s="1807"/>
      <c r="AK38" s="1807"/>
      <c r="AL38" s="1807"/>
      <c r="AM38" s="1807"/>
      <c r="AN38" s="1807"/>
      <c r="AO38" s="1807"/>
      <c r="AP38" s="1807"/>
      <c r="AQ38" s="1807"/>
      <c r="AR38" s="1807"/>
      <c r="AS38" s="1807"/>
      <c r="AT38" s="1807"/>
      <c r="AU38" s="1807"/>
      <c r="AV38" s="1807"/>
      <c r="AW38" s="1807"/>
      <c r="AX38" s="1807"/>
      <c r="AY38" s="1807"/>
      <c r="AZ38" s="1807"/>
      <c r="BA38" s="1807"/>
      <c r="BB38" s="1807"/>
      <c r="BC38" s="1807"/>
      <c r="BD38" s="1807"/>
      <c r="BE38" s="1807"/>
      <c r="BF38" s="1807"/>
      <c r="BG38" s="1807"/>
      <c r="BH38" s="1807"/>
      <c r="BI38" s="1807"/>
      <c r="BJ38" s="1807"/>
      <c r="BK38" s="1807"/>
      <c r="BL38" s="1807"/>
      <c r="BM38" s="1807"/>
      <c r="BN38" s="1807"/>
      <c r="BO38" s="1807"/>
      <c r="BP38" s="1807"/>
      <c r="BQ38" s="1807"/>
      <c r="BR38" s="1807"/>
      <c r="BS38" s="1807"/>
      <c r="BT38" s="1807"/>
      <c r="BU38" s="1807"/>
      <c r="BV38" s="1807"/>
      <c r="BW38" s="1807"/>
      <c r="BX38" s="1807"/>
      <c r="BY38" s="1807"/>
      <c r="BZ38" s="1807"/>
      <c r="CA38" s="1807"/>
      <c r="CB38" s="1807"/>
      <c r="CC38" s="1807"/>
      <c r="CD38" s="1807"/>
      <c r="CE38" s="1807"/>
      <c r="CF38" s="1807"/>
      <c r="CG38" s="1807"/>
      <c r="CH38" s="1807"/>
      <c r="CI38" s="1807"/>
      <c r="CJ38" s="1807"/>
      <c r="CK38" s="1807"/>
      <c r="CL38" s="1807"/>
      <c r="CM38" s="1807"/>
      <c r="CN38" s="1807"/>
      <c r="CO38" s="1807"/>
      <c r="CP38" s="1807"/>
      <c r="CQ38" s="1807"/>
      <c r="CR38" s="1807"/>
      <c r="CS38" s="1807"/>
      <c r="CT38" s="1807"/>
      <c r="CU38" s="1807"/>
      <c r="CV38" s="1807"/>
      <c r="CW38" s="1807"/>
      <c r="CX38" s="1807"/>
      <c r="CY38" s="1807"/>
      <c r="CZ38" s="1807"/>
      <c r="DA38" s="1807"/>
      <c r="DB38" s="1807"/>
      <c r="DC38" s="1807"/>
      <c r="DD38" s="1807"/>
      <c r="DE38" s="1807"/>
      <c r="DF38" s="1807"/>
      <c r="DG38" s="1807"/>
      <c r="DH38" s="1807"/>
      <c r="DI38" s="1807"/>
      <c r="DJ38" s="1807"/>
      <c r="DK38" s="1807"/>
      <c r="DL38" s="1807"/>
      <c r="DM38" s="1807"/>
      <c r="DN38" s="1807"/>
      <c r="DO38" s="1807"/>
      <c r="DP38" s="1807"/>
      <c r="DQ38" s="1807"/>
      <c r="DR38" s="1807"/>
      <c r="DS38" s="1807"/>
      <c r="DT38" s="1807"/>
      <c r="DU38" s="1807"/>
      <c r="DV38" s="1807"/>
      <c r="DW38" s="1807"/>
      <c r="DX38" s="1807"/>
      <c r="DY38" s="1807"/>
      <c r="DZ38" s="1807"/>
      <c r="EA38" s="1807"/>
      <c r="EB38" s="1807"/>
      <c r="EC38" s="1807"/>
      <c r="ED38" s="1807"/>
      <c r="EE38" s="1807"/>
      <c r="EF38" s="1807"/>
      <c r="EG38" s="1807"/>
      <c r="EH38" s="1807"/>
      <c r="EI38" s="1807"/>
      <c r="EJ38" s="1807"/>
      <c r="EK38" s="1807"/>
      <c r="EL38" s="1807"/>
      <c r="EM38" s="1807"/>
      <c r="EN38" s="1807"/>
      <c r="EO38" s="1807"/>
      <c r="EP38" s="1807"/>
      <c r="EQ38" s="1807"/>
      <c r="ER38" s="1807"/>
      <c r="ES38" s="1807"/>
      <c r="ET38" s="1807"/>
      <c r="EU38" s="1807"/>
      <c r="EV38" s="1807"/>
      <c r="EW38" s="1807"/>
      <c r="EX38" s="1807"/>
      <c r="EY38" s="1807"/>
      <c r="EZ38" s="1807"/>
      <c r="FA38" s="1807"/>
      <c r="FB38" s="1807"/>
      <c r="FC38" s="1807"/>
      <c r="FD38" s="1807"/>
      <c r="FE38" s="1807"/>
      <c r="FF38" s="1807"/>
      <c r="FG38" s="1807"/>
      <c r="FH38" s="1807"/>
      <c r="FI38" s="1807"/>
      <c r="FJ38" s="1807"/>
      <c r="FK38" s="1807"/>
      <c r="FL38" s="1807"/>
      <c r="FM38" s="1807"/>
      <c r="FN38" s="1807"/>
      <c r="FO38" s="1807"/>
      <c r="FP38" s="1807"/>
      <c r="FQ38" s="1807"/>
      <c r="FR38" s="1807"/>
      <c r="FS38" s="1807"/>
      <c r="FT38" s="1807"/>
      <c r="FU38" s="1807"/>
      <c r="FV38" s="1807"/>
      <c r="FW38" s="1807"/>
      <c r="FX38" s="1807"/>
      <c r="FY38" s="1807"/>
      <c r="FZ38" s="1807"/>
      <c r="GA38" s="1807"/>
      <c r="GB38" s="1807"/>
      <c r="GC38" s="1807"/>
      <c r="GD38" s="1807"/>
      <c r="GE38" s="1807"/>
      <c r="GF38" s="1807"/>
      <c r="GG38" s="1807"/>
      <c r="GH38" s="1807"/>
      <c r="GI38" s="1807"/>
      <c r="GJ38" s="1807"/>
      <c r="GK38" s="1807"/>
      <c r="GL38" s="1807"/>
      <c r="GM38" s="1807"/>
      <c r="GN38" s="1807"/>
      <c r="GO38" s="1807"/>
      <c r="GP38" s="1807"/>
      <c r="GQ38" s="1807"/>
      <c r="GR38" s="1807"/>
      <c r="GS38" s="1807"/>
      <c r="GT38" s="1807"/>
      <c r="GU38" s="1807"/>
      <c r="GV38" s="1807"/>
      <c r="GW38" s="1807"/>
      <c r="GX38" s="1807"/>
      <c r="GY38" s="1807"/>
      <c r="GZ38" s="1807"/>
      <c r="HA38" s="1807"/>
      <c r="HB38" s="1807"/>
      <c r="HC38" s="1807"/>
      <c r="HD38" s="1807"/>
      <c r="HE38" s="1807"/>
      <c r="HF38" s="1807"/>
      <c r="HG38" s="1807"/>
    </row>
    <row r="39" spans="1:215" s="1893" customFormat="1" ht="30" customHeight="1" thickBot="1" x14ac:dyDescent="0.25">
      <c r="A39" s="2028"/>
      <c r="B39" s="2029" t="s">
        <v>2404</v>
      </c>
      <c r="C39" s="2030"/>
      <c r="D39" s="2030"/>
      <c r="E39" s="2031"/>
      <c r="F39" s="1899"/>
      <c r="G39" s="2052"/>
      <c r="H39" s="1808"/>
      <c r="I39" s="1808"/>
      <c r="J39" s="1808"/>
      <c r="K39" s="1808"/>
      <c r="L39" s="1808"/>
      <c r="M39" s="1808"/>
      <c r="N39" s="1808"/>
      <c r="O39" s="1808"/>
      <c r="P39" s="1808"/>
      <c r="Q39" s="1808"/>
      <c r="R39" s="1808"/>
      <c r="S39" s="1808"/>
      <c r="T39" s="1808"/>
      <c r="U39" s="1808"/>
      <c r="V39" s="1808"/>
      <c r="W39" s="1808"/>
      <c r="X39" s="1808"/>
      <c r="Y39" s="1808"/>
      <c r="Z39" s="1808"/>
      <c r="AA39" s="1808"/>
      <c r="AB39" s="1808"/>
      <c r="AC39" s="1808"/>
      <c r="AD39" s="1808"/>
      <c r="AE39" s="1808"/>
      <c r="AF39" s="1808"/>
      <c r="AG39" s="1808"/>
      <c r="AH39" s="1808"/>
      <c r="AI39" s="1808"/>
      <c r="AJ39" s="1808"/>
      <c r="AK39" s="1808"/>
      <c r="AL39" s="1808"/>
      <c r="AM39" s="1808"/>
      <c r="AN39" s="1808"/>
      <c r="AO39" s="1808"/>
      <c r="AP39" s="1808"/>
      <c r="AQ39" s="1808"/>
      <c r="AR39" s="1808"/>
      <c r="AS39" s="1808"/>
      <c r="AT39" s="1808"/>
      <c r="AU39" s="1808"/>
      <c r="AV39" s="1808"/>
      <c r="AW39" s="1808"/>
      <c r="AX39" s="1808"/>
      <c r="AY39" s="1808"/>
      <c r="AZ39" s="1808"/>
      <c r="BA39" s="1808"/>
      <c r="BB39" s="1808"/>
      <c r="BC39" s="1808"/>
      <c r="BD39" s="1808"/>
      <c r="BE39" s="1808"/>
      <c r="BF39" s="1808"/>
      <c r="BG39" s="1808"/>
      <c r="BH39" s="1808"/>
      <c r="BI39" s="1808"/>
      <c r="BJ39" s="1808"/>
      <c r="BK39" s="1808"/>
      <c r="BL39" s="1808"/>
      <c r="BM39" s="1808"/>
      <c r="BN39" s="1808"/>
      <c r="BO39" s="1808"/>
      <c r="BP39" s="1808"/>
      <c r="BQ39" s="1808"/>
      <c r="BR39" s="1808"/>
      <c r="BS39" s="1808"/>
      <c r="BT39" s="1808"/>
      <c r="BU39" s="1808"/>
      <c r="BV39" s="1808"/>
      <c r="BW39" s="1808"/>
      <c r="BX39" s="1808"/>
      <c r="BY39" s="1808"/>
      <c r="BZ39" s="1808"/>
      <c r="CA39" s="1808"/>
      <c r="CB39" s="1808"/>
      <c r="CC39" s="1808"/>
      <c r="CD39" s="1808"/>
      <c r="CE39" s="1808"/>
      <c r="CF39" s="1808"/>
      <c r="CG39" s="1808"/>
      <c r="CH39" s="1808"/>
      <c r="CI39" s="1808"/>
      <c r="CJ39" s="1808"/>
      <c r="CK39" s="1808"/>
      <c r="CL39" s="1808"/>
      <c r="CM39" s="1808"/>
      <c r="CN39" s="1808"/>
      <c r="CO39" s="1808"/>
      <c r="CP39" s="1808"/>
      <c r="CQ39" s="1808"/>
      <c r="CR39" s="1808"/>
      <c r="CS39" s="1808"/>
      <c r="CT39" s="1808"/>
      <c r="CU39" s="1808"/>
      <c r="CV39" s="1808"/>
      <c r="CW39" s="1808"/>
      <c r="CX39" s="1808"/>
      <c r="CY39" s="1808"/>
      <c r="CZ39" s="1808"/>
      <c r="DA39" s="1808"/>
      <c r="DB39" s="1808"/>
      <c r="DC39" s="1808"/>
      <c r="DD39" s="1808"/>
      <c r="DE39" s="1808"/>
      <c r="DF39" s="1808"/>
      <c r="DG39" s="1808"/>
      <c r="DH39" s="1808"/>
      <c r="DI39" s="1808"/>
      <c r="DJ39" s="1808"/>
      <c r="DK39" s="1808"/>
      <c r="DL39" s="1808"/>
      <c r="DM39" s="1808"/>
      <c r="DN39" s="1808"/>
      <c r="DO39" s="1808"/>
      <c r="DP39" s="1808"/>
      <c r="DQ39" s="1808"/>
      <c r="DR39" s="1808"/>
      <c r="DS39" s="1808"/>
      <c r="DT39" s="1808"/>
      <c r="DU39" s="1808"/>
      <c r="DV39" s="1808"/>
      <c r="DW39" s="1808"/>
      <c r="DX39" s="1808"/>
      <c r="DY39" s="1808"/>
      <c r="DZ39" s="1808"/>
      <c r="EA39" s="1808"/>
      <c r="EB39" s="1808"/>
      <c r="EC39" s="1808"/>
      <c r="ED39" s="1808"/>
      <c r="EE39" s="1808"/>
      <c r="EF39" s="1808"/>
      <c r="EG39" s="1808"/>
      <c r="EH39" s="1808"/>
      <c r="EI39" s="1808"/>
      <c r="EJ39" s="1808"/>
      <c r="EK39" s="1808"/>
      <c r="EL39" s="1808"/>
      <c r="EM39" s="1808"/>
      <c r="EN39" s="1808"/>
      <c r="EO39" s="1808"/>
      <c r="EP39" s="1808"/>
      <c r="EQ39" s="1808"/>
      <c r="ER39" s="1808"/>
      <c r="ES39" s="1808"/>
      <c r="ET39" s="1808"/>
      <c r="EU39" s="1808"/>
      <c r="EV39" s="1808"/>
      <c r="EW39" s="1808"/>
      <c r="EX39" s="1808"/>
      <c r="EY39" s="1808"/>
      <c r="EZ39" s="1808"/>
      <c r="FA39" s="1808"/>
      <c r="FB39" s="1808"/>
      <c r="FC39" s="1808"/>
      <c r="FD39" s="1808"/>
      <c r="FE39" s="1808"/>
      <c r="FF39" s="1808"/>
      <c r="FG39" s="1808"/>
      <c r="FH39" s="1808"/>
      <c r="FI39" s="1808"/>
      <c r="FJ39" s="1808"/>
      <c r="FK39" s="1808"/>
      <c r="FL39" s="1808"/>
      <c r="FM39" s="1808"/>
      <c r="FN39" s="1808"/>
      <c r="FO39" s="1808"/>
      <c r="FP39" s="1808"/>
      <c r="FQ39" s="1808"/>
      <c r="FR39" s="1808"/>
      <c r="FS39" s="1808"/>
      <c r="FT39" s="1808"/>
      <c r="FU39" s="1808"/>
      <c r="FV39" s="1808"/>
      <c r="FW39" s="1808"/>
      <c r="FX39" s="1808"/>
      <c r="FY39" s="1808"/>
      <c r="FZ39" s="1808"/>
      <c r="GA39" s="1808"/>
      <c r="GB39" s="1808"/>
      <c r="GC39" s="1808"/>
      <c r="GD39" s="1808"/>
      <c r="GE39" s="1808"/>
      <c r="GF39" s="1808"/>
      <c r="GG39" s="1808"/>
      <c r="GH39" s="1808"/>
      <c r="GI39" s="1808"/>
      <c r="GJ39" s="1808"/>
      <c r="GK39" s="1808"/>
      <c r="GL39" s="1808"/>
      <c r="GM39" s="1808"/>
      <c r="GN39" s="1808"/>
      <c r="GO39" s="1808"/>
      <c r="GP39" s="1808"/>
      <c r="GQ39" s="1808"/>
      <c r="GR39" s="1808"/>
      <c r="GS39" s="1808"/>
      <c r="GT39" s="1808"/>
      <c r="GU39" s="1808"/>
      <c r="GV39" s="1808"/>
      <c r="GW39" s="1808"/>
      <c r="GX39" s="1808"/>
      <c r="GY39" s="1808"/>
      <c r="GZ39" s="1808"/>
      <c r="HA39" s="1808"/>
      <c r="HB39" s="1808"/>
      <c r="HC39" s="1808"/>
      <c r="HD39" s="1808"/>
      <c r="HE39" s="1808"/>
      <c r="HF39" s="1808"/>
      <c r="HG39" s="1808"/>
    </row>
    <row r="40" spans="1:215" s="1893" customFormat="1" ht="18" customHeight="1" thickBot="1" x14ac:dyDescent="0.25">
      <c r="A40" s="2028"/>
      <c r="B40" s="1915"/>
      <c r="C40" s="1902" t="s">
        <v>15</v>
      </c>
      <c r="D40" s="1902" t="s">
        <v>16</v>
      </c>
      <c r="E40" s="1903" t="s">
        <v>17</v>
      </c>
      <c r="F40" s="1899"/>
      <c r="G40" s="2052"/>
      <c r="H40" s="1808"/>
      <c r="I40" s="1808"/>
      <c r="J40" s="1808"/>
      <c r="K40" s="1808"/>
      <c r="L40" s="1808"/>
      <c r="M40" s="1808"/>
      <c r="N40" s="1808"/>
      <c r="O40" s="1808"/>
      <c r="P40" s="1808"/>
      <c r="Q40" s="1808"/>
      <c r="R40" s="1808"/>
      <c r="S40" s="1808"/>
      <c r="T40" s="1808"/>
      <c r="U40" s="1808"/>
      <c r="V40" s="1808"/>
      <c r="W40" s="1808"/>
      <c r="X40" s="1808"/>
      <c r="Y40" s="1808"/>
      <c r="Z40" s="1808"/>
      <c r="AA40" s="1808"/>
      <c r="AB40" s="1808"/>
      <c r="AC40" s="1808"/>
      <c r="AD40" s="1808"/>
      <c r="AE40" s="1808"/>
      <c r="AF40" s="1808"/>
      <c r="AG40" s="1808"/>
      <c r="AH40" s="1808"/>
      <c r="AI40" s="1808"/>
      <c r="AJ40" s="1808"/>
      <c r="AK40" s="1808"/>
      <c r="AL40" s="1808"/>
      <c r="AM40" s="1808"/>
      <c r="AN40" s="1808"/>
      <c r="AO40" s="1808"/>
      <c r="AP40" s="1808"/>
      <c r="AQ40" s="1808"/>
      <c r="AR40" s="1808"/>
      <c r="AS40" s="1808"/>
      <c r="AT40" s="1808"/>
      <c r="AU40" s="1808"/>
      <c r="AV40" s="1808"/>
      <c r="AW40" s="1808"/>
      <c r="AX40" s="1808"/>
      <c r="AY40" s="1808"/>
      <c r="AZ40" s="1808"/>
      <c r="BA40" s="1808"/>
      <c r="BB40" s="1808"/>
      <c r="BC40" s="1808"/>
      <c r="BD40" s="1808"/>
      <c r="BE40" s="1808"/>
      <c r="BF40" s="1808"/>
      <c r="BG40" s="1808"/>
      <c r="BH40" s="1808"/>
      <c r="BI40" s="1808"/>
      <c r="BJ40" s="1808"/>
      <c r="BK40" s="1808"/>
      <c r="BL40" s="1808"/>
      <c r="BM40" s="1808"/>
      <c r="BN40" s="1808"/>
      <c r="BO40" s="1808"/>
      <c r="BP40" s="1808"/>
      <c r="BQ40" s="1808"/>
      <c r="BR40" s="1808"/>
      <c r="BS40" s="1808"/>
      <c r="BT40" s="1808"/>
      <c r="BU40" s="1808"/>
      <c r="BV40" s="1808"/>
      <c r="BW40" s="1808"/>
      <c r="BX40" s="1808"/>
      <c r="BY40" s="1808"/>
      <c r="BZ40" s="1808"/>
      <c r="CA40" s="1808"/>
      <c r="CB40" s="1808"/>
      <c r="CC40" s="1808"/>
      <c r="CD40" s="1808"/>
      <c r="CE40" s="1808"/>
      <c r="CF40" s="1808"/>
      <c r="CG40" s="1808"/>
      <c r="CH40" s="1808"/>
      <c r="CI40" s="1808"/>
      <c r="CJ40" s="1808"/>
      <c r="CK40" s="1808"/>
      <c r="CL40" s="1808"/>
      <c r="CM40" s="1808"/>
      <c r="CN40" s="1808"/>
      <c r="CO40" s="1808"/>
      <c r="CP40" s="1808"/>
      <c r="CQ40" s="1808"/>
      <c r="CR40" s="1808"/>
      <c r="CS40" s="1808"/>
      <c r="CT40" s="1808"/>
      <c r="CU40" s="1808"/>
      <c r="CV40" s="1808"/>
      <c r="CW40" s="1808"/>
      <c r="CX40" s="1808"/>
      <c r="CY40" s="1808"/>
      <c r="CZ40" s="1808"/>
      <c r="DA40" s="1808"/>
      <c r="DB40" s="1808"/>
      <c r="DC40" s="1808"/>
      <c r="DD40" s="1808"/>
      <c r="DE40" s="1808"/>
      <c r="DF40" s="1808"/>
      <c r="DG40" s="1808"/>
      <c r="DH40" s="1808"/>
      <c r="DI40" s="1808"/>
      <c r="DJ40" s="1808"/>
      <c r="DK40" s="1808"/>
      <c r="DL40" s="1808"/>
      <c r="DM40" s="1808"/>
      <c r="DN40" s="1808"/>
      <c r="DO40" s="1808"/>
      <c r="DP40" s="1808"/>
      <c r="DQ40" s="1808"/>
      <c r="DR40" s="1808"/>
      <c r="DS40" s="1808"/>
      <c r="DT40" s="1808"/>
      <c r="DU40" s="1808"/>
      <c r="DV40" s="1808"/>
      <c r="DW40" s="1808"/>
      <c r="DX40" s="1808"/>
      <c r="DY40" s="1808"/>
      <c r="DZ40" s="1808"/>
      <c r="EA40" s="1808"/>
      <c r="EB40" s="1808"/>
      <c r="EC40" s="1808"/>
      <c r="ED40" s="1808"/>
      <c r="EE40" s="1808"/>
      <c r="EF40" s="1808"/>
      <c r="EG40" s="1808"/>
      <c r="EH40" s="1808"/>
      <c r="EI40" s="1808"/>
      <c r="EJ40" s="1808"/>
      <c r="EK40" s="1808"/>
      <c r="EL40" s="1808"/>
      <c r="EM40" s="1808"/>
      <c r="EN40" s="1808"/>
      <c r="EO40" s="1808"/>
      <c r="EP40" s="1808"/>
      <c r="EQ40" s="1808"/>
      <c r="ER40" s="1808"/>
      <c r="ES40" s="1808"/>
      <c r="ET40" s="1808"/>
      <c r="EU40" s="1808"/>
      <c r="EV40" s="1808"/>
      <c r="EW40" s="1808"/>
      <c r="EX40" s="1808"/>
      <c r="EY40" s="1808"/>
      <c r="EZ40" s="1808"/>
      <c r="FA40" s="1808"/>
      <c r="FB40" s="1808"/>
      <c r="FC40" s="1808"/>
      <c r="FD40" s="1808"/>
      <c r="FE40" s="1808"/>
      <c r="FF40" s="1808"/>
      <c r="FG40" s="1808"/>
      <c r="FH40" s="1808"/>
      <c r="FI40" s="1808"/>
      <c r="FJ40" s="1808"/>
      <c r="FK40" s="1808"/>
      <c r="FL40" s="1808"/>
      <c r="FM40" s="1808"/>
      <c r="FN40" s="1808"/>
      <c r="FO40" s="1808"/>
      <c r="FP40" s="1808"/>
      <c r="FQ40" s="1808"/>
      <c r="FR40" s="1808"/>
      <c r="FS40" s="1808"/>
      <c r="FT40" s="1808"/>
      <c r="FU40" s="1808"/>
      <c r="FV40" s="1808"/>
      <c r="FW40" s="1808"/>
      <c r="FX40" s="1808"/>
      <c r="FY40" s="1808"/>
      <c r="FZ40" s="1808"/>
      <c r="GA40" s="1808"/>
      <c r="GB40" s="1808"/>
      <c r="GC40" s="1808"/>
      <c r="GD40" s="1808"/>
      <c r="GE40" s="1808"/>
      <c r="GF40" s="1808"/>
      <c r="GG40" s="1808"/>
      <c r="GH40" s="1808"/>
      <c r="GI40" s="1808"/>
      <c r="GJ40" s="1808"/>
      <c r="GK40" s="1808"/>
      <c r="GL40" s="1808"/>
      <c r="GM40" s="1808"/>
      <c r="GN40" s="1808"/>
      <c r="GO40" s="1808"/>
      <c r="GP40" s="1808"/>
      <c r="GQ40" s="1808"/>
      <c r="GR40" s="1808"/>
      <c r="GS40" s="1808"/>
      <c r="GT40" s="1808"/>
      <c r="GU40" s="1808"/>
      <c r="GV40" s="1808"/>
      <c r="GW40" s="1808"/>
      <c r="GX40" s="1808"/>
      <c r="GY40" s="1808"/>
      <c r="GZ40" s="1808"/>
      <c r="HA40" s="1808"/>
      <c r="HB40" s="1808"/>
      <c r="HC40" s="1808"/>
      <c r="HD40" s="1808"/>
      <c r="HE40" s="1808"/>
      <c r="HF40" s="1808"/>
      <c r="HG40" s="1808"/>
    </row>
    <row r="41" spans="1:215" s="1893" customFormat="1" ht="30" customHeight="1" thickBot="1" x14ac:dyDescent="0.25">
      <c r="A41" s="2028"/>
      <c r="B41" s="1904" t="s">
        <v>592</v>
      </c>
      <c r="C41" s="1905" t="s">
        <v>890</v>
      </c>
      <c r="D41" s="1905" t="s">
        <v>593</v>
      </c>
      <c r="E41" s="1906" t="s">
        <v>594</v>
      </c>
      <c r="F41" s="1916">
        <v>0</v>
      </c>
      <c r="G41" s="2053"/>
      <c r="H41" s="1809">
        <v>0</v>
      </c>
      <c r="I41" s="1809">
        <v>0</v>
      </c>
      <c r="J41" s="1809">
        <v>0</v>
      </c>
      <c r="K41" s="1809">
        <v>0</v>
      </c>
      <c r="L41" s="1809">
        <v>0</v>
      </c>
      <c r="M41" s="1809">
        <v>0</v>
      </c>
      <c r="N41" s="1809">
        <v>0</v>
      </c>
      <c r="O41" s="1809">
        <v>0</v>
      </c>
      <c r="P41" s="1809">
        <v>0</v>
      </c>
      <c r="Q41" s="1809">
        <v>0</v>
      </c>
      <c r="R41" s="1809">
        <v>0</v>
      </c>
      <c r="S41" s="1809">
        <v>0</v>
      </c>
      <c r="T41" s="1809">
        <v>0</v>
      </c>
      <c r="U41" s="1809">
        <v>0</v>
      </c>
      <c r="V41" s="1809">
        <v>0</v>
      </c>
      <c r="W41" s="1809">
        <v>0</v>
      </c>
      <c r="X41" s="1809">
        <v>0</v>
      </c>
      <c r="Y41" s="1809">
        <v>0</v>
      </c>
      <c r="Z41" s="1809">
        <v>0</v>
      </c>
      <c r="AA41" s="1809">
        <v>0</v>
      </c>
      <c r="AB41" s="1809">
        <v>0</v>
      </c>
      <c r="AC41" s="1809">
        <v>0</v>
      </c>
      <c r="AD41" s="1809">
        <v>0</v>
      </c>
      <c r="AE41" s="1809">
        <v>0</v>
      </c>
      <c r="AF41" s="1809">
        <v>0</v>
      </c>
      <c r="AG41" s="1809">
        <v>0</v>
      </c>
      <c r="AH41" s="1809">
        <v>0</v>
      </c>
      <c r="AI41" s="1809">
        <v>0</v>
      </c>
      <c r="AJ41" s="1809">
        <v>0</v>
      </c>
      <c r="AK41" s="1809">
        <v>0</v>
      </c>
      <c r="AL41" s="1809">
        <v>0</v>
      </c>
      <c r="AM41" s="1809">
        <v>0</v>
      </c>
      <c r="AN41" s="1809">
        <v>0</v>
      </c>
      <c r="AO41" s="1809">
        <v>0</v>
      </c>
      <c r="AP41" s="1809">
        <v>0</v>
      </c>
      <c r="AQ41" s="1809">
        <v>0</v>
      </c>
      <c r="AR41" s="1809">
        <v>0</v>
      </c>
      <c r="AS41" s="1809">
        <v>0</v>
      </c>
      <c r="AT41" s="1809">
        <v>0</v>
      </c>
      <c r="AU41" s="1809">
        <v>0</v>
      </c>
      <c r="AV41" s="1809">
        <v>0</v>
      </c>
      <c r="AW41" s="1809">
        <v>0</v>
      </c>
      <c r="AX41" s="1809">
        <v>0</v>
      </c>
      <c r="AY41" s="1809">
        <v>0</v>
      </c>
      <c r="AZ41" s="1809">
        <v>0</v>
      </c>
      <c r="BA41" s="1809">
        <v>0</v>
      </c>
      <c r="BB41" s="1809">
        <v>0</v>
      </c>
      <c r="BC41" s="1809">
        <v>0</v>
      </c>
      <c r="BD41" s="1809">
        <v>0</v>
      </c>
      <c r="BE41" s="1809">
        <v>0</v>
      </c>
      <c r="BF41" s="1809">
        <v>0</v>
      </c>
      <c r="BG41" s="1809">
        <v>0</v>
      </c>
      <c r="BH41" s="1809">
        <v>0</v>
      </c>
      <c r="BI41" s="1809">
        <v>0</v>
      </c>
      <c r="BJ41" s="1809">
        <v>0</v>
      </c>
      <c r="BK41" s="1809">
        <v>0</v>
      </c>
      <c r="BL41" s="1809">
        <v>0</v>
      </c>
      <c r="BM41" s="1809">
        <v>0</v>
      </c>
      <c r="BN41" s="1809">
        <v>0</v>
      </c>
      <c r="BO41" s="1809">
        <v>0</v>
      </c>
      <c r="BP41" s="1809">
        <v>0</v>
      </c>
      <c r="BQ41" s="1809">
        <v>0</v>
      </c>
      <c r="BR41" s="1809">
        <v>0</v>
      </c>
      <c r="BS41" s="1809">
        <v>0</v>
      </c>
      <c r="BT41" s="1809">
        <v>0</v>
      </c>
      <c r="BU41" s="1809">
        <v>0</v>
      </c>
      <c r="BV41" s="1809">
        <v>0</v>
      </c>
      <c r="BW41" s="1809">
        <v>0</v>
      </c>
      <c r="BX41" s="1809">
        <v>0</v>
      </c>
      <c r="BY41" s="1809">
        <v>0</v>
      </c>
      <c r="BZ41" s="1809">
        <v>0</v>
      </c>
      <c r="CA41" s="1809">
        <v>0</v>
      </c>
      <c r="CB41" s="1809">
        <v>0</v>
      </c>
      <c r="CC41" s="1809">
        <v>0</v>
      </c>
      <c r="CD41" s="1809">
        <v>0</v>
      </c>
      <c r="CE41" s="1809">
        <v>0</v>
      </c>
      <c r="CF41" s="1809">
        <v>0</v>
      </c>
      <c r="CG41" s="1809">
        <v>0</v>
      </c>
      <c r="CH41" s="1809">
        <v>0</v>
      </c>
      <c r="CI41" s="1809">
        <v>0</v>
      </c>
      <c r="CJ41" s="1809">
        <v>0</v>
      </c>
      <c r="CK41" s="1809">
        <v>0</v>
      </c>
      <c r="CL41" s="1809">
        <v>0</v>
      </c>
      <c r="CM41" s="1809">
        <v>0</v>
      </c>
      <c r="CN41" s="1809">
        <v>0</v>
      </c>
      <c r="CO41" s="1809">
        <v>0</v>
      </c>
      <c r="CP41" s="1809">
        <v>0</v>
      </c>
      <c r="CQ41" s="1809">
        <v>0</v>
      </c>
      <c r="CR41" s="1809">
        <v>0</v>
      </c>
      <c r="CS41" s="1809">
        <v>0</v>
      </c>
      <c r="CT41" s="1809">
        <v>0</v>
      </c>
      <c r="CU41" s="1809">
        <v>0</v>
      </c>
      <c r="CV41" s="1809">
        <v>0</v>
      </c>
      <c r="CW41" s="1809">
        <v>0</v>
      </c>
      <c r="CX41" s="1809">
        <v>0</v>
      </c>
      <c r="CY41" s="1809">
        <v>0</v>
      </c>
      <c r="CZ41" s="1809">
        <v>0</v>
      </c>
      <c r="DA41" s="1809">
        <v>0</v>
      </c>
      <c r="DB41" s="1809">
        <v>0</v>
      </c>
      <c r="DC41" s="1809">
        <v>0</v>
      </c>
      <c r="DD41" s="1809">
        <v>0</v>
      </c>
      <c r="DE41" s="1809">
        <v>0</v>
      </c>
      <c r="DF41" s="1809">
        <v>0</v>
      </c>
      <c r="DG41" s="1809">
        <v>0</v>
      </c>
      <c r="DH41" s="1809">
        <v>0</v>
      </c>
      <c r="DI41" s="1809">
        <v>0</v>
      </c>
      <c r="DJ41" s="1809">
        <v>0</v>
      </c>
      <c r="DK41" s="1809">
        <v>0</v>
      </c>
      <c r="DL41" s="1809">
        <v>0</v>
      </c>
      <c r="DM41" s="1809">
        <v>0</v>
      </c>
      <c r="DN41" s="1809">
        <v>0</v>
      </c>
      <c r="DO41" s="1809">
        <v>0</v>
      </c>
      <c r="DP41" s="1809">
        <v>0</v>
      </c>
      <c r="DQ41" s="1809">
        <v>0</v>
      </c>
      <c r="DR41" s="1809">
        <v>0</v>
      </c>
      <c r="DS41" s="1809">
        <v>0</v>
      </c>
      <c r="DT41" s="1809">
        <v>0</v>
      </c>
      <c r="DU41" s="1809">
        <v>0</v>
      </c>
      <c r="DV41" s="1809">
        <v>0</v>
      </c>
      <c r="DW41" s="1809">
        <v>0</v>
      </c>
      <c r="DX41" s="1809">
        <v>0</v>
      </c>
      <c r="DY41" s="1809">
        <v>0</v>
      </c>
      <c r="DZ41" s="1809">
        <v>0</v>
      </c>
      <c r="EA41" s="1809">
        <v>0</v>
      </c>
      <c r="EB41" s="1809">
        <v>0</v>
      </c>
      <c r="EC41" s="1809">
        <v>0</v>
      </c>
      <c r="ED41" s="1809">
        <v>0</v>
      </c>
      <c r="EE41" s="1809">
        <v>0</v>
      </c>
      <c r="EF41" s="1809">
        <v>0</v>
      </c>
      <c r="EG41" s="1809">
        <v>0</v>
      </c>
      <c r="EH41" s="1809">
        <v>0</v>
      </c>
      <c r="EI41" s="1809">
        <v>0</v>
      </c>
      <c r="EJ41" s="1809">
        <v>0</v>
      </c>
      <c r="EK41" s="1809">
        <v>0</v>
      </c>
      <c r="EL41" s="1809">
        <v>0</v>
      </c>
      <c r="EM41" s="1809">
        <v>0</v>
      </c>
      <c r="EN41" s="1809">
        <v>0</v>
      </c>
      <c r="EO41" s="1809">
        <v>0</v>
      </c>
      <c r="EP41" s="1809">
        <v>0</v>
      </c>
      <c r="EQ41" s="1809">
        <v>0</v>
      </c>
      <c r="ER41" s="1809">
        <v>0</v>
      </c>
      <c r="ES41" s="1809">
        <v>0</v>
      </c>
      <c r="ET41" s="1809">
        <v>0</v>
      </c>
      <c r="EU41" s="1809">
        <v>0</v>
      </c>
      <c r="EV41" s="1809">
        <v>0</v>
      </c>
      <c r="EW41" s="1809">
        <v>0</v>
      </c>
      <c r="EX41" s="1809">
        <v>0</v>
      </c>
      <c r="EY41" s="1809">
        <v>0</v>
      </c>
      <c r="EZ41" s="1809">
        <v>0</v>
      </c>
      <c r="FA41" s="1809">
        <v>0</v>
      </c>
      <c r="FB41" s="1809">
        <v>0</v>
      </c>
      <c r="FC41" s="1809">
        <v>0</v>
      </c>
      <c r="FD41" s="1809">
        <v>0</v>
      </c>
      <c r="FE41" s="1809">
        <v>0</v>
      </c>
      <c r="FF41" s="1809">
        <v>0</v>
      </c>
      <c r="FG41" s="1809">
        <v>0</v>
      </c>
      <c r="FH41" s="1809">
        <v>0</v>
      </c>
      <c r="FI41" s="1809">
        <v>0</v>
      </c>
      <c r="FJ41" s="1809">
        <v>0</v>
      </c>
      <c r="FK41" s="1809">
        <v>0</v>
      </c>
      <c r="FL41" s="1809">
        <v>0</v>
      </c>
      <c r="FM41" s="1809">
        <v>0</v>
      </c>
      <c r="FN41" s="1809">
        <v>0</v>
      </c>
      <c r="FO41" s="1809">
        <v>0</v>
      </c>
      <c r="FP41" s="1809">
        <v>0</v>
      </c>
      <c r="FQ41" s="1809">
        <v>0</v>
      </c>
      <c r="FR41" s="1809">
        <v>0</v>
      </c>
      <c r="FS41" s="1809">
        <v>0</v>
      </c>
      <c r="FT41" s="1809">
        <v>0</v>
      </c>
      <c r="FU41" s="1809">
        <v>0</v>
      </c>
      <c r="FV41" s="1809">
        <v>0</v>
      </c>
      <c r="FW41" s="1809">
        <v>0</v>
      </c>
      <c r="FX41" s="1809">
        <v>0</v>
      </c>
      <c r="FY41" s="1809">
        <v>0</v>
      </c>
      <c r="FZ41" s="1809">
        <v>0</v>
      </c>
      <c r="GA41" s="1809">
        <v>0</v>
      </c>
      <c r="GB41" s="1809">
        <v>0</v>
      </c>
      <c r="GC41" s="1809">
        <v>0</v>
      </c>
      <c r="GD41" s="1809">
        <v>0</v>
      </c>
      <c r="GE41" s="1809">
        <v>0</v>
      </c>
      <c r="GF41" s="1809">
        <v>0</v>
      </c>
      <c r="GG41" s="1809">
        <v>0</v>
      </c>
      <c r="GH41" s="1809">
        <v>0</v>
      </c>
      <c r="GI41" s="1809">
        <v>0</v>
      </c>
      <c r="GJ41" s="1809">
        <v>0</v>
      </c>
      <c r="GK41" s="1809">
        <v>0</v>
      </c>
      <c r="GL41" s="1809">
        <v>0</v>
      </c>
      <c r="GM41" s="1809">
        <v>0</v>
      </c>
      <c r="GN41" s="1809">
        <v>0</v>
      </c>
      <c r="GO41" s="1809">
        <v>0</v>
      </c>
      <c r="GP41" s="1809">
        <v>0</v>
      </c>
      <c r="GQ41" s="1809">
        <v>0</v>
      </c>
      <c r="GR41" s="1809">
        <v>0</v>
      </c>
      <c r="GS41" s="1809">
        <v>0</v>
      </c>
      <c r="GT41" s="1809">
        <v>0</v>
      </c>
      <c r="GU41" s="1809">
        <v>0</v>
      </c>
      <c r="GV41" s="1809">
        <v>0</v>
      </c>
      <c r="GW41" s="1809">
        <v>0</v>
      </c>
      <c r="GX41" s="1809">
        <v>0</v>
      </c>
      <c r="GY41" s="1809">
        <v>0</v>
      </c>
      <c r="GZ41" s="1809">
        <v>0</v>
      </c>
      <c r="HA41" s="1809">
        <v>0</v>
      </c>
      <c r="HB41" s="1809">
        <v>0</v>
      </c>
      <c r="HC41" s="1809">
        <v>0</v>
      </c>
      <c r="HD41" s="1809">
        <v>0</v>
      </c>
      <c r="HE41" s="1809">
        <v>0</v>
      </c>
      <c r="HF41" s="1809">
        <v>0</v>
      </c>
      <c r="HG41" s="1809">
        <v>0</v>
      </c>
    </row>
    <row r="42" spans="1:215" s="1893" customFormat="1" ht="15" customHeight="1" thickBot="1" x14ac:dyDescent="0.25">
      <c r="A42" s="2028"/>
      <c r="B42" s="1904" t="s">
        <v>58</v>
      </c>
      <c r="C42" s="1909" t="s">
        <v>97</v>
      </c>
      <c r="D42" s="1909" t="s">
        <v>96</v>
      </c>
      <c r="E42" s="1910" t="s">
        <v>98</v>
      </c>
      <c r="F42" s="1916">
        <v>0</v>
      </c>
      <c r="G42" s="2053"/>
      <c r="H42" s="1809">
        <v>0</v>
      </c>
      <c r="I42" s="1809">
        <v>0</v>
      </c>
      <c r="J42" s="1809">
        <v>0</v>
      </c>
      <c r="K42" s="1809">
        <v>0</v>
      </c>
      <c r="L42" s="1809">
        <v>0</v>
      </c>
      <c r="M42" s="1809">
        <v>0</v>
      </c>
      <c r="N42" s="1809">
        <v>0</v>
      </c>
      <c r="O42" s="1809">
        <v>0</v>
      </c>
      <c r="P42" s="1809">
        <v>0</v>
      </c>
      <c r="Q42" s="1809">
        <v>0</v>
      </c>
      <c r="R42" s="1809">
        <v>0</v>
      </c>
      <c r="S42" s="1809">
        <v>0</v>
      </c>
      <c r="T42" s="1809">
        <v>0</v>
      </c>
      <c r="U42" s="1809">
        <v>0</v>
      </c>
      <c r="V42" s="1809">
        <v>0</v>
      </c>
      <c r="W42" s="1809">
        <v>0</v>
      </c>
      <c r="X42" s="1809">
        <v>0</v>
      </c>
      <c r="Y42" s="1809">
        <v>0</v>
      </c>
      <c r="Z42" s="1809">
        <v>0</v>
      </c>
      <c r="AA42" s="1809">
        <v>0</v>
      </c>
      <c r="AB42" s="1809">
        <v>0</v>
      </c>
      <c r="AC42" s="1809">
        <v>0</v>
      </c>
      <c r="AD42" s="1809">
        <v>0</v>
      </c>
      <c r="AE42" s="1809">
        <v>0</v>
      </c>
      <c r="AF42" s="1809">
        <v>0</v>
      </c>
      <c r="AG42" s="1809">
        <v>0</v>
      </c>
      <c r="AH42" s="1809">
        <v>0</v>
      </c>
      <c r="AI42" s="1809">
        <v>0</v>
      </c>
      <c r="AJ42" s="1809">
        <v>0</v>
      </c>
      <c r="AK42" s="1809">
        <v>0</v>
      </c>
      <c r="AL42" s="1809">
        <v>0</v>
      </c>
      <c r="AM42" s="1809">
        <v>0</v>
      </c>
      <c r="AN42" s="1809">
        <v>0</v>
      </c>
      <c r="AO42" s="1809">
        <v>0</v>
      </c>
      <c r="AP42" s="1809">
        <v>0</v>
      </c>
      <c r="AQ42" s="1809">
        <v>0</v>
      </c>
      <c r="AR42" s="1809">
        <v>0</v>
      </c>
      <c r="AS42" s="1809">
        <v>0</v>
      </c>
      <c r="AT42" s="1809">
        <v>0</v>
      </c>
      <c r="AU42" s="1809">
        <v>0</v>
      </c>
      <c r="AV42" s="1809">
        <v>0</v>
      </c>
      <c r="AW42" s="1809">
        <v>0</v>
      </c>
      <c r="AX42" s="1809">
        <v>0</v>
      </c>
      <c r="AY42" s="1809">
        <v>0</v>
      </c>
      <c r="AZ42" s="1809">
        <v>0</v>
      </c>
      <c r="BA42" s="1809">
        <v>0</v>
      </c>
      <c r="BB42" s="1809">
        <v>0</v>
      </c>
      <c r="BC42" s="1809">
        <v>0</v>
      </c>
      <c r="BD42" s="1809">
        <v>0</v>
      </c>
      <c r="BE42" s="1809">
        <v>0</v>
      </c>
      <c r="BF42" s="1809">
        <v>0</v>
      </c>
      <c r="BG42" s="1809">
        <v>0</v>
      </c>
      <c r="BH42" s="1809">
        <v>0</v>
      </c>
      <c r="BI42" s="1809">
        <v>0</v>
      </c>
      <c r="BJ42" s="1809">
        <v>0</v>
      </c>
      <c r="BK42" s="1809">
        <v>0</v>
      </c>
      <c r="BL42" s="1809">
        <v>0</v>
      </c>
      <c r="BM42" s="1809">
        <v>0</v>
      </c>
      <c r="BN42" s="1809">
        <v>0</v>
      </c>
      <c r="BO42" s="1809">
        <v>0</v>
      </c>
      <c r="BP42" s="1809">
        <v>0</v>
      </c>
      <c r="BQ42" s="1809">
        <v>0</v>
      </c>
      <c r="BR42" s="1809">
        <v>0</v>
      </c>
      <c r="BS42" s="1809">
        <v>0</v>
      </c>
      <c r="BT42" s="1809">
        <v>0</v>
      </c>
      <c r="BU42" s="1809">
        <v>0</v>
      </c>
      <c r="BV42" s="1809">
        <v>0</v>
      </c>
      <c r="BW42" s="1809">
        <v>0</v>
      </c>
      <c r="BX42" s="1809">
        <v>0</v>
      </c>
      <c r="BY42" s="1809">
        <v>0</v>
      </c>
      <c r="BZ42" s="1809">
        <v>0</v>
      </c>
      <c r="CA42" s="1809">
        <v>0</v>
      </c>
      <c r="CB42" s="1809">
        <v>0</v>
      </c>
      <c r="CC42" s="1809">
        <v>0</v>
      </c>
      <c r="CD42" s="1809">
        <v>0</v>
      </c>
      <c r="CE42" s="1809">
        <v>0</v>
      </c>
      <c r="CF42" s="1809">
        <v>0</v>
      </c>
      <c r="CG42" s="1809">
        <v>0</v>
      </c>
      <c r="CH42" s="1809">
        <v>0</v>
      </c>
      <c r="CI42" s="1809">
        <v>0</v>
      </c>
      <c r="CJ42" s="1809">
        <v>0</v>
      </c>
      <c r="CK42" s="1809">
        <v>0</v>
      </c>
      <c r="CL42" s="1809">
        <v>0</v>
      </c>
      <c r="CM42" s="1809">
        <v>0</v>
      </c>
      <c r="CN42" s="1809">
        <v>0</v>
      </c>
      <c r="CO42" s="1809">
        <v>0</v>
      </c>
      <c r="CP42" s="1809">
        <v>0</v>
      </c>
      <c r="CQ42" s="1809">
        <v>0</v>
      </c>
      <c r="CR42" s="1809">
        <v>0</v>
      </c>
      <c r="CS42" s="1809">
        <v>0</v>
      </c>
      <c r="CT42" s="1809">
        <v>0</v>
      </c>
      <c r="CU42" s="1809">
        <v>0</v>
      </c>
      <c r="CV42" s="1809">
        <v>0</v>
      </c>
      <c r="CW42" s="1809">
        <v>0</v>
      </c>
      <c r="CX42" s="1809">
        <v>0</v>
      </c>
      <c r="CY42" s="1809">
        <v>0</v>
      </c>
      <c r="CZ42" s="1809">
        <v>0</v>
      </c>
      <c r="DA42" s="1809">
        <v>0</v>
      </c>
      <c r="DB42" s="1809">
        <v>0</v>
      </c>
      <c r="DC42" s="1809">
        <v>0</v>
      </c>
      <c r="DD42" s="1809">
        <v>0</v>
      </c>
      <c r="DE42" s="1809">
        <v>0</v>
      </c>
      <c r="DF42" s="1809">
        <v>0</v>
      </c>
      <c r="DG42" s="1809">
        <v>0</v>
      </c>
      <c r="DH42" s="1809">
        <v>0</v>
      </c>
      <c r="DI42" s="1809">
        <v>0</v>
      </c>
      <c r="DJ42" s="1809">
        <v>0</v>
      </c>
      <c r="DK42" s="1809">
        <v>0</v>
      </c>
      <c r="DL42" s="1809">
        <v>0</v>
      </c>
      <c r="DM42" s="1809">
        <v>0</v>
      </c>
      <c r="DN42" s="1809">
        <v>0</v>
      </c>
      <c r="DO42" s="1809">
        <v>0</v>
      </c>
      <c r="DP42" s="1809">
        <v>0</v>
      </c>
      <c r="DQ42" s="1809">
        <v>0</v>
      </c>
      <c r="DR42" s="1809">
        <v>0</v>
      </c>
      <c r="DS42" s="1809">
        <v>0</v>
      </c>
      <c r="DT42" s="1809">
        <v>0</v>
      </c>
      <c r="DU42" s="1809">
        <v>0</v>
      </c>
      <c r="DV42" s="1809">
        <v>0</v>
      </c>
      <c r="DW42" s="1809">
        <v>0</v>
      </c>
      <c r="DX42" s="1809">
        <v>0</v>
      </c>
      <c r="DY42" s="1809">
        <v>0</v>
      </c>
      <c r="DZ42" s="1809">
        <v>0</v>
      </c>
      <c r="EA42" s="1809">
        <v>0</v>
      </c>
      <c r="EB42" s="1809">
        <v>0</v>
      </c>
      <c r="EC42" s="1809">
        <v>0</v>
      </c>
      <c r="ED42" s="1809">
        <v>0</v>
      </c>
      <c r="EE42" s="1809">
        <v>0</v>
      </c>
      <c r="EF42" s="1809">
        <v>0</v>
      </c>
      <c r="EG42" s="1809">
        <v>0</v>
      </c>
      <c r="EH42" s="1809">
        <v>0</v>
      </c>
      <c r="EI42" s="1809">
        <v>0</v>
      </c>
      <c r="EJ42" s="1809">
        <v>0</v>
      </c>
      <c r="EK42" s="1809">
        <v>0</v>
      </c>
      <c r="EL42" s="1809">
        <v>0</v>
      </c>
      <c r="EM42" s="1809">
        <v>0</v>
      </c>
      <c r="EN42" s="1809">
        <v>0</v>
      </c>
      <c r="EO42" s="1809">
        <v>0</v>
      </c>
      <c r="EP42" s="1809">
        <v>0</v>
      </c>
      <c r="EQ42" s="1809">
        <v>0</v>
      </c>
      <c r="ER42" s="1809">
        <v>0</v>
      </c>
      <c r="ES42" s="1809">
        <v>0</v>
      </c>
      <c r="ET42" s="1809">
        <v>0</v>
      </c>
      <c r="EU42" s="1809">
        <v>0</v>
      </c>
      <c r="EV42" s="1809">
        <v>0</v>
      </c>
      <c r="EW42" s="1809">
        <v>0</v>
      </c>
      <c r="EX42" s="1809">
        <v>0</v>
      </c>
      <c r="EY42" s="1809">
        <v>0</v>
      </c>
      <c r="EZ42" s="1809">
        <v>0</v>
      </c>
      <c r="FA42" s="1809">
        <v>0</v>
      </c>
      <c r="FB42" s="1809">
        <v>0</v>
      </c>
      <c r="FC42" s="1809">
        <v>0</v>
      </c>
      <c r="FD42" s="1809">
        <v>0</v>
      </c>
      <c r="FE42" s="1809">
        <v>0</v>
      </c>
      <c r="FF42" s="1809">
        <v>0</v>
      </c>
      <c r="FG42" s="1809">
        <v>0</v>
      </c>
      <c r="FH42" s="1809">
        <v>0</v>
      </c>
      <c r="FI42" s="1809">
        <v>0</v>
      </c>
      <c r="FJ42" s="1809">
        <v>0</v>
      </c>
      <c r="FK42" s="1809">
        <v>0</v>
      </c>
      <c r="FL42" s="1809">
        <v>0</v>
      </c>
      <c r="FM42" s="1809">
        <v>0</v>
      </c>
      <c r="FN42" s="1809">
        <v>0</v>
      </c>
      <c r="FO42" s="1809">
        <v>0</v>
      </c>
      <c r="FP42" s="1809">
        <v>0</v>
      </c>
      <c r="FQ42" s="1809">
        <v>0</v>
      </c>
      <c r="FR42" s="1809">
        <v>0</v>
      </c>
      <c r="FS42" s="1809">
        <v>0</v>
      </c>
      <c r="FT42" s="1809">
        <v>0</v>
      </c>
      <c r="FU42" s="1809">
        <v>0</v>
      </c>
      <c r="FV42" s="1809">
        <v>0</v>
      </c>
      <c r="FW42" s="1809">
        <v>0</v>
      </c>
      <c r="FX42" s="1809">
        <v>0</v>
      </c>
      <c r="FY42" s="1809">
        <v>0</v>
      </c>
      <c r="FZ42" s="1809">
        <v>0</v>
      </c>
      <c r="GA42" s="1809">
        <v>0</v>
      </c>
      <c r="GB42" s="1809">
        <v>0</v>
      </c>
      <c r="GC42" s="1809">
        <v>0</v>
      </c>
      <c r="GD42" s="1809">
        <v>0</v>
      </c>
      <c r="GE42" s="1809">
        <v>0</v>
      </c>
      <c r="GF42" s="1809">
        <v>0</v>
      </c>
      <c r="GG42" s="1809">
        <v>0</v>
      </c>
      <c r="GH42" s="1809">
        <v>0</v>
      </c>
      <c r="GI42" s="1809">
        <v>0</v>
      </c>
      <c r="GJ42" s="1809">
        <v>0</v>
      </c>
      <c r="GK42" s="1809">
        <v>0</v>
      </c>
      <c r="GL42" s="1809">
        <v>0</v>
      </c>
      <c r="GM42" s="1809">
        <v>0</v>
      </c>
      <c r="GN42" s="1809">
        <v>0</v>
      </c>
      <c r="GO42" s="1809">
        <v>0</v>
      </c>
      <c r="GP42" s="1809">
        <v>0</v>
      </c>
      <c r="GQ42" s="1809">
        <v>0</v>
      </c>
      <c r="GR42" s="1809">
        <v>0</v>
      </c>
      <c r="GS42" s="1809">
        <v>0</v>
      </c>
      <c r="GT42" s="1809">
        <v>0</v>
      </c>
      <c r="GU42" s="1809">
        <v>0</v>
      </c>
      <c r="GV42" s="1809">
        <v>0</v>
      </c>
      <c r="GW42" s="1809">
        <v>0</v>
      </c>
      <c r="GX42" s="1809">
        <v>0</v>
      </c>
      <c r="GY42" s="1809">
        <v>0</v>
      </c>
      <c r="GZ42" s="1809">
        <v>0</v>
      </c>
      <c r="HA42" s="1809">
        <v>0</v>
      </c>
      <c r="HB42" s="1809">
        <v>0</v>
      </c>
      <c r="HC42" s="1809">
        <v>0</v>
      </c>
      <c r="HD42" s="1809">
        <v>0</v>
      </c>
      <c r="HE42" s="1809">
        <v>0</v>
      </c>
      <c r="HF42" s="1809">
        <v>0</v>
      </c>
      <c r="HG42" s="1809">
        <v>0</v>
      </c>
    </row>
    <row r="43" spans="1:215" s="1893" customFormat="1" ht="15" customHeight="1" thickBot="1" x14ac:dyDescent="0.25">
      <c r="A43" s="2028"/>
      <c r="B43" s="1904" t="s">
        <v>59</v>
      </c>
      <c r="C43" s="1782" t="s">
        <v>833</v>
      </c>
      <c r="D43" s="1782" t="s">
        <v>891</v>
      </c>
      <c r="E43" s="1783" t="s">
        <v>838</v>
      </c>
      <c r="F43" s="1916">
        <v>0</v>
      </c>
      <c r="G43" s="2053"/>
      <c r="H43" s="1809">
        <v>0</v>
      </c>
      <c r="I43" s="1809">
        <v>0</v>
      </c>
      <c r="J43" s="1809">
        <v>0</v>
      </c>
      <c r="K43" s="1809">
        <v>0</v>
      </c>
      <c r="L43" s="1809">
        <v>0</v>
      </c>
      <c r="M43" s="1809">
        <v>0</v>
      </c>
      <c r="N43" s="1809">
        <v>0</v>
      </c>
      <c r="O43" s="1809">
        <v>0</v>
      </c>
      <c r="P43" s="1809">
        <v>0</v>
      </c>
      <c r="Q43" s="1809">
        <v>0</v>
      </c>
      <c r="R43" s="1809">
        <v>0</v>
      </c>
      <c r="S43" s="1809">
        <v>0</v>
      </c>
      <c r="T43" s="1809">
        <v>0</v>
      </c>
      <c r="U43" s="1809">
        <v>0</v>
      </c>
      <c r="V43" s="1809">
        <v>0</v>
      </c>
      <c r="W43" s="1809">
        <v>0</v>
      </c>
      <c r="X43" s="1809">
        <v>0</v>
      </c>
      <c r="Y43" s="1809">
        <v>0</v>
      </c>
      <c r="Z43" s="1809">
        <v>0</v>
      </c>
      <c r="AA43" s="1809">
        <v>0</v>
      </c>
      <c r="AB43" s="1809">
        <v>0</v>
      </c>
      <c r="AC43" s="1809">
        <v>0</v>
      </c>
      <c r="AD43" s="1809">
        <v>0</v>
      </c>
      <c r="AE43" s="1809">
        <v>0</v>
      </c>
      <c r="AF43" s="1809">
        <v>0</v>
      </c>
      <c r="AG43" s="1809">
        <v>0</v>
      </c>
      <c r="AH43" s="1809">
        <v>0</v>
      </c>
      <c r="AI43" s="1809">
        <v>0</v>
      </c>
      <c r="AJ43" s="1809">
        <v>0</v>
      </c>
      <c r="AK43" s="1809">
        <v>0</v>
      </c>
      <c r="AL43" s="1809">
        <v>0</v>
      </c>
      <c r="AM43" s="1809">
        <v>0</v>
      </c>
      <c r="AN43" s="1809">
        <v>0</v>
      </c>
      <c r="AO43" s="1809">
        <v>0</v>
      </c>
      <c r="AP43" s="1809">
        <v>0</v>
      </c>
      <c r="AQ43" s="1809">
        <v>0</v>
      </c>
      <c r="AR43" s="1809">
        <v>0</v>
      </c>
      <c r="AS43" s="1809">
        <v>0</v>
      </c>
      <c r="AT43" s="1809">
        <v>0</v>
      </c>
      <c r="AU43" s="1809">
        <v>0</v>
      </c>
      <c r="AV43" s="1809">
        <v>0</v>
      </c>
      <c r="AW43" s="1809">
        <v>0</v>
      </c>
      <c r="AX43" s="1809">
        <v>0</v>
      </c>
      <c r="AY43" s="1809">
        <v>0</v>
      </c>
      <c r="AZ43" s="1809">
        <v>0</v>
      </c>
      <c r="BA43" s="1809">
        <v>0</v>
      </c>
      <c r="BB43" s="1809">
        <v>0</v>
      </c>
      <c r="BC43" s="1809">
        <v>0</v>
      </c>
      <c r="BD43" s="1809">
        <v>0</v>
      </c>
      <c r="BE43" s="1809">
        <v>0</v>
      </c>
      <c r="BF43" s="1809">
        <v>0</v>
      </c>
      <c r="BG43" s="1809">
        <v>0</v>
      </c>
      <c r="BH43" s="1809">
        <v>0</v>
      </c>
      <c r="BI43" s="1809">
        <v>0</v>
      </c>
      <c r="BJ43" s="1809">
        <v>0</v>
      </c>
      <c r="BK43" s="1809">
        <v>0</v>
      </c>
      <c r="BL43" s="1809">
        <v>0</v>
      </c>
      <c r="BM43" s="1809">
        <v>0</v>
      </c>
      <c r="BN43" s="1809">
        <v>0</v>
      </c>
      <c r="BO43" s="1809">
        <v>0</v>
      </c>
      <c r="BP43" s="1809">
        <v>0</v>
      </c>
      <c r="BQ43" s="1809">
        <v>0</v>
      </c>
      <c r="BR43" s="1809">
        <v>0</v>
      </c>
      <c r="BS43" s="1809">
        <v>0</v>
      </c>
      <c r="BT43" s="1809">
        <v>0</v>
      </c>
      <c r="BU43" s="1809">
        <v>0</v>
      </c>
      <c r="BV43" s="1809">
        <v>0</v>
      </c>
      <c r="BW43" s="1809">
        <v>0</v>
      </c>
      <c r="BX43" s="1809">
        <v>0</v>
      </c>
      <c r="BY43" s="1809">
        <v>0</v>
      </c>
      <c r="BZ43" s="1809">
        <v>0</v>
      </c>
      <c r="CA43" s="1809">
        <v>0</v>
      </c>
      <c r="CB43" s="1809">
        <v>0</v>
      </c>
      <c r="CC43" s="1809">
        <v>0</v>
      </c>
      <c r="CD43" s="1809">
        <v>0</v>
      </c>
      <c r="CE43" s="1809">
        <v>0</v>
      </c>
      <c r="CF43" s="1809">
        <v>0</v>
      </c>
      <c r="CG43" s="1809">
        <v>0</v>
      </c>
      <c r="CH43" s="1809">
        <v>0</v>
      </c>
      <c r="CI43" s="1809">
        <v>0</v>
      </c>
      <c r="CJ43" s="1809">
        <v>0</v>
      </c>
      <c r="CK43" s="1809">
        <v>0</v>
      </c>
      <c r="CL43" s="1809">
        <v>0</v>
      </c>
      <c r="CM43" s="1809">
        <v>0</v>
      </c>
      <c r="CN43" s="1809">
        <v>0</v>
      </c>
      <c r="CO43" s="1809">
        <v>0</v>
      </c>
      <c r="CP43" s="1809">
        <v>0</v>
      </c>
      <c r="CQ43" s="1809">
        <v>0</v>
      </c>
      <c r="CR43" s="1809">
        <v>0</v>
      </c>
      <c r="CS43" s="1809">
        <v>0</v>
      </c>
      <c r="CT43" s="1809">
        <v>0</v>
      </c>
      <c r="CU43" s="1809">
        <v>0</v>
      </c>
      <c r="CV43" s="1809">
        <v>0</v>
      </c>
      <c r="CW43" s="1809">
        <v>0</v>
      </c>
      <c r="CX43" s="1809">
        <v>0</v>
      </c>
      <c r="CY43" s="1809">
        <v>0</v>
      </c>
      <c r="CZ43" s="1809">
        <v>0</v>
      </c>
      <c r="DA43" s="1809">
        <v>0</v>
      </c>
      <c r="DB43" s="1809">
        <v>0</v>
      </c>
      <c r="DC43" s="1809">
        <v>0</v>
      </c>
      <c r="DD43" s="1809">
        <v>0</v>
      </c>
      <c r="DE43" s="1809">
        <v>0</v>
      </c>
      <c r="DF43" s="1809">
        <v>0</v>
      </c>
      <c r="DG43" s="1809">
        <v>0</v>
      </c>
      <c r="DH43" s="1809">
        <v>0</v>
      </c>
      <c r="DI43" s="1809">
        <v>0</v>
      </c>
      <c r="DJ43" s="1809">
        <v>0</v>
      </c>
      <c r="DK43" s="1809">
        <v>0</v>
      </c>
      <c r="DL43" s="1809">
        <v>0</v>
      </c>
      <c r="DM43" s="1809">
        <v>0</v>
      </c>
      <c r="DN43" s="1809">
        <v>0</v>
      </c>
      <c r="DO43" s="1809">
        <v>0</v>
      </c>
      <c r="DP43" s="1809">
        <v>0</v>
      </c>
      <c r="DQ43" s="1809">
        <v>0</v>
      </c>
      <c r="DR43" s="1809">
        <v>0</v>
      </c>
      <c r="DS43" s="1809">
        <v>0</v>
      </c>
      <c r="DT43" s="1809">
        <v>0</v>
      </c>
      <c r="DU43" s="1809">
        <v>0</v>
      </c>
      <c r="DV43" s="1809">
        <v>0</v>
      </c>
      <c r="DW43" s="1809">
        <v>0</v>
      </c>
      <c r="DX43" s="1809">
        <v>0</v>
      </c>
      <c r="DY43" s="1809">
        <v>0</v>
      </c>
      <c r="DZ43" s="1809">
        <v>0</v>
      </c>
      <c r="EA43" s="1809">
        <v>0</v>
      </c>
      <c r="EB43" s="1809">
        <v>0</v>
      </c>
      <c r="EC43" s="1809">
        <v>0</v>
      </c>
      <c r="ED43" s="1809">
        <v>0</v>
      </c>
      <c r="EE43" s="1809">
        <v>0</v>
      </c>
      <c r="EF43" s="1809">
        <v>0</v>
      </c>
      <c r="EG43" s="1809">
        <v>0</v>
      </c>
      <c r="EH43" s="1809">
        <v>0</v>
      </c>
      <c r="EI43" s="1809">
        <v>0</v>
      </c>
      <c r="EJ43" s="1809">
        <v>0</v>
      </c>
      <c r="EK43" s="1809">
        <v>0</v>
      </c>
      <c r="EL43" s="1809">
        <v>0</v>
      </c>
      <c r="EM43" s="1809">
        <v>0</v>
      </c>
      <c r="EN43" s="1809">
        <v>0</v>
      </c>
      <c r="EO43" s="1809">
        <v>0</v>
      </c>
      <c r="EP43" s="1809">
        <v>0</v>
      </c>
      <c r="EQ43" s="1809">
        <v>0</v>
      </c>
      <c r="ER43" s="1809">
        <v>0</v>
      </c>
      <c r="ES43" s="1809">
        <v>0</v>
      </c>
      <c r="ET43" s="1809">
        <v>0</v>
      </c>
      <c r="EU43" s="1809">
        <v>0</v>
      </c>
      <c r="EV43" s="1809">
        <v>0</v>
      </c>
      <c r="EW43" s="1809">
        <v>0</v>
      </c>
      <c r="EX43" s="1809">
        <v>0</v>
      </c>
      <c r="EY43" s="1809">
        <v>0</v>
      </c>
      <c r="EZ43" s="1809">
        <v>0</v>
      </c>
      <c r="FA43" s="1809">
        <v>0</v>
      </c>
      <c r="FB43" s="1809">
        <v>0</v>
      </c>
      <c r="FC43" s="1809">
        <v>0</v>
      </c>
      <c r="FD43" s="1809">
        <v>0</v>
      </c>
      <c r="FE43" s="1809">
        <v>0</v>
      </c>
      <c r="FF43" s="1809">
        <v>0</v>
      </c>
      <c r="FG43" s="1809">
        <v>0</v>
      </c>
      <c r="FH43" s="1809">
        <v>0</v>
      </c>
      <c r="FI43" s="1809">
        <v>0</v>
      </c>
      <c r="FJ43" s="1809">
        <v>0</v>
      </c>
      <c r="FK43" s="1809">
        <v>0</v>
      </c>
      <c r="FL43" s="1809">
        <v>0</v>
      </c>
      <c r="FM43" s="1809">
        <v>0</v>
      </c>
      <c r="FN43" s="1809">
        <v>0</v>
      </c>
      <c r="FO43" s="1809">
        <v>0</v>
      </c>
      <c r="FP43" s="1809">
        <v>0</v>
      </c>
      <c r="FQ43" s="1809">
        <v>0</v>
      </c>
      <c r="FR43" s="1809">
        <v>0</v>
      </c>
      <c r="FS43" s="1809">
        <v>0</v>
      </c>
      <c r="FT43" s="1809">
        <v>0</v>
      </c>
      <c r="FU43" s="1809">
        <v>0</v>
      </c>
      <c r="FV43" s="1809">
        <v>0</v>
      </c>
      <c r="FW43" s="1809">
        <v>0</v>
      </c>
      <c r="FX43" s="1809">
        <v>0</v>
      </c>
      <c r="FY43" s="1809">
        <v>0</v>
      </c>
      <c r="FZ43" s="1809">
        <v>0</v>
      </c>
      <c r="GA43" s="1809">
        <v>0</v>
      </c>
      <c r="GB43" s="1809">
        <v>0</v>
      </c>
      <c r="GC43" s="1809">
        <v>0</v>
      </c>
      <c r="GD43" s="1809">
        <v>0</v>
      </c>
      <c r="GE43" s="1809">
        <v>0</v>
      </c>
      <c r="GF43" s="1809">
        <v>0</v>
      </c>
      <c r="GG43" s="1809">
        <v>0</v>
      </c>
      <c r="GH43" s="1809">
        <v>0</v>
      </c>
      <c r="GI43" s="1809">
        <v>0</v>
      </c>
      <c r="GJ43" s="1809">
        <v>0</v>
      </c>
      <c r="GK43" s="1809">
        <v>0</v>
      </c>
      <c r="GL43" s="1809">
        <v>0</v>
      </c>
      <c r="GM43" s="1809">
        <v>0</v>
      </c>
      <c r="GN43" s="1809">
        <v>0</v>
      </c>
      <c r="GO43" s="1809">
        <v>0</v>
      </c>
      <c r="GP43" s="1809">
        <v>0</v>
      </c>
      <c r="GQ43" s="1809">
        <v>0</v>
      </c>
      <c r="GR43" s="1809">
        <v>0</v>
      </c>
      <c r="GS43" s="1809">
        <v>0</v>
      </c>
      <c r="GT43" s="1809">
        <v>0</v>
      </c>
      <c r="GU43" s="1809">
        <v>0</v>
      </c>
      <c r="GV43" s="1809">
        <v>0</v>
      </c>
      <c r="GW43" s="1809">
        <v>0</v>
      </c>
      <c r="GX43" s="1809">
        <v>0</v>
      </c>
      <c r="GY43" s="1809">
        <v>0</v>
      </c>
      <c r="GZ43" s="1809">
        <v>0</v>
      </c>
      <c r="HA43" s="1809">
        <v>0</v>
      </c>
      <c r="HB43" s="1809">
        <v>0</v>
      </c>
      <c r="HC43" s="1809">
        <v>0</v>
      </c>
      <c r="HD43" s="1809">
        <v>0</v>
      </c>
      <c r="HE43" s="1809">
        <v>0</v>
      </c>
      <c r="HF43" s="1809">
        <v>0</v>
      </c>
      <c r="HG43" s="1809">
        <v>0</v>
      </c>
    </row>
    <row r="44" spans="1:215" s="1893" customFormat="1" ht="21" customHeight="1" thickBot="1" x14ac:dyDescent="0.25">
      <c r="A44" s="2028"/>
      <c r="B44" s="2021" t="s">
        <v>2393</v>
      </c>
      <c r="C44" s="2021"/>
      <c r="D44" s="2021"/>
      <c r="E44" s="2022"/>
      <c r="F44" s="1917">
        <f t="shared" ref="F44" si="20">SUM(F41:F43)</f>
        <v>0</v>
      </c>
      <c r="G44" s="2053"/>
      <c r="H44" s="1940">
        <f>SUM(H41:H43)</f>
        <v>0</v>
      </c>
      <c r="I44" s="1940">
        <f t="shared" ref="I44:BT44" si="21">SUM(I41:I43)</f>
        <v>0</v>
      </c>
      <c r="J44" s="1940">
        <f t="shared" si="21"/>
        <v>0</v>
      </c>
      <c r="K44" s="1940">
        <f t="shared" si="21"/>
        <v>0</v>
      </c>
      <c r="L44" s="1940">
        <f t="shared" si="21"/>
        <v>0</v>
      </c>
      <c r="M44" s="1940">
        <f t="shared" si="21"/>
        <v>0</v>
      </c>
      <c r="N44" s="1940">
        <f t="shared" si="21"/>
        <v>0</v>
      </c>
      <c r="O44" s="1940">
        <f t="shared" si="21"/>
        <v>0</v>
      </c>
      <c r="P44" s="1940">
        <f t="shared" si="21"/>
        <v>0</v>
      </c>
      <c r="Q44" s="1940">
        <f t="shared" si="21"/>
        <v>0</v>
      </c>
      <c r="R44" s="1940">
        <f t="shared" si="21"/>
        <v>0</v>
      </c>
      <c r="S44" s="1940">
        <f t="shared" si="21"/>
        <v>0</v>
      </c>
      <c r="T44" s="1940">
        <f t="shared" si="21"/>
        <v>0</v>
      </c>
      <c r="U44" s="1940">
        <f t="shared" si="21"/>
        <v>0</v>
      </c>
      <c r="V44" s="1940">
        <f t="shared" si="21"/>
        <v>0</v>
      </c>
      <c r="W44" s="1940">
        <f t="shared" si="21"/>
        <v>0</v>
      </c>
      <c r="X44" s="1940">
        <f t="shared" si="21"/>
        <v>0</v>
      </c>
      <c r="Y44" s="1940">
        <f t="shared" si="21"/>
        <v>0</v>
      </c>
      <c r="Z44" s="1940">
        <f t="shared" si="21"/>
        <v>0</v>
      </c>
      <c r="AA44" s="1940">
        <f t="shared" si="21"/>
        <v>0</v>
      </c>
      <c r="AB44" s="1940">
        <f t="shared" si="21"/>
        <v>0</v>
      </c>
      <c r="AC44" s="1940">
        <f t="shared" si="21"/>
        <v>0</v>
      </c>
      <c r="AD44" s="1940">
        <f t="shared" si="21"/>
        <v>0</v>
      </c>
      <c r="AE44" s="1940">
        <f t="shared" si="21"/>
        <v>0</v>
      </c>
      <c r="AF44" s="1940">
        <f t="shared" si="21"/>
        <v>0</v>
      </c>
      <c r="AG44" s="1940">
        <f t="shared" si="21"/>
        <v>0</v>
      </c>
      <c r="AH44" s="1940">
        <f t="shared" si="21"/>
        <v>0</v>
      </c>
      <c r="AI44" s="1940">
        <f t="shared" si="21"/>
        <v>0</v>
      </c>
      <c r="AJ44" s="1940">
        <f t="shared" si="21"/>
        <v>0</v>
      </c>
      <c r="AK44" s="1940">
        <f t="shared" si="21"/>
        <v>0</v>
      </c>
      <c r="AL44" s="1940">
        <f t="shared" si="21"/>
        <v>0</v>
      </c>
      <c r="AM44" s="1940">
        <f t="shared" si="21"/>
        <v>0</v>
      </c>
      <c r="AN44" s="1940">
        <f t="shared" si="21"/>
        <v>0</v>
      </c>
      <c r="AO44" s="1940">
        <f t="shared" si="21"/>
        <v>0</v>
      </c>
      <c r="AP44" s="1940">
        <f t="shared" si="21"/>
        <v>0</v>
      </c>
      <c r="AQ44" s="1940">
        <f t="shared" si="21"/>
        <v>0</v>
      </c>
      <c r="AR44" s="1940">
        <f t="shared" si="21"/>
        <v>0</v>
      </c>
      <c r="AS44" s="1940">
        <f t="shared" si="21"/>
        <v>0</v>
      </c>
      <c r="AT44" s="1940">
        <f t="shared" si="21"/>
        <v>0</v>
      </c>
      <c r="AU44" s="1940">
        <f t="shared" si="21"/>
        <v>0</v>
      </c>
      <c r="AV44" s="1940">
        <f t="shared" si="21"/>
        <v>0</v>
      </c>
      <c r="AW44" s="1940">
        <f t="shared" si="21"/>
        <v>0</v>
      </c>
      <c r="AX44" s="1940">
        <f t="shared" si="21"/>
        <v>0</v>
      </c>
      <c r="AY44" s="1940">
        <f t="shared" si="21"/>
        <v>0</v>
      </c>
      <c r="AZ44" s="1940">
        <f t="shared" si="21"/>
        <v>0</v>
      </c>
      <c r="BA44" s="1940">
        <f t="shared" si="21"/>
        <v>0</v>
      </c>
      <c r="BB44" s="1940">
        <f t="shared" si="21"/>
        <v>0</v>
      </c>
      <c r="BC44" s="1940">
        <f t="shared" si="21"/>
        <v>0</v>
      </c>
      <c r="BD44" s="1940">
        <f t="shared" si="21"/>
        <v>0</v>
      </c>
      <c r="BE44" s="1940">
        <f t="shared" si="21"/>
        <v>0</v>
      </c>
      <c r="BF44" s="1940">
        <f t="shared" si="21"/>
        <v>0</v>
      </c>
      <c r="BG44" s="1940">
        <f t="shared" si="21"/>
        <v>0</v>
      </c>
      <c r="BH44" s="1940">
        <f t="shared" si="21"/>
        <v>0</v>
      </c>
      <c r="BI44" s="1940">
        <f t="shared" si="21"/>
        <v>0</v>
      </c>
      <c r="BJ44" s="1940">
        <f t="shared" si="21"/>
        <v>0</v>
      </c>
      <c r="BK44" s="1940">
        <f t="shared" si="21"/>
        <v>0</v>
      </c>
      <c r="BL44" s="1940">
        <f t="shared" si="21"/>
        <v>0</v>
      </c>
      <c r="BM44" s="1940">
        <f t="shared" si="21"/>
        <v>0</v>
      </c>
      <c r="BN44" s="1940">
        <f t="shared" si="21"/>
        <v>0</v>
      </c>
      <c r="BO44" s="1940">
        <f t="shared" si="21"/>
        <v>0</v>
      </c>
      <c r="BP44" s="1940">
        <f t="shared" si="21"/>
        <v>0</v>
      </c>
      <c r="BQ44" s="1940">
        <f t="shared" si="21"/>
        <v>0</v>
      </c>
      <c r="BR44" s="1940">
        <f t="shared" si="21"/>
        <v>0</v>
      </c>
      <c r="BS44" s="1940">
        <f t="shared" si="21"/>
        <v>0</v>
      </c>
      <c r="BT44" s="1940">
        <f t="shared" si="21"/>
        <v>0</v>
      </c>
      <c r="BU44" s="1940">
        <f t="shared" ref="BU44:EF44" si="22">SUM(BU41:BU43)</f>
        <v>0</v>
      </c>
      <c r="BV44" s="1940">
        <f t="shared" si="22"/>
        <v>0</v>
      </c>
      <c r="BW44" s="1940">
        <f t="shared" si="22"/>
        <v>0</v>
      </c>
      <c r="BX44" s="1940">
        <f t="shared" si="22"/>
        <v>0</v>
      </c>
      <c r="BY44" s="1940">
        <f t="shared" si="22"/>
        <v>0</v>
      </c>
      <c r="BZ44" s="1940">
        <f t="shared" si="22"/>
        <v>0</v>
      </c>
      <c r="CA44" s="1940">
        <f t="shared" si="22"/>
        <v>0</v>
      </c>
      <c r="CB44" s="1940">
        <f t="shared" si="22"/>
        <v>0</v>
      </c>
      <c r="CC44" s="1940">
        <f t="shared" si="22"/>
        <v>0</v>
      </c>
      <c r="CD44" s="1940">
        <f t="shared" si="22"/>
        <v>0</v>
      </c>
      <c r="CE44" s="1940">
        <f t="shared" si="22"/>
        <v>0</v>
      </c>
      <c r="CF44" s="1940">
        <f t="shared" si="22"/>
        <v>0</v>
      </c>
      <c r="CG44" s="1940">
        <f t="shared" si="22"/>
        <v>0</v>
      </c>
      <c r="CH44" s="1940">
        <f t="shared" si="22"/>
        <v>0</v>
      </c>
      <c r="CI44" s="1940">
        <f t="shared" si="22"/>
        <v>0</v>
      </c>
      <c r="CJ44" s="1940">
        <f t="shared" si="22"/>
        <v>0</v>
      </c>
      <c r="CK44" s="1940">
        <f t="shared" si="22"/>
        <v>0</v>
      </c>
      <c r="CL44" s="1940">
        <f t="shared" si="22"/>
        <v>0</v>
      </c>
      <c r="CM44" s="1940">
        <f t="shared" si="22"/>
        <v>0</v>
      </c>
      <c r="CN44" s="1940">
        <f t="shared" si="22"/>
        <v>0</v>
      </c>
      <c r="CO44" s="1940">
        <f t="shared" si="22"/>
        <v>0</v>
      </c>
      <c r="CP44" s="1940">
        <f t="shared" si="22"/>
        <v>0</v>
      </c>
      <c r="CQ44" s="1940">
        <f t="shared" si="22"/>
        <v>0</v>
      </c>
      <c r="CR44" s="1940">
        <f t="shared" si="22"/>
        <v>0</v>
      </c>
      <c r="CS44" s="1940">
        <f t="shared" si="22"/>
        <v>0</v>
      </c>
      <c r="CT44" s="1940">
        <f t="shared" si="22"/>
        <v>0</v>
      </c>
      <c r="CU44" s="1940">
        <f t="shared" si="22"/>
        <v>0</v>
      </c>
      <c r="CV44" s="1940">
        <f t="shared" si="22"/>
        <v>0</v>
      </c>
      <c r="CW44" s="1940">
        <f t="shared" si="22"/>
        <v>0</v>
      </c>
      <c r="CX44" s="1940">
        <f t="shared" si="22"/>
        <v>0</v>
      </c>
      <c r="CY44" s="1940">
        <f t="shared" si="22"/>
        <v>0</v>
      </c>
      <c r="CZ44" s="1940">
        <f t="shared" si="22"/>
        <v>0</v>
      </c>
      <c r="DA44" s="1940">
        <f t="shared" si="22"/>
        <v>0</v>
      </c>
      <c r="DB44" s="1940">
        <f t="shared" si="22"/>
        <v>0</v>
      </c>
      <c r="DC44" s="1940">
        <f t="shared" si="22"/>
        <v>0</v>
      </c>
      <c r="DD44" s="1940">
        <f t="shared" si="22"/>
        <v>0</v>
      </c>
      <c r="DE44" s="1940">
        <f t="shared" si="22"/>
        <v>0</v>
      </c>
      <c r="DF44" s="1940">
        <f t="shared" si="22"/>
        <v>0</v>
      </c>
      <c r="DG44" s="1940">
        <f t="shared" si="22"/>
        <v>0</v>
      </c>
      <c r="DH44" s="1940">
        <f t="shared" si="22"/>
        <v>0</v>
      </c>
      <c r="DI44" s="1940">
        <f t="shared" si="22"/>
        <v>0</v>
      </c>
      <c r="DJ44" s="1940">
        <f t="shared" si="22"/>
        <v>0</v>
      </c>
      <c r="DK44" s="1940">
        <f t="shared" si="22"/>
        <v>0</v>
      </c>
      <c r="DL44" s="1940">
        <f t="shared" si="22"/>
        <v>0</v>
      </c>
      <c r="DM44" s="1940">
        <f t="shared" si="22"/>
        <v>0</v>
      </c>
      <c r="DN44" s="1940">
        <f t="shared" si="22"/>
        <v>0</v>
      </c>
      <c r="DO44" s="1940">
        <f t="shared" si="22"/>
        <v>0</v>
      </c>
      <c r="DP44" s="1940">
        <f t="shared" si="22"/>
        <v>0</v>
      </c>
      <c r="DQ44" s="1940">
        <f t="shared" si="22"/>
        <v>0</v>
      </c>
      <c r="DR44" s="1940">
        <f t="shared" si="22"/>
        <v>0</v>
      </c>
      <c r="DS44" s="1940">
        <f t="shared" si="22"/>
        <v>0</v>
      </c>
      <c r="DT44" s="1940">
        <f t="shared" si="22"/>
        <v>0</v>
      </c>
      <c r="DU44" s="1940">
        <f t="shared" si="22"/>
        <v>0</v>
      </c>
      <c r="DV44" s="1940">
        <f t="shared" si="22"/>
        <v>0</v>
      </c>
      <c r="DW44" s="1940">
        <f t="shared" si="22"/>
        <v>0</v>
      </c>
      <c r="DX44" s="1940">
        <f t="shared" si="22"/>
        <v>0</v>
      </c>
      <c r="DY44" s="1940">
        <f t="shared" si="22"/>
        <v>0</v>
      </c>
      <c r="DZ44" s="1940">
        <f t="shared" si="22"/>
        <v>0</v>
      </c>
      <c r="EA44" s="1940">
        <f t="shared" si="22"/>
        <v>0</v>
      </c>
      <c r="EB44" s="1940">
        <f t="shared" si="22"/>
        <v>0</v>
      </c>
      <c r="EC44" s="1940">
        <f t="shared" si="22"/>
        <v>0</v>
      </c>
      <c r="ED44" s="1940">
        <f t="shared" si="22"/>
        <v>0</v>
      </c>
      <c r="EE44" s="1940">
        <f t="shared" si="22"/>
        <v>0</v>
      </c>
      <c r="EF44" s="1940">
        <f t="shared" si="22"/>
        <v>0</v>
      </c>
      <c r="EG44" s="1940">
        <f t="shared" ref="EG44:GR44" si="23">SUM(EG41:EG43)</f>
        <v>0</v>
      </c>
      <c r="EH44" s="1940">
        <f t="shared" si="23"/>
        <v>0</v>
      </c>
      <c r="EI44" s="1940">
        <f t="shared" si="23"/>
        <v>0</v>
      </c>
      <c r="EJ44" s="1940">
        <f t="shared" si="23"/>
        <v>0</v>
      </c>
      <c r="EK44" s="1940">
        <f t="shared" si="23"/>
        <v>0</v>
      </c>
      <c r="EL44" s="1940">
        <f t="shared" si="23"/>
        <v>0</v>
      </c>
      <c r="EM44" s="1940">
        <f t="shared" si="23"/>
        <v>0</v>
      </c>
      <c r="EN44" s="1940">
        <f t="shared" si="23"/>
        <v>0</v>
      </c>
      <c r="EO44" s="1940">
        <f t="shared" si="23"/>
        <v>0</v>
      </c>
      <c r="EP44" s="1940">
        <f t="shared" si="23"/>
        <v>0</v>
      </c>
      <c r="EQ44" s="1940">
        <f t="shared" si="23"/>
        <v>0</v>
      </c>
      <c r="ER44" s="1940">
        <f t="shared" si="23"/>
        <v>0</v>
      </c>
      <c r="ES44" s="1940">
        <f t="shared" si="23"/>
        <v>0</v>
      </c>
      <c r="ET44" s="1940">
        <f t="shared" si="23"/>
        <v>0</v>
      </c>
      <c r="EU44" s="1940">
        <f t="shared" si="23"/>
        <v>0</v>
      </c>
      <c r="EV44" s="1940">
        <f t="shared" si="23"/>
        <v>0</v>
      </c>
      <c r="EW44" s="1940">
        <f t="shared" si="23"/>
        <v>0</v>
      </c>
      <c r="EX44" s="1940">
        <f t="shared" si="23"/>
        <v>0</v>
      </c>
      <c r="EY44" s="1940">
        <f t="shared" si="23"/>
        <v>0</v>
      </c>
      <c r="EZ44" s="1940">
        <f t="shared" si="23"/>
        <v>0</v>
      </c>
      <c r="FA44" s="1940">
        <f t="shared" si="23"/>
        <v>0</v>
      </c>
      <c r="FB44" s="1940">
        <f t="shared" si="23"/>
        <v>0</v>
      </c>
      <c r="FC44" s="1940">
        <f t="shared" si="23"/>
        <v>0</v>
      </c>
      <c r="FD44" s="1940">
        <f t="shared" si="23"/>
        <v>0</v>
      </c>
      <c r="FE44" s="1940">
        <f t="shared" si="23"/>
        <v>0</v>
      </c>
      <c r="FF44" s="1940">
        <f t="shared" si="23"/>
        <v>0</v>
      </c>
      <c r="FG44" s="1940">
        <f t="shared" si="23"/>
        <v>0</v>
      </c>
      <c r="FH44" s="1940">
        <f t="shared" si="23"/>
        <v>0</v>
      </c>
      <c r="FI44" s="1940">
        <f t="shared" si="23"/>
        <v>0</v>
      </c>
      <c r="FJ44" s="1940">
        <f t="shared" si="23"/>
        <v>0</v>
      </c>
      <c r="FK44" s="1940">
        <f t="shared" si="23"/>
        <v>0</v>
      </c>
      <c r="FL44" s="1940">
        <f t="shared" si="23"/>
        <v>0</v>
      </c>
      <c r="FM44" s="1940">
        <f t="shared" si="23"/>
        <v>0</v>
      </c>
      <c r="FN44" s="1940">
        <f t="shared" si="23"/>
        <v>0</v>
      </c>
      <c r="FO44" s="1940">
        <f t="shared" si="23"/>
        <v>0</v>
      </c>
      <c r="FP44" s="1940">
        <f t="shared" si="23"/>
        <v>0</v>
      </c>
      <c r="FQ44" s="1940">
        <f t="shared" si="23"/>
        <v>0</v>
      </c>
      <c r="FR44" s="1940">
        <f t="shared" si="23"/>
        <v>0</v>
      </c>
      <c r="FS44" s="1940">
        <f t="shared" si="23"/>
        <v>0</v>
      </c>
      <c r="FT44" s="1940">
        <f t="shared" si="23"/>
        <v>0</v>
      </c>
      <c r="FU44" s="1940">
        <f t="shared" si="23"/>
        <v>0</v>
      </c>
      <c r="FV44" s="1940">
        <f t="shared" si="23"/>
        <v>0</v>
      </c>
      <c r="FW44" s="1940">
        <f t="shared" si="23"/>
        <v>0</v>
      </c>
      <c r="FX44" s="1940">
        <f t="shared" si="23"/>
        <v>0</v>
      </c>
      <c r="FY44" s="1940">
        <f t="shared" si="23"/>
        <v>0</v>
      </c>
      <c r="FZ44" s="1940">
        <f t="shared" si="23"/>
        <v>0</v>
      </c>
      <c r="GA44" s="1940">
        <f t="shared" si="23"/>
        <v>0</v>
      </c>
      <c r="GB44" s="1940">
        <f t="shared" si="23"/>
        <v>0</v>
      </c>
      <c r="GC44" s="1940">
        <f t="shared" si="23"/>
        <v>0</v>
      </c>
      <c r="GD44" s="1940">
        <f t="shared" si="23"/>
        <v>0</v>
      </c>
      <c r="GE44" s="1940">
        <f t="shared" si="23"/>
        <v>0</v>
      </c>
      <c r="GF44" s="1940">
        <f t="shared" si="23"/>
        <v>0</v>
      </c>
      <c r="GG44" s="1940">
        <f t="shared" si="23"/>
        <v>0</v>
      </c>
      <c r="GH44" s="1940">
        <f t="shared" si="23"/>
        <v>0</v>
      </c>
      <c r="GI44" s="1940">
        <f t="shared" si="23"/>
        <v>0</v>
      </c>
      <c r="GJ44" s="1940">
        <f t="shared" si="23"/>
        <v>0</v>
      </c>
      <c r="GK44" s="1940">
        <f t="shared" si="23"/>
        <v>0</v>
      </c>
      <c r="GL44" s="1940">
        <f t="shared" si="23"/>
        <v>0</v>
      </c>
      <c r="GM44" s="1940">
        <f t="shared" si="23"/>
        <v>0</v>
      </c>
      <c r="GN44" s="1940">
        <f t="shared" si="23"/>
        <v>0</v>
      </c>
      <c r="GO44" s="1940">
        <f t="shared" si="23"/>
        <v>0</v>
      </c>
      <c r="GP44" s="1940">
        <f t="shared" si="23"/>
        <v>0</v>
      </c>
      <c r="GQ44" s="1940">
        <f t="shared" si="23"/>
        <v>0</v>
      </c>
      <c r="GR44" s="1940">
        <f t="shared" si="23"/>
        <v>0</v>
      </c>
      <c r="GS44" s="1940">
        <f t="shared" ref="GS44:HG44" si="24">SUM(GS41:GS43)</f>
        <v>0</v>
      </c>
      <c r="GT44" s="1940">
        <f t="shared" si="24"/>
        <v>0</v>
      </c>
      <c r="GU44" s="1940">
        <f t="shared" si="24"/>
        <v>0</v>
      </c>
      <c r="GV44" s="1940">
        <f t="shared" si="24"/>
        <v>0</v>
      </c>
      <c r="GW44" s="1940">
        <f t="shared" si="24"/>
        <v>0</v>
      </c>
      <c r="GX44" s="1940">
        <f t="shared" si="24"/>
        <v>0</v>
      </c>
      <c r="GY44" s="1940">
        <f t="shared" si="24"/>
        <v>0</v>
      </c>
      <c r="GZ44" s="1940">
        <f t="shared" si="24"/>
        <v>0</v>
      </c>
      <c r="HA44" s="1940">
        <f t="shared" si="24"/>
        <v>0</v>
      </c>
      <c r="HB44" s="1940">
        <f t="shared" si="24"/>
        <v>0</v>
      </c>
      <c r="HC44" s="1940">
        <f t="shared" si="24"/>
        <v>0</v>
      </c>
      <c r="HD44" s="1940">
        <f t="shared" si="24"/>
        <v>0</v>
      </c>
      <c r="HE44" s="1940">
        <f t="shared" si="24"/>
        <v>0</v>
      </c>
      <c r="HF44" s="1940">
        <f t="shared" si="24"/>
        <v>0</v>
      </c>
      <c r="HG44" s="1940">
        <f t="shared" si="24"/>
        <v>0</v>
      </c>
    </row>
    <row r="45" spans="1:215" s="1893" customFormat="1" ht="21" customHeight="1" thickBot="1" x14ac:dyDescent="0.25">
      <c r="A45" s="2028"/>
      <c r="B45" s="2025"/>
      <c r="C45" s="2026"/>
      <c r="D45" s="2026"/>
      <c r="E45" s="1912" t="s">
        <v>602</v>
      </c>
      <c r="F45" s="1918">
        <f t="shared" ref="F45" si="25">F44/9</f>
        <v>0</v>
      </c>
      <c r="G45" s="2054"/>
      <c r="H45" s="1941">
        <f>H44/9</f>
        <v>0</v>
      </c>
      <c r="I45" s="1941">
        <f t="shared" ref="I45:BT45" si="26">I44/9</f>
        <v>0</v>
      </c>
      <c r="J45" s="1941">
        <f t="shared" si="26"/>
        <v>0</v>
      </c>
      <c r="K45" s="1941">
        <f t="shared" si="26"/>
        <v>0</v>
      </c>
      <c r="L45" s="1941">
        <f t="shared" si="26"/>
        <v>0</v>
      </c>
      <c r="M45" s="1941">
        <f t="shared" si="26"/>
        <v>0</v>
      </c>
      <c r="N45" s="1941">
        <f t="shared" si="26"/>
        <v>0</v>
      </c>
      <c r="O45" s="1941">
        <f t="shared" si="26"/>
        <v>0</v>
      </c>
      <c r="P45" s="1941">
        <f t="shared" si="26"/>
        <v>0</v>
      </c>
      <c r="Q45" s="1941">
        <f t="shared" si="26"/>
        <v>0</v>
      </c>
      <c r="R45" s="1941">
        <f t="shared" si="26"/>
        <v>0</v>
      </c>
      <c r="S45" s="1941">
        <f t="shared" si="26"/>
        <v>0</v>
      </c>
      <c r="T45" s="1941">
        <f t="shared" si="26"/>
        <v>0</v>
      </c>
      <c r="U45" s="1941">
        <f t="shared" si="26"/>
        <v>0</v>
      </c>
      <c r="V45" s="1941">
        <f t="shared" si="26"/>
        <v>0</v>
      </c>
      <c r="W45" s="1941">
        <f t="shared" si="26"/>
        <v>0</v>
      </c>
      <c r="X45" s="1941">
        <f t="shared" si="26"/>
        <v>0</v>
      </c>
      <c r="Y45" s="1941">
        <f t="shared" si="26"/>
        <v>0</v>
      </c>
      <c r="Z45" s="1941">
        <f t="shared" si="26"/>
        <v>0</v>
      </c>
      <c r="AA45" s="1941">
        <f t="shared" si="26"/>
        <v>0</v>
      </c>
      <c r="AB45" s="1941">
        <f t="shared" si="26"/>
        <v>0</v>
      </c>
      <c r="AC45" s="1941">
        <f t="shared" si="26"/>
        <v>0</v>
      </c>
      <c r="AD45" s="1941">
        <f t="shared" si="26"/>
        <v>0</v>
      </c>
      <c r="AE45" s="1941">
        <f t="shared" si="26"/>
        <v>0</v>
      </c>
      <c r="AF45" s="1941">
        <f t="shared" si="26"/>
        <v>0</v>
      </c>
      <c r="AG45" s="1941">
        <f t="shared" si="26"/>
        <v>0</v>
      </c>
      <c r="AH45" s="1941">
        <f t="shared" si="26"/>
        <v>0</v>
      </c>
      <c r="AI45" s="1941">
        <f t="shared" si="26"/>
        <v>0</v>
      </c>
      <c r="AJ45" s="1941">
        <f t="shared" si="26"/>
        <v>0</v>
      </c>
      <c r="AK45" s="1941">
        <f t="shared" si="26"/>
        <v>0</v>
      </c>
      <c r="AL45" s="1941">
        <f t="shared" si="26"/>
        <v>0</v>
      </c>
      <c r="AM45" s="1941">
        <f t="shared" si="26"/>
        <v>0</v>
      </c>
      <c r="AN45" s="1941">
        <f t="shared" si="26"/>
        <v>0</v>
      </c>
      <c r="AO45" s="1941">
        <f t="shared" si="26"/>
        <v>0</v>
      </c>
      <c r="AP45" s="1941">
        <f t="shared" si="26"/>
        <v>0</v>
      </c>
      <c r="AQ45" s="1941">
        <f t="shared" si="26"/>
        <v>0</v>
      </c>
      <c r="AR45" s="1941">
        <f t="shared" si="26"/>
        <v>0</v>
      </c>
      <c r="AS45" s="1941">
        <f t="shared" si="26"/>
        <v>0</v>
      </c>
      <c r="AT45" s="1941">
        <f t="shared" si="26"/>
        <v>0</v>
      </c>
      <c r="AU45" s="1941">
        <f t="shared" si="26"/>
        <v>0</v>
      </c>
      <c r="AV45" s="1941">
        <f t="shared" si="26"/>
        <v>0</v>
      </c>
      <c r="AW45" s="1941">
        <f t="shared" si="26"/>
        <v>0</v>
      </c>
      <c r="AX45" s="1941">
        <f t="shared" si="26"/>
        <v>0</v>
      </c>
      <c r="AY45" s="1941">
        <f t="shared" si="26"/>
        <v>0</v>
      </c>
      <c r="AZ45" s="1941">
        <f t="shared" si="26"/>
        <v>0</v>
      </c>
      <c r="BA45" s="1941">
        <f t="shared" si="26"/>
        <v>0</v>
      </c>
      <c r="BB45" s="1941">
        <f t="shared" si="26"/>
        <v>0</v>
      </c>
      <c r="BC45" s="1941">
        <f t="shared" si="26"/>
        <v>0</v>
      </c>
      <c r="BD45" s="1941">
        <f t="shared" si="26"/>
        <v>0</v>
      </c>
      <c r="BE45" s="1941">
        <f t="shared" si="26"/>
        <v>0</v>
      </c>
      <c r="BF45" s="1941">
        <f t="shared" si="26"/>
        <v>0</v>
      </c>
      <c r="BG45" s="1941">
        <f t="shared" si="26"/>
        <v>0</v>
      </c>
      <c r="BH45" s="1941">
        <f t="shared" si="26"/>
        <v>0</v>
      </c>
      <c r="BI45" s="1941">
        <f t="shared" si="26"/>
        <v>0</v>
      </c>
      <c r="BJ45" s="1941">
        <f t="shared" si="26"/>
        <v>0</v>
      </c>
      <c r="BK45" s="1941">
        <f t="shared" si="26"/>
        <v>0</v>
      </c>
      <c r="BL45" s="1941">
        <f t="shared" si="26"/>
        <v>0</v>
      </c>
      <c r="BM45" s="1941">
        <f t="shared" si="26"/>
        <v>0</v>
      </c>
      <c r="BN45" s="1941">
        <f t="shared" si="26"/>
        <v>0</v>
      </c>
      <c r="BO45" s="1941">
        <f t="shared" si="26"/>
        <v>0</v>
      </c>
      <c r="BP45" s="1941">
        <f t="shared" si="26"/>
        <v>0</v>
      </c>
      <c r="BQ45" s="1941">
        <f t="shared" si="26"/>
        <v>0</v>
      </c>
      <c r="BR45" s="1941">
        <f t="shared" si="26"/>
        <v>0</v>
      </c>
      <c r="BS45" s="1941">
        <f t="shared" si="26"/>
        <v>0</v>
      </c>
      <c r="BT45" s="1941">
        <f t="shared" si="26"/>
        <v>0</v>
      </c>
      <c r="BU45" s="1941">
        <f t="shared" ref="BU45:EF45" si="27">BU44/9</f>
        <v>0</v>
      </c>
      <c r="BV45" s="1941">
        <f t="shared" si="27"/>
        <v>0</v>
      </c>
      <c r="BW45" s="1941">
        <f t="shared" si="27"/>
        <v>0</v>
      </c>
      <c r="BX45" s="1941">
        <f t="shared" si="27"/>
        <v>0</v>
      </c>
      <c r="BY45" s="1941">
        <f t="shared" si="27"/>
        <v>0</v>
      </c>
      <c r="BZ45" s="1941">
        <f t="shared" si="27"/>
        <v>0</v>
      </c>
      <c r="CA45" s="1941">
        <f t="shared" si="27"/>
        <v>0</v>
      </c>
      <c r="CB45" s="1941">
        <f t="shared" si="27"/>
        <v>0</v>
      </c>
      <c r="CC45" s="1941">
        <f t="shared" si="27"/>
        <v>0</v>
      </c>
      <c r="CD45" s="1941">
        <f t="shared" si="27"/>
        <v>0</v>
      </c>
      <c r="CE45" s="1941">
        <f t="shared" si="27"/>
        <v>0</v>
      </c>
      <c r="CF45" s="1941">
        <f t="shared" si="27"/>
        <v>0</v>
      </c>
      <c r="CG45" s="1941">
        <f t="shared" si="27"/>
        <v>0</v>
      </c>
      <c r="CH45" s="1941">
        <f t="shared" si="27"/>
        <v>0</v>
      </c>
      <c r="CI45" s="1941">
        <f t="shared" si="27"/>
        <v>0</v>
      </c>
      <c r="CJ45" s="1941">
        <f t="shared" si="27"/>
        <v>0</v>
      </c>
      <c r="CK45" s="1941">
        <f t="shared" si="27"/>
        <v>0</v>
      </c>
      <c r="CL45" s="1941">
        <f t="shared" si="27"/>
        <v>0</v>
      </c>
      <c r="CM45" s="1941">
        <f t="shared" si="27"/>
        <v>0</v>
      </c>
      <c r="CN45" s="1941">
        <f t="shared" si="27"/>
        <v>0</v>
      </c>
      <c r="CO45" s="1941">
        <f t="shared" si="27"/>
        <v>0</v>
      </c>
      <c r="CP45" s="1941">
        <f t="shared" si="27"/>
        <v>0</v>
      </c>
      <c r="CQ45" s="1941">
        <f t="shared" si="27"/>
        <v>0</v>
      </c>
      <c r="CR45" s="1941">
        <f t="shared" si="27"/>
        <v>0</v>
      </c>
      <c r="CS45" s="1941">
        <f t="shared" si="27"/>
        <v>0</v>
      </c>
      <c r="CT45" s="1941">
        <f t="shared" si="27"/>
        <v>0</v>
      </c>
      <c r="CU45" s="1941">
        <f t="shared" si="27"/>
        <v>0</v>
      </c>
      <c r="CV45" s="1941">
        <f t="shared" si="27"/>
        <v>0</v>
      </c>
      <c r="CW45" s="1941">
        <f t="shared" si="27"/>
        <v>0</v>
      </c>
      <c r="CX45" s="1941">
        <f t="shared" si="27"/>
        <v>0</v>
      </c>
      <c r="CY45" s="1941">
        <f t="shared" si="27"/>
        <v>0</v>
      </c>
      <c r="CZ45" s="1941">
        <f t="shared" si="27"/>
        <v>0</v>
      </c>
      <c r="DA45" s="1941">
        <f t="shared" si="27"/>
        <v>0</v>
      </c>
      <c r="DB45" s="1941">
        <f t="shared" si="27"/>
        <v>0</v>
      </c>
      <c r="DC45" s="1941">
        <f t="shared" si="27"/>
        <v>0</v>
      </c>
      <c r="DD45" s="1941">
        <f t="shared" si="27"/>
        <v>0</v>
      </c>
      <c r="DE45" s="1941">
        <f t="shared" si="27"/>
        <v>0</v>
      </c>
      <c r="DF45" s="1941">
        <f t="shared" si="27"/>
        <v>0</v>
      </c>
      <c r="DG45" s="1941">
        <f t="shared" si="27"/>
        <v>0</v>
      </c>
      <c r="DH45" s="1941">
        <f t="shared" si="27"/>
        <v>0</v>
      </c>
      <c r="DI45" s="1941">
        <f t="shared" si="27"/>
        <v>0</v>
      </c>
      <c r="DJ45" s="1941">
        <f t="shared" si="27"/>
        <v>0</v>
      </c>
      <c r="DK45" s="1941">
        <f t="shared" si="27"/>
        <v>0</v>
      </c>
      <c r="DL45" s="1941">
        <f t="shared" si="27"/>
        <v>0</v>
      </c>
      <c r="DM45" s="1941">
        <f t="shared" si="27"/>
        <v>0</v>
      </c>
      <c r="DN45" s="1941">
        <f t="shared" si="27"/>
        <v>0</v>
      </c>
      <c r="DO45" s="1941">
        <f t="shared" si="27"/>
        <v>0</v>
      </c>
      <c r="DP45" s="1941">
        <f t="shared" si="27"/>
        <v>0</v>
      </c>
      <c r="DQ45" s="1941">
        <f t="shared" si="27"/>
        <v>0</v>
      </c>
      <c r="DR45" s="1941">
        <f t="shared" si="27"/>
        <v>0</v>
      </c>
      <c r="DS45" s="1941">
        <f t="shared" si="27"/>
        <v>0</v>
      </c>
      <c r="DT45" s="1941">
        <f t="shared" si="27"/>
        <v>0</v>
      </c>
      <c r="DU45" s="1941">
        <f t="shared" si="27"/>
        <v>0</v>
      </c>
      <c r="DV45" s="1941">
        <f t="shared" si="27"/>
        <v>0</v>
      </c>
      <c r="DW45" s="1941">
        <f t="shared" si="27"/>
        <v>0</v>
      </c>
      <c r="DX45" s="1941">
        <f t="shared" si="27"/>
        <v>0</v>
      </c>
      <c r="DY45" s="1941">
        <f t="shared" si="27"/>
        <v>0</v>
      </c>
      <c r="DZ45" s="1941">
        <f t="shared" si="27"/>
        <v>0</v>
      </c>
      <c r="EA45" s="1941">
        <f t="shared" si="27"/>
        <v>0</v>
      </c>
      <c r="EB45" s="1941">
        <f t="shared" si="27"/>
        <v>0</v>
      </c>
      <c r="EC45" s="1941">
        <f t="shared" si="27"/>
        <v>0</v>
      </c>
      <c r="ED45" s="1941">
        <f t="shared" si="27"/>
        <v>0</v>
      </c>
      <c r="EE45" s="1941">
        <f t="shared" si="27"/>
        <v>0</v>
      </c>
      <c r="EF45" s="1941">
        <f t="shared" si="27"/>
        <v>0</v>
      </c>
      <c r="EG45" s="1941">
        <f t="shared" ref="EG45:GR45" si="28">EG44/9</f>
        <v>0</v>
      </c>
      <c r="EH45" s="1941">
        <f t="shared" si="28"/>
        <v>0</v>
      </c>
      <c r="EI45" s="1941">
        <f t="shared" si="28"/>
        <v>0</v>
      </c>
      <c r="EJ45" s="1941">
        <f t="shared" si="28"/>
        <v>0</v>
      </c>
      <c r="EK45" s="1941">
        <f t="shared" si="28"/>
        <v>0</v>
      </c>
      <c r="EL45" s="1941">
        <f t="shared" si="28"/>
        <v>0</v>
      </c>
      <c r="EM45" s="1941">
        <f t="shared" si="28"/>
        <v>0</v>
      </c>
      <c r="EN45" s="1941">
        <f t="shared" si="28"/>
        <v>0</v>
      </c>
      <c r="EO45" s="1941">
        <f t="shared" si="28"/>
        <v>0</v>
      </c>
      <c r="EP45" s="1941">
        <f t="shared" si="28"/>
        <v>0</v>
      </c>
      <c r="EQ45" s="1941">
        <f t="shared" si="28"/>
        <v>0</v>
      </c>
      <c r="ER45" s="1941">
        <f t="shared" si="28"/>
        <v>0</v>
      </c>
      <c r="ES45" s="1941">
        <f t="shared" si="28"/>
        <v>0</v>
      </c>
      <c r="ET45" s="1941">
        <f t="shared" si="28"/>
        <v>0</v>
      </c>
      <c r="EU45" s="1941">
        <f t="shared" si="28"/>
        <v>0</v>
      </c>
      <c r="EV45" s="1941">
        <f t="shared" si="28"/>
        <v>0</v>
      </c>
      <c r="EW45" s="1941">
        <f t="shared" si="28"/>
        <v>0</v>
      </c>
      <c r="EX45" s="1941">
        <f t="shared" si="28"/>
        <v>0</v>
      </c>
      <c r="EY45" s="1941">
        <f t="shared" si="28"/>
        <v>0</v>
      </c>
      <c r="EZ45" s="1941">
        <f t="shared" si="28"/>
        <v>0</v>
      </c>
      <c r="FA45" s="1941">
        <f t="shared" si="28"/>
        <v>0</v>
      </c>
      <c r="FB45" s="1941">
        <f t="shared" si="28"/>
        <v>0</v>
      </c>
      <c r="FC45" s="1941">
        <f t="shared" si="28"/>
        <v>0</v>
      </c>
      <c r="FD45" s="1941">
        <f t="shared" si="28"/>
        <v>0</v>
      </c>
      <c r="FE45" s="1941">
        <f t="shared" si="28"/>
        <v>0</v>
      </c>
      <c r="FF45" s="1941">
        <f t="shared" si="28"/>
        <v>0</v>
      </c>
      <c r="FG45" s="1941">
        <f t="shared" si="28"/>
        <v>0</v>
      </c>
      <c r="FH45" s="1941">
        <f t="shared" si="28"/>
        <v>0</v>
      </c>
      <c r="FI45" s="1941">
        <f t="shared" si="28"/>
        <v>0</v>
      </c>
      <c r="FJ45" s="1941">
        <f t="shared" si="28"/>
        <v>0</v>
      </c>
      <c r="FK45" s="1941">
        <f t="shared" si="28"/>
        <v>0</v>
      </c>
      <c r="FL45" s="1941">
        <f t="shared" si="28"/>
        <v>0</v>
      </c>
      <c r="FM45" s="1941">
        <f t="shared" si="28"/>
        <v>0</v>
      </c>
      <c r="FN45" s="1941">
        <f t="shared" si="28"/>
        <v>0</v>
      </c>
      <c r="FO45" s="1941">
        <f t="shared" si="28"/>
        <v>0</v>
      </c>
      <c r="FP45" s="1941">
        <f t="shared" si="28"/>
        <v>0</v>
      </c>
      <c r="FQ45" s="1941">
        <f t="shared" si="28"/>
        <v>0</v>
      </c>
      <c r="FR45" s="1941">
        <f t="shared" si="28"/>
        <v>0</v>
      </c>
      <c r="FS45" s="1941">
        <f t="shared" si="28"/>
        <v>0</v>
      </c>
      <c r="FT45" s="1941">
        <f t="shared" si="28"/>
        <v>0</v>
      </c>
      <c r="FU45" s="1941">
        <f t="shared" si="28"/>
        <v>0</v>
      </c>
      <c r="FV45" s="1941">
        <f t="shared" si="28"/>
        <v>0</v>
      </c>
      <c r="FW45" s="1941">
        <f t="shared" si="28"/>
        <v>0</v>
      </c>
      <c r="FX45" s="1941">
        <f t="shared" si="28"/>
        <v>0</v>
      </c>
      <c r="FY45" s="1941">
        <f t="shared" si="28"/>
        <v>0</v>
      </c>
      <c r="FZ45" s="1941">
        <f t="shared" si="28"/>
        <v>0</v>
      </c>
      <c r="GA45" s="1941">
        <f t="shared" si="28"/>
        <v>0</v>
      </c>
      <c r="GB45" s="1941">
        <f t="shared" si="28"/>
        <v>0</v>
      </c>
      <c r="GC45" s="1941">
        <f t="shared" si="28"/>
        <v>0</v>
      </c>
      <c r="GD45" s="1941">
        <f t="shared" si="28"/>
        <v>0</v>
      </c>
      <c r="GE45" s="1941">
        <f t="shared" si="28"/>
        <v>0</v>
      </c>
      <c r="GF45" s="1941">
        <f t="shared" si="28"/>
        <v>0</v>
      </c>
      <c r="GG45" s="1941">
        <f t="shared" si="28"/>
        <v>0</v>
      </c>
      <c r="GH45" s="1941">
        <f t="shared" si="28"/>
        <v>0</v>
      </c>
      <c r="GI45" s="1941">
        <f t="shared" si="28"/>
        <v>0</v>
      </c>
      <c r="GJ45" s="1941">
        <f t="shared" si="28"/>
        <v>0</v>
      </c>
      <c r="GK45" s="1941">
        <f t="shared" si="28"/>
        <v>0</v>
      </c>
      <c r="GL45" s="1941">
        <f t="shared" si="28"/>
        <v>0</v>
      </c>
      <c r="GM45" s="1941">
        <f t="shared" si="28"/>
        <v>0</v>
      </c>
      <c r="GN45" s="1941">
        <f t="shared" si="28"/>
        <v>0</v>
      </c>
      <c r="GO45" s="1941">
        <f t="shared" si="28"/>
        <v>0</v>
      </c>
      <c r="GP45" s="1941">
        <f t="shared" si="28"/>
        <v>0</v>
      </c>
      <c r="GQ45" s="1941">
        <f t="shared" si="28"/>
        <v>0</v>
      </c>
      <c r="GR45" s="1941">
        <f t="shared" si="28"/>
        <v>0</v>
      </c>
      <c r="GS45" s="1941">
        <f t="shared" ref="GS45:HG45" si="29">GS44/9</f>
        <v>0</v>
      </c>
      <c r="GT45" s="1941">
        <f t="shared" si="29"/>
        <v>0</v>
      </c>
      <c r="GU45" s="1941">
        <f t="shared" si="29"/>
        <v>0</v>
      </c>
      <c r="GV45" s="1941">
        <f t="shared" si="29"/>
        <v>0</v>
      </c>
      <c r="GW45" s="1941">
        <f t="shared" si="29"/>
        <v>0</v>
      </c>
      <c r="GX45" s="1941">
        <f t="shared" si="29"/>
        <v>0</v>
      </c>
      <c r="GY45" s="1941">
        <f t="shared" si="29"/>
        <v>0</v>
      </c>
      <c r="GZ45" s="1941">
        <f t="shared" si="29"/>
        <v>0</v>
      </c>
      <c r="HA45" s="1941">
        <f t="shared" si="29"/>
        <v>0</v>
      </c>
      <c r="HB45" s="1941">
        <f t="shared" si="29"/>
        <v>0</v>
      </c>
      <c r="HC45" s="1941">
        <f t="shared" si="29"/>
        <v>0</v>
      </c>
      <c r="HD45" s="1941">
        <f t="shared" si="29"/>
        <v>0</v>
      </c>
      <c r="HE45" s="1941">
        <f t="shared" si="29"/>
        <v>0</v>
      </c>
      <c r="HF45" s="1941">
        <f t="shared" si="29"/>
        <v>0</v>
      </c>
      <c r="HG45" s="1941">
        <f t="shared" si="29"/>
        <v>0</v>
      </c>
    </row>
    <row r="46" spans="1:215" s="1893" customFormat="1" ht="21" customHeight="1" thickBot="1" x14ac:dyDescent="0.25">
      <c r="A46" s="2027" t="s">
        <v>54</v>
      </c>
      <c r="B46" s="2034" t="s">
        <v>292</v>
      </c>
      <c r="C46" s="2014"/>
      <c r="D46" s="2014"/>
      <c r="E46" s="2015"/>
      <c r="F46" s="1914"/>
      <c r="G46" s="1597"/>
      <c r="H46" s="1808"/>
      <c r="I46" s="1808"/>
      <c r="J46" s="1808"/>
      <c r="K46" s="1808"/>
      <c r="L46" s="1808"/>
      <c r="M46" s="1808"/>
      <c r="N46" s="1808"/>
      <c r="O46" s="1808"/>
      <c r="P46" s="1808"/>
      <c r="Q46" s="1808"/>
      <c r="R46" s="1808"/>
      <c r="S46" s="1808"/>
      <c r="T46" s="1808"/>
      <c r="U46" s="1808"/>
      <c r="V46" s="1808"/>
      <c r="W46" s="1808"/>
      <c r="X46" s="1808"/>
      <c r="Y46" s="1808"/>
      <c r="Z46" s="1808"/>
      <c r="AA46" s="1808"/>
      <c r="AB46" s="1808"/>
      <c r="AC46" s="1808"/>
      <c r="AD46" s="1808"/>
      <c r="AE46" s="1808"/>
      <c r="AF46" s="1808"/>
      <c r="AG46" s="1808"/>
      <c r="AH46" s="1808"/>
      <c r="AI46" s="1808"/>
      <c r="AJ46" s="1808"/>
      <c r="AK46" s="1808"/>
      <c r="AL46" s="1808"/>
      <c r="AM46" s="1808"/>
      <c r="AN46" s="1808"/>
      <c r="AO46" s="1808"/>
      <c r="AP46" s="1808"/>
      <c r="AQ46" s="1808"/>
      <c r="AR46" s="1808"/>
      <c r="AS46" s="1808"/>
      <c r="AT46" s="1808"/>
      <c r="AU46" s="1808"/>
      <c r="AV46" s="1808"/>
      <c r="AW46" s="1808"/>
      <c r="AX46" s="1808"/>
      <c r="AY46" s="1808"/>
      <c r="AZ46" s="1808"/>
      <c r="BA46" s="1808"/>
      <c r="BB46" s="1808"/>
      <c r="BC46" s="1808"/>
      <c r="BD46" s="1808"/>
      <c r="BE46" s="1808"/>
      <c r="BF46" s="1808"/>
      <c r="BG46" s="1808"/>
      <c r="BH46" s="1808"/>
      <c r="BI46" s="1808"/>
      <c r="BJ46" s="1808"/>
      <c r="BK46" s="1808"/>
      <c r="BL46" s="1808"/>
      <c r="BM46" s="1808"/>
      <c r="BN46" s="1808"/>
      <c r="BO46" s="1808"/>
      <c r="BP46" s="1808"/>
      <c r="BQ46" s="1808"/>
      <c r="BR46" s="1808"/>
      <c r="BS46" s="1808"/>
      <c r="BT46" s="1808"/>
      <c r="BU46" s="1808"/>
      <c r="BV46" s="1808"/>
      <c r="BW46" s="1808"/>
      <c r="BX46" s="1808"/>
      <c r="BY46" s="1808"/>
      <c r="BZ46" s="1808"/>
      <c r="CA46" s="1808"/>
      <c r="CB46" s="1808"/>
      <c r="CC46" s="1808"/>
      <c r="CD46" s="1808"/>
      <c r="CE46" s="1808"/>
      <c r="CF46" s="1808"/>
      <c r="CG46" s="1808"/>
      <c r="CH46" s="1808"/>
      <c r="CI46" s="1808"/>
      <c r="CJ46" s="1808"/>
      <c r="CK46" s="1808"/>
      <c r="CL46" s="1808"/>
      <c r="CM46" s="1808"/>
      <c r="CN46" s="1808"/>
      <c r="CO46" s="1808"/>
      <c r="CP46" s="1808"/>
      <c r="CQ46" s="1808"/>
      <c r="CR46" s="1808"/>
      <c r="CS46" s="1808"/>
      <c r="CT46" s="1808"/>
      <c r="CU46" s="1808"/>
      <c r="CV46" s="1808"/>
      <c r="CW46" s="1808"/>
      <c r="CX46" s="1808"/>
      <c r="CY46" s="1808"/>
      <c r="CZ46" s="1808"/>
      <c r="DA46" s="1808"/>
      <c r="DB46" s="1808"/>
      <c r="DC46" s="1808"/>
      <c r="DD46" s="1808"/>
      <c r="DE46" s="1808"/>
      <c r="DF46" s="1808"/>
      <c r="DG46" s="1808"/>
      <c r="DH46" s="1808"/>
      <c r="DI46" s="1808"/>
      <c r="DJ46" s="1808"/>
      <c r="DK46" s="1808"/>
      <c r="DL46" s="1808"/>
      <c r="DM46" s="1808"/>
      <c r="DN46" s="1808"/>
      <c r="DO46" s="1808"/>
      <c r="DP46" s="1808"/>
      <c r="DQ46" s="1808"/>
      <c r="DR46" s="1808"/>
      <c r="DS46" s="1808"/>
      <c r="DT46" s="1808"/>
      <c r="DU46" s="1808"/>
      <c r="DV46" s="1808"/>
      <c r="DW46" s="1808"/>
      <c r="DX46" s="1808"/>
      <c r="DY46" s="1808"/>
      <c r="DZ46" s="1808"/>
      <c r="EA46" s="1808"/>
      <c r="EB46" s="1808"/>
      <c r="EC46" s="1808"/>
      <c r="ED46" s="1808"/>
      <c r="EE46" s="1808"/>
      <c r="EF46" s="1808"/>
      <c r="EG46" s="1808"/>
      <c r="EH46" s="1808"/>
      <c r="EI46" s="1808"/>
      <c r="EJ46" s="1808"/>
      <c r="EK46" s="1808"/>
      <c r="EL46" s="1808"/>
      <c r="EM46" s="1808"/>
      <c r="EN46" s="1808"/>
      <c r="EO46" s="1808"/>
      <c r="EP46" s="1808"/>
      <c r="EQ46" s="1808"/>
      <c r="ER46" s="1808"/>
      <c r="ES46" s="1808"/>
      <c r="ET46" s="1808"/>
      <c r="EU46" s="1808"/>
      <c r="EV46" s="1808"/>
      <c r="EW46" s="1808"/>
      <c r="EX46" s="1808"/>
      <c r="EY46" s="1808"/>
      <c r="EZ46" s="1808"/>
      <c r="FA46" s="1808"/>
      <c r="FB46" s="1808"/>
      <c r="FC46" s="1808"/>
      <c r="FD46" s="1808"/>
      <c r="FE46" s="1808"/>
      <c r="FF46" s="1808"/>
      <c r="FG46" s="1808"/>
      <c r="FH46" s="1808"/>
      <c r="FI46" s="1808"/>
      <c r="FJ46" s="1808"/>
      <c r="FK46" s="1808"/>
      <c r="FL46" s="1808"/>
      <c r="FM46" s="1808"/>
      <c r="FN46" s="1808"/>
      <c r="FO46" s="1808"/>
      <c r="FP46" s="1808"/>
      <c r="FQ46" s="1808"/>
      <c r="FR46" s="1808"/>
      <c r="FS46" s="1808"/>
      <c r="FT46" s="1808"/>
      <c r="FU46" s="1808"/>
      <c r="FV46" s="1808"/>
      <c r="FW46" s="1808"/>
      <c r="FX46" s="1808"/>
      <c r="FY46" s="1808"/>
      <c r="FZ46" s="1808"/>
      <c r="GA46" s="1808"/>
      <c r="GB46" s="1808"/>
      <c r="GC46" s="1808"/>
      <c r="GD46" s="1808"/>
      <c r="GE46" s="1808"/>
      <c r="GF46" s="1808"/>
      <c r="GG46" s="1808"/>
      <c r="GH46" s="1808"/>
      <c r="GI46" s="1808"/>
      <c r="GJ46" s="1808"/>
      <c r="GK46" s="1808"/>
      <c r="GL46" s="1808"/>
      <c r="GM46" s="1808"/>
      <c r="GN46" s="1808"/>
      <c r="GO46" s="1808"/>
      <c r="GP46" s="1808"/>
      <c r="GQ46" s="1808"/>
      <c r="GR46" s="1808"/>
      <c r="GS46" s="1808"/>
      <c r="GT46" s="1808"/>
      <c r="GU46" s="1808"/>
      <c r="GV46" s="1808"/>
      <c r="GW46" s="1808"/>
      <c r="GX46" s="1808"/>
      <c r="GY46" s="1808"/>
      <c r="GZ46" s="1808"/>
      <c r="HA46" s="1808"/>
      <c r="HB46" s="1808"/>
      <c r="HC46" s="1808"/>
      <c r="HD46" s="1808"/>
      <c r="HE46" s="1808"/>
      <c r="HF46" s="1808"/>
      <c r="HG46" s="1808"/>
    </row>
    <row r="47" spans="1:215" s="1893" customFormat="1" ht="21" customHeight="1" thickBot="1" x14ac:dyDescent="0.25">
      <c r="A47" s="2028"/>
      <c r="B47" s="2029" t="s">
        <v>887</v>
      </c>
      <c r="C47" s="2030"/>
      <c r="D47" s="2030"/>
      <c r="E47" s="2031"/>
      <c r="F47" s="1899"/>
      <c r="G47" s="1597"/>
      <c r="H47" s="1808"/>
      <c r="I47" s="1808"/>
      <c r="J47" s="1808"/>
      <c r="K47" s="1808"/>
      <c r="L47" s="1808"/>
      <c r="M47" s="1808"/>
      <c r="N47" s="1808"/>
      <c r="O47" s="1808"/>
      <c r="P47" s="1808"/>
      <c r="Q47" s="1808"/>
      <c r="R47" s="1808"/>
      <c r="S47" s="1808"/>
      <c r="T47" s="1808"/>
      <c r="U47" s="1808"/>
      <c r="V47" s="1808"/>
      <c r="W47" s="1808"/>
      <c r="X47" s="1808"/>
      <c r="Y47" s="1808"/>
      <c r="Z47" s="1808"/>
      <c r="AA47" s="1808"/>
      <c r="AB47" s="1808"/>
      <c r="AC47" s="1808"/>
      <c r="AD47" s="1808"/>
      <c r="AE47" s="1808"/>
      <c r="AF47" s="1808"/>
      <c r="AG47" s="1808"/>
      <c r="AH47" s="1808"/>
      <c r="AI47" s="1808"/>
      <c r="AJ47" s="1808"/>
      <c r="AK47" s="1808"/>
      <c r="AL47" s="1808"/>
      <c r="AM47" s="1808"/>
      <c r="AN47" s="1808"/>
      <c r="AO47" s="1808"/>
      <c r="AP47" s="1808"/>
      <c r="AQ47" s="1808"/>
      <c r="AR47" s="1808"/>
      <c r="AS47" s="1808"/>
      <c r="AT47" s="1808"/>
      <c r="AU47" s="1808"/>
      <c r="AV47" s="1808"/>
      <c r="AW47" s="1808"/>
      <c r="AX47" s="1808"/>
      <c r="AY47" s="1808"/>
      <c r="AZ47" s="1808"/>
      <c r="BA47" s="1808"/>
      <c r="BB47" s="1808"/>
      <c r="BC47" s="1808"/>
      <c r="BD47" s="1808"/>
      <c r="BE47" s="1808"/>
      <c r="BF47" s="1808"/>
      <c r="BG47" s="1808"/>
      <c r="BH47" s="1808"/>
      <c r="BI47" s="1808"/>
      <c r="BJ47" s="1808"/>
      <c r="BK47" s="1808"/>
      <c r="BL47" s="1808"/>
      <c r="BM47" s="1808"/>
      <c r="BN47" s="1808"/>
      <c r="BO47" s="1808"/>
      <c r="BP47" s="1808"/>
      <c r="BQ47" s="1808"/>
      <c r="BR47" s="1808"/>
      <c r="BS47" s="1808"/>
      <c r="BT47" s="1808"/>
      <c r="BU47" s="1808"/>
      <c r="BV47" s="1808"/>
      <c r="BW47" s="1808"/>
      <c r="BX47" s="1808"/>
      <c r="BY47" s="1808"/>
      <c r="BZ47" s="1808"/>
      <c r="CA47" s="1808"/>
      <c r="CB47" s="1808"/>
      <c r="CC47" s="1808"/>
      <c r="CD47" s="1808"/>
      <c r="CE47" s="1808"/>
      <c r="CF47" s="1808"/>
      <c r="CG47" s="1808"/>
      <c r="CH47" s="1808"/>
      <c r="CI47" s="1808"/>
      <c r="CJ47" s="1808"/>
      <c r="CK47" s="1808"/>
      <c r="CL47" s="1808"/>
      <c r="CM47" s="1808"/>
      <c r="CN47" s="1808"/>
      <c r="CO47" s="1808"/>
      <c r="CP47" s="1808"/>
      <c r="CQ47" s="1808"/>
      <c r="CR47" s="1808"/>
      <c r="CS47" s="1808"/>
      <c r="CT47" s="1808"/>
      <c r="CU47" s="1808"/>
      <c r="CV47" s="1808"/>
      <c r="CW47" s="1808"/>
      <c r="CX47" s="1808"/>
      <c r="CY47" s="1808"/>
      <c r="CZ47" s="1808"/>
      <c r="DA47" s="1808"/>
      <c r="DB47" s="1808"/>
      <c r="DC47" s="1808"/>
      <c r="DD47" s="1808"/>
      <c r="DE47" s="1808"/>
      <c r="DF47" s="1808"/>
      <c r="DG47" s="1808"/>
      <c r="DH47" s="1808"/>
      <c r="DI47" s="1808"/>
      <c r="DJ47" s="1808"/>
      <c r="DK47" s="1808"/>
      <c r="DL47" s="1808"/>
      <c r="DM47" s="1808"/>
      <c r="DN47" s="1808"/>
      <c r="DO47" s="1808"/>
      <c r="DP47" s="1808"/>
      <c r="DQ47" s="1808"/>
      <c r="DR47" s="1808"/>
      <c r="DS47" s="1808"/>
      <c r="DT47" s="1808"/>
      <c r="DU47" s="1808"/>
      <c r="DV47" s="1808"/>
      <c r="DW47" s="1808"/>
      <c r="DX47" s="1808"/>
      <c r="DY47" s="1808"/>
      <c r="DZ47" s="1808"/>
      <c r="EA47" s="1808"/>
      <c r="EB47" s="1808"/>
      <c r="EC47" s="1808"/>
      <c r="ED47" s="1808"/>
      <c r="EE47" s="1808"/>
      <c r="EF47" s="1808"/>
      <c r="EG47" s="1808"/>
      <c r="EH47" s="1808"/>
      <c r="EI47" s="1808"/>
      <c r="EJ47" s="1808"/>
      <c r="EK47" s="1808"/>
      <c r="EL47" s="1808"/>
      <c r="EM47" s="1808"/>
      <c r="EN47" s="1808"/>
      <c r="EO47" s="1808"/>
      <c r="EP47" s="1808"/>
      <c r="EQ47" s="1808"/>
      <c r="ER47" s="1808"/>
      <c r="ES47" s="1808"/>
      <c r="ET47" s="1808"/>
      <c r="EU47" s="1808"/>
      <c r="EV47" s="1808"/>
      <c r="EW47" s="1808"/>
      <c r="EX47" s="1808"/>
      <c r="EY47" s="1808"/>
      <c r="EZ47" s="1808"/>
      <c r="FA47" s="1808"/>
      <c r="FB47" s="1808"/>
      <c r="FC47" s="1808"/>
      <c r="FD47" s="1808"/>
      <c r="FE47" s="1808"/>
      <c r="FF47" s="1808"/>
      <c r="FG47" s="1808"/>
      <c r="FH47" s="1808"/>
      <c r="FI47" s="1808"/>
      <c r="FJ47" s="1808"/>
      <c r="FK47" s="1808"/>
      <c r="FL47" s="1808"/>
      <c r="FM47" s="1808"/>
      <c r="FN47" s="1808"/>
      <c r="FO47" s="1808"/>
      <c r="FP47" s="1808"/>
      <c r="FQ47" s="1808"/>
      <c r="FR47" s="1808"/>
      <c r="FS47" s="1808"/>
      <c r="FT47" s="1808"/>
      <c r="FU47" s="1808"/>
      <c r="FV47" s="1808"/>
      <c r="FW47" s="1808"/>
      <c r="FX47" s="1808"/>
      <c r="FY47" s="1808"/>
      <c r="FZ47" s="1808"/>
      <c r="GA47" s="1808"/>
      <c r="GB47" s="1808"/>
      <c r="GC47" s="1808"/>
      <c r="GD47" s="1808"/>
      <c r="GE47" s="1808"/>
      <c r="GF47" s="1808"/>
      <c r="GG47" s="1808"/>
      <c r="GH47" s="1808"/>
      <c r="GI47" s="1808"/>
      <c r="GJ47" s="1808"/>
      <c r="GK47" s="1808"/>
      <c r="GL47" s="1808"/>
      <c r="GM47" s="1808"/>
      <c r="GN47" s="1808"/>
      <c r="GO47" s="1808"/>
      <c r="GP47" s="1808"/>
      <c r="GQ47" s="1808"/>
      <c r="GR47" s="1808"/>
      <c r="GS47" s="1808"/>
      <c r="GT47" s="1808"/>
      <c r="GU47" s="1808"/>
      <c r="GV47" s="1808"/>
      <c r="GW47" s="1808"/>
      <c r="GX47" s="1808"/>
      <c r="GY47" s="1808"/>
      <c r="GZ47" s="1808"/>
      <c r="HA47" s="1808"/>
      <c r="HB47" s="1808"/>
      <c r="HC47" s="1808"/>
      <c r="HD47" s="1808"/>
      <c r="HE47" s="1808"/>
      <c r="HF47" s="1808"/>
      <c r="HG47" s="1808"/>
    </row>
    <row r="48" spans="1:215" s="1893" customFormat="1" ht="15" customHeight="1" thickBot="1" x14ac:dyDescent="0.25">
      <c r="A48" s="2028"/>
      <c r="B48" s="2013" t="s">
        <v>716</v>
      </c>
      <c r="C48" s="2014"/>
      <c r="D48" s="2014"/>
      <c r="E48" s="2015"/>
      <c r="F48" s="1898"/>
      <c r="G48" s="1598"/>
      <c r="H48" s="1807"/>
      <c r="I48" s="1807"/>
      <c r="J48" s="1807"/>
      <c r="K48" s="1807"/>
      <c r="L48" s="1807"/>
      <c r="M48" s="1807"/>
      <c r="N48" s="1807"/>
      <c r="O48" s="1807"/>
      <c r="P48" s="1807"/>
      <c r="Q48" s="1807"/>
      <c r="R48" s="1807"/>
      <c r="S48" s="1807"/>
      <c r="T48" s="1807"/>
      <c r="U48" s="1807"/>
      <c r="V48" s="1807"/>
      <c r="W48" s="1807"/>
      <c r="X48" s="1807"/>
      <c r="Y48" s="1807"/>
      <c r="Z48" s="1807"/>
      <c r="AA48" s="1807"/>
      <c r="AB48" s="1807"/>
      <c r="AC48" s="1807"/>
      <c r="AD48" s="1807"/>
      <c r="AE48" s="1807"/>
      <c r="AF48" s="1807"/>
      <c r="AG48" s="1807"/>
      <c r="AH48" s="1807"/>
      <c r="AI48" s="1807"/>
      <c r="AJ48" s="1807"/>
      <c r="AK48" s="1807"/>
      <c r="AL48" s="1807"/>
      <c r="AM48" s="1807"/>
      <c r="AN48" s="1807"/>
      <c r="AO48" s="1807"/>
      <c r="AP48" s="1807"/>
      <c r="AQ48" s="1807"/>
      <c r="AR48" s="1807"/>
      <c r="AS48" s="1807"/>
      <c r="AT48" s="1807"/>
      <c r="AU48" s="1807"/>
      <c r="AV48" s="1807"/>
      <c r="AW48" s="1807"/>
      <c r="AX48" s="1807"/>
      <c r="AY48" s="1807"/>
      <c r="AZ48" s="1807"/>
      <c r="BA48" s="1807"/>
      <c r="BB48" s="1807"/>
      <c r="BC48" s="1807"/>
      <c r="BD48" s="1807"/>
      <c r="BE48" s="1807"/>
      <c r="BF48" s="1807"/>
      <c r="BG48" s="1807"/>
      <c r="BH48" s="1807"/>
      <c r="BI48" s="1807"/>
      <c r="BJ48" s="1807"/>
      <c r="BK48" s="1807"/>
      <c r="BL48" s="1807"/>
      <c r="BM48" s="1807"/>
      <c r="BN48" s="1807"/>
      <c r="BO48" s="1807"/>
      <c r="BP48" s="1807"/>
      <c r="BQ48" s="1807"/>
      <c r="BR48" s="1807"/>
      <c r="BS48" s="1807"/>
      <c r="BT48" s="1807"/>
      <c r="BU48" s="1807"/>
      <c r="BV48" s="1807"/>
      <c r="BW48" s="1807"/>
      <c r="BX48" s="1807"/>
      <c r="BY48" s="1807"/>
      <c r="BZ48" s="1807"/>
      <c r="CA48" s="1807"/>
      <c r="CB48" s="1807"/>
      <c r="CC48" s="1807"/>
      <c r="CD48" s="1807"/>
      <c r="CE48" s="1807"/>
      <c r="CF48" s="1807"/>
      <c r="CG48" s="1807"/>
      <c r="CH48" s="1807"/>
      <c r="CI48" s="1807"/>
      <c r="CJ48" s="1807"/>
      <c r="CK48" s="1807"/>
      <c r="CL48" s="1807"/>
      <c r="CM48" s="1807"/>
      <c r="CN48" s="1807"/>
      <c r="CO48" s="1807"/>
      <c r="CP48" s="1807"/>
      <c r="CQ48" s="1807"/>
      <c r="CR48" s="1807"/>
      <c r="CS48" s="1807"/>
      <c r="CT48" s="1807"/>
      <c r="CU48" s="1807"/>
      <c r="CV48" s="1807"/>
      <c r="CW48" s="1807"/>
      <c r="CX48" s="1807"/>
      <c r="CY48" s="1807"/>
      <c r="CZ48" s="1807"/>
      <c r="DA48" s="1807"/>
      <c r="DB48" s="1807"/>
      <c r="DC48" s="1807"/>
      <c r="DD48" s="1807"/>
      <c r="DE48" s="1807"/>
      <c r="DF48" s="1807"/>
      <c r="DG48" s="1807"/>
      <c r="DH48" s="1807"/>
      <c r="DI48" s="1807"/>
      <c r="DJ48" s="1807"/>
      <c r="DK48" s="1807"/>
      <c r="DL48" s="1807"/>
      <c r="DM48" s="1807"/>
      <c r="DN48" s="1807"/>
      <c r="DO48" s="1807"/>
      <c r="DP48" s="1807"/>
      <c r="DQ48" s="1807"/>
      <c r="DR48" s="1807"/>
      <c r="DS48" s="1807"/>
      <c r="DT48" s="1807"/>
      <c r="DU48" s="1807"/>
      <c r="DV48" s="1807"/>
      <c r="DW48" s="1807"/>
      <c r="DX48" s="1807"/>
      <c r="DY48" s="1807"/>
      <c r="DZ48" s="1807"/>
      <c r="EA48" s="1807"/>
      <c r="EB48" s="1807"/>
      <c r="EC48" s="1807"/>
      <c r="ED48" s="1807"/>
      <c r="EE48" s="1807"/>
      <c r="EF48" s="1807"/>
      <c r="EG48" s="1807"/>
      <c r="EH48" s="1807"/>
      <c r="EI48" s="1807"/>
      <c r="EJ48" s="1807"/>
      <c r="EK48" s="1807"/>
      <c r="EL48" s="1807"/>
      <c r="EM48" s="1807"/>
      <c r="EN48" s="1807"/>
      <c r="EO48" s="1807"/>
      <c r="EP48" s="1807"/>
      <c r="EQ48" s="1807"/>
      <c r="ER48" s="1807"/>
      <c r="ES48" s="1807"/>
      <c r="ET48" s="1807"/>
      <c r="EU48" s="1807"/>
      <c r="EV48" s="1807"/>
      <c r="EW48" s="1807"/>
      <c r="EX48" s="1807"/>
      <c r="EY48" s="1807"/>
      <c r="EZ48" s="1807"/>
      <c r="FA48" s="1807"/>
      <c r="FB48" s="1807"/>
      <c r="FC48" s="1807"/>
      <c r="FD48" s="1807"/>
      <c r="FE48" s="1807"/>
      <c r="FF48" s="1807"/>
      <c r="FG48" s="1807"/>
      <c r="FH48" s="1807"/>
      <c r="FI48" s="1807"/>
      <c r="FJ48" s="1807"/>
      <c r="FK48" s="1807"/>
      <c r="FL48" s="1807"/>
      <c r="FM48" s="1807"/>
      <c r="FN48" s="1807"/>
      <c r="FO48" s="1807"/>
      <c r="FP48" s="1807"/>
      <c r="FQ48" s="1807"/>
      <c r="FR48" s="1807"/>
      <c r="FS48" s="1807"/>
      <c r="FT48" s="1807"/>
      <c r="FU48" s="1807"/>
      <c r="FV48" s="1807"/>
      <c r="FW48" s="1807"/>
      <c r="FX48" s="1807"/>
      <c r="FY48" s="1807"/>
      <c r="FZ48" s="1807"/>
      <c r="GA48" s="1807"/>
      <c r="GB48" s="1807"/>
      <c r="GC48" s="1807"/>
      <c r="GD48" s="1807"/>
      <c r="GE48" s="1807"/>
      <c r="GF48" s="1807"/>
      <c r="GG48" s="1807"/>
      <c r="GH48" s="1807"/>
      <c r="GI48" s="1807"/>
      <c r="GJ48" s="1807"/>
      <c r="GK48" s="1807"/>
      <c r="GL48" s="1807"/>
      <c r="GM48" s="1807"/>
      <c r="GN48" s="1807"/>
      <c r="GO48" s="1807"/>
      <c r="GP48" s="1807"/>
      <c r="GQ48" s="1807"/>
      <c r="GR48" s="1807"/>
      <c r="GS48" s="1807"/>
      <c r="GT48" s="1807"/>
      <c r="GU48" s="1807"/>
      <c r="GV48" s="1807"/>
      <c r="GW48" s="1807"/>
      <c r="GX48" s="1807"/>
      <c r="GY48" s="1807"/>
      <c r="GZ48" s="1807"/>
      <c r="HA48" s="1807"/>
      <c r="HB48" s="1807"/>
      <c r="HC48" s="1807"/>
      <c r="HD48" s="1807"/>
      <c r="HE48" s="1807"/>
      <c r="HF48" s="1807"/>
      <c r="HG48" s="1807"/>
    </row>
    <row r="49" spans="1:215" s="1893" customFormat="1" ht="15" customHeight="1" thickBot="1" x14ac:dyDescent="0.25">
      <c r="A49" s="2028"/>
      <c r="B49" s="2013" t="s">
        <v>717</v>
      </c>
      <c r="C49" s="2014"/>
      <c r="D49" s="2014"/>
      <c r="E49" s="2015"/>
      <c r="F49" s="1898"/>
      <c r="G49" s="1598"/>
      <c r="H49" s="1807"/>
      <c r="I49" s="1807"/>
      <c r="J49" s="1807"/>
      <c r="K49" s="1807"/>
      <c r="L49" s="1807"/>
      <c r="M49" s="1807"/>
      <c r="N49" s="1807"/>
      <c r="O49" s="1807"/>
      <c r="P49" s="1807"/>
      <c r="Q49" s="1807"/>
      <c r="R49" s="1807"/>
      <c r="S49" s="1807"/>
      <c r="T49" s="1807"/>
      <c r="U49" s="1807"/>
      <c r="V49" s="1807"/>
      <c r="W49" s="1807"/>
      <c r="X49" s="1807"/>
      <c r="Y49" s="1807"/>
      <c r="Z49" s="1807"/>
      <c r="AA49" s="1807"/>
      <c r="AB49" s="1807"/>
      <c r="AC49" s="1807"/>
      <c r="AD49" s="1807"/>
      <c r="AE49" s="1807"/>
      <c r="AF49" s="1807"/>
      <c r="AG49" s="1807"/>
      <c r="AH49" s="1807"/>
      <c r="AI49" s="1807"/>
      <c r="AJ49" s="1807"/>
      <c r="AK49" s="1807"/>
      <c r="AL49" s="1807"/>
      <c r="AM49" s="1807"/>
      <c r="AN49" s="1807"/>
      <c r="AO49" s="1807"/>
      <c r="AP49" s="1807"/>
      <c r="AQ49" s="1807"/>
      <c r="AR49" s="1807"/>
      <c r="AS49" s="1807"/>
      <c r="AT49" s="1807"/>
      <c r="AU49" s="1807"/>
      <c r="AV49" s="1807"/>
      <c r="AW49" s="1807"/>
      <c r="AX49" s="1807"/>
      <c r="AY49" s="1807"/>
      <c r="AZ49" s="1807"/>
      <c r="BA49" s="1807"/>
      <c r="BB49" s="1807"/>
      <c r="BC49" s="1807"/>
      <c r="BD49" s="1807"/>
      <c r="BE49" s="1807"/>
      <c r="BF49" s="1807"/>
      <c r="BG49" s="1807"/>
      <c r="BH49" s="1807"/>
      <c r="BI49" s="1807"/>
      <c r="BJ49" s="1807"/>
      <c r="BK49" s="1807"/>
      <c r="BL49" s="1807"/>
      <c r="BM49" s="1807"/>
      <c r="BN49" s="1807"/>
      <c r="BO49" s="1807"/>
      <c r="BP49" s="1807"/>
      <c r="BQ49" s="1807"/>
      <c r="BR49" s="1807"/>
      <c r="BS49" s="1807"/>
      <c r="BT49" s="1807"/>
      <c r="BU49" s="1807"/>
      <c r="BV49" s="1807"/>
      <c r="BW49" s="1807"/>
      <c r="BX49" s="1807"/>
      <c r="BY49" s="1807"/>
      <c r="BZ49" s="1807"/>
      <c r="CA49" s="1807"/>
      <c r="CB49" s="1807"/>
      <c r="CC49" s="1807"/>
      <c r="CD49" s="1807"/>
      <c r="CE49" s="1807"/>
      <c r="CF49" s="1807"/>
      <c r="CG49" s="1807"/>
      <c r="CH49" s="1807"/>
      <c r="CI49" s="1807"/>
      <c r="CJ49" s="1807"/>
      <c r="CK49" s="1807"/>
      <c r="CL49" s="1807"/>
      <c r="CM49" s="1807"/>
      <c r="CN49" s="1807"/>
      <c r="CO49" s="1807"/>
      <c r="CP49" s="1807"/>
      <c r="CQ49" s="1807"/>
      <c r="CR49" s="1807"/>
      <c r="CS49" s="1807"/>
      <c r="CT49" s="1807"/>
      <c r="CU49" s="1807"/>
      <c r="CV49" s="1807"/>
      <c r="CW49" s="1807"/>
      <c r="CX49" s="1807"/>
      <c r="CY49" s="1807"/>
      <c r="CZ49" s="1807"/>
      <c r="DA49" s="1807"/>
      <c r="DB49" s="1807"/>
      <c r="DC49" s="1807"/>
      <c r="DD49" s="1807"/>
      <c r="DE49" s="1807"/>
      <c r="DF49" s="1807"/>
      <c r="DG49" s="1807"/>
      <c r="DH49" s="1807"/>
      <c r="DI49" s="1807"/>
      <c r="DJ49" s="1807"/>
      <c r="DK49" s="1807"/>
      <c r="DL49" s="1807"/>
      <c r="DM49" s="1807"/>
      <c r="DN49" s="1807"/>
      <c r="DO49" s="1807"/>
      <c r="DP49" s="1807"/>
      <c r="DQ49" s="1807"/>
      <c r="DR49" s="1807"/>
      <c r="DS49" s="1807"/>
      <c r="DT49" s="1807"/>
      <c r="DU49" s="1807"/>
      <c r="DV49" s="1807"/>
      <c r="DW49" s="1807"/>
      <c r="DX49" s="1807"/>
      <c r="DY49" s="1807"/>
      <c r="DZ49" s="1807"/>
      <c r="EA49" s="1807"/>
      <c r="EB49" s="1807"/>
      <c r="EC49" s="1807"/>
      <c r="ED49" s="1807"/>
      <c r="EE49" s="1807"/>
      <c r="EF49" s="1807"/>
      <c r="EG49" s="1807"/>
      <c r="EH49" s="1807"/>
      <c r="EI49" s="1807"/>
      <c r="EJ49" s="1807"/>
      <c r="EK49" s="1807"/>
      <c r="EL49" s="1807"/>
      <c r="EM49" s="1807"/>
      <c r="EN49" s="1807"/>
      <c r="EO49" s="1807"/>
      <c r="EP49" s="1807"/>
      <c r="EQ49" s="1807"/>
      <c r="ER49" s="1807"/>
      <c r="ES49" s="1807"/>
      <c r="ET49" s="1807"/>
      <c r="EU49" s="1807"/>
      <c r="EV49" s="1807"/>
      <c r="EW49" s="1807"/>
      <c r="EX49" s="1807"/>
      <c r="EY49" s="1807"/>
      <c r="EZ49" s="1807"/>
      <c r="FA49" s="1807"/>
      <c r="FB49" s="1807"/>
      <c r="FC49" s="1807"/>
      <c r="FD49" s="1807"/>
      <c r="FE49" s="1807"/>
      <c r="FF49" s="1807"/>
      <c r="FG49" s="1807"/>
      <c r="FH49" s="1807"/>
      <c r="FI49" s="1807"/>
      <c r="FJ49" s="1807"/>
      <c r="FK49" s="1807"/>
      <c r="FL49" s="1807"/>
      <c r="FM49" s="1807"/>
      <c r="FN49" s="1807"/>
      <c r="FO49" s="1807"/>
      <c r="FP49" s="1807"/>
      <c r="FQ49" s="1807"/>
      <c r="FR49" s="1807"/>
      <c r="FS49" s="1807"/>
      <c r="FT49" s="1807"/>
      <c r="FU49" s="1807"/>
      <c r="FV49" s="1807"/>
      <c r="FW49" s="1807"/>
      <c r="FX49" s="1807"/>
      <c r="FY49" s="1807"/>
      <c r="FZ49" s="1807"/>
      <c r="GA49" s="1807"/>
      <c r="GB49" s="1807"/>
      <c r="GC49" s="1807"/>
      <c r="GD49" s="1807"/>
      <c r="GE49" s="1807"/>
      <c r="GF49" s="1807"/>
      <c r="GG49" s="1807"/>
      <c r="GH49" s="1807"/>
      <c r="GI49" s="1807"/>
      <c r="GJ49" s="1807"/>
      <c r="GK49" s="1807"/>
      <c r="GL49" s="1807"/>
      <c r="GM49" s="1807"/>
      <c r="GN49" s="1807"/>
      <c r="GO49" s="1807"/>
      <c r="GP49" s="1807"/>
      <c r="GQ49" s="1807"/>
      <c r="GR49" s="1807"/>
      <c r="GS49" s="1807"/>
      <c r="GT49" s="1807"/>
      <c r="GU49" s="1807"/>
      <c r="GV49" s="1807"/>
      <c r="GW49" s="1807"/>
      <c r="GX49" s="1807"/>
      <c r="GY49" s="1807"/>
      <c r="GZ49" s="1807"/>
      <c r="HA49" s="1807"/>
      <c r="HB49" s="1807"/>
      <c r="HC49" s="1807"/>
      <c r="HD49" s="1807"/>
      <c r="HE49" s="1807"/>
      <c r="HF49" s="1807"/>
      <c r="HG49" s="1807"/>
    </row>
    <row r="50" spans="1:215" s="1893" customFormat="1" ht="15" customHeight="1" thickBot="1" x14ac:dyDescent="0.25">
      <c r="A50" s="2028"/>
      <c r="B50" s="2013" t="s">
        <v>718</v>
      </c>
      <c r="C50" s="2014"/>
      <c r="D50" s="2014"/>
      <c r="E50" s="2015"/>
      <c r="F50" s="1898"/>
      <c r="G50" s="1598"/>
      <c r="H50" s="1807"/>
      <c r="I50" s="1807"/>
      <c r="J50" s="1807"/>
      <c r="K50" s="1807"/>
      <c r="L50" s="1807"/>
      <c r="M50" s="1807"/>
      <c r="N50" s="1807"/>
      <c r="O50" s="1807"/>
      <c r="P50" s="1807"/>
      <c r="Q50" s="1807"/>
      <c r="R50" s="1807"/>
      <c r="S50" s="1807"/>
      <c r="T50" s="1807"/>
      <c r="U50" s="1807"/>
      <c r="V50" s="1807"/>
      <c r="W50" s="1807"/>
      <c r="X50" s="1807"/>
      <c r="Y50" s="1807"/>
      <c r="Z50" s="1807"/>
      <c r="AA50" s="1807"/>
      <c r="AB50" s="1807"/>
      <c r="AC50" s="1807"/>
      <c r="AD50" s="1807"/>
      <c r="AE50" s="1807"/>
      <c r="AF50" s="1807"/>
      <c r="AG50" s="1807"/>
      <c r="AH50" s="1807"/>
      <c r="AI50" s="1807"/>
      <c r="AJ50" s="1807"/>
      <c r="AK50" s="1807"/>
      <c r="AL50" s="1807"/>
      <c r="AM50" s="1807"/>
      <c r="AN50" s="1807"/>
      <c r="AO50" s="1807"/>
      <c r="AP50" s="1807"/>
      <c r="AQ50" s="1807"/>
      <c r="AR50" s="1807"/>
      <c r="AS50" s="1807"/>
      <c r="AT50" s="1807"/>
      <c r="AU50" s="1807"/>
      <c r="AV50" s="1807"/>
      <c r="AW50" s="1807"/>
      <c r="AX50" s="1807"/>
      <c r="AY50" s="1807"/>
      <c r="AZ50" s="1807"/>
      <c r="BA50" s="1807"/>
      <c r="BB50" s="1807"/>
      <c r="BC50" s="1807"/>
      <c r="BD50" s="1807"/>
      <c r="BE50" s="1807"/>
      <c r="BF50" s="1807"/>
      <c r="BG50" s="1807"/>
      <c r="BH50" s="1807"/>
      <c r="BI50" s="1807"/>
      <c r="BJ50" s="1807"/>
      <c r="BK50" s="1807"/>
      <c r="BL50" s="1807"/>
      <c r="BM50" s="1807"/>
      <c r="BN50" s="1807"/>
      <c r="BO50" s="1807"/>
      <c r="BP50" s="1807"/>
      <c r="BQ50" s="1807"/>
      <c r="BR50" s="1807"/>
      <c r="BS50" s="1807"/>
      <c r="BT50" s="1807"/>
      <c r="BU50" s="1807"/>
      <c r="BV50" s="1807"/>
      <c r="BW50" s="1807"/>
      <c r="BX50" s="1807"/>
      <c r="BY50" s="1807"/>
      <c r="BZ50" s="1807"/>
      <c r="CA50" s="1807"/>
      <c r="CB50" s="1807"/>
      <c r="CC50" s="1807"/>
      <c r="CD50" s="1807"/>
      <c r="CE50" s="1807"/>
      <c r="CF50" s="1807"/>
      <c r="CG50" s="1807"/>
      <c r="CH50" s="1807"/>
      <c r="CI50" s="1807"/>
      <c r="CJ50" s="1807"/>
      <c r="CK50" s="1807"/>
      <c r="CL50" s="1807"/>
      <c r="CM50" s="1807"/>
      <c r="CN50" s="1807"/>
      <c r="CO50" s="1807"/>
      <c r="CP50" s="1807"/>
      <c r="CQ50" s="1807"/>
      <c r="CR50" s="1807"/>
      <c r="CS50" s="1807"/>
      <c r="CT50" s="1807"/>
      <c r="CU50" s="1807"/>
      <c r="CV50" s="1807"/>
      <c r="CW50" s="1807"/>
      <c r="CX50" s="1807"/>
      <c r="CY50" s="1807"/>
      <c r="CZ50" s="1807"/>
      <c r="DA50" s="1807"/>
      <c r="DB50" s="1807"/>
      <c r="DC50" s="1807"/>
      <c r="DD50" s="1807"/>
      <c r="DE50" s="1807"/>
      <c r="DF50" s="1807"/>
      <c r="DG50" s="1807"/>
      <c r="DH50" s="1807"/>
      <c r="DI50" s="1807"/>
      <c r="DJ50" s="1807"/>
      <c r="DK50" s="1807"/>
      <c r="DL50" s="1807"/>
      <c r="DM50" s="1807"/>
      <c r="DN50" s="1807"/>
      <c r="DO50" s="1807"/>
      <c r="DP50" s="1807"/>
      <c r="DQ50" s="1807"/>
      <c r="DR50" s="1807"/>
      <c r="DS50" s="1807"/>
      <c r="DT50" s="1807"/>
      <c r="DU50" s="1807"/>
      <c r="DV50" s="1807"/>
      <c r="DW50" s="1807"/>
      <c r="DX50" s="1807"/>
      <c r="DY50" s="1807"/>
      <c r="DZ50" s="1807"/>
      <c r="EA50" s="1807"/>
      <c r="EB50" s="1807"/>
      <c r="EC50" s="1807"/>
      <c r="ED50" s="1807"/>
      <c r="EE50" s="1807"/>
      <c r="EF50" s="1807"/>
      <c r="EG50" s="1807"/>
      <c r="EH50" s="1807"/>
      <c r="EI50" s="1807"/>
      <c r="EJ50" s="1807"/>
      <c r="EK50" s="1807"/>
      <c r="EL50" s="1807"/>
      <c r="EM50" s="1807"/>
      <c r="EN50" s="1807"/>
      <c r="EO50" s="1807"/>
      <c r="EP50" s="1807"/>
      <c r="EQ50" s="1807"/>
      <c r="ER50" s="1807"/>
      <c r="ES50" s="1807"/>
      <c r="ET50" s="1807"/>
      <c r="EU50" s="1807"/>
      <c r="EV50" s="1807"/>
      <c r="EW50" s="1807"/>
      <c r="EX50" s="1807"/>
      <c r="EY50" s="1807"/>
      <c r="EZ50" s="1807"/>
      <c r="FA50" s="1807"/>
      <c r="FB50" s="1807"/>
      <c r="FC50" s="1807"/>
      <c r="FD50" s="1807"/>
      <c r="FE50" s="1807"/>
      <c r="FF50" s="1807"/>
      <c r="FG50" s="1807"/>
      <c r="FH50" s="1807"/>
      <c r="FI50" s="1807"/>
      <c r="FJ50" s="1807"/>
      <c r="FK50" s="1807"/>
      <c r="FL50" s="1807"/>
      <c r="FM50" s="1807"/>
      <c r="FN50" s="1807"/>
      <c r="FO50" s="1807"/>
      <c r="FP50" s="1807"/>
      <c r="FQ50" s="1807"/>
      <c r="FR50" s="1807"/>
      <c r="FS50" s="1807"/>
      <c r="FT50" s="1807"/>
      <c r="FU50" s="1807"/>
      <c r="FV50" s="1807"/>
      <c r="FW50" s="1807"/>
      <c r="FX50" s="1807"/>
      <c r="FY50" s="1807"/>
      <c r="FZ50" s="1807"/>
      <c r="GA50" s="1807"/>
      <c r="GB50" s="1807"/>
      <c r="GC50" s="1807"/>
      <c r="GD50" s="1807"/>
      <c r="GE50" s="1807"/>
      <c r="GF50" s="1807"/>
      <c r="GG50" s="1807"/>
      <c r="GH50" s="1807"/>
      <c r="GI50" s="1807"/>
      <c r="GJ50" s="1807"/>
      <c r="GK50" s="1807"/>
      <c r="GL50" s="1807"/>
      <c r="GM50" s="1807"/>
      <c r="GN50" s="1807"/>
      <c r="GO50" s="1807"/>
      <c r="GP50" s="1807"/>
      <c r="GQ50" s="1807"/>
      <c r="GR50" s="1807"/>
      <c r="GS50" s="1807"/>
      <c r="GT50" s="1807"/>
      <c r="GU50" s="1807"/>
      <c r="GV50" s="1807"/>
      <c r="GW50" s="1807"/>
      <c r="GX50" s="1807"/>
      <c r="GY50" s="1807"/>
      <c r="GZ50" s="1807"/>
      <c r="HA50" s="1807"/>
      <c r="HB50" s="1807"/>
      <c r="HC50" s="1807"/>
      <c r="HD50" s="1807"/>
      <c r="HE50" s="1807"/>
      <c r="HF50" s="1807"/>
      <c r="HG50" s="1807"/>
    </row>
    <row r="51" spans="1:215" s="1893" customFormat="1" ht="15" customHeight="1" thickBot="1" x14ac:dyDescent="0.25">
      <c r="A51" s="2028"/>
      <c r="B51" s="2013" t="s">
        <v>719</v>
      </c>
      <c r="C51" s="2014"/>
      <c r="D51" s="2014"/>
      <c r="E51" s="2015"/>
      <c r="F51" s="1898"/>
      <c r="G51" s="1598"/>
      <c r="H51" s="1807"/>
      <c r="I51" s="1807"/>
      <c r="J51" s="1807"/>
      <c r="K51" s="1807"/>
      <c r="L51" s="1807"/>
      <c r="M51" s="1807"/>
      <c r="N51" s="1807"/>
      <c r="O51" s="1807"/>
      <c r="P51" s="1807"/>
      <c r="Q51" s="1807"/>
      <c r="R51" s="1807"/>
      <c r="S51" s="1807"/>
      <c r="T51" s="1807"/>
      <c r="U51" s="1807"/>
      <c r="V51" s="1807"/>
      <c r="W51" s="1807"/>
      <c r="X51" s="1807"/>
      <c r="Y51" s="1807"/>
      <c r="Z51" s="1807"/>
      <c r="AA51" s="1807"/>
      <c r="AB51" s="1807"/>
      <c r="AC51" s="1807"/>
      <c r="AD51" s="1807"/>
      <c r="AE51" s="1807"/>
      <c r="AF51" s="1807"/>
      <c r="AG51" s="1807"/>
      <c r="AH51" s="1807"/>
      <c r="AI51" s="1807"/>
      <c r="AJ51" s="1807"/>
      <c r="AK51" s="1807"/>
      <c r="AL51" s="1807"/>
      <c r="AM51" s="1807"/>
      <c r="AN51" s="1807"/>
      <c r="AO51" s="1807"/>
      <c r="AP51" s="1807"/>
      <c r="AQ51" s="1807"/>
      <c r="AR51" s="1807"/>
      <c r="AS51" s="1807"/>
      <c r="AT51" s="1807"/>
      <c r="AU51" s="1807"/>
      <c r="AV51" s="1807"/>
      <c r="AW51" s="1807"/>
      <c r="AX51" s="1807"/>
      <c r="AY51" s="1807"/>
      <c r="AZ51" s="1807"/>
      <c r="BA51" s="1807"/>
      <c r="BB51" s="1807"/>
      <c r="BC51" s="1807"/>
      <c r="BD51" s="1807"/>
      <c r="BE51" s="1807"/>
      <c r="BF51" s="1807"/>
      <c r="BG51" s="1807"/>
      <c r="BH51" s="1807"/>
      <c r="BI51" s="1807"/>
      <c r="BJ51" s="1807"/>
      <c r="BK51" s="1807"/>
      <c r="BL51" s="1807"/>
      <c r="BM51" s="1807"/>
      <c r="BN51" s="1807"/>
      <c r="BO51" s="1807"/>
      <c r="BP51" s="1807"/>
      <c r="BQ51" s="1807"/>
      <c r="BR51" s="1807"/>
      <c r="BS51" s="1807"/>
      <c r="BT51" s="1807"/>
      <c r="BU51" s="1807"/>
      <c r="BV51" s="1807"/>
      <c r="BW51" s="1807"/>
      <c r="BX51" s="1807"/>
      <c r="BY51" s="1807"/>
      <c r="BZ51" s="1807"/>
      <c r="CA51" s="1807"/>
      <c r="CB51" s="1807"/>
      <c r="CC51" s="1807"/>
      <c r="CD51" s="1807"/>
      <c r="CE51" s="1807"/>
      <c r="CF51" s="1807"/>
      <c r="CG51" s="1807"/>
      <c r="CH51" s="1807"/>
      <c r="CI51" s="1807"/>
      <c r="CJ51" s="1807"/>
      <c r="CK51" s="1807"/>
      <c r="CL51" s="1807"/>
      <c r="CM51" s="1807"/>
      <c r="CN51" s="1807"/>
      <c r="CO51" s="1807"/>
      <c r="CP51" s="1807"/>
      <c r="CQ51" s="1807"/>
      <c r="CR51" s="1807"/>
      <c r="CS51" s="1807"/>
      <c r="CT51" s="1807"/>
      <c r="CU51" s="1807"/>
      <c r="CV51" s="1807"/>
      <c r="CW51" s="1807"/>
      <c r="CX51" s="1807"/>
      <c r="CY51" s="1807"/>
      <c r="CZ51" s="1807"/>
      <c r="DA51" s="1807"/>
      <c r="DB51" s="1807"/>
      <c r="DC51" s="1807"/>
      <c r="DD51" s="1807"/>
      <c r="DE51" s="1807"/>
      <c r="DF51" s="1807"/>
      <c r="DG51" s="1807"/>
      <c r="DH51" s="1807"/>
      <c r="DI51" s="1807"/>
      <c r="DJ51" s="1807"/>
      <c r="DK51" s="1807"/>
      <c r="DL51" s="1807"/>
      <c r="DM51" s="1807"/>
      <c r="DN51" s="1807"/>
      <c r="DO51" s="1807"/>
      <c r="DP51" s="1807"/>
      <c r="DQ51" s="1807"/>
      <c r="DR51" s="1807"/>
      <c r="DS51" s="1807"/>
      <c r="DT51" s="1807"/>
      <c r="DU51" s="1807"/>
      <c r="DV51" s="1807"/>
      <c r="DW51" s="1807"/>
      <c r="DX51" s="1807"/>
      <c r="DY51" s="1807"/>
      <c r="DZ51" s="1807"/>
      <c r="EA51" s="1807"/>
      <c r="EB51" s="1807"/>
      <c r="EC51" s="1807"/>
      <c r="ED51" s="1807"/>
      <c r="EE51" s="1807"/>
      <c r="EF51" s="1807"/>
      <c r="EG51" s="1807"/>
      <c r="EH51" s="1807"/>
      <c r="EI51" s="1807"/>
      <c r="EJ51" s="1807"/>
      <c r="EK51" s="1807"/>
      <c r="EL51" s="1807"/>
      <c r="EM51" s="1807"/>
      <c r="EN51" s="1807"/>
      <c r="EO51" s="1807"/>
      <c r="EP51" s="1807"/>
      <c r="EQ51" s="1807"/>
      <c r="ER51" s="1807"/>
      <c r="ES51" s="1807"/>
      <c r="ET51" s="1807"/>
      <c r="EU51" s="1807"/>
      <c r="EV51" s="1807"/>
      <c r="EW51" s="1807"/>
      <c r="EX51" s="1807"/>
      <c r="EY51" s="1807"/>
      <c r="EZ51" s="1807"/>
      <c r="FA51" s="1807"/>
      <c r="FB51" s="1807"/>
      <c r="FC51" s="1807"/>
      <c r="FD51" s="1807"/>
      <c r="FE51" s="1807"/>
      <c r="FF51" s="1807"/>
      <c r="FG51" s="1807"/>
      <c r="FH51" s="1807"/>
      <c r="FI51" s="1807"/>
      <c r="FJ51" s="1807"/>
      <c r="FK51" s="1807"/>
      <c r="FL51" s="1807"/>
      <c r="FM51" s="1807"/>
      <c r="FN51" s="1807"/>
      <c r="FO51" s="1807"/>
      <c r="FP51" s="1807"/>
      <c r="FQ51" s="1807"/>
      <c r="FR51" s="1807"/>
      <c r="FS51" s="1807"/>
      <c r="FT51" s="1807"/>
      <c r="FU51" s="1807"/>
      <c r="FV51" s="1807"/>
      <c r="FW51" s="1807"/>
      <c r="FX51" s="1807"/>
      <c r="FY51" s="1807"/>
      <c r="FZ51" s="1807"/>
      <c r="GA51" s="1807"/>
      <c r="GB51" s="1807"/>
      <c r="GC51" s="1807"/>
      <c r="GD51" s="1807"/>
      <c r="GE51" s="1807"/>
      <c r="GF51" s="1807"/>
      <c r="GG51" s="1807"/>
      <c r="GH51" s="1807"/>
      <c r="GI51" s="1807"/>
      <c r="GJ51" s="1807"/>
      <c r="GK51" s="1807"/>
      <c r="GL51" s="1807"/>
      <c r="GM51" s="1807"/>
      <c r="GN51" s="1807"/>
      <c r="GO51" s="1807"/>
      <c r="GP51" s="1807"/>
      <c r="GQ51" s="1807"/>
      <c r="GR51" s="1807"/>
      <c r="GS51" s="1807"/>
      <c r="GT51" s="1807"/>
      <c r="GU51" s="1807"/>
      <c r="GV51" s="1807"/>
      <c r="GW51" s="1807"/>
      <c r="GX51" s="1807"/>
      <c r="GY51" s="1807"/>
      <c r="GZ51" s="1807"/>
      <c r="HA51" s="1807"/>
      <c r="HB51" s="1807"/>
      <c r="HC51" s="1807"/>
      <c r="HD51" s="1807"/>
      <c r="HE51" s="1807"/>
      <c r="HF51" s="1807"/>
      <c r="HG51" s="1807"/>
    </row>
    <row r="52" spans="1:215" s="1893" customFormat="1" ht="15" customHeight="1" thickBot="1" x14ac:dyDescent="0.25">
      <c r="A52" s="2028"/>
      <c r="B52" s="2013" t="s">
        <v>720</v>
      </c>
      <c r="C52" s="2014"/>
      <c r="D52" s="2014"/>
      <c r="E52" s="2015"/>
      <c r="F52" s="1898"/>
      <c r="G52" s="1598"/>
      <c r="H52" s="1807"/>
      <c r="I52" s="1807"/>
      <c r="J52" s="1807"/>
      <c r="K52" s="1807"/>
      <c r="L52" s="1807"/>
      <c r="M52" s="1807"/>
      <c r="N52" s="1807"/>
      <c r="O52" s="1807"/>
      <c r="P52" s="1807"/>
      <c r="Q52" s="1807"/>
      <c r="R52" s="1807"/>
      <c r="S52" s="1807"/>
      <c r="T52" s="1807"/>
      <c r="U52" s="1807"/>
      <c r="V52" s="1807"/>
      <c r="W52" s="1807"/>
      <c r="X52" s="1807"/>
      <c r="Y52" s="1807"/>
      <c r="Z52" s="1807"/>
      <c r="AA52" s="1807"/>
      <c r="AB52" s="1807"/>
      <c r="AC52" s="1807"/>
      <c r="AD52" s="1807"/>
      <c r="AE52" s="1807"/>
      <c r="AF52" s="1807"/>
      <c r="AG52" s="1807"/>
      <c r="AH52" s="1807"/>
      <c r="AI52" s="1807"/>
      <c r="AJ52" s="1807"/>
      <c r="AK52" s="1807"/>
      <c r="AL52" s="1807"/>
      <c r="AM52" s="1807"/>
      <c r="AN52" s="1807"/>
      <c r="AO52" s="1807"/>
      <c r="AP52" s="1807"/>
      <c r="AQ52" s="1807"/>
      <c r="AR52" s="1807"/>
      <c r="AS52" s="1807"/>
      <c r="AT52" s="1807"/>
      <c r="AU52" s="1807"/>
      <c r="AV52" s="1807"/>
      <c r="AW52" s="1807"/>
      <c r="AX52" s="1807"/>
      <c r="AY52" s="1807"/>
      <c r="AZ52" s="1807"/>
      <c r="BA52" s="1807"/>
      <c r="BB52" s="1807"/>
      <c r="BC52" s="1807"/>
      <c r="BD52" s="1807"/>
      <c r="BE52" s="1807"/>
      <c r="BF52" s="1807"/>
      <c r="BG52" s="1807"/>
      <c r="BH52" s="1807"/>
      <c r="BI52" s="1807"/>
      <c r="BJ52" s="1807"/>
      <c r="BK52" s="1807"/>
      <c r="BL52" s="1807"/>
      <c r="BM52" s="1807"/>
      <c r="BN52" s="1807"/>
      <c r="BO52" s="1807"/>
      <c r="BP52" s="1807"/>
      <c r="BQ52" s="1807"/>
      <c r="BR52" s="1807"/>
      <c r="BS52" s="1807"/>
      <c r="BT52" s="1807"/>
      <c r="BU52" s="1807"/>
      <c r="BV52" s="1807"/>
      <c r="BW52" s="1807"/>
      <c r="BX52" s="1807"/>
      <c r="BY52" s="1807"/>
      <c r="BZ52" s="1807"/>
      <c r="CA52" s="1807"/>
      <c r="CB52" s="1807"/>
      <c r="CC52" s="1807"/>
      <c r="CD52" s="1807"/>
      <c r="CE52" s="1807"/>
      <c r="CF52" s="1807"/>
      <c r="CG52" s="1807"/>
      <c r="CH52" s="1807"/>
      <c r="CI52" s="1807"/>
      <c r="CJ52" s="1807"/>
      <c r="CK52" s="1807"/>
      <c r="CL52" s="1807"/>
      <c r="CM52" s="1807"/>
      <c r="CN52" s="1807"/>
      <c r="CO52" s="1807"/>
      <c r="CP52" s="1807"/>
      <c r="CQ52" s="1807"/>
      <c r="CR52" s="1807"/>
      <c r="CS52" s="1807"/>
      <c r="CT52" s="1807"/>
      <c r="CU52" s="1807"/>
      <c r="CV52" s="1807"/>
      <c r="CW52" s="1807"/>
      <c r="CX52" s="1807"/>
      <c r="CY52" s="1807"/>
      <c r="CZ52" s="1807"/>
      <c r="DA52" s="1807"/>
      <c r="DB52" s="1807"/>
      <c r="DC52" s="1807"/>
      <c r="DD52" s="1807"/>
      <c r="DE52" s="1807"/>
      <c r="DF52" s="1807"/>
      <c r="DG52" s="1807"/>
      <c r="DH52" s="1807"/>
      <c r="DI52" s="1807"/>
      <c r="DJ52" s="1807"/>
      <c r="DK52" s="1807"/>
      <c r="DL52" s="1807"/>
      <c r="DM52" s="1807"/>
      <c r="DN52" s="1807"/>
      <c r="DO52" s="1807"/>
      <c r="DP52" s="1807"/>
      <c r="DQ52" s="1807"/>
      <c r="DR52" s="1807"/>
      <c r="DS52" s="1807"/>
      <c r="DT52" s="1807"/>
      <c r="DU52" s="1807"/>
      <c r="DV52" s="1807"/>
      <c r="DW52" s="1807"/>
      <c r="DX52" s="1807"/>
      <c r="DY52" s="1807"/>
      <c r="DZ52" s="1807"/>
      <c r="EA52" s="1807"/>
      <c r="EB52" s="1807"/>
      <c r="EC52" s="1807"/>
      <c r="ED52" s="1807"/>
      <c r="EE52" s="1807"/>
      <c r="EF52" s="1807"/>
      <c r="EG52" s="1807"/>
      <c r="EH52" s="1807"/>
      <c r="EI52" s="1807"/>
      <c r="EJ52" s="1807"/>
      <c r="EK52" s="1807"/>
      <c r="EL52" s="1807"/>
      <c r="EM52" s="1807"/>
      <c r="EN52" s="1807"/>
      <c r="EO52" s="1807"/>
      <c r="EP52" s="1807"/>
      <c r="EQ52" s="1807"/>
      <c r="ER52" s="1807"/>
      <c r="ES52" s="1807"/>
      <c r="ET52" s="1807"/>
      <c r="EU52" s="1807"/>
      <c r="EV52" s="1807"/>
      <c r="EW52" s="1807"/>
      <c r="EX52" s="1807"/>
      <c r="EY52" s="1807"/>
      <c r="EZ52" s="1807"/>
      <c r="FA52" s="1807"/>
      <c r="FB52" s="1807"/>
      <c r="FC52" s="1807"/>
      <c r="FD52" s="1807"/>
      <c r="FE52" s="1807"/>
      <c r="FF52" s="1807"/>
      <c r="FG52" s="1807"/>
      <c r="FH52" s="1807"/>
      <c r="FI52" s="1807"/>
      <c r="FJ52" s="1807"/>
      <c r="FK52" s="1807"/>
      <c r="FL52" s="1807"/>
      <c r="FM52" s="1807"/>
      <c r="FN52" s="1807"/>
      <c r="FO52" s="1807"/>
      <c r="FP52" s="1807"/>
      <c r="FQ52" s="1807"/>
      <c r="FR52" s="1807"/>
      <c r="FS52" s="1807"/>
      <c r="FT52" s="1807"/>
      <c r="FU52" s="1807"/>
      <c r="FV52" s="1807"/>
      <c r="FW52" s="1807"/>
      <c r="FX52" s="1807"/>
      <c r="FY52" s="1807"/>
      <c r="FZ52" s="1807"/>
      <c r="GA52" s="1807"/>
      <c r="GB52" s="1807"/>
      <c r="GC52" s="1807"/>
      <c r="GD52" s="1807"/>
      <c r="GE52" s="1807"/>
      <c r="GF52" s="1807"/>
      <c r="GG52" s="1807"/>
      <c r="GH52" s="1807"/>
      <c r="GI52" s="1807"/>
      <c r="GJ52" s="1807"/>
      <c r="GK52" s="1807"/>
      <c r="GL52" s="1807"/>
      <c r="GM52" s="1807"/>
      <c r="GN52" s="1807"/>
      <c r="GO52" s="1807"/>
      <c r="GP52" s="1807"/>
      <c r="GQ52" s="1807"/>
      <c r="GR52" s="1807"/>
      <c r="GS52" s="1807"/>
      <c r="GT52" s="1807"/>
      <c r="GU52" s="1807"/>
      <c r="GV52" s="1807"/>
      <c r="GW52" s="1807"/>
      <c r="GX52" s="1807"/>
      <c r="GY52" s="1807"/>
      <c r="GZ52" s="1807"/>
      <c r="HA52" s="1807"/>
      <c r="HB52" s="1807"/>
      <c r="HC52" s="1807"/>
      <c r="HD52" s="1807"/>
      <c r="HE52" s="1807"/>
      <c r="HF52" s="1807"/>
      <c r="HG52" s="1807"/>
    </row>
    <row r="53" spans="1:215" s="1893" customFormat="1" ht="15" customHeight="1" thickBot="1" x14ac:dyDescent="0.25">
      <c r="A53" s="2028"/>
      <c r="B53" s="2013" t="s">
        <v>721</v>
      </c>
      <c r="C53" s="2014"/>
      <c r="D53" s="2014"/>
      <c r="E53" s="2015"/>
      <c r="F53" s="1898"/>
      <c r="G53" s="1598"/>
      <c r="H53" s="1807"/>
      <c r="I53" s="1807"/>
      <c r="J53" s="1807"/>
      <c r="K53" s="1807"/>
      <c r="L53" s="1807"/>
      <c r="M53" s="1807"/>
      <c r="N53" s="1807"/>
      <c r="O53" s="1807"/>
      <c r="P53" s="1807"/>
      <c r="Q53" s="1807"/>
      <c r="R53" s="1807"/>
      <c r="S53" s="1807"/>
      <c r="T53" s="1807"/>
      <c r="U53" s="1807"/>
      <c r="V53" s="1807"/>
      <c r="W53" s="1807"/>
      <c r="X53" s="1807"/>
      <c r="Y53" s="1807"/>
      <c r="Z53" s="1807"/>
      <c r="AA53" s="1807"/>
      <c r="AB53" s="1807"/>
      <c r="AC53" s="1807"/>
      <c r="AD53" s="1807"/>
      <c r="AE53" s="1807"/>
      <c r="AF53" s="1807"/>
      <c r="AG53" s="1807"/>
      <c r="AH53" s="1807"/>
      <c r="AI53" s="1807"/>
      <c r="AJ53" s="1807"/>
      <c r="AK53" s="1807"/>
      <c r="AL53" s="1807"/>
      <c r="AM53" s="1807"/>
      <c r="AN53" s="1807"/>
      <c r="AO53" s="1807"/>
      <c r="AP53" s="1807"/>
      <c r="AQ53" s="1807"/>
      <c r="AR53" s="1807"/>
      <c r="AS53" s="1807"/>
      <c r="AT53" s="1807"/>
      <c r="AU53" s="1807"/>
      <c r="AV53" s="1807"/>
      <c r="AW53" s="1807"/>
      <c r="AX53" s="1807"/>
      <c r="AY53" s="1807"/>
      <c r="AZ53" s="1807"/>
      <c r="BA53" s="1807"/>
      <c r="BB53" s="1807"/>
      <c r="BC53" s="1807"/>
      <c r="BD53" s="1807"/>
      <c r="BE53" s="1807"/>
      <c r="BF53" s="1807"/>
      <c r="BG53" s="1807"/>
      <c r="BH53" s="1807"/>
      <c r="BI53" s="1807"/>
      <c r="BJ53" s="1807"/>
      <c r="BK53" s="1807"/>
      <c r="BL53" s="1807"/>
      <c r="BM53" s="1807"/>
      <c r="BN53" s="1807"/>
      <c r="BO53" s="1807"/>
      <c r="BP53" s="1807"/>
      <c r="BQ53" s="1807"/>
      <c r="BR53" s="1807"/>
      <c r="BS53" s="1807"/>
      <c r="BT53" s="1807"/>
      <c r="BU53" s="1807"/>
      <c r="BV53" s="1807"/>
      <c r="BW53" s="1807"/>
      <c r="BX53" s="1807"/>
      <c r="BY53" s="1807"/>
      <c r="BZ53" s="1807"/>
      <c r="CA53" s="1807"/>
      <c r="CB53" s="1807"/>
      <c r="CC53" s="1807"/>
      <c r="CD53" s="1807"/>
      <c r="CE53" s="1807"/>
      <c r="CF53" s="1807"/>
      <c r="CG53" s="1807"/>
      <c r="CH53" s="1807"/>
      <c r="CI53" s="1807"/>
      <c r="CJ53" s="1807"/>
      <c r="CK53" s="1807"/>
      <c r="CL53" s="1807"/>
      <c r="CM53" s="1807"/>
      <c r="CN53" s="1807"/>
      <c r="CO53" s="1807"/>
      <c r="CP53" s="1807"/>
      <c r="CQ53" s="1807"/>
      <c r="CR53" s="1807"/>
      <c r="CS53" s="1807"/>
      <c r="CT53" s="1807"/>
      <c r="CU53" s="1807"/>
      <c r="CV53" s="1807"/>
      <c r="CW53" s="1807"/>
      <c r="CX53" s="1807"/>
      <c r="CY53" s="1807"/>
      <c r="CZ53" s="1807"/>
      <c r="DA53" s="1807"/>
      <c r="DB53" s="1807"/>
      <c r="DC53" s="1807"/>
      <c r="DD53" s="1807"/>
      <c r="DE53" s="1807"/>
      <c r="DF53" s="1807"/>
      <c r="DG53" s="1807"/>
      <c r="DH53" s="1807"/>
      <c r="DI53" s="1807"/>
      <c r="DJ53" s="1807"/>
      <c r="DK53" s="1807"/>
      <c r="DL53" s="1807"/>
      <c r="DM53" s="1807"/>
      <c r="DN53" s="1807"/>
      <c r="DO53" s="1807"/>
      <c r="DP53" s="1807"/>
      <c r="DQ53" s="1807"/>
      <c r="DR53" s="1807"/>
      <c r="DS53" s="1807"/>
      <c r="DT53" s="1807"/>
      <c r="DU53" s="1807"/>
      <c r="DV53" s="1807"/>
      <c r="DW53" s="1807"/>
      <c r="DX53" s="1807"/>
      <c r="DY53" s="1807"/>
      <c r="DZ53" s="1807"/>
      <c r="EA53" s="1807"/>
      <c r="EB53" s="1807"/>
      <c r="EC53" s="1807"/>
      <c r="ED53" s="1807"/>
      <c r="EE53" s="1807"/>
      <c r="EF53" s="1807"/>
      <c r="EG53" s="1807"/>
      <c r="EH53" s="1807"/>
      <c r="EI53" s="1807"/>
      <c r="EJ53" s="1807"/>
      <c r="EK53" s="1807"/>
      <c r="EL53" s="1807"/>
      <c r="EM53" s="1807"/>
      <c r="EN53" s="1807"/>
      <c r="EO53" s="1807"/>
      <c r="EP53" s="1807"/>
      <c r="EQ53" s="1807"/>
      <c r="ER53" s="1807"/>
      <c r="ES53" s="1807"/>
      <c r="ET53" s="1807"/>
      <c r="EU53" s="1807"/>
      <c r="EV53" s="1807"/>
      <c r="EW53" s="1807"/>
      <c r="EX53" s="1807"/>
      <c r="EY53" s="1807"/>
      <c r="EZ53" s="1807"/>
      <c r="FA53" s="1807"/>
      <c r="FB53" s="1807"/>
      <c r="FC53" s="1807"/>
      <c r="FD53" s="1807"/>
      <c r="FE53" s="1807"/>
      <c r="FF53" s="1807"/>
      <c r="FG53" s="1807"/>
      <c r="FH53" s="1807"/>
      <c r="FI53" s="1807"/>
      <c r="FJ53" s="1807"/>
      <c r="FK53" s="1807"/>
      <c r="FL53" s="1807"/>
      <c r="FM53" s="1807"/>
      <c r="FN53" s="1807"/>
      <c r="FO53" s="1807"/>
      <c r="FP53" s="1807"/>
      <c r="FQ53" s="1807"/>
      <c r="FR53" s="1807"/>
      <c r="FS53" s="1807"/>
      <c r="FT53" s="1807"/>
      <c r="FU53" s="1807"/>
      <c r="FV53" s="1807"/>
      <c r="FW53" s="1807"/>
      <c r="FX53" s="1807"/>
      <c r="FY53" s="1807"/>
      <c r="FZ53" s="1807"/>
      <c r="GA53" s="1807"/>
      <c r="GB53" s="1807"/>
      <c r="GC53" s="1807"/>
      <c r="GD53" s="1807"/>
      <c r="GE53" s="1807"/>
      <c r="GF53" s="1807"/>
      <c r="GG53" s="1807"/>
      <c r="GH53" s="1807"/>
      <c r="GI53" s="1807"/>
      <c r="GJ53" s="1807"/>
      <c r="GK53" s="1807"/>
      <c r="GL53" s="1807"/>
      <c r="GM53" s="1807"/>
      <c r="GN53" s="1807"/>
      <c r="GO53" s="1807"/>
      <c r="GP53" s="1807"/>
      <c r="GQ53" s="1807"/>
      <c r="GR53" s="1807"/>
      <c r="GS53" s="1807"/>
      <c r="GT53" s="1807"/>
      <c r="GU53" s="1807"/>
      <c r="GV53" s="1807"/>
      <c r="GW53" s="1807"/>
      <c r="GX53" s="1807"/>
      <c r="GY53" s="1807"/>
      <c r="GZ53" s="1807"/>
      <c r="HA53" s="1807"/>
      <c r="HB53" s="1807"/>
      <c r="HC53" s="1807"/>
      <c r="HD53" s="1807"/>
      <c r="HE53" s="1807"/>
      <c r="HF53" s="1807"/>
      <c r="HG53" s="1807"/>
    </row>
    <row r="54" spans="1:215" s="1893" customFormat="1" ht="15" customHeight="1" thickBot="1" x14ac:dyDescent="0.25">
      <c r="A54" s="2028"/>
      <c r="B54" s="2013" t="s">
        <v>722</v>
      </c>
      <c r="C54" s="2014"/>
      <c r="D54" s="2014"/>
      <c r="E54" s="2015"/>
      <c r="F54" s="1898"/>
      <c r="G54" s="1598"/>
      <c r="H54" s="1807"/>
      <c r="I54" s="1807"/>
      <c r="J54" s="1807"/>
      <c r="K54" s="1807"/>
      <c r="L54" s="1807"/>
      <c r="M54" s="1807"/>
      <c r="N54" s="1807"/>
      <c r="O54" s="1807"/>
      <c r="P54" s="1807"/>
      <c r="Q54" s="1807"/>
      <c r="R54" s="1807"/>
      <c r="S54" s="1807"/>
      <c r="T54" s="1807"/>
      <c r="U54" s="1807"/>
      <c r="V54" s="1807"/>
      <c r="W54" s="1807"/>
      <c r="X54" s="1807"/>
      <c r="Y54" s="1807"/>
      <c r="Z54" s="1807"/>
      <c r="AA54" s="1807"/>
      <c r="AB54" s="1807"/>
      <c r="AC54" s="1807"/>
      <c r="AD54" s="1807"/>
      <c r="AE54" s="1807"/>
      <c r="AF54" s="1807"/>
      <c r="AG54" s="1807"/>
      <c r="AH54" s="1807"/>
      <c r="AI54" s="1807"/>
      <c r="AJ54" s="1807"/>
      <c r="AK54" s="1807"/>
      <c r="AL54" s="1807"/>
      <c r="AM54" s="1807"/>
      <c r="AN54" s="1807"/>
      <c r="AO54" s="1807"/>
      <c r="AP54" s="1807"/>
      <c r="AQ54" s="1807"/>
      <c r="AR54" s="1807"/>
      <c r="AS54" s="1807"/>
      <c r="AT54" s="1807"/>
      <c r="AU54" s="1807"/>
      <c r="AV54" s="1807"/>
      <c r="AW54" s="1807"/>
      <c r="AX54" s="1807"/>
      <c r="AY54" s="1807"/>
      <c r="AZ54" s="1807"/>
      <c r="BA54" s="1807"/>
      <c r="BB54" s="1807"/>
      <c r="BC54" s="1807"/>
      <c r="BD54" s="1807"/>
      <c r="BE54" s="1807"/>
      <c r="BF54" s="1807"/>
      <c r="BG54" s="1807"/>
      <c r="BH54" s="1807"/>
      <c r="BI54" s="1807"/>
      <c r="BJ54" s="1807"/>
      <c r="BK54" s="1807"/>
      <c r="BL54" s="1807"/>
      <c r="BM54" s="1807"/>
      <c r="BN54" s="1807"/>
      <c r="BO54" s="1807"/>
      <c r="BP54" s="1807"/>
      <c r="BQ54" s="1807"/>
      <c r="BR54" s="1807"/>
      <c r="BS54" s="1807"/>
      <c r="BT54" s="1807"/>
      <c r="BU54" s="1807"/>
      <c r="BV54" s="1807"/>
      <c r="BW54" s="1807"/>
      <c r="BX54" s="1807"/>
      <c r="BY54" s="1807"/>
      <c r="BZ54" s="1807"/>
      <c r="CA54" s="1807"/>
      <c r="CB54" s="1807"/>
      <c r="CC54" s="1807"/>
      <c r="CD54" s="1807"/>
      <c r="CE54" s="1807"/>
      <c r="CF54" s="1807"/>
      <c r="CG54" s="1807"/>
      <c r="CH54" s="1807"/>
      <c r="CI54" s="1807"/>
      <c r="CJ54" s="1807"/>
      <c r="CK54" s="1807"/>
      <c r="CL54" s="1807"/>
      <c r="CM54" s="1807"/>
      <c r="CN54" s="1807"/>
      <c r="CO54" s="1807"/>
      <c r="CP54" s="1807"/>
      <c r="CQ54" s="1807"/>
      <c r="CR54" s="1807"/>
      <c r="CS54" s="1807"/>
      <c r="CT54" s="1807"/>
      <c r="CU54" s="1807"/>
      <c r="CV54" s="1807"/>
      <c r="CW54" s="1807"/>
      <c r="CX54" s="1807"/>
      <c r="CY54" s="1807"/>
      <c r="CZ54" s="1807"/>
      <c r="DA54" s="1807"/>
      <c r="DB54" s="1807"/>
      <c r="DC54" s="1807"/>
      <c r="DD54" s="1807"/>
      <c r="DE54" s="1807"/>
      <c r="DF54" s="1807"/>
      <c r="DG54" s="1807"/>
      <c r="DH54" s="1807"/>
      <c r="DI54" s="1807"/>
      <c r="DJ54" s="1807"/>
      <c r="DK54" s="1807"/>
      <c r="DL54" s="1807"/>
      <c r="DM54" s="1807"/>
      <c r="DN54" s="1807"/>
      <c r="DO54" s="1807"/>
      <c r="DP54" s="1807"/>
      <c r="DQ54" s="1807"/>
      <c r="DR54" s="1807"/>
      <c r="DS54" s="1807"/>
      <c r="DT54" s="1807"/>
      <c r="DU54" s="1807"/>
      <c r="DV54" s="1807"/>
      <c r="DW54" s="1807"/>
      <c r="DX54" s="1807"/>
      <c r="DY54" s="1807"/>
      <c r="DZ54" s="1807"/>
      <c r="EA54" s="1807"/>
      <c r="EB54" s="1807"/>
      <c r="EC54" s="1807"/>
      <c r="ED54" s="1807"/>
      <c r="EE54" s="1807"/>
      <c r="EF54" s="1807"/>
      <c r="EG54" s="1807"/>
      <c r="EH54" s="1807"/>
      <c r="EI54" s="1807"/>
      <c r="EJ54" s="1807"/>
      <c r="EK54" s="1807"/>
      <c r="EL54" s="1807"/>
      <c r="EM54" s="1807"/>
      <c r="EN54" s="1807"/>
      <c r="EO54" s="1807"/>
      <c r="EP54" s="1807"/>
      <c r="EQ54" s="1807"/>
      <c r="ER54" s="1807"/>
      <c r="ES54" s="1807"/>
      <c r="ET54" s="1807"/>
      <c r="EU54" s="1807"/>
      <c r="EV54" s="1807"/>
      <c r="EW54" s="1807"/>
      <c r="EX54" s="1807"/>
      <c r="EY54" s="1807"/>
      <c r="EZ54" s="1807"/>
      <c r="FA54" s="1807"/>
      <c r="FB54" s="1807"/>
      <c r="FC54" s="1807"/>
      <c r="FD54" s="1807"/>
      <c r="FE54" s="1807"/>
      <c r="FF54" s="1807"/>
      <c r="FG54" s="1807"/>
      <c r="FH54" s="1807"/>
      <c r="FI54" s="1807"/>
      <c r="FJ54" s="1807"/>
      <c r="FK54" s="1807"/>
      <c r="FL54" s="1807"/>
      <c r="FM54" s="1807"/>
      <c r="FN54" s="1807"/>
      <c r="FO54" s="1807"/>
      <c r="FP54" s="1807"/>
      <c r="FQ54" s="1807"/>
      <c r="FR54" s="1807"/>
      <c r="FS54" s="1807"/>
      <c r="FT54" s="1807"/>
      <c r="FU54" s="1807"/>
      <c r="FV54" s="1807"/>
      <c r="FW54" s="1807"/>
      <c r="FX54" s="1807"/>
      <c r="FY54" s="1807"/>
      <c r="FZ54" s="1807"/>
      <c r="GA54" s="1807"/>
      <c r="GB54" s="1807"/>
      <c r="GC54" s="1807"/>
      <c r="GD54" s="1807"/>
      <c r="GE54" s="1807"/>
      <c r="GF54" s="1807"/>
      <c r="GG54" s="1807"/>
      <c r="GH54" s="1807"/>
      <c r="GI54" s="1807"/>
      <c r="GJ54" s="1807"/>
      <c r="GK54" s="1807"/>
      <c r="GL54" s="1807"/>
      <c r="GM54" s="1807"/>
      <c r="GN54" s="1807"/>
      <c r="GO54" s="1807"/>
      <c r="GP54" s="1807"/>
      <c r="GQ54" s="1807"/>
      <c r="GR54" s="1807"/>
      <c r="GS54" s="1807"/>
      <c r="GT54" s="1807"/>
      <c r="GU54" s="1807"/>
      <c r="GV54" s="1807"/>
      <c r="GW54" s="1807"/>
      <c r="GX54" s="1807"/>
      <c r="GY54" s="1807"/>
      <c r="GZ54" s="1807"/>
      <c r="HA54" s="1807"/>
      <c r="HB54" s="1807"/>
      <c r="HC54" s="1807"/>
      <c r="HD54" s="1807"/>
      <c r="HE54" s="1807"/>
      <c r="HF54" s="1807"/>
      <c r="HG54" s="1807"/>
    </row>
    <row r="55" spans="1:215" s="1893" customFormat="1" ht="15" customHeight="1" thickBot="1" x14ac:dyDescent="0.25">
      <c r="A55" s="2028"/>
      <c r="B55" s="2013" t="s">
        <v>723</v>
      </c>
      <c r="C55" s="2014"/>
      <c r="D55" s="2014"/>
      <c r="E55" s="2015"/>
      <c r="F55" s="1898"/>
      <c r="G55" s="1598"/>
      <c r="H55" s="1807"/>
      <c r="I55" s="1807"/>
      <c r="J55" s="1807"/>
      <c r="K55" s="1807"/>
      <c r="L55" s="1807"/>
      <c r="M55" s="1807"/>
      <c r="N55" s="1807"/>
      <c r="O55" s="1807"/>
      <c r="P55" s="1807"/>
      <c r="Q55" s="1807"/>
      <c r="R55" s="1807"/>
      <c r="S55" s="1807"/>
      <c r="T55" s="1807"/>
      <c r="U55" s="1807"/>
      <c r="V55" s="1807"/>
      <c r="W55" s="1807"/>
      <c r="X55" s="1807"/>
      <c r="Y55" s="1807"/>
      <c r="Z55" s="1807"/>
      <c r="AA55" s="1807"/>
      <c r="AB55" s="1807"/>
      <c r="AC55" s="1807"/>
      <c r="AD55" s="1807"/>
      <c r="AE55" s="1807"/>
      <c r="AF55" s="1807"/>
      <c r="AG55" s="1807"/>
      <c r="AH55" s="1807"/>
      <c r="AI55" s="1807"/>
      <c r="AJ55" s="1807"/>
      <c r="AK55" s="1807"/>
      <c r="AL55" s="1807"/>
      <c r="AM55" s="1807"/>
      <c r="AN55" s="1807"/>
      <c r="AO55" s="1807"/>
      <c r="AP55" s="1807"/>
      <c r="AQ55" s="1807"/>
      <c r="AR55" s="1807"/>
      <c r="AS55" s="1807"/>
      <c r="AT55" s="1807"/>
      <c r="AU55" s="1807"/>
      <c r="AV55" s="1807"/>
      <c r="AW55" s="1807"/>
      <c r="AX55" s="1807"/>
      <c r="AY55" s="1807"/>
      <c r="AZ55" s="1807"/>
      <c r="BA55" s="1807"/>
      <c r="BB55" s="1807"/>
      <c r="BC55" s="1807"/>
      <c r="BD55" s="1807"/>
      <c r="BE55" s="1807"/>
      <c r="BF55" s="1807"/>
      <c r="BG55" s="1807"/>
      <c r="BH55" s="1807"/>
      <c r="BI55" s="1807"/>
      <c r="BJ55" s="1807"/>
      <c r="BK55" s="1807"/>
      <c r="BL55" s="1807"/>
      <c r="BM55" s="1807"/>
      <c r="BN55" s="1807"/>
      <c r="BO55" s="1807"/>
      <c r="BP55" s="1807"/>
      <c r="BQ55" s="1807"/>
      <c r="BR55" s="1807"/>
      <c r="BS55" s="1807"/>
      <c r="BT55" s="1807"/>
      <c r="BU55" s="1807"/>
      <c r="BV55" s="1807"/>
      <c r="BW55" s="1807"/>
      <c r="BX55" s="1807"/>
      <c r="BY55" s="1807"/>
      <c r="BZ55" s="1807"/>
      <c r="CA55" s="1807"/>
      <c r="CB55" s="1807"/>
      <c r="CC55" s="1807"/>
      <c r="CD55" s="1807"/>
      <c r="CE55" s="1807"/>
      <c r="CF55" s="1807"/>
      <c r="CG55" s="1807"/>
      <c r="CH55" s="1807"/>
      <c r="CI55" s="1807"/>
      <c r="CJ55" s="1807"/>
      <c r="CK55" s="1807"/>
      <c r="CL55" s="1807"/>
      <c r="CM55" s="1807"/>
      <c r="CN55" s="1807"/>
      <c r="CO55" s="1807"/>
      <c r="CP55" s="1807"/>
      <c r="CQ55" s="1807"/>
      <c r="CR55" s="1807"/>
      <c r="CS55" s="1807"/>
      <c r="CT55" s="1807"/>
      <c r="CU55" s="1807"/>
      <c r="CV55" s="1807"/>
      <c r="CW55" s="1807"/>
      <c r="CX55" s="1807"/>
      <c r="CY55" s="1807"/>
      <c r="CZ55" s="1807"/>
      <c r="DA55" s="1807"/>
      <c r="DB55" s="1807"/>
      <c r="DC55" s="1807"/>
      <c r="DD55" s="1807"/>
      <c r="DE55" s="1807"/>
      <c r="DF55" s="1807"/>
      <c r="DG55" s="1807"/>
      <c r="DH55" s="1807"/>
      <c r="DI55" s="1807"/>
      <c r="DJ55" s="1807"/>
      <c r="DK55" s="1807"/>
      <c r="DL55" s="1807"/>
      <c r="DM55" s="1807"/>
      <c r="DN55" s="1807"/>
      <c r="DO55" s="1807"/>
      <c r="DP55" s="1807"/>
      <c r="DQ55" s="1807"/>
      <c r="DR55" s="1807"/>
      <c r="DS55" s="1807"/>
      <c r="DT55" s="1807"/>
      <c r="DU55" s="1807"/>
      <c r="DV55" s="1807"/>
      <c r="DW55" s="1807"/>
      <c r="DX55" s="1807"/>
      <c r="DY55" s="1807"/>
      <c r="DZ55" s="1807"/>
      <c r="EA55" s="1807"/>
      <c r="EB55" s="1807"/>
      <c r="EC55" s="1807"/>
      <c r="ED55" s="1807"/>
      <c r="EE55" s="1807"/>
      <c r="EF55" s="1807"/>
      <c r="EG55" s="1807"/>
      <c r="EH55" s="1807"/>
      <c r="EI55" s="1807"/>
      <c r="EJ55" s="1807"/>
      <c r="EK55" s="1807"/>
      <c r="EL55" s="1807"/>
      <c r="EM55" s="1807"/>
      <c r="EN55" s="1807"/>
      <c r="EO55" s="1807"/>
      <c r="EP55" s="1807"/>
      <c r="EQ55" s="1807"/>
      <c r="ER55" s="1807"/>
      <c r="ES55" s="1807"/>
      <c r="ET55" s="1807"/>
      <c r="EU55" s="1807"/>
      <c r="EV55" s="1807"/>
      <c r="EW55" s="1807"/>
      <c r="EX55" s="1807"/>
      <c r="EY55" s="1807"/>
      <c r="EZ55" s="1807"/>
      <c r="FA55" s="1807"/>
      <c r="FB55" s="1807"/>
      <c r="FC55" s="1807"/>
      <c r="FD55" s="1807"/>
      <c r="FE55" s="1807"/>
      <c r="FF55" s="1807"/>
      <c r="FG55" s="1807"/>
      <c r="FH55" s="1807"/>
      <c r="FI55" s="1807"/>
      <c r="FJ55" s="1807"/>
      <c r="FK55" s="1807"/>
      <c r="FL55" s="1807"/>
      <c r="FM55" s="1807"/>
      <c r="FN55" s="1807"/>
      <c r="FO55" s="1807"/>
      <c r="FP55" s="1807"/>
      <c r="FQ55" s="1807"/>
      <c r="FR55" s="1807"/>
      <c r="FS55" s="1807"/>
      <c r="FT55" s="1807"/>
      <c r="FU55" s="1807"/>
      <c r="FV55" s="1807"/>
      <c r="FW55" s="1807"/>
      <c r="FX55" s="1807"/>
      <c r="FY55" s="1807"/>
      <c r="FZ55" s="1807"/>
      <c r="GA55" s="1807"/>
      <c r="GB55" s="1807"/>
      <c r="GC55" s="1807"/>
      <c r="GD55" s="1807"/>
      <c r="GE55" s="1807"/>
      <c r="GF55" s="1807"/>
      <c r="GG55" s="1807"/>
      <c r="GH55" s="1807"/>
      <c r="GI55" s="1807"/>
      <c r="GJ55" s="1807"/>
      <c r="GK55" s="1807"/>
      <c r="GL55" s="1807"/>
      <c r="GM55" s="1807"/>
      <c r="GN55" s="1807"/>
      <c r="GO55" s="1807"/>
      <c r="GP55" s="1807"/>
      <c r="GQ55" s="1807"/>
      <c r="GR55" s="1807"/>
      <c r="GS55" s="1807"/>
      <c r="GT55" s="1807"/>
      <c r="GU55" s="1807"/>
      <c r="GV55" s="1807"/>
      <c r="GW55" s="1807"/>
      <c r="GX55" s="1807"/>
      <c r="GY55" s="1807"/>
      <c r="GZ55" s="1807"/>
      <c r="HA55" s="1807"/>
      <c r="HB55" s="1807"/>
      <c r="HC55" s="1807"/>
      <c r="HD55" s="1807"/>
      <c r="HE55" s="1807"/>
      <c r="HF55" s="1807"/>
      <c r="HG55" s="1807"/>
    </row>
    <row r="56" spans="1:215" s="1893" customFormat="1" ht="30" customHeight="1" thickBot="1" x14ac:dyDescent="0.25">
      <c r="A56" s="2028"/>
      <c r="B56" s="2029" t="s">
        <v>2405</v>
      </c>
      <c r="C56" s="2032"/>
      <c r="D56" s="2032"/>
      <c r="E56" s="2033"/>
      <c r="F56" s="1899"/>
      <c r="G56" s="1597"/>
      <c r="H56" s="1808"/>
      <c r="I56" s="1808"/>
      <c r="J56" s="1808"/>
      <c r="K56" s="1808"/>
      <c r="L56" s="1808"/>
      <c r="M56" s="1808"/>
      <c r="N56" s="1808"/>
      <c r="O56" s="1808"/>
      <c r="P56" s="1808"/>
      <c r="Q56" s="1808"/>
      <c r="R56" s="1808"/>
      <c r="S56" s="1808"/>
      <c r="T56" s="1808"/>
      <c r="U56" s="1808"/>
      <c r="V56" s="1808"/>
      <c r="W56" s="1808"/>
      <c r="X56" s="1808"/>
      <c r="Y56" s="1808"/>
      <c r="Z56" s="1808"/>
      <c r="AA56" s="1808"/>
      <c r="AB56" s="1808"/>
      <c r="AC56" s="1808"/>
      <c r="AD56" s="1808"/>
      <c r="AE56" s="1808"/>
      <c r="AF56" s="1808"/>
      <c r="AG56" s="1808"/>
      <c r="AH56" s="1808"/>
      <c r="AI56" s="1808"/>
      <c r="AJ56" s="1808"/>
      <c r="AK56" s="1808"/>
      <c r="AL56" s="1808"/>
      <c r="AM56" s="1808"/>
      <c r="AN56" s="1808"/>
      <c r="AO56" s="1808"/>
      <c r="AP56" s="1808"/>
      <c r="AQ56" s="1808"/>
      <c r="AR56" s="1808"/>
      <c r="AS56" s="1808"/>
      <c r="AT56" s="1808"/>
      <c r="AU56" s="1808"/>
      <c r="AV56" s="1808"/>
      <c r="AW56" s="1808"/>
      <c r="AX56" s="1808"/>
      <c r="AY56" s="1808"/>
      <c r="AZ56" s="1808"/>
      <c r="BA56" s="1808"/>
      <c r="BB56" s="1808"/>
      <c r="BC56" s="1808"/>
      <c r="BD56" s="1808"/>
      <c r="BE56" s="1808"/>
      <c r="BF56" s="1808"/>
      <c r="BG56" s="1808"/>
      <c r="BH56" s="1808"/>
      <c r="BI56" s="1808"/>
      <c r="BJ56" s="1808"/>
      <c r="BK56" s="1808"/>
      <c r="BL56" s="1808"/>
      <c r="BM56" s="1808"/>
      <c r="BN56" s="1808"/>
      <c r="BO56" s="1808"/>
      <c r="BP56" s="1808"/>
      <c r="BQ56" s="1808"/>
      <c r="BR56" s="1808"/>
      <c r="BS56" s="1808"/>
      <c r="BT56" s="1808"/>
      <c r="BU56" s="1808"/>
      <c r="BV56" s="1808"/>
      <c r="BW56" s="1808"/>
      <c r="BX56" s="1808"/>
      <c r="BY56" s="1808"/>
      <c r="BZ56" s="1808"/>
      <c r="CA56" s="1808"/>
      <c r="CB56" s="1808"/>
      <c r="CC56" s="1808"/>
      <c r="CD56" s="1808"/>
      <c r="CE56" s="1808"/>
      <c r="CF56" s="1808"/>
      <c r="CG56" s="1808"/>
      <c r="CH56" s="1808"/>
      <c r="CI56" s="1808"/>
      <c r="CJ56" s="1808"/>
      <c r="CK56" s="1808"/>
      <c r="CL56" s="1808"/>
      <c r="CM56" s="1808"/>
      <c r="CN56" s="1808"/>
      <c r="CO56" s="1808"/>
      <c r="CP56" s="1808"/>
      <c r="CQ56" s="1808"/>
      <c r="CR56" s="1808"/>
      <c r="CS56" s="1808"/>
      <c r="CT56" s="1808"/>
      <c r="CU56" s="1808"/>
      <c r="CV56" s="1808"/>
      <c r="CW56" s="1808"/>
      <c r="CX56" s="1808"/>
      <c r="CY56" s="1808"/>
      <c r="CZ56" s="1808"/>
      <c r="DA56" s="1808"/>
      <c r="DB56" s="1808"/>
      <c r="DC56" s="1808"/>
      <c r="DD56" s="1808"/>
      <c r="DE56" s="1808"/>
      <c r="DF56" s="1808"/>
      <c r="DG56" s="1808"/>
      <c r="DH56" s="1808"/>
      <c r="DI56" s="1808"/>
      <c r="DJ56" s="1808"/>
      <c r="DK56" s="1808"/>
      <c r="DL56" s="1808"/>
      <c r="DM56" s="1808"/>
      <c r="DN56" s="1808"/>
      <c r="DO56" s="1808"/>
      <c r="DP56" s="1808"/>
      <c r="DQ56" s="1808"/>
      <c r="DR56" s="1808"/>
      <c r="DS56" s="1808"/>
      <c r="DT56" s="1808"/>
      <c r="DU56" s="1808"/>
      <c r="DV56" s="1808"/>
      <c r="DW56" s="1808"/>
      <c r="DX56" s="1808"/>
      <c r="DY56" s="1808"/>
      <c r="DZ56" s="1808"/>
      <c r="EA56" s="1808"/>
      <c r="EB56" s="1808"/>
      <c r="EC56" s="1808"/>
      <c r="ED56" s="1808"/>
      <c r="EE56" s="1808"/>
      <c r="EF56" s="1808"/>
      <c r="EG56" s="1808"/>
      <c r="EH56" s="1808"/>
      <c r="EI56" s="1808"/>
      <c r="EJ56" s="1808"/>
      <c r="EK56" s="1808"/>
      <c r="EL56" s="1808"/>
      <c r="EM56" s="1808"/>
      <c r="EN56" s="1808"/>
      <c r="EO56" s="1808"/>
      <c r="EP56" s="1808"/>
      <c r="EQ56" s="1808"/>
      <c r="ER56" s="1808"/>
      <c r="ES56" s="1808"/>
      <c r="ET56" s="1808"/>
      <c r="EU56" s="1808"/>
      <c r="EV56" s="1808"/>
      <c r="EW56" s="1808"/>
      <c r="EX56" s="1808"/>
      <c r="EY56" s="1808"/>
      <c r="EZ56" s="1808"/>
      <c r="FA56" s="1808"/>
      <c r="FB56" s="1808"/>
      <c r="FC56" s="1808"/>
      <c r="FD56" s="1808"/>
      <c r="FE56" s="1808"/>
      <c r="FF56" s="1808"/>
      <c r="FG56" s="1808"/>
      <c r="FH56" s="1808"/>
      <c r="FI56" s="1808"/>
      <c r="FJ56" s="1808"/>
      <c r="FK56" s="1808"/>
      <c r="FL56" s="1808"/>
      <c r="FM56" s="1808"/>
      <c r="FN56" s="1808"/>
      <c r="FO56" s="1808"/>
      <c r="FP56" s="1808"/>
      <c r="FQ56" s="1808"/>
      <c r="FR56" s="1808"/>
      <c r="FS56" s="1808"/>
      <c r="FT56" s="1808"/>
      <c r="FU56" s="1808"/>
      <c r="FV56" s="1808"/>
      <c r="FW56" s="1808"/>
      <c r="FX56" s="1808"/>
      <c r="FY56" s="1808"/>
      <c r="FZ56" s="1808"/>
      <c r="GA56" s="1808"/>
      <c r="GB56" s="1808"/>
      <c r="GC56" s="1808"/>
      <c r="GD56" s="1808"/>
      <c r="GE56" s="1808"/>
      <c r="GF56" s="1808"/>
      <c r="GG56" s="1808"/>
      <c r="GH56" s="1808"/>
      <c r="GI56" s="1808"/>
      <c r="GJ56" s="1808"/>
      <c r="GK56" s="1808"/>
      <c r="GL56" s="1808"/>
      <c r="GM56" s="1808"/>
      <c r="GN56" s="1808"/>
      <c r="GO56" s="1808"/>
      <c r="GP56" s="1808"/>
      <c r="GQ56" s="1808"/>
      <c r="GR56" s="1808"/>
      <c r="GS56" s="1808"/>
      <c r="GT56" s="1808"/>
      <c r="GU56" s="1808"/>
      <c r="GV56" s="1808"/>
      <c r="GW56" s="1808"/>
      <c r="GX56" s="1808"/>
      <c r="GY56" s="1808"/>
      <c r="GZ56" s="1808"/>
      <c r="HA56" s="1808"/>
      <c r="HB56" s="1808"/>
      <c r="HC56" s="1808"/>
      <c r="HD56" s="1808"/>
      <c r="HE56" s="1808"/>
      <c r="HF56" s="1808"/>
      <c r="HG56" s="1808"/>
    </row>
    <row r="57" spans="1:215" s="1893" customFormat="1" ht="18" customHeight="1" thickBot="1" x14ac:dyDescent="0.25">
      <c r="A57" s="2028"/>
      <c r="B57" s="1919"/>
      <c r="C57" s="1902" t="s">
        <v>15</v>
      </c>
      <c r="D57" s="1902" t="s">
        <v>16</v>
      </c>
      <c r="E57" s="1903" t="s">
        <v>17</v>
      </c>
      <c r="F57" s="1899"/>
      <c r="G57" s="1597"/>
      <c r="H57" s="1808"/>
      <c r="I57" s="1808"/>
      <c r="J57" s="1808"/>
      <c r="K57" s="1808"/>
      <c r="L57" s="1808"/>
      <c r="M57" s="1808"/>
      <c r="N57" s="1808"/>
      <c r="O57" s="1808"/>
      <c r="P57" s="1808"/>
      <c r="Q57" s="1808"/>
      <c r="R57" s="1808"/>
      <c r="S57" s="1808"/>
      <c r="T57" s="1808"/>
      <c r="U57" s="1808"/>
      <c r="V57" s="1808"/>
      <c r="W57" s="1808"/>
      <c r="X57" s="1808"/>
      <c r="Y57" s="1808"/>
      <c r="Z57" s="1808"/>
      <c r="AA57" s="1808"/>
      <c r="AB57" s="1808"/>
      <c r="AC57" s="1808"/>
      <c r="AD57" s="1808"/>
      <c r="AE57" s="1808"/>
      <c r="AF57" s="1808"/>
      <c r="AG57" s="1808"/>
      <c r="AH57" s="1808"/>
      <c r="AI57" s="1808"/>
      <c r="AJ57" s="1808"/>
      <c r="AK57" s="1808"/>
      <c r="AL57" s="1808"/>
      <c r="AM57" s="1808"/>
      <c r="AN57" s="1808"/>
      <c r="AO57" s="1808"/>
      <c r="AP57" s="1808"/>
      <c r="AQ57" s="1808"/>
      <c r="AR57" s="1808"/>
      <c r="AS57" s="1808"/>
      <c r="AT57" s="1808"/>
      <c r="AU57" s="1808"/>
      <c r="AV57" s="1808"/>
      <c r="AW57" s="1808"/>
      <c r="AX57" s="1808"/>
      <c r="AY57" s="1808"/>
      <c r="AZ57" s="1808"/>
      <c r="BA57" s="1808"/>
      <c r="BB57" s="1808"/>
      <c r="BC57" s="1808"/>
      <c r="BD57" s="1808"/>
      <c r="BE57" s="1808"/>
      <c r="BF57" s="1808"/>
      <c r="BG57" s="1808"/>
      <c r="BH57" s="1808"/>
      <c r="BI57" s="1808"/>
      <c r="BJ57" s="1808"/>
      <c r="BK57" s="1808"/>
      <c r="BL57" s="1808"/>
      <c r="BM57" s="1808"/>
      <c r="BN57" s="1808"/>
      <c r="BO57" s="1808"/>
      <c r="BP57" s="1808"/>
      <c r="BQ57" s="1808"/>
      <c r="BR57" s="1808"/>
      <c r="BS57" s="1808"/>
      <c r="BT57" s="1808"/>
      <c r="BU57" s="1808"/>
      <c r="BV57" s="1808"/>
      <c r="BW57" s="1808"/>
      <c r="BX57" s="1808"/>
      <c r="BY57" s="1808"/>
      <c r="BZ57" s="1808"/>
      <c r="CA57" s="1808"/>
      <c r="CB57" s="1808"/>
      <c r="CC57" s="1808"/>
      <c r="CD57" s="1808"/>
      <c r="CE57" s="1808"/>
      <c r="CF57" s="1808"/>
      <c r="CG57" s="1808"/>
      <c r="CH57" s="1808"/>
      <c r="CI57" s="1808"/>
      <c r="CJ57" s="1808"/>
      <c r="CK57" s="1808"/>
      <c r="CL57" s="1808"/>
      <c r="CM57" s="1808"/>
      <c r="CN57" s="1808"/>
      <c r="CO57" s="1808"/>
      <c r="CP57" s="1808"/>
      <c r="CQ57" s="1808"/>
      <c r="CR57" s="1808"/>
      <c r="CS57" s="1808"/>
      <c r="CT57" s="1808"/>
      <c r="CU57" s="1808"/>
      <c r="CV57" s="1808"/>
      <c r="CW57" s="1808"/>
      <c r="CX57" s="1808"/>
      <c r="CY57" s="1808"/>
      <c r="CZ57" s="1808"/>
      <c r="DA57" s="1808"/>
      <c r="DB57" s="1808"/>
      <c r="DC57" s="1808"/>
      <c r="DD57" s="1808"/>
      <c r="DE57" s="1808"/>
      <c r="DF57" s="1808"/>
      <c r="DG57" s="1808"/>
      <c r="DH57" s="1808"/>
      <c r="DI57" s="1808"/>
      <c r="DJ57" s="1808"/>
      <c r="DK57" s="1808"/>
      <c r="DL57" s="1808"/>
      <c r="DM57" s="1808"/>
      <c r="DN57" s="1808"/>
      <c r="DO57" s="1808"/>
      <c r="DP57" s="1808"/>
      <c r="DQ57" s="1808"/>
      <c r="DR57" s="1808"/>
      <c r="DS57" s="1808"/>
      <c r="DT57" s="1808"/>
      <c r="DU57" s="1808"/>
      <c r="DV57" s="1808"/>
      <c r="DW57" s="1808"/>
      <c r="DX57" s="1808"/>
      <c r="DY57" s="1808"/>
      <c r="DZ57" s="1808"/>
      <c r="EA57" s="1808"/>
      <c r="EB57" s="1808"/>
      <c r="EC57" s="1808"/>
      <c r="ED57" s="1808"/>
      <c r="EE57" s="1808"/>
      <c r="EF57" s="1808"/>
      <c r="EG57" s="1808"/>
      <c r="EH57" s="1808"/>
      <c r="EI57" s="1808"/>
      <c r="EJ57" s="1808"/>
      <c r="EK57" s="1808"/>
      <c r="EL57" s="1808"/>
      <c r="EM57" s="1808"/>
      <c r="EN57" s="1808"/>
      <c r="EO57" s="1808"/>
      <c r="EP57" s="1808"/>
      <c r="EQ57" s="1808"/>
      <c r="ER57" s="1808"/>
      <c r="ES57" s="1808"/>
      <c r="ET57" s="1808"/>
      <c r="EU57" s="1808"/>
      <c r="EV57" s="1808"/>
      <c r="EW57" s="1808"/>
      <c r="EX57" s="1808"/>
      <c r="EY57" s="1808"/>
      <c r="EZ57" s="1808"/>
      <c r="FA57" s="1808"/>
      <c r="FB57" s="1808"/>
      <c r="FC57" s="1808"/>
      <c r="FD57" s="1808"/>
      <c r="FE57" s="1808"/>
      <c r="FF57" s="1808"/>
      <c r="FG57" s="1808"/>
      <c r="FH57" s="1808"/>
      <c r="FI57" s="1808"/>
      <c r="FJ57" s="1808"/>
      <c r="FK57" s="1808"/>
      <c r="FL57" s="1808"/>
      <c r="FM57" s="1808"/>
      <c r="FN57" s="1808"/>
      <c r="FO57" s="1808"/>
      <c r="FP57" s="1808"/>
      <c r="FQ57" s="1808"/>
      <c r="FR57" s="1808"/>
      <c r="FS57" s="1808"/>
      <c r="FT57" s="1808"/>
      <c r="FU57" s="1808"/>
      <c r="FV57" s="1808"/>
      <c r="FW57" s="1808"/>
      <c r="FX57" s="1808"/>
      <c r="FY57" s="1808"/>
      <c r="FZ57" s="1808"/>
      <c r="GA57" s="1808"/>
      <c r="GB57" s="1808"/>
      <c r="GC57" s="1808"/>
      <c r="GD57" s="1808"/>
      <c r="GE57" s="1808"/>
      <c r="GF57" s="1808"/>
      <c r="GG57" s="1808"/>
      <c r="GH57" s="1808"/>
      <c r="GI57" s="1808"/>
      <c r="GJ57" s="1808"/>
      <c r="GK57" s="1808"/>
      <c r="GL57" s="1808"/>
      <c r="GM57" s="1808"/>
      <c r="GN57" s="1808"/>
      <c r="GO57" s="1808"/>
      <c r="GP57" s="1808"/>
      <c r="GQ57" s="1808"/>
      <c r="GR57" s="1808"/>
      <c r="GS57" s="1808"/>
      <c r="GT57" s="1808"/>
      <c r="GU57" s="1808"/>
      <c r="GV57" s="1808"/>
      <c r="GW57" s="1808"/>
      <c r="GX57" s="1808"/>
      <c r="GY57" s="1808"/>
      <c r="GZ57" s="1808"/>
      <c r="HA57" s="1808"/>
      <c r="HB57" s="1808"/>
      <c r="HC57" s="1808"/>
      <c r="HD57" s="1808"/>
      <c r="HE57" s="1808"/>
      <c r="HF57" s="1808"/>
      <c r="HG57" s="1808"/>
    </row>
    <row r="58" spans="1:215" s="1893" customFormat="1" ht="30" customHeight="1" thickBot="1" x14ac:dyDescent="0.25">
      <c r="A58" s="2028"/>
      <c r="B58" s="1904" t="s">
        <v>60</v>
      </c>
      <c r="C58" s="1909" t="s">
        <v>10</v>
      </c>
      <c r="D58" s="1909" t="s">
        <v>11</v>
      </c>
      <c r="E58" s="1910" t="s">
        <v>12</v>
      </c>
      <c r="F58" s="1907">
        <v>0</v>
      </c>
      <c r="G58" s="1599"/>
      <c r="H58" s="1809">
        <v>0</v>
      </c>
      <c r="I58" s="1809">
        <v>0</v>
      </c>
      <c r="J58" s="1809">
        <v>0</v>
      </c>
      <c r="K58" s="1809">
        <v>0</v>
      </c>
      <c r="L58" s="1809">
        <v>0</v>
      </c>
      <c r="M58" s="1809">
        <v>0</v>
      </c>
      <c r="N58" s="1809">
        <v>0</v>
      </c>
      <c r="O58" s="1809">
        <v>0</v>
      </c>
      <c r="P58" s="1809">
        <v>0</v>
      </c>
      <c r="Q58" s="1809">
        <v>0</v>
      </c>
      <c r="R58" s="1809">
        <v>0</v>
      </c>
      <c r="S58" s="1809">
        <v>0</v>
      </c>
      <c r="T58" s="1809">
        <v>0</v>
      </c>
      <c r="U58" s="1809">
        <v>0</v>
      </c>
      <c r="V58" s="1809">
        <v>0</v>
      </c>
      <c r="W58" s="1809">
        <v>0</v>
      </c>
      <c r="X58" s="1809">
        <v>0</v>
      </c>
      <c r="Y58" s="1809">
        <v>0</v>
      </c>
      <c r="Z58" s="1809">
        <v>0</v>
      </c>
      <c r="AA58" s="1809">
        <v>0</v>
      </c>
      <c r="AB58" s="1809">
        <v>0</v>
      </c>
      <c r="AC58" s="1809">
        <v>0</v>
      </c>
      <c r="AD58" s="1809">
        <v>0</v>
      </c>
      <c r="AE58" s="1809">
        <v>0</v>
      </c>
      <c r="AF58" s="1809">
        <v>0</v>
      </c>
      <c r="AG58" s="1809">
        <v>0</v>
      </c>
      <c r="AH58" s="1809">
        <v>0</v>
      </c>
      <c r="AI58" s="1809">
        <v>0</v>
      </c>
      <c r="AJ58" s="1809">
        <v>0</v>
      </c>
      <c r="AK58" s="1809">
        <v>0</v>
      </c>
      <c r="AL58" s="1809">
        <v>0</v>
      </c>
      <c r="AM58" s="1809">
        <v>0</v>
      </c>
      <c r="AN58" s="1809">
        <v>0</v>
      </c>
      <c r="AO58" s="1809">
        <v>0</v>
      </c>
      <c r="AP58" s="1809">
        <v>0</v>
      </c>
      <c r="AQ58" s="1809">
        <v>0</v>
      </c>
      <c r="AR58" s="1809">
        <v>0</v>
      </c>
      <c r="AS58" s="1809">
        <v>0</v>
      </c>
      <c r="AT58" s="1809">
        <v>0</v>
      </c>
      <c r="AU58" s="1809">
        <v>0</v>
      </c>
      <c r="AV58" s="1809">
        <v>0</v>
      </c>
      <c r="AW58" s="1809">
        <v>0</v>
      </c>
      <c r="AX58" s="1809">
        <v>0</v>
      </c>
      <c r="AY58" s="1809">
        <v>0</v>
      </c>
      <c r="AZ58" s="1809">
        <v>0</v>
      </c>
      <c r="BA58" s="1809">
        <v>0</v>
      </c>
      <c r="BB58" s="1809">
        <v>0</v>
      </c>
      <c r="BC58" s="1809">
        <v>0</v>
      </c>
      <c r="BD58" s="1809">
        <v>0</v>
      </c>
      <c r="BE58" s="1809">
        <v>0</v>
      </c>
      <c r="BF58" s="1809">
        <v>0</v>
      </c>
      <c r="BG58" s="1809">
        <v>0</v>
      </c>
      <c r="BH58" s="1809">
        <v>0</v>
      </c>
      <c r="BI58" s="1809">
        <v>0</v>
      </c>
      <c r="BJ58" s="1809">
        <v>0</v>
      </c>
      <c r="BK58" s="1809">
        <v>0</v>
      </c>
      <c r="BL58" s="1809">
        <v>0</v>
      </c>
      <c r="BM58" s="1809">
        <v>0</v>
      </c>
      <c r="BN58" s="1809">
        <v>0</v>
      </c>
      <c r="BO58" s="1809">
        <v>0</v>
      </c>
      <c r="BP58" s="1809">
        <v>0</v>
      </c>
      <c r="BQ58" s="1809">
        <v>0</v>
      </c>
      <c r="BR58" s="1809">
        <v>0</v>
      </c>
      <c r="BS58" s="1809">
        <v>0</v>
      </c>
      <c r="BT58" s="1809">
        <v>0</v>
      </c>
      <c r="BU58" s="1809">
        <v>0</v>
      </c>
      <c r="BV58" s="1809">
        <v>0</v>
      </c>
      <c r="BW58" s="1809">
        <v>0</v>
      </c>
      <c r="BX58" s="1809">
        <v>0</v>
      </c>
      <c r="BY58" s="1809">
        <v>0</v>
      </c>
      <c r="BZ58" s="1809">
        <v>0</v>
      </c>
      <c r="CA58" s="1809">
        <v>0</v>
      </c>
      <c r="CB58" s="1809">
        <v>0</v>
      </c>
      <c r="CC58" s="1809">
        <v>0</v>
      </c>
      <c r="CD58" s="1809">
        <v>0</v>
      </c>
      <c r="CE58" s="1809">
        <v>0</v>
      </c>
      <c r="CF58" s="1809">
        <v>0</v>
      </c>
      <c r="CG58" s="1809">
        <v>0</v>
      </c>
      <c r="CH58" s="1809">
        <v>0</v>
      </c>
      <c r="CI58" s="1809">
        <v>0</v>
      </c>
      <c r="CJ58" s="1809">
        <v>0</v>
      </c>
      <c r="CK58" s="1809">
        <v>0</v>
      </c>
      <c r="CL58" s="1809">
        <v>0</v>
      </c>
      <c r="CM58" s="1809">
        <v>0</v>
      </c>
      <c r="CN58" s="1809">
        <v>0</v>
      </c>
      <c r="CO58" s="1809">
        <v>0</v>
      </c>
      <c r="CP58" s="1809">
        <v>0</v>
      </c>
      <c r="CQ58" s="1809">
        <v>0</v>
      </c>
      <c r="CR58" s="1809">
        <v>0</v>
      </c>
      <c r="CS58" s="1809">
        <v>0</v>
      </c>
      <c r="CT58" s="1809">
        <v>0</v>
      </c>
      <c r="CU58" s="1809">
        <v>0</v>
      </c>
      <c r="CV58" s="1809">
        <v>0</v>
      </c>
      <c r="CW58" s="1809">
        <v>0</v>
      </c>
      <c r="CX58" s="1809">
        <v>0</v>
      </c>
      <c r="CY58" s="1809">
        <v>0</v>
      </c>
      <c r="CZ58" s="1809">
        <v>0</v>
      </c>
      <c r="DA58" s="1809">
        <v>0</v>
      </c>
      <c r="DB58" s="1809">
        <v>0</v>
      </c>
      <c r="DC58" s="1809">
        <v>0</v>
      </c>
      <c r="DD58" s="1809">
        <v>0</v>
      </c>
      <c r="DE58" s="1809">
        <v>0</v>
      </c>
      <c r="DF58" s="1809">
        <v>0</v>
      </c>
      <c r="DG58" s="1809">
        <v>0</v>
      </c>
      <c r="DH58" s="1809">
        <v>0</v>
      </c>
      <c r="DI58" s="1809">
        <v>0</v>
      </c>
      <c r="DJ58" s="1809">
        <v>0</v>
      </c>
      <c r="DK58" s="1809">
        <v>0</v>
      </c>
      <c r="DL58" s="1809">
        <v>0</v>
      </c>
      <c r="DM58" s="1809">
        <v>0</v>
      </c>
      <c r="DN58" s="1809">
        <v>0</v>
      </c>
      <c r="DO58" s="1809">
        <v>0</v>
      </c>
      <c r="DP58" s="1809">
        <v>0</v>
      </c>
      <c r="DQ58" s="1809">
        <v>0</v>
      </c>
      <c r="DR58" s="1809">
        <v>0</v>
      </c>
      <c r="DS58" s="1809">
        <v>0</v>
      </c>
      <c r="DT58" s="1809">
        <v>0</v>
      </c>
      <c r="DU58" s="1809">
        <v>0</v>
      </c>
      <c r="DV58" s="1809">
        <v>0</v>
      </c>
      <c r="DW58" s="1809">
        <v>0</v>
      </c>
      <c r="DX58" s="1809">
        <v>0</v>
      </c>
      <c r="DY58" s="1809">
        <v>0</v>
      </c>
      <c r="DZ58" s="1809">
        <v>0</v>
      </c>
      <c r="EA58" s="1809">
        <v>0</v>
      </c>
      <c r="EB58" s="1809">
        <v>0</v>
      </c>
      <c r="EC58" s="1809">
        <v>0</v>
      </c>
      <c r="ED58" s="1809">
        <v>0</v>
      </c>
      <c r="EE58" s="1809">
        <v>0</v>
      </c>
      <c r="EF58" s="1809">
        <v>0</v>
      </c>
      <c r="EG58" s="1809">
        <v>0</v>
      </c>
      <c r="EH58" s="1809">
        <v>0</v>
      </c>
      <c r="EI58" s="1809">
        <v>0</v>
      </c>
      <c r="EJ58" s="1809">
        <v>0</v>
      </c>
      <c r="EK58" s="1809">
        <v>0</v>
      </c>
      <c r="EL58" s="1809">
        <v>0</v>
      </c>
      <c r="EM58" s="1809">
        <v>0</v>
      </c>
      <c r="EN58" s="1809">
        <v>0</v>
      </c>
      <c r="EO58" s="1809">
        <v>0</v>
      </c>
      <c r="EP58" s="1809">
        <v>0</v>
      </c>
      <c r="EQ58" s="1809">
        <v>0</v>
      </c>
      <c r="ER58" s="1809">
        <v>0</v>
      </c>
      <c r="ES58" s="1809">
        <v>0</v>
      </c>
      <c r="ET58" s="1809">
        <v>0</v>
      </c>
      <c r="EU58" s="1809">
        <v>0</v>
      </c>
      <c r="EV58" s="1809">
        <v>0</v>
      </c>
      <c r="EW58" s="1809">
        <v>0</v>
      </c>
      <c r="EX58" s="1809">
        <v>0</v>
      </c>
      <c r="EY58" s="1809">
        <v>0</v>
      </c>
      <c r="EZ58" s="1809">
        <v>0</v>
      </c>
      <c r="FA58" s="1809">
        <v>0</v>
      </c>
      <c r="FB58" s="1809">
        <v>0</v>
      </c>
      <c r="FC58" s="1809">
        <v>0</v>
      </c>
      <c r="FD58" s="1809">
        <v>0</v>
      </c>
      <c r="FE58" s="1809">
        <v>0</v>
      </c>
      <c r="FF58" s="1809">
        <v>0</v>
      </c>
      <c r="FG58" s="1809">
        <v>0</v>
      </c>
      <c r="FH58" s="1809">
        <v>0</v>
      </c>
      <c r="FI58" s="1809">
        <v>0</v>
      </c>
      <c r="FJ58" s="1809">
        <v>0</v>
      </c>
      <c r="FK58" s="1809">
        <v>0</v>
      </c>
      <c r="FL58" s="1809">
        <v>0</v>
      </c>
      <c r="FM58" s="1809">
        <v>0</v>
      </c>
      <c r="FN58" s="1809">
        <v>0</v>
      </c>
      <c r="FO58" s="1809">
        <v>0</v>
      </c>
      <c r="FP58" s="1809">
        <v>0</v>
      </c>
      <c r="FQ58" s="1809">
        <v>0</v>
      </c>
      <c r="FR58" s="1809">
        <v>0</v>
      </c>
      <c r="FS58" s="1809">
        <v>0</v>
      </c>
      <c r="FT58" s="1809">
        <v>0</v>
      </c>
      <c r="FU58" s="1809">
        <v>0</v>
      </c>
      <c r="FV58" s="1809">
        <v>0</v>
      </c>
      <c r="FW58" s="1809">
        <v>0</v>
      </c>
      <c r="FX58" s="1809">
        <v>0</v>
      </c>
      <c r="FY58" s="1809">
        <v>0</v>
      </c>
      <c r="FZ58" s="1809">
        <v>0</v>
      </c>
      <c r="GA58" s="1809">
        <v>0</v>
      </c>
      <c r="GB58" s="1809">
        <v>0</v>
      </c>
      <c r="GC58" s="1809">
        <v>0</v>
      </c>
      <c r="GD58" s="1809">
        <v>0</v>
      </c>
      <c r="GE58" s="1809">
        <v>0</v>
      </c>
      <c r="GF58" s="1809">
        <v>0</v>
      </c>
      <c r="GG58" s="1809">
        <v>0</v>
      </c>
      <c r="GH58" s="1809">
        <v>0</v>
      </c>
      <c r="GI58" s="1809">
        <v>0</v>
      </c>
      <c r="GJ58" s="1809">
        <v>0</v>
      </c>
      <c r="GK58" s="1809">
        <v>0</v>
      </c>
      <c r="GL58" s="1809">
        <v>0</v>
      </c>
      <c r="GM58" s="1809">
        <v>0</v>
      </c>
      <c r="GN58" s="1809">
        <v>0</v>
      </c>
      <c r="GO58" s="1809">
        <v>0</v>
      </c>
      <c r="GP58" s="1809">
        <v>0</v>
      </c>
      <c r="GQ58" s="1809">
        <v>0</v>
      </c>
      <c r="GR58" s="1809">
        <v>0</v>
      </c>
      <c r="GS58" s="1809">
        <v>0</v>
      </c>
      <c r="GT58" s="1809">
        <v>0</v>
      </c>
      <c r="GU58" s="1809">
        <v>0</v>
      </c>
      <c r="GV58" s="1809">
        <v>0</v>
      </c>
      <c r="GW58" s="1809">
        <v>0</v>
      </c>
      <c r="GX58" s="1809">
        <v>0</v>
      </c>
      <c r="GY58" s="1809">
        <v>0</v>
      </c>
      <c r="GZ58" s="1809">
        <v>0</v>
      </c>
      <c r="HA58" s="1809">
        <v>0</v>
      </c>
      <c r="HB58" s="1809">
        <v>0</v>
      </c>
      <c r="HC58" s="1809">
        <v>0</v>
      </c>
      <c r="HD58" s="1809">
        <v>0</v>
      </c>
      <c r="HE58" s="1809">
        <v>0</v>
      </c>
      <c r="HF58" s="1809">
        <v>0</v>
      </c>
      <c r="HG58" s="1809">
        <v>0</v>
      </c>
    </row>
    <row r="59" spans="1:215" s="1893" customFormat="1" ht="15" customHeight="1" thickBot="1" x14ac:dyDescent="0.25">
      <c r="A59" s="2028"/>
      <c r="B59" s="1904" t="s">
        <v>61</v>
      </c>
      <c r="C59" s="1909" t="s">
        <v>62</v>
      </c>
      <c r="D59" s="1909" t="s">
        <v>63</v>
      </c>
      <c r="E59" s="1910" t="s">
        <v>64</v>
      </c>
      <c r="F59" s="1907">
        <v>0</v>
      </c>
      <c r="G59" s="1599"/>
      <c r="H59" s="1809">
        <v>0</v>
      </c>
      <c r="I59" s="1809">
        <v>0</v>
      </c>
      <c r="J59" s="1809">
        <v>0</v>
      </c>
      <c r="K59" s="1809">
        <v>0</v>
      </c>
      <c r="L59" s="1809">
        <v>0</v>
      </c>
      <c r="M59" s="1809">
        <v>0</v>
      </c>
      <c r="N59" s="1809">
        <v>0</v>
      </c>
      <c r="O59" s="1809">
        <v>0</v>
      </c>
      <c r="P59" s="1809">
        <v>0</v>
      </c>
      <c r="Q59" s="1809">
        <v>0</v>
      </c>
      <c r="R59" s="1809">
        <v>0</v>
      </c>
      <c r="S59" s="1809">
        <v>0</v>
      </c>
      <c r="T59" s="1809">
        <v>0</v>
      </c>
      <c r="U59" s="1809">
        <v>0</v>
      </c>
      <c r="V59" s="1809">
        <v>0</v>
      </c>
      <c r="W59" s="1809">
        <v>0</v>
      </c>
      <c r="X59" s="1809">
        <v>0</v>
      </c>
      <c r="Y59" s="1809">
        <v>0</v>
      </c>
      <c r="Z59" s="1809">
        <v>0</v>
      </c>
      <c r="AA59" s="1809">
        <v>0</v>
      </c>
      <c r="AB59" s="1809">
        <v>0</v>
      </c>
      <c r="AC59" s="1809">
        <v>0</v>
      </c>
      <c r="AD59" s="1809">
        <v>0</v>
      </c>
      <c r="AE59" s="1809">
        <v>0</v>
      </c>
      <c r="AF59" s="1809">
        <v>0</v>
      </c>
      <c r="AG59" s="1809">
        <v>0</v>
      </c>
      <c r="AH59" s="1809">
        <v>0</v>
      </c>
      <c r="AI59" s="1809">
        <v>0</v>
      </c>
      <c r="AJ59" s="1809">
        <v>0</v>
      </c>
      <c r="AK59" s="1809">
        <v>0</v>
      </c>
      <c r="AL59" s="1809">
        <v>0</v>
      </c>
      <c r="AM59" s="1809">
        <v>0</v>
      </c>
      <c r="AN59" s="1809">
        <v>0</v>
      </c>
      <c r="AO59" s="1809">
        <v>0</v>
      </c>
      <c r="AP59" s="1809">
        <v>0</v>
      </c>
      <c r="AQ59" s="1809">
        <v>0</v>
      </c>
      <c r="AR59" s="1809">
        <v>0</v>
      </c>
      <c r="AS59" s="1809">
        <v>0</v>
      </c>
      <c r="AT59" s="1809">
        <v>0</v>
      </c>
      <c r="AU59" s="1809">
        <v>0</v>
      </c>
      <c r="AV59" s="1809">
        <v>0</v>
      </c>
      <c r="AW59" s="1809">
        <v>0</v>
      </c>
      <c r="AX59" s="1809">
        <v>0</v>
      </c>
      <c r="AY59" s="1809">
        <v>0</v>
      </c>
      <c r="AZ59" s="1809">
        <v>0</v>
      </c>
      <c r="BA59" s="1809">
        <v>0</v>
      </c>
      <c r="BB59" s="1809">
        <v>0</v>
      </c>
      <c r="BC59" s="1809">
        <v>0</v>
      </c>
      <c r="BD59" s="1809">
        <v>0</v>
      </c>
      <c r="BE59" s="1809">
        <v>0</v>
      </c>
      <c r="BF59" s="1809">
        <v>0</v>
      </c>
      <c r="BG59" s="1809">
        <v>0</v>
      </c>
      <c r="BH59" s="1809">
        <v>0</v>
      </c>
      <c r="BI59" s="1809">
        <v>0</v>
      </c>
      <c r="BJ59" s="1809">
        <v>0</v>
      </c>
      <c r="BK59" s="1809">
        <v>0</v>
      </c>
      <c r="BL59" s="1809">
        <v>0</v>
      </c>
      <c r="BM59" s="1809">
        <v>0</v>
      </c>
      <c r="BN59" s="1809">
        <v>0</v>
      </c>
      <c r="BO59" s="1809">
        <v>0</v>
      </c>
      <c r="BP59" s="1809">
        <v>0</v>
      </c>
      <c r="BQ59" s="1809">
        <v>0</v>
      </c>
      <c r="BR59" s="1809">
        <v>0</v>
      </c>
      <c r="BS59" s="1809">
        <v>0</v>
      </c>
      <c r="BT59" s="1809">
        <v>0</v>
      </c>
      <c r="BU59" s="1809">
        <v>0</v>
      </c>
      <c r="BV59" s="1809">
        <v>0</v>
      </c>
      <c r="BW59" s="1809">
        <v>0</v>
      </c>
      <c r="BX59" s="1809">
        <v>0</v>
      </c>
      <c r="BY59" s="1809">
        <v>0</v>
      </c>
      <c r="BZ59" s="1809">
        <v>0</v>
      </c>
      <c r="CA59" s="1809">
        <v>0</v>
      </c>
      <c r="CB59" s="1809">
        <v>0</v>
      </c>
      <c r="CC59" s="1809">
        <v>0</v>
      </c>
      <c r="CD59" s="1809">
        <v>0</v>
      </c>
      <c r="CE59" s="1809">
        <v>0</v>
      </c>
      <c r="CF59" s="1809">
        <v>0</v>
      </c>
      <c r="CG59" s="1809">
        <v>0</v>
      </c>
      <c r="CH59" s="1809">
        <v>0</v>
      </c>
      <c r="CI59" s="1809">
        <v>0</v>
      </c>
      <c r="CJ59" s="1809">
        <v>0</v>
      </c>
      <c r="CK59" s="1809">
        <v>0</v>
      </c>
      <c r="CL59" s="1809">
        <v>0</v>
      </c>
      <c r="CM59" s="1809">
        <v>0</v>
      </c>
      <c r="CN59" s="1809">
        <v>0</v>
      </c>
      <c r="CO59" s="1809">
        <v>0</v>
      </c>
      <c r="CP59" s="1809">
        <v>0</v>
      </c>
      <c r="CQ59" s="1809">
        <v>0</v>
      </c>
      <c r="CR59" s="1809">
        <v>0</v>
      </c>
      <c r="CS59" s="1809">
        <v>0</v>
      </c>
      <c r="CT59" s="1809">
        <v>0</v>
      </c>
      <c r="CU59" s="1809">
        <v>0</v>
      </c>
      <c r="CV59" s="1809">
        <v>0</v>
      </c>
      <c r="CW59" s="1809">
        <v>0</v>
      </c>
      <c r="CX59" s="1809">
        <v>0</v>
      </c>
      <c r="CY59" s="1809">
        <v>0</v>
      </c>
      <c r="CZ59" s="1809">
        <v>0</v>
      </c>
      <c r="DA59" s="1809">
        <v>0</v>
      </c>
      <c r="DB59" s="1809">
        <v>0</v>
      </c>
      <c r="DC59" s="1809">
        <v>0</v>
      </c>
      <c r="DD59" s="1809">
        <v>0</v>
      </c>
      <c r="DE59" s="1809">
        <v>0</v>
      </c>
      <c r="DF59" s="1809">
        <v>0</v>
      </c>
      <c r="DG59" s="1809">
        <v>0</v>
      </c>
      <c r="DH59" s="1809">
        <v>0</v>
      </c>
      <c r="DI59" s="1809">
        <v>0</v>
      </c>
      <c r="DJ59" s="1809">
        <v>0</v>
      </c>
      <c r="DK59" s="1809">
        <v>0</v>
      </c>
      <c r="DL59" s="1809">
        <v>0</v>
      </c>
      <c r="DM59" s="1809">
        <v>0</v>
      </c>
      <c r="DN59" s="1809">
        <v>0</v>
      </c>
      <c r="DO59" s="1809">
        <v>0</v>
      </c>
      <c r="DP59" s="1809">
        <v>0</v>
      </c>
      <c r="DQ59" s="1809">
        <v>0</v>
      </c>
      <c r="DR59" s="1809">
        <v>0</v>
      </c>
      <c r="DS59" s="1809">
        <v>0</v>
      </c>
      <c r="DT59" s="1809">
        <v>0</v>
      </c>
      <c r="DU59" s="1809">
        <v>0</v>
      </c>
      <c r="DV59" s="1809">
        <v>0</v>
      </c>
      <c r="DW59" s="1809">
        <v>0</v>
      </c>
      <c r="DX59" s="1809">
        <v>0</v>
      </c>
      <c r="DY59" s="1809">
        <v>0</v>
      </c>
      <c r="DZ59" s="1809">
        <v>0</v>
      </c>
      <c r="EA59" s="1809">
        <v>0</v>
      </c>
      <c r="EB59" s="1809">
        <v>0</v>
      </c>
      <c r="EC59" s="1809">
        <v>0</v>
      </c>
      <c r="ED59" s="1809">
        <v>0</v>
      </c>
      <c r="EE59" s="1809">
        <v>0</v>
      </c>
      <c r="EF59" s="1809">
        <v>0</v>
      </c>
      <c r="EG59" s="1809">
        <v>0</v>
      </c>
      <c r="EH59" s="1809">
        <v>0</v>
      </c>
      <c r="EI59" s="1809">
        <v>0</v>
      </c>
      <c r="EJ59" s="1809">
        <v>0</v>
      </c>
      <c r="EK59" s="1809">
        <v>0</v>
      </c>
      <c r="EL59" s="1809">
        <v>0</v>
      </c>
      <c r="EM59" s="1809">
        <v>0</v>
      </c>
      <c r="EN59" s="1809">
        <v>0</v>
      </c>
      <c r="EO59" s="1809">
        <v>0</v>
      </c>
      <c r="EP59" s="1809">
        <v>0</v>
      </c>
      <c r="EQ59" s="1809">
        <v>0</v>
      </c>
      <c r="ER59" s="1809">
        <v>0</v>
      </c>
      <c r="ES59" s="1809">
        <v>0</v>
      </c>
      <c r="ET59" s="1809">
        <v>0</v>
      </c>
      <c r="EU59" s="1809">
        <v>0</v>
      </c>
      <c r="EV59" s="1809">
        <v>0</v>
      </c>
      <c r="EW59" s="1809">
        <v>0</v>
      </c>
      <c r="EX59" s="1809">
        <v>0</v>
      </c>
      <c r="EY59" s="1809">
        <v>0</v>
      </c>
      <c r="EZ59" s="1809">
        <v>0</v>
      </c>
      <c r="FA59" s="1809">
        <v>0</v>
      </c>
      <c r="FB59" s="1809">
        <v>0</v>
      </c>
      <c r="FC59" s="1809">
        <v>0</v>
      </c>
      <c r="FD59" s="1809">
        <v>0</v>
      </c>
      <c r="FE59" s="1809">
        <v>0</v>
      </c>
      <c r="FF59" s="1809">
        <v>0</v>
      </c>
      <c r="FG59" s="1809">
        <v>0</v>
      </c>
      <c r="FH59" s="1809">
        <v>0</v>
      </c>
      <c r="FI59" s="1809">
        <v>0</v>
      </c>
      <c r="FJ59" s="1809">
        <v>0</v>
      </c>
      <c r="FK59" s="1809">
        <v>0</v>
      </c>
      <c r="FL59" s="1809">
        <v>0</v>
      </c>
      <c r="FM59" s="1809">
        <v>0</v>
      </c>
      <c r="FN59" s="1809">
        <v>0</v>
      </c>
      <c r="FO59" s="1809">
        <v>0</v>
      </c>
      <c r="FP59" s="1809">
        <v>0</v>
      </c>
      <c r="FQ59" s="1809">
        <v>0</v>
      </c>
      <c r="FR59" s="1809">
        <v>0</v>
      </c>
      <c r="FS59" s="1809">
        <v>0</v>
      </c>
      <c r="FT59" s="1809">
        <v>0</v>
      </c>
      <c r="FU59" s="1809">
        <v>0</v>
      </c>
      <c r="FV59" s="1809">
        <v>0</v>
      </c>
      <c r="FW59" s="1809">
        <v>0</v>
      </c>
      <c r="FX59" s="1809">
        <v>0</v>
      </c>
      <c r="FY59" s="1809">
        <v>0</v>
      </c>
      <c r="FZ59" s="1809">
        <v>0</v>
      </c>
      <c r="GA59" s="1809">
        <v>0</v>
      </c>
      <c r="GB59" s="1809">
        <v>0</v>
      </c>
      <c r="GC59" s="1809">
        <v>0</v>
      </c>
      <c r="GD59" s="1809">
        <v>0</v>
      </c>
      <c r="GE59" s="1809">
        <v>0</v>
      </c>
      <c r="GF59" s="1809">
        <v>0</v>
      </c>
      <c r="GG59" s="1809">
        <v>0</v>
      </c>
      <c r="GH59" s="1809">
        <v>0</v>
      </c>
      <c r="GI59" s="1809">
        <v>0</v>
      </c>
      <c r="GJ59" s="1809">
        <v>0</v>
      </c>
      <c r="GK59" s="1809">
        <v>0</v>
      </c>
      <c r="GL59" s="1809">
        <v>0</v>
      </c>
      <c r="GM59" s="1809">
        <v>0</v>
      </c>
      <c r="GN59" s="1809">
        <v>0</v>
      </c>
      <c r="GO59" s="1809">
        <v>0</v>
      </c>
      <c r="GP59" s="1809">
        <v>0</v>
      </c>
      <c r="GQ59" s="1809">
        <v>0</v>
      </c>
      <c r="GR59" s="1809">
        <v>0</v>
      </c>
      <c r="GS59" s="1809">
        <v>0</v>
      </c>
      <c r="GT59" s="1809">
        <v>0</v>
      </c>
      <c r="GU59" s="1809">
        <v>0</v>
      </c>
      <c r="GV59" s="1809">
        <v>0</v>
      </c>
      <c r="GW59" s="1809">
        <v>0</v>
      </c>
      <c r="GX59" s="1809">
        <v>0</v>
      </c>
      <c r="GY59" s="1809">
        <v>0</v>
      </c>
      <c r="GZ59" s="1809">
        <v>0</v>
      </c>
      <c r="HA59" s="1809">
        <v>0</v>
      </c>
      <c r="HB59" s="1809">
        <v>0</v>
      </c>
      <c r="HC59" s="1809">
        <v>0</v>
      </c>
      <c r="HD59" s="1809">
        <v>0</v>
      </c>
      <c r="HE59" s="1809">
        <v>0</v>
      </c>
      <c r="HF59" s="1809">
        <v>0</v>
      </c>
      <c r="HG59" s="1809">
        <v>0</v>
      </c>
    </row>
    <row r="60" spans="1:215" s="1893" customFormat="1" ht="15" customHeight="1" thickBot="1" x14ac:dyDescent="0.25">
      <c r="A60" s="2028"/>
      <c r="B60" s="1904" t="s">
        <v>550</v>
      </c>
      <c r="C60" s="1909" t="s">
        <v>97</v>
      </c>
      <c r="D60" s="1909" t="s">
        <v>96</v>
      </c>
      <c r="E60" s="1910" t="s">
        <v>98</v>
      </c>
      <c r="F60" s="1907">
        <v>0</v>
      </c>
      <c r="G60" s="1599"/>
      <c r="H60" s="1809">
        <v>0</v>
      </c>
      <c r="I60" s="1809">
        <v>0</v>
      </c>
      <c r="J60" s="1809">
        <v>0</v>
      </c>
      <c r="K60" s="1809">
        <v>0</v>
      </c>
      <c r="L60" s="1809">
        <v>0</v>
      </c>
      <c r="M60" s="1809">
        <v>0</v>
      </c>
      <c r="N60" s="1809">
        <v>0</v>
      </c>
      <c r="O60" s="1809">
        <v>0</v>
      </c>
      <c r="P60" s="1809">
        <v>0</v>
      </c>
      <c r="Q60" s="1809">
        <v>0</v>
      </c>
      <c r="R60" s="1809">
        <v>0</v>
      </c>
      <c r="S60" s="1809">
        <v>0</v>
      </c>
      <c r="T60" s="1809">
        <v>0</v>
      </c>
      <c r="U60" s="1809">
        <v>0</v>
      </c>
      <c r="V60" s="1809">
        <v>0</v>
      </c>
      <c r="W60" s="1809">
        <v>0</v>
      </c>
      <c r="X60" s="1809">
        <v>0</v>
      </c>
      <c r="Y60" s="1809">
        <v>0</v>
      </c>
      <c r="Z60" s="1809">
        <v>0</v>
      </c>
      <c r="AA60" s="1809">
        <v>0</v>
      </c>
      <c r="AB60" s="1809">
        <v>0</v>
      </c>
      <c r="AC60" s="1809">
        <v>0</v>
      </c>
      <c r="AD60" s="1809">
        <v>0</v>
      </c>
      <c r="AE60" s="1809">
        <v>0</v>
      </c>
      <c r="AF60" s="1809">
        <v>0</v>
      </c>
      <c r="AG60" s="1809">
        <v>0</v>
      </c>
      <c r="AH60" s="1809">
        <v>0</v>
      </c>
      <c r="AI60" s="1809">
        <v>0</v>
      </c>
      <c r="AJ60" s="1809">
        <v>0</v>
      </c>
      <c r="AK60" s="1809">
        <v>0</v>
      </c>
      <c r="AL60" s="1809">
        <v>0</v>
      </c>
      <c r="AM60" s="1809">
        <v>0</v>
      </c>
      <c r="AN60" s="1809">
        <v>0</v>
      </c>
      <c r="AO60" s="1809">
        <v>0</v>
      </c>
      <c r="AP60" s="1809">
        <v>0</v>
      </c>
      <c r="AQ60" s="1809">
        <v>0</v>
      </c>
      <c r="AR60" s="1809">
        <v>0</v>
      </c>
      <c r="AS60" s="1809">
        <v>0</v>
      </c>
      <c r="AT60" s="1809">
        <v>0</v>
      </c>
      <c r="AU60" s="1809">
        <v>0</v>
      </c>
      <c r="AV60" s="1809">
        <v>0</v>
      </c>
      <c r="AW60" s="1809">
        <v>0</v>
      </c>
      <c r="AX60" s="1809">
        <v>0</v>
      </c>
      <c r="AY60" s="1809">
        <v>0</v>
      </c>
      <c r="AZ60" s="1809">
        <v>0</v>
      </c>
      <c r="BA60" s="1809">
        <v>0</v>
      </c>
      <c r="BB60" s="1809">
        <v>0</v>
      </c>
      <c r="BC60" s="1809">
        <v>0</v>
      </c>
      <c r="BD60" s="1809">
        <v>0</v>
      </c>
      <c r="BE60" s="1809">
        <v>0</v>
      </c>
      <c r="BF60" s="1809">
        <v>0</v>
      </c>
      <c r="BG60" s="1809">
        <v>0</v>
      </c>
      <c r="BH60" s="1809">
        <v>0</v>
      </c>
      <c r="BI60" s="1809">
        <v>0</v>
      </c>
      <c r="BJ60" s="1809">
        <v>0</v>
      </c>
      <c r="BK60" s="1809">
        <v>0</v>
      </c>
      <c r="BL60" s="1809">
        <v>0</v>
      </c>
      <c r="BM60" s="1809">
        <v>0</v>
      </c>
      <c r="BN60" s="1809">
        <v>0</v>
      </c>
      <c r="BO60" s="1809">
        <v>0</v>
      </c>
      <c r="BP60" s="1809">
        <v>0</v>
      </c>
      <c r="BQ60" s="1809">
        <v>0</v>
      </c>
      <c r="BR60" s="1809">
        <v>0</v>
      </c>
      <c r="BS60" s="1809">
        <v>0</v>
      </c>
      <c r="BT60" s="1809">
        <v>0</v>
      </c>
      <c r="BU60" s="1809">
        <v>0</v>
      </c>
      <c r="BV60" s="1809">
        <v>0</v>
      </c>
      <c r="BW60" s="1809">
        <v>0</v>
      </c>
      <c r="BX60" s="1809">
        <v>0</v>
      </c>
      <c r="BY60" s="1809">
        <v>0</v>
      </c>
      <c r="BZ60" s="1809">
        <v>0</v>
      </c>
      <c r="CA60" s="1809">
        <v>0</v>
      </c>
      <c r="CB60" s="1809">
        <v>0</v>
      </c>
      <c r="CC60" s="1809">
        <v>0</v>
      </c>
      <c r="CD60" s="1809">
        <v>0</v>
      </c>
      <c r="CE60" s="1809">
        <v>0</v>
      </c>
      <c r="CF60" s="1809">
        <v>0</v>
      </c>
      <c r="CG60" s="1809">
        <v>0</v>
      </c>
      <c r="CH60" s="1809">
        <v>0</v>
      </c>
      <c r="CI60" s="1809">
        <v>0</v>
      </c>
      <c r="CJ60" s="1809">
        <v>0</v>
      </c>
      <c r="CK60" s="1809">
        <v>0</v>
      </c>
      <c r="CL60" s="1809">
        <v>0</v>
      </c>
      <c r="CM60" s="1809">
        <v>0</v>
      </c>
      <c r="CN60" s="1809">
        <v>0</v>
      </c>
      <c r="CO60" s="1809">
        <v>0</v>
      </c>
      <c r="CP60" s="1809">
        <v>0</v>
      </c>
      <c r="CQ60" s="1809">
        <v>0</v>
      </c>
      <c r="CR60" s="1809">
        <v>0</v>
      </c>
      <c r="CS60" s="1809">
        <v>0</v>
      </c>
      <c r="CT60" s="1809">
        <v>0</v>
      </c>
      <c r="CU60" s="1809">
        <v>0</v>
      </c>
      <c r="CV60" s="1809">
        <v>0</v>
      </c>
      <c r="CW60" s="1809">
        <v>0</v>
      </c>
      <c r="CX60" s="1809">
        <v>0</v>
      </c>
      <c r="CY60" s="1809">
        <v>0</v>
      </c>
      <c r="CZ60" s="1809">
        <v>0</v>
      </c>
      <c r="DA60" s="1809">
        <v>0</v>
      </c>
      <c r="DB60" s="1809">
        <v>0</v>
      </c>
      <c r="DC60" s="1809">
        <v>0</v>
      </c>
      <c r="DD60" s="1809">
        <v>0</v>
      </c>
      <c r="DE60" s="1809">
        <v>0</v>
      </c>
      <c r="DF60" s="1809">
        <v>0</v>
      </c>
      <c r="DG60" s="1809">
        <v>0</v>
      </c>
      <c r="DH60" s="1809">
        <v>0</v>
      </c>
      <c r="DI60" s="1809">
        <v>0</v>
      </c>
      <c r="DJ60" s="1809">
        <v>0</v>
      </c>
      <c r="DK60" s="1809">
        <v>0</v>
      </c>
      <c r="DL60" s="1809">
        <v>0</v>
      </c>
      <c r="DM60" s="1809">
        <v>0</v>
      </c>
      <c r="DN60" s="1809">
        <v>0</v>
      </c>
      <c r="DO60" s="1809">
        <v>0</v>
      </c>
      <c r="DP60" s="1809">
        <v>0</v>
      </c>
      <c r="DQ60" s="1809">
        <v>0</v>
      </c>
      <c r="DR60" s="1809">
        <v>0</v>
      </c>
      <c r="DS60" s="1809">
        <v>0</v>
      </c>
      <c r="DT60" s="1809">
        <v>0</v>
      </c>
      <c r="DU60" s="1809">
        <v>0</v>
      </c>
      <c r="DV60" s="1809">
        <v>0</v>
      </c>
      <c r="DW60" s="1809">
        <v>0</v>
      </c>
      <c r="DX60" s="1809">
        <v>0</v>
      </c>
      <c r="DY60" s="1809">
        <v>0</v>
      </c>
      <c r="DZ60" s="1809">
        <v>0</v>
      </c>
      <c r="EA60" s="1809">
        <v>0</v>
      </c>
      <c r="EB60" s="1809">
        <v>0</v>
      </c>
      <c r="EC60" s="1809">
        <v>0</v>
      </c>
      <c r="ED60" s="1809">
        <v>0</v>
      </c>
      <c r="EE60" s="1809">
        <v>0</v>
      </c>
      <c r="EF60" s="1809">
        <v>0</v>
      </c>
      <c r="EG60" s="1809">
        <v>0</v>
      </c>
      <c r="EH60" s="1809">
        <v>0</v>
      </c>
      <c r="EI60" s="1809">
        <v>0</v>
      </c>
      <c r="EJ60" s="1809">
        <v>0</v>
      </c>
      <c r="EK60" s="1809">
        <v>0</v>
      </c>
      <c r="EL60" s="1809">
        <v>0</v>
      </c>
      <c r="EM60" s="1809">
        <v>0</v>
      </c>
      <c r="EN60" s="1809">
        <v>0</v>
      </c>
      <c r="EO60" s="1809">
        <v>0</v>
      </c>
      <c r="EP60" s="1809">
        <v>0</v>
      </c>
      <c r="EQ60" s="1809">
        <v>0</v>
      </c>
      <c r="ER60" s="1809">
        <v>0</v>
      </c>
      <c r="ES60" s="1809">
        <v>0</v>
      </c>
      <c r="ET60" s="1809">
        <v>0</v>
      </c>
      <c r="EU60" s="1809">
        <v>0</v>
      </c>
      <c r="EV60" s="1809">
        <v>0</v>
      </c>
      <c r="EW60" s="1809">
        <v>0</v>
      </c>
      <c r="EX60" s="1809">
        <v>0</v>
      </c>
      <c r="EY60" s="1809">
        <v>0</v>
      </c>
      <c r="EZ60" s="1809">
        <v>0</v>
      </c>
      <c r="FA60" s="1809">
        <v>0</v>
      </c>
      <c r="FB60" s="1809">
        <v>0</v>
      </c>
      <c r="FC60" s="1809">
        <v>0</v>
      </c>
      <c r="FD60" s="1809">
        <v>0</v>
      </c>
      <c r="FE60" s="1809">
        <v>0</v>
      </c>
      <c r="FF60" s="1809">
        <v>0</v>
      </c>
      <c r="FG60" s="1809">
        <v>0</v>
      </c>
      <c r="FH60" s="1809">
        <v>0</v>
      </c>
      <c r="FI60" s="1809">
        <v>0</v>
      </c>
      <c r="FJ60" s="1809">
        <v>0</v>
      </c>
      <c r="FK60" s="1809">
        <v>0</v>
      </c>
      <c r="FL60" s="1809">
        <v>0</v>
      </c>
      <c r="FM60" s="1809">
        <v>0</v>
      </c>
      <c r="FN60" s="1809">
        <v>0</v>
      </c>
      <c r="FO60" s="1809">
        <v>0</v>
      </c>
      <c r="FP60" s="1809">
        <v>0</v>
      </c>
      <c r="FQ60" s="1809">
        <v>0</v>
      </c>
      <c r="FR60" s="1809">
        <v>0</v>
      </c>
      <c r="FS60" s="1809">
        <v>0</v>
      </c>
      <c r="FT60" s="1809">
        <v>0</v>
      </c>
      <c r="FU60" s="1809">
        <v>0</v>
      </c>
      <c r="FV60" s="1809">
        <v>0</v>
      </c>
      <c r="FW60" s="1809">
        <v>0</v>
      </c>
      <c r="FX60" s="1809">
        <v>0</v>
      </c>
      <c r="FY60" s="1809">
        <v>0</v>
      </c>
      <c r="FZ60" s="1809">
        <v>0</v>
      </c>
      <c r="GA60" s="1809">
        <v>0</v>
      </c>
      <c r="GB60" s="1809">
        <v>0</v>
      </c>
      <c r="GC60" s="1809">
        <v>0</v>
      </c>
      <c r="GD60" s="1809">
        <v>0</v>
      </c>
      <c r="GE60" s="1809">
        <v>0</v>
      </c>
      <c r="GF60" s="1809">
        <v>0</v>
      </c>
      <c r="GG60" s="1809">
        <v>0</v>
      </c>
      <c r="GH60" s="1809">
        <v>0</v>
      </c>
      <c r="GI60" s="1809">
        <v>0</v>
      </c>
      <c r="GJ60" s="1809">
        <v>0</v>
      </c>
      <c r="GK60" s="1809">
        <v>0</v>
      </c>
      <c r="GL60" s="1809">
        <v>0</v>
      </c>
      <c r="GM60" s="1809">
        <v>0</v>
      </c>
      <c r="GN60" s="1809">
        <v>0</v>
      </c>
      <c r="GO60" s="1809">
        <v>0</v>
      </c>
      <c r="GP60" s="1809">
        <v>0</v>
      </c>
      <c r="GQ60" s="1809">
        <v>0</v>
      </c>
      <c r="GR60" s="1809">
        <v>0</v>
      </c>
      <c r="GS60" s="1809">
        <v>0</v>
      </c>
      <c r="GT60" s="1809">
        <v>0</v>
      </c>
      <c r="GU60" s="1809">
        <v>0</v>
      </c>
      <c r="GV60" s="1809">
        <v>0</v>
      </c>
      <c r="GW60" s="1809">
        <v>0</v>
      </c>
      <c r="GX60" s="1809">
        <v>0</v>
      </c>
      <c r="GY60" s="1809">
        <v>0</v>
      </c>
      <c r="GZ60" s="1809">
        <v>0</v>
      </c>
      <c r="HA60" s="1809">
        <v>0</v>
      </c>
      <c r="HB60" s="1809">
        <v>0</v>
      </c>
      <c r="HC60" s="1809">
        <v>0</v>
      </c>
      <c r="HD60" s="1809">
        <v>0</v>
      </c>
      <c r="HE60" s="1809">
        <v>0</v>
      </c>
      <c r="HF60" s="1809">
        <v>0</v>
      </c>
      <c r="HG60" s="1809">
        <v>0</v>
      </c>
    </row>
    <row r="61" spans="1:215" s="1893" customFormat="1" ht="15" customHeight="1" thickBot="1" x14ac:dyDescent="0.25">
      <c r="A61" s="2028"/>
      <c r="B61" s="1904" t="s">
        <v>65</v>
      </c>
      <c r="C61" s="1782" t="s">
        <v>842</v>
      </c>
      <c r="D61" s="1782" t="s">
        <v>834</v>
      </c>
      <c r="E61" s="1783" t="s">
        <v>838</v>
      </c>
      <c r="F61" s="1907">
        <v>0</v>
      </c>
      <c r="G61" s="1599"/>
      <c r="H61" s="1809">
        <v>0</v>
      </c>
      <c r="I61" s="1809">
        <v>0</v>
      </c>
      <c r="J61" s="1809">
        <v>0</v>
      </c>
      <c r="K61" s="1809">
        <v>0</v>
      </c>
      <c r="L61" s="1809">
        <v>0</v>
      </c>
      <c r="M61" s="1809">
        <v>0</v>
      </c>
      <c r="N61" s="1809">
        <v>0</v>
      </c>
      <c r="O61" s="1809">
        <v>0</v>
      </c>
      <c r="P61" s="1809">
        <v>0</v>
      </c>
      <c r="Q61" s="1809">
        <v>0</v>
      </c>
      <c r="R61" s="1809">
        <v>0</v>
      </c>
      <c r="S61" s="1809">
        <v>0</v>
      </c>
      <c r="T61" s="1809">
        <v>0</v>
      </c>
      <c r="U61" s="1809">
        <v>0</v>
      </c>
      <c r="V61" s="1809">
        <v>0</v>
      </c>
      <c r="W61" s="1809">
        <v>0</v>
      </c>
      <c r="X61" s="1809">
        <v>0</v>
      </c>
      <c r="Y61" s="1809">
        <v>0</v>
      </c>
      <c r="Z61" s="1809">
        <v>0</v>
      </c>
      <c r="AA61" s="1809">
        <v>0</v>
      </c>
      <c r="AB61" s="1809">
        <v>0</v>
      </c>
      <c r="AC61" s="1809">
        <v>0</v>
      </c>
      <c r="AD61" s="1809">
        <v>0</v>
      </c>
      <c r="AE61" s="1809">
        <v>0</v>
      </c>
      <c r="AF61" s="1809">
        <v>0</v>
      </c>
      <c r="AG61" s="1809">
        <v>0</v>
      </c>
      <c r="AH61" s="1809">
        <v>0</v>
      </c>
      <c r="AI61" s="1809">
        <v>0</v>
      </c>
      <c r="AJ61" s="1809">
        <v>0</v>
      </c>
      <c r="AK61" s="1809">
        <v>0</v>
      </c>
      <c r="AL61" s="1809">
        <v>0</v>
      </c>
      <c r="AM61" s="1809">
        <v>0</v>
      </c>
      <c r="AN61" s="1809">
        <v>0</v>
      </c>
      <c r="AO61" s="1809">
        <v>0</v>
      </c>
      <c r="AP61" s="1809">
        <v>0</v>
      </c>
      <c r="AQ61" s="1809">
        <v>0</v>
      </c>
      <c r="AR61" s="1809">
        <v>0</v>
      </c>
      <c r="AS61" s="1809">
        <v>0</v>
      </c>
      <c r="AT61" s="1809">
        <v>0</v>
      </c>
      <c r="AU61" s="1809">
        <v>0</v>
      </c>
      <c r="AV61" s="1809">
        <v>0</v>
      </c>
      <c r="AW61" s="1809">
        <v>0</v>
      </c>
      <c r="AX61" s="1809">
        <v>0</v>
      </c>
      <c r="AY61" s="1809">
        <v>0</v>
      </c>
      <c r="AZ61" s="1809">
        <v>0</v>
      </c>
      <c r="BA61" s="1809">
        <v>0</v>
      </c>
      <c r="BB61" s="1809">
        <v>0</v>
      </c>
      <c r="BC61" s="1809">
        <v>0</v>
      </c>
      <c r="BD61" s="1809">
        <v>0</v>
      </c>
      <c r="BE61" s="1809">
        <v>0</v>
      </c>
      <c r="BF61" s="1809">
        <v>0</v>
      </c>
      <c r="BG61" s="1809">
        <v>0</v>
      </c>
      <c r="BH61" s="1809">
        <v>0</v>
      </c>
      <c r="BI61" s="1809">
        <v>0</v>
      </c>
      <c r="BJ61" s="1809">
        <v>0</v>
      </c>
      <c r="BK61" s="1809">
        <v>0</v>
      </c>
      <c r="BL61" s="1809">
        <v>0</v>
      </c>
      <c r="BM61" s="1809">
        <v>0</v>
      </c>
      <c r="BN61" s="1809">
        <v>0</v>
      </c>
      <c r="BO61" s="1809">
        <v>0</v>
      </c>
      <c r="BP61" s="1809">
        <v>0</v>
      </c>
      <c r="BQ61" s="1809">
        <v>0</v>
      </c>
      <c r="BR61" s="1809">
        <v>0</v>
      </c>
      <c r="BS61" s="1809">
        <v>0</v>
      </c>
      <c r="BT61" s="1809">
        <v>0</v>
      </c>
      <c r="BU61" s="1809">
        <v>0</v>
      </c>
      <c r="BV61" s="1809">
        <v>0</v>
      </c>
      <c r="BW61" s="1809">
        <v>0</v>
      </c>
      <c r="BX61" s="1809">
        <v>0</v>
      </c>
      <c r="BY61" s="1809">
        <v>0</v>
      </c>
      <c r="BZ61" s="1809">
        <v>0</v>
      </c>
      <c r="CA61" s="1809">
        <v>0</v>
      </c>
      <c r="CB61" s="1809">
        <v>0</v>
      </c>
      <c r="CC61" s="1809">
        <v>0</v>
      </c>
      <c r="CD61" s="1809">
        <v>0</v>
      </c>
      <c r="CE61" s="1809">
        <v>0</v>
      </c>
      <c r="CF61" s="1809">
        <v>0</v>
      </c>
      <c r="CG61" s="1809">
        <v>0</v>
      </c>
      <c r="CH61" s="1809">
        <v>0</v>
      </c>
      <c r="CI61" s="1809">
        <v>0</v>
      </c>
      <c r="CJ61" s="1809">
        <v>0</v>
      </c>
      <c r="CK61" s="1809">
        <v>0</v>
      </c>
      <c r="CL61" s="1809">
        <v>0</v>
      </c>
      <c r="CM61" s="1809">
        <v>0</v>
      </c>
      <c r="CN61" s="1809">
        <v>0</v>
      </c>
      <c r="CO61" s="1809">
        <v>0</v>
      </c>
      <c r="CP61" s="1809">
        <v>0</v>
      </c>
      <c r="CQ61" s="1809">
        <v>0</v>
      </c>
      <c r="CR61" s="1809">
        <v>0</v>
      </c>
      <c r="CS61" s="1809">
        <v>0</v>
      </c>
      <c r="CT61" s="1809">
        <v>0</v>
      </c>
      <c r="CU61" s="1809">
        <v>0</v>
      </c>
      <c r="CV61" s="1809">
        <v>0</v>
      </c>
      <c r="CW61" s="1809">
        <v>0</v>
      </c>
      <c r="CX61" s="1809">
        <v>0</v>
      </c>
      <c r="CY61" s="1809">
        <v>0</v>
      </c>
      <c r="CZ61" s="1809">
        <v>0</v>
      </c>
      <c r="DA61" s="1809">
        <v>0</v>
      </c>
      <c r="DB61" s="1809">
        <v>0</v>
      </c>
      <c r="DC61" s="1809">
        <v>0</v>
      </c>
      <c r="DD61" s="1809">
        <v>0</v>
      </c>
      <c r="DE61" s="1809">
        <v>0</v>
      </c>
      <c r="DF61" s="1809">
        <v>0</v>
      </c>
      <c r="DG61" s="1809">
        <v>0</v>
      </c>
      <c r="DH61" s="1809">
        <v>0</v>
      </c>
      <c r="DI61" s="1809">
        <v>0</v>
      </c>
      <c r="DJ61" s="1809">
        <v>0</v>
      </c>
      <c r="DK61" s="1809">
        <v>0</v>
      </c>
      <c r="DL61" s="1809">
        <v>0</v>
      </c>
      <c r="DM61" s="1809">
        <v>0</v>
      </c>
      <c r="DN61" s="1809">
        <v>0</v>
      </c>
      <c r="DO61" s="1809">
        <v>0</v>
      </c>
      <c r="DP61" s="1809">
        <v>0</v>
      </c>
      <c r="DQ61" s="1809">
        <v>0</v>
      </c>
      <c r="DR61" s="1809">
        <v>0</v>
      </c>
      <c r="DS61" s="1809">
        <v>0</v>
      </c>
      <c r="DT61" s="1809">
        <v>0</v>
      </c>
      <c r="DU61" s="1809">
        <v>0</v>
      </c>
      <c r="DV61" s="1809">
        <v>0</v>
      </c>
      <c r="DW61" s="1809">
        <v>0</v>
      </c>
      <c r="DX61" s="1809">
        <v>0</v>
      </c>
      <c r="DY61" s="1809">
        <v>0</v>
      </c>
      <c r="DZ61" s="1809">
        <v>0</v>
      </c>
      <c r="EA61" s="1809">
        <v>0</v>
      </c>
      <c r="EB61" s="1809">
        <v>0</v>
      </c>
      <c r="EC61" s="1809">
        <v>0</v>
      </c>
      <c r="ED61" s="1809">
        <v>0</v>
      </c>
      <c r="EE61" s="1809">
        <v>0</v>
      </c>
      <c r="EF61" s="1809">
        <v>0</v>
      </c>
      <c r="EG61" s="1809">
        <v>0</v>
      </c>
      <c r="EH61" s="1809">
        <v>0</v>
      </c>
      <c r="EI61" s="1809">
        <v>0</v>
      </c>
      <c r="EJ61" s="1809">
        <v>0</v>
      </c>
      <c r="EK61" s="1809">
        <v>0</v>
      </c>
      <c r="EL61" s="1809">
        <v>0</v>
      </c>
      <c r="EM61" s="1809">
        <v>0</v>
      </c>
      <c r="EN61" s="1809">
        <v>0</v>
      </c>
      <c r="EO61" s="1809">
        <v>0</v>
      </c>
      <c r="EP61" s="1809">
        <v>0</v>
      </c>
      <c r="EQ61" s="1809">
        <v>0</v>
      </c>
      <c r="ER61" s="1809">
        <v>0</v>
      </c>
      <c r="ES61" s="1809">
        <v>0</v>
      </c>
      <c r="ET61" s="1809">
        <v>0</v>
      </c>
      <c r="EU61" s="1809">
        <v>0</v>
      </c>
      <c r="EV61" s="1809">
        <v>0</v>
      </c>
      <c r="EW61" s="1809">
        <v>0</v>
      </c>
      <c r="EX61" s="1809">
        <v>0</v>
      </c>
      <c r="EY61" s="1809">
        <v>0</v>
      </c>
      <c r="EZ61" s="1809">
        <v>0</v>
      </c>
      <c r="FA61" s="1809">
        <v>0</v>
      </c>
      <c r="FB61" s="1809">
        <v>0</v>
      </c>
      <c r="FC61" s="1809">
        <v>0</v>
      </c>
      <c r="FD61" s="1809">
        <v>0</v>
      </c>
      <c r="FE61" s="1809">
        <v>0</v>
      </c>
      <c r="FF61" s="1809">
        <v>0</v>
      </c>
      <c r="FG61" s="1809">
        <v>0</v>
      </c>
      <c r="FH61" s="1809">
        <v>0</v>
      </c>
      <c r="FI61" s="1809">
        <v>0</v>
      </c>
      <c r="FJ61" s="1809">
        <v>0</v>
      </c>
      <c r="FK61" s="1809">
        <v>0</v>
      </c>
      <c r="FL61" s="1809">
        <v>0</v>
      </c>
      <c r="FM61" s="1809">
        <v>0</v>
      </c>
      <c r="FN61" s="1809">
        <v>0</v>
      </c>
      <c r="FO61" s="1809">
        <v>0</v>
      </c>
      <c r="FP61" s="1809">
        <v>0</v>
      </c>
      <c r="FQ61" s="1809">
        <v>0</v>
      </c>
      <c r="FR61" s="1809">
        <v>0</v>
      </c>
      <c r="FS61" s="1809">
        <v>0</v>
      </c>
      <c r="FT61" s="1809">
        <v>0</v>
      </c>
      <c r="FU61" s="1809">
        <v>0</v>
      </c>
      <c r="FV61" s="1809">
        <v>0</v>
      </c>
      <c r="FW61" s="1809">
        <v>0</v>
      </c>
      <c r="FX61" s="1809">
        <v>0</v>
      </c>
      <c r="FY61" s="1809">
        <v>0</v>
      </c>
      <c r="FZ61" s="1809">
        <v>0</v>
      </c>
      <c r="GA61" s="1809">
        <v>0</v>
      </c>
      <c r="GB61" s="1809">
        <v>0</v>
      </c>
      <c r="GC61" s="1809">
        <v>0</v>
      </c>
      <c r="GD61" s="1809">
        <v>0</v>
      </c>
      <c r="GE61" s="1809">
        <v>0</v>
      </c>
      <c r="GF61" s="1809">
        <v>0</v>
      </c>
      <c r="GG61" s="1809">
        <v>0</v>
      </c>
      <c r="GH61" s="1809">
        <v>0</v>
      </c>
      <c r="GI61" s="1809">
        <v>0</v>
      </c>
      <c r="GJ61" s="1809">
        <v>0</v>
      </c>
      <c r="GK61" s="1809">
        <v>0</v>
      </c>
      <c r="GL61" s="1809">
        <v>0</v>
      </c>
      <c r="GM61" s="1809">
        <v>0</v>
      </c>
      <c r="GN61" s="1809">
        <v>0</v>
      </c>
      <c r="GO61" s="1809">
        <v>0</v>
      </c>
      <c r="GP61" s="1809">
        <v>0</v>
      </c>
      <c r="GQ61" s="1809">
        <v>0</v>
      </c>
      <c r="GR61" s="1809">
        <v>0</v>
      </c>
      <c r="GS61" s="1809">
        <v>0</v>
      </c>
      <c r="GT61" s="1809">
        <v>0</v>
      </c>
      <c r="GU61" s="1809">
        <v>0</v>
      </c>
      <c r="GV61" s="1809">
        <v>0</v>
      </c>
      <c r="GW61" s="1809">
        <v>0</v>
      </c>
      <c r="GX61" s="1809">
        <v>0</v>
      </c>
      <c r="GY61" s="1809">
        <v>0</v>
      </c>
      <c r="GZ61" s="1809">
        <v>0</v>
      </c>
      <c r="HA61" s="1809">
        <v>0</v>
      </c>
      <c r="HB61" s="1809">
        <v>0</v>
      </c>
      <c r="HC61" s="1809">
        <v>0</v>
      </c>
      <c r="HD61" s="1809">
        <v>0</v>
      </c>
      <c r="HE61" s="1809">
        <v>0</v>
      </c>
      <c r="HF61" s="1809">
        <v>0</v>
      </c>
      <c r="HG61" s="1809">
        <v>0</v>
      </c>
    </row>
    <row r="62" spans="1:215" s="1893" customFormat="1" ht="30" customHeight="1" thickBot="1" x14ac:dyDescent="0.25">
      <c r="A62" s="2028"/>
      <c r="B62" s="2013" t="s">
        <v>595</v>
      </c>
      <c r="C62" s="2014"/>
      <c r="D62" s="2014"/>
      <c r="E62" s="1920" t="s">
        <v>2393</v>
      </c>
      <c r="F62" s="1911">
        <f t="shared" ref="F62" si="30">SUM(F58:F61)</f>
        <v>0</v>
      </c>
      <c r="G62" s="1599"/>
      <c r="H62" s="1940">
        <f>SUM(H58:H61)</f>
        <v>0</v>
      </c>
      <c r="I62" s="1940">
        <f t="shared" ref="I62:BT62" si="31">SUM(I58:I61)</f>
        <v>0</v>
      </c>
      <c r="J62" s="1940">
        <f t="shared" si="31"/>
        <v>0</v>
      </c>
      <c r="K62" s="1940">
        <f t="shared" si="31"/>
        <v>0</v>
      </c>
      <c r="L62" s="1940">
        <f t="shared" si="31"/>
        <v>0</v>
      </c>
      <c r="M62" s="1940">
        <f t="shared" si="31"/>
        <v>0</v>
      </c>
      <c r="N62" s="1940">
        <f t="shared" si="31"/>
        <v>0</v>
      </c>
      <c r="O62" s="1940">
        <f t="shared" si="31"/>
        <v>0</v>
      </c>
      <c r="P62" s="1940">
        <f t="shared" si="31"/>
        <v>0</v>
      </c>
      <c r="Q62" s="1940">
        <f t="shared" si="31"/>
        <v>0</v>
      </c>
      <c r="R62" s="1940">
        <f t="shared" si="31"/>
        <v>0</v>
      </c>
      <c r="S62" s="1940">
        <f t="shared" si="31"/>
        <v>0</v>
      </c>
      <c r="T62" s="1940">
        <f t="shared" si="31"/>
        <v>0</v>
      </c>
      <c r="U62" s="1940">
        <f t="shared" si="31"/>
        <v>0</v>
      </c>
      <c r="V62" s="1940">
        <f t="shared" si="31"/>
        <v>0</v>
      </c>
      <c r="W62" s="1940">
        <f t="shared" si="31"/>
        <v>0</v>
      </c>
      <c r="X62" s="1940">
        <f t="shared" si="31"/>
        <v>0</v>
      </c>
      <c r="Y62" s="1940">
        <f t="shared" si="31"/>
        <v>0</v>
      </c>
      <c r="Z62" s="1940">
        <f t="shared" si="31"/>
        <v>0</v>
      </c>
      <c r="AA62" s="1940">
        <f t="shared" si="31"/>
        <v>0</v>
      </c>
      <c r="AB62" s="1940">
        <f t="shared" si="31"/>
        <v>0</v>
      </c>
      <c r="AC62" s="1940">
        <f t="shared" si="31"/>
        <v>0</v>
      </c>
      <c r="AD62" s="1940">
        <f t="shared" si="31"/>
        <v>0</v>
      </c>
      <c r="AE62" s="1940">
        <f t="shared" si="31"/>
        <v>0</v>
      </c>
      <c r="AF62" s="1940">
        <f t="shared" si="31"/>
        <v>0</v>
      </c>
      <c r="AG62" s="1940">
        <f t="shared" si="31"/>
        <v>0</v>
      </c>
      <c r="AH62" s="1940">
        <f t="shared" si="31"/>
        <v>0</v>
      </c>
      <c r="AI62" s="1940">
        <f t="shared" si="31"/>
        <v>0</v>
      </c>
      <c r="AJ62" s="1940">
        <f t="shared" si="31"/>
        <v>0</v>
      </c>
      <c r="AK62" s="1940">
        <f t="shared" si="31"/>
        <v>0</v>
      </c>
      <c r="AL62" s="1940">
        <f t="shared" si="31"/>
        <v>0</v>
      </c>
      <c r="AM62" s="1940">
        <f t="shared" si="31"/>
        <v>0</v>
      </c>
      <c r="AN62" s="1940">
        <f t="shared" si="31"/>
        <v>0</v>
      </c>
      <c r="AO62" s="1940">
        <f t="shared" si="31"/>
        <v>0</v>
      </c>
      <c r="AP62" s="1940">
        <f t="shared" si="31"/>
        <v>0</v>
      </c>
      <c r="AQ62" s="1940">
        <f t="shared" si="31"/>
        <v>0</v>
      </c>
      <c r="AR62" s="1940">
        <f t="shared" si="31"/>
        <v>0</v>
      </c>
      <c r="AS62" s="1940">
        <f t="shared" si="31"/>
        <v>0</v>
      </c>
      <c r="AT62" s="1940">
        <f t="shared" si="31"/>
        <v>0</v>
      </c>
      <c r="AU62" s="1940">
        <f t="shared" si="31"/>
        <v>0</v>
      </c>
      <c r="AV62" s="1940">
        <f t="shared" si="31"/>
        <v>0</v>
      </c>
      <c r="AW62" s="1940">
        <f t="shared" si="31"/>
        <v>0</v>
      </c>
      <c r="AX62" s="1940">
        <f t="shared" si="31"/>
        <v>0</v>
      </c>
      <c r="AY62" s="1940">
        <f t="shared" si="31"/>
        <v>0</v>
      </c>
      <c r="AZ62" s="1940">
        <f t="shared" si="31"/>
        <v>0</v>
      </c>
      <c r="BA62" s="1940">
        <f t="shared" si="31"/>
        <v>0</v>
      </c>
      <c r="BB62" s="1940">
        <f t="shared" si="31"/>
        <v>0</v>
      </c>
      <c r="BC62" s="1940">
        <f t="shared" si="31"/>
        <v>0</v>
      </c>
      <c r="BD62" s="1940">
        <f t="shared" si="31"/>
        <v>0</v>
      </c>
      <c r="BE62" s="1940">
        <f t="shared" si="31"/>
        <v>0</v>
      </c>
      <c r="BF62" s="1940">
        <f t="shared" si="31"/>
        <v>0</v>
      </c>
      <c r="BG62" s="1940">
        <f t="shared" si="31"/>
        <v>0</v>
      </c>
      <c r="BH62" s="1940">
        <f t="shared" si="31"/>
        <v>0</v>
      </c>
      <c r="BI62" s="1940">
        <f t="shared" si="31"/>
        <v>0</v>
      </c>
      <c r="BJ62" s="1940">
        <f t="shared" si="31"/>
        <v>0</v>
      </c>
      <c r="BK62" s="1940">
        <f t="shared" si="31"/>
        <v>0</v>
      </c>
      <c r="BL62" s="1940">
        <f t="shared" si="31"/>
        <v>0</v>
      </c>
      <c r="BM62" s="1940">
        <f t="shared" si="31"/>
        <v>0</v>
      </c>
      <c r="BN62" s="1940">
        <f t="shared" si="31"/>
        <v>0</v>
      </c>
      <c r="BO62" s="1940">
        <f t="shared" si="31"/>
        <v>0</v>
      </c>
      <c r="BP62" s="1940">
        <f t="shared" si="31"/>
        <v>0</v>
      </c>
      <c r="BQ62" s="1940">
        <f t="shared" si="31"/>
        <v>0</v>
      </c>
      <c r="BR62" s="1940">
        <f t="shared" si="31"/>
        <v>0</v>
      </c>
      <c r="BS62" s="1940">
        <f t="shared" si="31"/>
        <v>0</v>
      </c>
      <c r="BT62" s="1940">
        <f t="shared" si="31"/>
        <v>0</v>
      </c>
      <c r="BU62" s="1940">
        <f t="shared" ref="BU62:EF62" si="32">SUM(BU58:BU61)</f>
        <v>0</v>
      </c>
      <c r="BV62" s="1940">
        <f t="shared" si="32"/>
        <v>0</v>
      </c>
      <c r="BW62" s="1940">
        <f t="shared" si="32"/>
        <v>0</v>
      </c>
      <c r="BX62" s="1940">
        <f t="shared" si="32"/>
        <v>0</v>
      </c>
      <c r="BY62" s="1940">
        <f t="shared" si="32"/>
        <v>0</v>
      </c>
      <c r="BZ62" s="1940">
        <f t="shared" si="32"/>
        <v>0</v>
      </c>
      <c r="CA62" s="1940">
        <f t="shared" si="32"/>
        <v>0</v>
      </c>
      <c r="CB62" s="1940">
        <f t="shared" si="32"/>
        <v>0</v>
      </c>
      <c r="CC62" s="1940">
        <f t="shared" si="32"/>
        <v>0</v>
      </c>
      <c r="CD62" s="1940">
        <f t="shared" si="32"/>
        <v>0</v>
      </c>
      <c r="CE62" s="1940">
        <f t="shared" si="32"/>
        <v>0</v>
      </c>
      <c r="CF62" s="1940">
        <f t="shared" si="32"/>
        <v>0</v>
      </c>
      <c r="CG62" s="1940">
        <f t="shared" si="32"/>
        <v>0</v>
      </c>
      <c r="CH62" s="1940">
        <f t="shared" si="32"/>
        <v>0</v>
      </c>
      <c r="CI62" s="1940">
        <f t="shared" si="32"/>
        <v>0</v>
      </c>
      <c r="CJ62" s="1940">
        <f t="shared" si="32"/>
        <v>0</v>
      </c>
      <c r="CK62" s="1940">
        <f t="shared" si="32"/>
        <v>0</v>
      </c>
      <c r="CL62" s="1940">
        <f t="shared" si="32"/>
        <v>0</v>
      </c>
      <c r="CM62" s="1940">
        <f t="shared" si="32"/>
        <v>0</v>
      </c>
      <c r="CN62" s="1940">
        <f t="shared" si="32"/>
        <v>0</v>
      </c>
      <c r="CO62" s="1940">
        <f t="shared" si="32"/>
        <v>0</v>
      </c>
      <c r="CP62" s="1940">
        <f t="shared" si="32"/>
        <v>0</v>
      </c>
      <c r="CQ62" s="1940">
        <f t="shared" si="32"/>
        <v>0</v>
      </c>
      <c r="CR62" s="1940">
        <f t="shared" si="32"/>
        <v>0</v>
      </c>
      <c r="CS62" s="1940">
        <f t="shared" si="32"/>
        <v>0</v>
      </c>
      <c r="CT62" s="1940">
        <f t="shared" si="32"/>
        <v>0</v>
      </c>
      <c r="CU62" s="1940">
        <f t="shared" si="32"/>
        <v>0</v>
      </c>
      <c r="CV62" s="1940">
        <f t="shared" si="32"/>
        <v>0</v>
      </c>
      <c r="CW62" s="1940">
        <f t="shared" si="32"/>
        <v>0</v>
      </c>
      <c r="CX62" s="1940">
        <f t="shared" si="32"/>
        <v>0</v>
      </c>
      <c r="CY62" s="1940">
        <f t="shared" si="32"/>
        <v>0</v>
      </c>
      <c r="CZ62" s="1940">
        <f t="shared" si="32"/>
        <v>0</v>
      </c>
      <c r="DA62" s="1940">
        <f t="shared" si="32"/>
        <v>0</v>
      </c>
      <c r="DB62" s="1940">
        <f t="shared" si="32"/>
        <v>0</v>
      </c>
      <c r="DC62" s="1940">
        <f t="shared" si="32"/>
        <v>0</v>
      </c>
      <c r="DD62" s="1940">
        <f t="shared" si="32"/>
        <v>0</v>
      </c>
      <c r="DE62" s="1940">
        <f t="shared" si="32"/>
        <v>0</v>
      </c>
      <c r="DF62" s="1940">
        <f t="shared" si="32"/>
        <v>0</v>
      </c>
      <c r="DG62" s="1940">
        <f t="shared" si="32"/>
        <v>0</v>
      </c>
      <c r="DH62" s="1940">
        <f t="shared" si="32"/>
        <v>0</v>
      </c>
      <c r="DI62" s="1940">
        <f t="shared" si="32"/>
        <v>0</v>
      </c>
      <c r="DJ62" s="1940">
        <f t="shared" si="32"/>
        <v>0</v>
      </c>
      <c r="DK62" s="1940">
        <f t="shared" si="32"/>
        <v>0</v>
      </c>
      <c r="DL62" s="1940">
        <f t="shared" si="32"/>
        <v>0</v>
      </c>
      <c r="DM62" s="1940">
        <f t="shared" si="32"/>
        <v>0</v>
      </c>
      <c r="DN62" s="1940">
        <f t="shared" si="32"/>
        <v>0</v>
      </c>
      <c r="DO62" s="1940">
        <f t="shared" si="32"/>
        <v>0</v>
      </c>
      <c r="DP62" s="1940">
        <f t="shared" si="32"/>
        <v>0</v>
      </c>
      <c r="DQ62" s="1940">
        <f t="shared" si="32"/>
        <v>0</v>
      </c>
      <c r="DR62" s="1940">
        <f t="shared" si="32"/>
        <v>0</v>
      </c>
      <c r="DS62" s="1940">
        <f t="shared" si="32"/>
        <v>0</v>
      </c>
      <c r="DT62" s="1940">
        <f t="shared" si="32"/>
        <v>0</v>
      </c>
      <c r="DU62" s="1940">
        <f t="shared" si="32"/>
        <v>0</v>
      </c>
      <c r="DV62" s="1940">
        <f t="shared" si="32"/>
        <v>0</v>
      </c>
      <c r="DW62" s="1940">
        <f t="shared" si="32"/>
        <v>0</v>
      </c>
      <c r="DX62" s="1940">
        <f t="shared" si="32"/>
        <v>0</v>
      </c>
      <c r="DY62" s="1940">
        <f t="shared" si="32"/>
        <v>0</v>
      </c>
      <c r="DZ62" s="1940">
        <f t="shared" si="32"/>
        <v>0</v>
      </c>
      <c r="EA62" s="1940">
        <f t="shared" si="32"/>
        <v>0</v>
      </c>
      <c r="EB62" s="1940">
        <f t="shared" si="32"/>
        <v>0</v>
      </c>
      <c r="EC62" s="1940">
        <f t="shared" si="32"/>
        <v>0</v>
      </c>
      <c r="ED62" s="1940">
        <f t="shared" si="32"/>
        <v>0</v>
      </c>
      <c r="EE62" s="1940">
        <f t="shared" si="32"/>
        <v>0</v>
      </c>
      <c r="EF62" s="1940">
        <f t="shared" si="32"/>
        <v>0</v>
      </c>
      <c r="EG62" s="1940">
        <f t="shared" ref="EG62:GR62" si="33">SUM(EG58:EG61)</f>
        <v>0</v>
      </c>
      <c r="EH62" s="1940">
        <f t="shared" si="33"/>
        <v>0</v>
      </c>
      <c r="EI62" s="1940">
        <f t="shared" si="33"/>
        <v>0</v>
      </c>
      <c r="EJ62" s="1940">
        <f t="shared" si="33"/>
        <v>0</v>
      </c>
      <c r="EK62" s="1940">
        <f t="shared" si="33"/>
        <v>0</v>
      </c>
      <c r="EL62" s="1940">
        <f t="shared" si="33"/>
        <v>0</v>
      </c>
      <c r="EM62" s="1940">
        <f t="shared" si="33"/>
        <v>0</v>
      </c>
      <c r="EN62" s="1940">
        <f t="shared" si="33"/>
        <v>0</v>
      </c>
      <c r="EO62" s="1940">
        <f t="shared" si="33"/>
        <v>0</v>
      </c>
      <c r="EP62" s="1940">
        <f t="shared" si="33"/>
        <v>0</v>
      </c>
      <c r="EQ62" s="1940">
        <f t="shared" si="33"/>
        <v>0</v>
      </c>
      <c r="ER62" s="1940">
        <f t="shared" si="33"/>
        <v>0</v>
      </c>
      <c r="ES62" s="1940">
        <f t="shared" si="33"/>
        <v>0</v>
      </c>
      <c r="ET62" s="1940">
        <f t="shared" si="33"/>
        <v>0</v>
      </c>
      <c r="EU62" s="1940">
        <f t="shared" si="33"/>
        <v>0</v>
      </c>
      <c r="EV62" s="1940">
        <f t="shared" si="33"/>
        <v>0</v>
      </c>
      <c r="EW62" s="1940">
        <f t="shared" si="33"/>
        <v>0</v>
      </c>
      <c r="EX62" s="1940">
        <f t="shared" si="33"/>
        <v>0</v>
      </c>
      <c r="EY62" s="1940">
        <f t="shared" si="33"/>
        <v>0</v>
      </c>
      <c r="EZ62" s="1940">
        <f t="shared" si="33"/>
        <v>0</v>
      </c>
      <c r="FA62" s="1940">
        <f t="shared" si="33"/>
        <v>0</v>
      </c>
      <c r="FB62" s="1940">
        <f t="shared" si="33"/>
        <v>0</v>
      </c>
      <c r="FC62" s="1940">
        <f t="shared" si="33"/>
        <v>0</v>
      </c>
      <c r="FD62" s="1940">
        <f t="shared" si="33"/>
        <v>0</v>
      </c>
      <c r="FE62" s="1940">
        <f t="shared" si="33"/>
        <v>0</v>
      </c>
      <c r="FF62" s="1940">
        <f t="shared" si="33"/>
        <v>0</v>
      </c>
      <c r="FG62" s="1940">
        <f t="shared" si="33"/>
        <v>0</v>
      </c>
      <c r="FH62" s="1940">
        <f t="shared" si="33"/>
        <v>0</v>
      </c>
      <c r="FI62" s="1940">
        <f t="shared" si="33"/>
        <v>0</v>
      </c>
      <c r="FJ62" s="1940">
        <f t="shared" si="33"/>
        <v>0</v>
      </c>
      <c r="FK62" s="1940">
        <f t="shared" si="33"/>
        <v>0</v>
      </c>
      <c r="FL62" s="1940">
        <f t="shared" si="33"/>
        <v>0</v>
      </c>
      <c r="FM62" s="1940">
        <f t="shared" si="33"/>
        <v>0</v>
      </c>
      <c r="FN62" s="1940">
        <f t="shared" si="33"/>
        <v>0</v>
      </c>
      <c r="FO62" s="1940">
        <f t="shared" si="33"/>
        <v>0</v>
      </c>
      <c r="FP62" s="1940">
        <f t="shared" si="33"/>
        <v>0</v>
      </c>
      <c r="FQ62" s="1940">
        <f t="shared" si="33"/>
        <v>0</v>
      </c>
      <c r="FR62" s="1940">
        <f t="shared" si="33"/>
        <v>0</v>
      </c>
      <c r="FS62" s="1940">
        <f t="shared" si="33"/>
        <v>0</v>
      </c>
      <c r="FT62" s="1940">
        <f t="shared" si="33"/>
        <v>0</v>
      </c>
      <c r="FU62" s="1940">
        <f t="shared" si="33"/>
        <v>0</v>
      </c>
      <c r="FV62" s="1940">
        <f t="shared" si="33"/>
        <v>0</v>
      </c>
      <c r="FW62" s="1940">
        <f t="shared" si="33"/>
        <v>0</v>
      </c>
      <c r="FX62" s="1940">
        <f t="shared" si="33"/>
        <v>0</v>
      </c>
      <c r="FY62" s="1940">
        <f t="shared" si="33"/>
        <v>0</v>
      </c>
      <c r="FZ62" s="1940">
        <f t="shared" si="33"/>
        <v>0</v>
      </c>
      <c r="GA62" s="1940">
        <f t="shared" si="33"/>
        <v>0</v>
      </c>
      <c r="GB62" s="1940">
        <f t="shared" si="33"/>
        <v>0</v>
      </c>
      <c r="GC62" s="1940">
        <f t="shared" si="33"/>
        <v>0</v>
      </c>
      <c r="GD62" s="1940">
        <f t="shared" si="33"/>
        <v>0</v>
      </c>
      <c r="GE62" s="1940">
        <f t="shared" si="33"/>
        <v>0</v>
      </c>
      <c r="GF62" s="1940">
        <f t="shared" si="33"/>
        <v>0</v>
      </c>
      <c r="GG62" s="1940">
        <f t="shared" si="33"/>
        <v>0</v>
      </c>
      <c r="GH62" s="1940">
        <f t="shared" si="33"/>
        <v>0</v>
      </c>
      <c r="GI62" s="1940">
        <f t="shared" si="33"/>
        <v>0</v>
      </c>
      <c r="GJ62" s="1940">
        <f t="shared" si="33"/>
        <v>0</v>
      </c>
      <c r="GK62" s="1940">
        <f t="shared" si="33"/>
        <v>0</v>
      </c>
      <c r="GL62" s="1940">
        <f t="shared" si="33"/>
        <v>0</v>
      </c>
      <c r="GM62" s="1940">
        <f t="shared" si="33"/>
        <v>0</v>
      </c>
      <c r="GN62" s="1940">
        <f t="shared" si="33"/>
        <v>0</v>
      </c>
      <c r="GO62" s="1940">
        <f t="shared" si="33"/>
        <v>0</v>
      </c>
      <c r="GP62" s="1940">
        <f t="shared" si="33"/>
        <v>0</v>
      </c>
      <c r="GQ62" s="1940">
        <f t="shared" si="33"/>
        <v>0</v>
      </c>
      <c r="GR62" s="1940">
        <f t="shared" si="33"/>
        <v>0</v>
      </c>
      <c r="GS62" s="1940">
        <f t="shared" ref="GS62:HG62" si="34">SUM(GS58:GS61)</f>
        <v>0</v>
      </c>
      <c r="GT62" s="1940">
        <f t="shared" si="34"/>
        <v>0</v>
      </c>
      <c r="GU62" s="1940">
        <f t="shared" si="34"/>
        <v>0</v>
      </c>
      <c r="GV62" s="1940">
        <f t="shared" si="34"/>
        <v>0</v>
      </c>
      <c r="GW62" s="1940">
        <f t="shared" si="34"/>
        <v>0</v>
      </c>
      <c r="GX62" s="1940">
        <f t="shared" si="34"/>
        <v>0</v>
      </c>
      <c r="GY62" s="1940">
        <f t="shared" si="34"/>
        <v>0</v>
      </c>
      <c r="GZ62" s="1940">
        <f t="shared" si="34"/>
        <v>0</v>
      </c>
      <c r="HA62" s="1940">
        <f t="shared" si="34"/>
        <v>0</v>
      </c>
      <c r="HB62" s="1940">
        <f t="shared" si="34"/>
        <v>0</v>
      </c>
      <c r="HC62" s="1940">
        <f t="shared" si="34"/>
        <v>0</v>
      </c>
      <c r="HD62" s="1940">
        <f t="shared" si="34"/>
        <v>0</v>
      </c>
      <c r="HE62" s="1940">
        <f t="shared" si="34"/>
        <v>0</v>
      </c>
      <c r="HF62" s="1940">
        <f t="shared" si="34"/>
        <v>0</v>
      </c>
      <c r="HG62" s="1940">
        <f t="shared" si="34"/>
        <v>0</v>
      </c>
    </row>
    <row r="63" spans="1:215" s="1893" customFormat="1" ht="21" customHeight="1" thickBot="1" x14ac:dyDescent="0.25">
      <c r="A63" s="2028"/>
      <c r="B63" s="2025"/>
      <c r="C63" s="2026"/>
      <c r="D63" s="2026"/>
      <c r="E63" s="1912" t="s">
        <v>602</v>
      </c>
      <c r="F63" s="1913">
        <f t="shared" ref="F63" si="35">F62/12</f>
        <v>0</v>
      </c>
      <c r="G63" s="1601"/>
      <c r="H63" s="1941">
        <f>H62/12</f>
        <v>0</v>
      </c>
      <c r="I63" s="1941">
        <f t="shared" ref="I63:BT63" si="36">I62/12</f>
        <v>0</v>
      </c>
      <c r="J63" s="1941">
        <f t="shared" si="36"/>
        <v>0</v>
      </c>
      <c r="K63" s="1941">
        <f t="shared" si="36"/>
        <v>0</v>
      </c>
      <c r="L63" s="1941">
        <f t="shared" si="36"/>
        <v>0</v>
      </c>
      <c r="M63" s="1941">
        <f t="shared" si="36"/>
        <v>0</v>
      </c>
      <c r="N63" s="1941">
        <f t="shared" si="36"/>
        <v>0</v>
      </c>
      <c r="O63" s="1941">
        <f t="shared" si="36"/>
        <v>0</v>
      </c>
      <c r="P63" s="1941">
        <f t="shared" si="36"/>
        <v>0</v>
      </c>
      <c r="Q63" s="1941">
        <f t="shared" si="36"/>
        <v>0</v>
      </c>
      <c r="R63" s="1941">
        <f t="shared" si="36"/>
        <v>0</v>
      </c>
      <c r="S63" s="1941">
        <f t="shared" si="36"/>
        <v>0</v>
      </c>
      <c r="T63" s="1941">
        <f t="shared" si="36"/>
        <v>0</v>
      </c>
      <c r="U63" s="1941">
        <f t="shared" si="36"/>
        <v>0</v>
      </c>
      <c r="V63" s="1941">
        <f t="shared" si="36"/>
        <v>0</v>
      </c>
      <c r="W63" s="1941">
        <f t="shared" si="36"/>
        <v>0</v>
      </c>
      <c r="X63" s="1941">
        <f t="shared" si="36"/>
        <v>0</v>
      </c>
      <c r="Y63" s="1941">
        <f t="shared" si="36"/>
        <v>0</v>
      </c>
      <c r="Z63" s="1941">
        <f t="shared" si="36"/>
        <v>0</v>
      </c>
      <c r="AA63" s="1941">
        <f t="shared" si="36"/>
        <v>0</v>
      </c>
      <c r="AB63" s="1941">
        <f t="shared" si="36"/>
        <v>0</v>
      </c>
      <c r="AC63" s="1941">
        <f t="shared" si="36"/>
        <v>0</v>
      </c>
      <c r="AD63" s="1941">
        <f t="shared" si="36"/>
        <v>0</v>
      </c>
      <c r="AE63" s="1941">
        <f t="shared" si="36"/>
        <v>0</v>
      </c>
      <c r="AF63" s="1941">
        <f t="shared" si="36"/>
        <v>0</v>
      </c>
      <c r="AG63" s="1941">
        <f t="shared" si="36"/>
        <v>0</v>
      </c>
      <c r="AH63" s="1941">
        <f t="shared" si="36"/>
        <v>0</v>
      </c>
      <c r="AI63" s="1941">
        <f t="shared" si="36"/>
        <v>0</v>
      </c>
      <c r="AJ63" s="1941">
        <f t="shared" si="36"/>
        <v>0</v>
      </c>
      <c r="AK63" s="1941">
        <f t="shared" si="36"/>
        <v>0</v>
      </c>
      <c r="AL63" s="1941">
        <f t="shared" si="36"/>
        <v>0</v>
      </c>
      <c r="AM63" s="1941">
        <f t="shared" si="36"/>
        <v>0</v>
      </c>
      <c r="AN63" s="1941">
        <f t="shared" si="36"/>
        <v>0</v>
      </c>
      <c r="AO63" s="1941">
        <f t="shared" si="36"/>
        <v>0</v>
      </c>
      <c r="AP63" s="1941">
        <f t="shared" si="36"/>
        <v>0</v>
      </c>
      <c r="AQ63" s="1941">
        <f t="shared" si="36"/>
        <v>0</v>
      </c>
      <c r="AR63" s="1941">
        <f t="shared" si="36"/>
        <v>0</v>
      </c>
      <c r="AS63" s="1941">
        <f t="shared" si="36"/>
        <v>0</v>
      </c>
      <c r="AT63" s="1941">
        <f t="shared" si="36"/>
        <v>0</v>
      </c>
      <c r="AU63" s="1941">
        <f t="shared" si="36"/>
        <v>0</v>
      </c>
      <c r="AV63" s="1941">
        <f t="shared" si="36"/>
        <v>0</v>
      </c>
      <c r="AW63" s="1941">
        <f t="shared" si="36"/>
        <v>0</v>
      </c>
      <c r="AX63" s="1941">
        <f t="shared" si="36"/>
        <v>0</v>
      </c>
      <c r="AY63" s="1941">
        <f t="shared" si="36"/>
        <v>0</v>
      </c>
      <c r="AZ63" s="1941">
        <f t="shared" si="36"/>
        <v>0</v>
      </c>
      <c r="BA63" s="1941">
        <f t="shared" si="36"/>
        <v>0</v>
      </c>
      <c r="BB63" s="1941">
        <f t="shared" si="36"/>
        <v>0</v>
      </c>
      <c r="BC63" s="1941">
        <f t="shared" si="36"/>
        <v>0</v>
      </c>
      <c r="BD63" s="1941">
        <f t="shared" si="36"/>
        <v>0</v>
      </c>
      <c r="BE63" s="1941">
        <f t="shared" si="36"/>
        <v>0</v>
      </c>
      <c r="BF63" s="1941">
        <f t="shared" si="36"/>
        <v>0</v>
      </c>
      <c r="BG63" s="1941">
        <f t="shared" si="36"/>
        <v>0</v>
      </c>
      <c r="BH63" s="1941">
        <f t="shared" si="36"/>
        <v>0</v>
      </c>
      <c r="BI63" s="1941">
        <f t="shared" si="36"/>
        <v>0</v>
      </c>
      <c r="BJ63" s="1941">
        <f t="shared" si="36"/>
        <v>0</v>
      </c>
      <c r="BK63" s="1941">
        <f t="shared" si="36"/>
        <v>0</v>
      </c>
      <c r="BL63" s="1941">
        <f t="shared" si="36"/>
        <v>0</v>
      </c>
      <c r="BM63" s="1941">
        <f t="shared" si="36"/>
        <v>0</v>
      </c>
      <c r="BN63" s="1941">
        <f t="shared" si="36"/>
        <v>0</v>
      </c>
      <c r="BO63" s="1941">
        <f t="shared" si="36"/>
        <v>0</v>
      </c>
      <c r="BP63" s="1941">
        <f t="shared" si="36"/>
        <v>0</v>
      </c>
      <c r="BQ63" s="1941">
        <f t="shared" si="36"/>
        <v>0</v>
      </c>
      <c r="BR63" s="1941">
        <f t="shared" si="36"/>
        <v>0</v>
      </c>
      <c r="BS63" s="1941">
        <f t="shared" si="36"/>
        <v>0</v>
      </c>
      <c r="BT63" s="1941">
        <f t="shared" si="36"/>
        <v>0</v>
      </c>
      <c r="BU63" s="1941">
        <f t="shared" ref="BU63:EF63" si="37">BU62/12</f>
        <v>0</v>
      </c>
      <c r="BV63" s="1941">
        <f t="shared" si="37"/>
        <v>0</v>
      </c>
      <c r="BW63" s="1941">
        <f t="shared" si="37"/>
        <v>0</v>
      </c>
      <c r="BX63" s="1941">
        <f t="shared" si="37"/>
        <v>0</v>
      </c>
      <c r="BY63" s="1941">
        <f t="shared" si="37"/>
        <v>0</v>
      </c>
      <c r="BZ63" s="1941">
        <f t="shared" si="37"/>
        <v>0</v>
      </c>
      <c r="CA63" s="1941">
        <f t="shared" si="37"/>
        <v>0</v>
      </c>
      <c r="CB63" s="1941">
        <f t="shared" si="37"/>
        <v>0</v>
      </c>
      <c r="CC63" s="1941">
        <f t="shared" si="37"/>
        <v>0</v>
      </c>
      <c r="CD63" s="1941">
        <f t="shared" si="37"/>
        <v>0</v>
      </c>
      <c r="CE63" s="1941">
        <f t="shared" si="37"/>
        <v>0</v>
      </c>
      <c r="CF63" s="1941">
        <f t="shared" si="37"/>
        <v>0</v>
      </c>
      <c r="CG63" s="1941">
        <f t="shared" si="37"/>
        <v>0</v>
      </c>
      <c r="CH63" s="1941">
        <f t="shared" si="37"/>
        <v>0</v>
      </c>
      <c r="CI63" s="1941">
        <f t="shared" si="37"/>
        <v>0</v>
      </c>
      <c r="CJ63" s="1941">
        <f t="shared" si="37"/>
        <v>0</v>
      </c>
      <c r="CK63" s="1941">
        <f t="shared" si="37"/>
        <v>0</v>
      </c>
      <c r="CL63" s="1941">
        <f t="shared" si="37"/>
        <v>0</v>
      </c>
      <c r="CM63" s="1941">
        <f t="shared" si="37"/>
        <v>0</v>
      </c>
      <c r="CN63" s="1941">
        <f t="shared" si="37"/>
        <v>0</v>
      </c>
      <c r="CO63" s="1941">
        <f t="shared" si="37"/>
        <v>0</v>
      </c>
      <c r="CP63" s="1941">
        <f t="shared" si="37"/>
        <v>0</v>
      </c>
      <c r="CQ63" s="1941">
        <f t="shared" si="37"/>
        <v>0</v>
      </c>
      <c r="CR63" s="1941">
        <f t="shared" si="37"/>
        <v>0</v>
      </c>
      <c r="CS63" s="1941">
        <f t="shared" si="37"/>
        <v>0</v>
      </c>
      <c r="CT63" s="1941">
        <f t="shared" si="37"/>
        <v>0</v>
      </c>
      <c r="CU63" s="1941">
        <f t="shared" si="37"/>
        <v>0</v>
      </c>
      <c r="CV63" s="1941">
        <f t="shared" si="37"/>
        <v>0</v>
      </c>
      <c r="CW63" s="1941">
        <f t="shared" si="37"/>
        <v>0</v>
      </c>
      <c r="CX63" s="1941">
        <f t="shared" si="37"/>
        <v>0</v>
      </c>
      <c r="CY63" s="1941">
        <f t="shared" si="37"/>
        <v>0</v>
      </c>
      <c r="CZ63" s="1941">
        <f t="shared" si="37"/>
        <v>0</v>
      </c>
      <c r="DA63" s="1941">
        <f t="shared" si="37"/>
        <v>0</v>
      </c>
      <c r="DB63" s="1941">
        <f t="shared" si="37"/>
        <v>0</v>
      </c>
      <c r="DC63" s="1941">
        <f t="shared" si="37"/>
        <v>0</v>
      </c>
      <c r="DD63" s="1941">
        <f t="shared" si="37"/>
        <v>0</v>
      </c>
      <c r="DE63" s="1941">
        <f t="shared" si="37"/>
        <v>0</v>
      </c>
      <c r="DF63" s="1941">
        <f t="shared" si="37"/>
        <v>0</v>
      </c>
      <c r="DG63" s="1941">
        <f t="shared" si="37"/>
        <v>0</v>
      </c>
      <c r="DH63" s="1941">
        <f t="shared" si="37"/>
        <v>0</v>
      </c>
      <c r="DI63" s="1941">
        <f t="shared" si="37"/>
        <v>0</v>
      </c>
      <c r="DJ63" s="1941">
        <f t="shared" si="37"/>
        <v>0</v>
      </c>
      <c r="DK63" s="1941">
        <f t="shared" si="37"/>
        <v>0</v>
      </c>
      <c r="DL63" s="1941">
        <f t="shared" si="37"/>
        <v>0</v>
      </c>
      <c r="DM63" s="1941">
        <f t="shared" si="37"/>
        <v>0</v>
      </c>
      <c r="DN63" s="1941">
        <f t="shared" si="37"/>
        <v>0</v>
      </c>
      <c r="DO63" s="1941">
        <f t="shared" si="37"/>
        <v>0</v>
      </c>
      <c r="DP63" s="1941">
        <f t="shared" si="37"/>
        <v>0</v>
      </c>
      <c r="DQ63" s="1941">
        <f t="shared" si="37"/>
        <v>0</v>
      </c>
      <c r="DR63" s="1941">
        <f t="shared" si="37"/>
        <v>0</v>
      </c>
      <c r="DS63" s="1941">
        <f t="shared" si="37"/>
        <v>0</v>
      </c>
      <c r="DT63" s="1941">
        <f t="shared" si="37"/>
        <v>0</v>
      </c>
      <c r="DU63" s="1941">
        <f t="shared" si="37"/>
        <v>0</v>
      </c>
      <c r="DV63" s="1941">
        <f t="shared" si="37"/>
        <v>0</v>
      </c>
      <c r="DW63" s="1941">
        <f t="shared" si="37"/>
        <v>0</v>
      </c>
      <c r="DX63" s="1941">
        <f t="shared" si="37"/>
        <v>0</v>
      </c>
      <c r="DY63" s="1941">
        <f t="shared" si="37"/>
        <v>0</v>
      </c>
      <c r="DZ63" s="1941">
        <f t="shared" si="37"/>
        <v>0</v>
      </c>
      <c r="EA63" s="1941">
        <f t="shared" si="37"/>
        <v>0</v>
      </c>
      <c r="EB63" s="1941">
        <f t="shared" si="37"/>
        <v>0</v>
      </c>
      <c r="EC63" s="1941">
        <f t="shared" si="37"/>
        <v>0</v>
      </c>
      <c r="ED63" s="1941">
        <f t="shared" si="37"/>
        <v>0</v>
      </c>
      <c r="EE63" s="1941">
        <f t="shared" si="37"/>
        <v>0</v>
      </c>
      <c r="EF63" s="1941">
        <f t="shared" si="37"/>
        <v>0</v>
      </c>
      <c r="EG63" s="1941">
        <f t="shared" ref="EG63:GR63" si="38">EG62/12</f>
        <v>0</v>
      </c>
      <c r="EH63" s="1941">
        <f t="shared" si="38"/>
        <v>0</v>
      </c>
      <c r="EI63" s="1941">
        <f t="shared" si="38"/>
        <v>0</v>
      </c>
      <c r="EJ63" s="1941">
        <f t="shared" si="38"/>
        <v>0</v>
      </c>
      <c r="EK63" s="1941">
        <f t="shared" si="38"/>
        <v>0</v>
      </c>
      <c r="EL63" s="1941">
        <f t="shared" si="38"/>
        <v>0</v>
      </c>
      <c r="EM63" s="1941">
        <f t="shared" si="38"/>
        <v>0</v>
      </c>
      <c r="EN63" s="1941">
        <f t="shared" si="38"/>
        <v>0</v>
      </c>
      <c r="EO63" s="1941">
        <f t="shared" si="38"/>
        <v>0</v>
      </c>
      <c r="EP63" s="1941">
        <f t="shared" si="38"/>
        <v>0</v>
      </c>
      <c r="EQ63" s="1941">
        <f t="shared" si="38"/>
        <v>0</v>
      </c>
      <c r="ER63" s="1941">
        <f t="shared" si="38"/>
        <v>0</v>
      </c>
      <c r="ES63" s="1941">
        <f t="shared" si="38"/>
        <v>0</v>
      </c>
      <c r="ET63" s="1941">
        <f t="shared" si="38"/>
        <v>0</v>
      </c>
      <c r="EU63" s="1941">
        <f t="shared" si="38"/>
        <v>0</v>
      </c>
      <c r="EV63" s="1941">
        <f t="shared" si="38"/>
        <v>0</v>
      </c>
      <c r="EW63" s="1941">
        <f t="shared" si="38"/>
        <v>0</v>
      </c>
      <c r="EX63" s="1941">
        <f t="shared" si="38"/>
        <v>0</v>
      </c>
      <c r="EY63" s="1941">
        <f t="shared" si="38"/>
        <v>0</v>
      </c>
      <c r="EZ63" s="1941">
        <f t="shared" si="38"/>
        <v>0</v>
      </c>
      <c r="FA63" s="1941">
        <f t="shared" si="38"/>
        <v>0</v>
      </c>
      <c r="FB63" s="1941">
        <f t="shared" si="38"/>
        <v>0</v>
      </c>
      <c r="FC63" s="1941">
        <f t="shared" si="38"/>
        <v>0</v>
      </c>
      <c r="FD63" s="1941">
        <f t="shared" si="38"/>
        <v>0</v>
      </c>
      <c r="FE63" s="1941">
        <f t="shared" si="38"/>
        <v>0</v>
      </c>
      <c r="FF63" s="1941">
        <f t="shared" si="38"/>
        <v>0</v>
      </c>
      <c r="FG63" s="1941">
        <f t="shared" si="38"/>
        <v>0</v>
      </c>
      <c r="FH63" s="1941">
        <f t="shared" si="38"/>
        <v>0</v>
      </c>
      <c r="FI63" s="1941">
        <f t="shared" si="38"/>
        <v>0</v>
      </c>
      <c r="FJ63" s="1941">
        <f t="shared" si="38"/>
        <v>0</v>
      </c>
      <c r="FK63" s="1941">
        <f t="shared" si="38"/>
        <v>0</v>
      </c>
      <c r="FL63" s="1941">
        <f t="shared" si="38"/>
        <v>0</v>
      </c>
      <c r="FM63" s="1941">
        <f t="shared" si="38"/>
        <v>0</v>
      </c>
      <c r="FN63" s="1941">
        <f t="shared" si="38"/>
        <v>0</v>
      </c>
      <c r="FO63" s="1941">
        <f t="shared" si="38"/>
        <v>0</v>
      </c>
      <c r="FP63" s="1941">
        <f t="shared" si="38"/>
        <v>0</v>
      </c>
      <c r="FQ63" s="1941">
        <f t="shared" si="38"/>
        <v>0</v>
      </c>
      <c r="FR63" s="1941">
        <f t="shared" si="38"/>
        <v>0</v>
      </c>
      <c r="FS63" s="1941">
        <f t="shared" si="38"/>
        <v>0</v>
      </c>
      <c r="FT63" s="1941">
        <f t="shared" si="38"/>
        <v>0</v>
      </c>
      <c r="FU63" s="1941">
        <f t="shared" si="38"/>
        <v>0</v>
      </c>
      <c r="FV63" s="1941">
        <f t="shared" si="38"/>
        <v>0</v>
      </c>
      <c r="FW63" s="1941">
        <f t="shared" si="38"/>
        <v>0</v>
      </c>
      <c r="FX63" s="1941">
        <f t="shared" si="38"/>
        <v>0</v>
      </c>
      <c r="FY63" s="1941">
        <f t="shared" si="38"/>
        <v>0</v>
      </c>
      <c r="FZ63" s="1941">
        <f t="shared" si="38"/>
        <v>0</v>
      </c>
      <c r="GA63" s="1941">
        <f t="shared" si="38"/>
        <v>0</v>
      </c>
      <c r="GB63" s="1941">
        <f t="shared" si="38"/>
        <v>0</v>
      </c>
      <c r="GC63" s="1941">
        <f t="shared" si="38"/>
        <v>0</v>
      </c>
      <c r="GD63" s="1941">
        <f t="shared" si="38"/>
        <v>0</v>
      </c>
      <c r="GE63" s="1941">
        <f t="shared" si="38"/>
        <v>0</v>
      </c>
      <c r="GF63" s="1941">
        <f t="shared" si="38"/>
        <v>0</v>
      </c>
      <c r="GG63" s="1941">
        <f t="shared" si="38"/>
        <v>0</v>
      </c>
      <c r="GH63" s="1941">
        <f t="shared" si="38"/>
        <v>0</v>
      </c>
      <c r="GI63" s="1941">
        <f t="shared" si="38"/>
        <v>0</v>
      </c>
      <c r="GJ63" s="1941">
        <f t="shared" si="38"/>
        <v>0</v>
      </c>
      <c r="GK63" s="1941">
        <f t="shared" si="38"/>
        <v>0</v>
      </c>
      <c r="GL63" s="1941">
        <f t="shared" si="38"/>
        <v>0</v>
      </c>
      <c r="GM63" s="1941">
        <f t="shared" si="38"/>
        <v>0</v>
      </c>
      <c r="GN63" s="1941">
        <f t="shared" si="38"/>
        <v>0</v>
      </c>
      <c r="GO63" s="1941">
        <f t="shared" si="38"/>
        <v>0</v>
      </c>
      <c r="GP63" s="1941">
        <f t="shared" si="38"/>
        <v>0</v>
      </c>
      <c r="GQ63" s="1941">
        <f t="shared" si="38"/>
        <v>0</v>
      </c>
      <c r="GR63" s="1941">
        <f t="shared" si="38"/>
        <v>0</v>
      </c>
      <c r="GS63" s="1941">
        <f t="shared" ref="GS63:HG63" si="39">GS62/12</f>
        <v>0</v>
      </c>
      <c r="GT63" s="1941">
        <f t="shared" si="39"/>
        <v>0</v>
      </c>
      <c r="GU63" s="1941">
        <f t="shared" si="39"/>
        <v>0</v>
      </c>
      <c r="GV63" s="1941">
        <f t="shared" si="39"/>
        <v>0</v>
      </c>
      <c r="GW63" s="1941">
        <f t="shared" si="39"/>
        <v>0</v>
      </c>
      <c r="GX63" s="1941">
        <f t="shared" si="39"/>
        <v>0</v>
      </c>
      <c r="GY63" s="1941">
        <f t="shared" si="39"/>
        <v>0</v>
      </c>
      <c r="GZ63" s="1941">
        <f t="shared" si="39"/>
        <v>0</v>
      </c>
      <c r="HA63" s="1941">
        <f t="shared" si="39"/>
        <v>0</v>
      </c>
      <c r="HB63" s="1941">
        <f t="shared" si="39"/>
        <v>0</v>
      </c>
      <c r="HC63" s="1941">
        <f t="shared" si="39"/>
        <v>0</v>
      </c>
      <c r="HD63" s="1941">
        <f t="shared" si="39"/>
        <v>0</v>
      </c>
      <c r="HE63" s="1941">
        <f t="shared" si="39"/>
        <v>0</v>
      </c>
      <c r="HF63" s="1941">
        <f t="shared" si="39"/>
        <v>0</v>
      </c>
      <c r="HG63" s="1941">
        <f t="shared" si="39"/>
        <v>0</v>
      </c>
    </row>
    <row r="64" spans="1:215" s="1893" customFormat="1" ht="21" customHeight="1" thickBot="1" x14ac:dyDescent="0.25">
      <c r="A64" s="2016" t="s">
        <v>13</v>
      </c>
      <c r="B64" s="2045" t="s">
        <v>206</v>
      </c>
      <c r="C64" s="2046"/>
      <c r="D64" s="2046"/>
      <c r="E64" s="2047"/>
      <c r="F64" s="1921"/>
      <c r="G64" s="1597"/>
      <c r="H64" s="1808"/>
      <c r="I64" s="1808"/>
      <c r="J64" s="1808"/>
      <c r="K64" s="1808"/>
      <c r="L64" s="1808"/>
      <c r="M64" s="1808"/>
      <c r="N64" s="1808"/>
      <c r="O64" s="1808"/>
      <c r="P64" s="1808"/>
      <c r="Q64" s="1808"/>
      <c r="R64" s="1808"/>
      <c r="S64" s="1808"/>
      <c r="T64" s="1808"/>
      <c r="U64" s="1808"/>
      <c r="V64" s="1808"/>
      <c r="W64" s="1808"/>
      <c r="X64" s="1808"/>
      <c r="Y64" s="1808"/>
      <c r="Z64" s="1808"/>
      <c r="AA64" s="1808"/>
      <c r="AB64" s="1808"/>
      <c r="AC64" s="1808"/>
      <c r="AD64" s="1808"/>
      <c r="AE64" s="1808"/>
      <c r="AF64" s="1808"/>
      <c r="AG64" s="1808"/>
      <c r="AH64" s="1808"/>
      <c r="AI64" s="1808"/>
      <c r="AJ64" s="1808"/>
      <c r="AK64" s="1808"/>
      <c r="AL64" s="1808"/>
      <c r="AM64" s="1808"/>
      <c r="AN64" s="1808"/>
      <c r="AO64" s="1808"/>
      <c r="AP64" s="1808"/>
      <c r="AQ64" s="1808"/>
      <c r="AR64" s="1808"/>
      <c r="AS64" s="1808"/>
      <c r="AT64" s="1808"/>
      <c r="AU64" s="1808"/>
      <c r="AV64" s="1808"/>
      <c r="AW64" s="1808"/>
      <c r="AX64" s="1808"/>
      <c r="AY64" s="1808"/>
      <c r="AZ64" s="1808"/>
      <c r="BA64" s="1808"/>
      <c r="BB64" s="1808"/>
      <c r="BC64" s="1808"/>
      <c r="BD64" s="1808"/>
      <c r="BE64" s="1808"/>
      <c r="BF64" s="1808"/>
      <c r="BG64" s="1808"/>
      <c r="BH64" s="1808"/>
      <c r="BI64" s="1808"/>
      <c r="BJ64" s="1808"/>
      <c r="BK64" s="1808"/>
      <c r="BL64" s="1808"/>
      <c r="BM64" s="1808"/>
      <c r="BN64" s="1808"/>
      <c r="BO64" s="1808"/>
      <c r="BP64" s="1808"/>
      <c r="BQ64" s="1808"/>
      <c r="BR64" s="1808"/>
      <c r="BS64" s="1808"/>
      <c r="BT64" s="1808"/>
      <c r="BU64" s="1808"/>
      <c r="BV64" s="1808"/>
      <c r="BW64" s="1808"/>
      <c r="BX64" s="1808"/>
      <c r="BY64" s="1808"/>
      <c r="BZ64" s="1808"/>
      <c r="CA64" s="1808"/>
      <c r="CB64" s="1808"/>
      <c r="CC64" s="1808"/>
      <c r="CD64" s="1808"/>
      <c r="CE64" s="1808"/>
      <c r="CF64" s="1808"/>
      <c r="CG64" s="1808"/>
      <c r="CH64" s="1808"/>
      <c r="CI64" s="1808"/>
      <c r="CJ64" s="1808"/>
      <c r="CK64" s="1808"/>
      <c r="CL64" s="1808"/>
      <c r="CM64" s="1808"/>
      <c r="CN64" s="1808"/>
      <c r="CO64" s="1808"/>
      <c r="CP64" s="1808"/>
      <c r="CQ64" s="1808"/>
      <c r="CR64" s="1808"/>
      <c r="CS64" s="1808"/>
      <c r="CT64" s="1808"/>
      <c r="CU64" s="1808"/>
      <c r="CV64" s="1808"/>
      <c r="CW64" s="1808"/>
      <c r="CX64" s="1808"/>
      <c r="CY64" s="1808"/>
      <c r="CZ64" s="1808"/>
      <c r="DA64" s="1808"/>
      <c r="DB64" s="1808"/>
      <c r="DC64" s="1808"/>
      <c r="DD64" s="1808"/>
      <c r="DE64" s="1808"/>
      <c r="DF64" s="1808"/>
      <c r="DG64" s="1808"/>
      <c r="DH64" s="1808"/>
      <c r="DI64" s="1808"/>
      <c r="DJ64" s="1808"/>
      <c r="DK64" s="1808"/>
      <c r="DL64" s="1808"/>
      <c r="DM64" s="1808"/>
      <c r="DN64" s="1808"/>
      <c r="DO64" s="1808"/>
      <c r="DP64" s="1808"/>
      <c r="DQ64" s="1808"/>
      <c r="DR64" s="1808"/>
      <c r="DS64" s="1808"/>
      <c r="DT64" s="1808"/>
      <c r="DU64" s="1808"/>
      <c r="DV64" s="1808"/>
      <c r="DW64" s="1808"/>
      <c r="DX64" s="1808"/>
      <c r="DY64" s="1808"/>
      <c r="DZ64" s="1808"/>
      <c r="EA64" s="1808"/>
      <c r="EB64" s="1808"/>
      <c r="EC64" s="1808"/>
      <c r="ED64" s="1808"/>
      <c r="EE64" s="1808"/>
      <c r="EF64" s="1808"/>
      <c r="EG64" s="1808"/>
      <c r="EH64" s="1808"/>
      <c r="EI64" s="1808"/>
      <c r="EJ64" s="1808"/>
      <c r="EK64" s="1808"/>
      <c r="EL64" s="1808"/>
      <c r="EM64" s="1808"/>
      <c r="EN64" s="1808"/>
      <c r="EO64" s="1808"/>
      <c r="EP64" s="1808"/>
      <c r="EQ64" s="1808"/>
      <c r="ER64" s="1808"/>
      <c r="ES64" s="1808"/>
      <c r="ET64" s="1808"/>
      <c r="EU64" s="1808"/>
      <c r="EV64" s="1808"/>
      <c r="EW64" s="1808"/>
      <c r="EX64" s="1808"/>
      <c r="EY64" s="1808"/>
      <c r="EZ64" s="1808"/>
      <c r="FA64" s="1808"/>
      <c r="FB64" s="1808"/>
      <c r="FC64" s="1808"/>
      <c r="FD64" s="1808"/>
      <c r="FE64" s="1808"/>
      <c r="FF64" s="1808"/>
      <c r="FG64" s="1808"/>
      <c r="FH64" s="1808"/>
      <c r="FI64" s="1808"/>
      <c r="FJ64" s="1808"/>
      <c r="FK64" s="1808"/>
      <c r="FL64" s="1808"/>
      <c r="FM64" s="1808"/>
      <c r="FN64" s="1808"/>
      <c r="FO64" s="1808"/>
      <c r="FP64" s="1808"/>
      <c r="FQ64" s="1808"/>
      <c r="FR64" s="1808"/>
      <c r="FS64" s="1808"/>
      <c r="FT64" s="1808"/>
      <c r="FU64" s="1808"/>
      <c r="FV64" s="1808"/>
      <c r="FW64" s="1808"/>
      <c r="FX64" s="1808"/>
      <c r="FY64" s="1808"/>
      <c r="FZ64" s="1808"/>
      <c r="GA64" s="1808"/>
      <c r="GB64" s="1808"/>
      <c r="GC64" s="1808"/>
      <c r="GD64" s="1808"/>
      <c r="GE64" s="1808"/>
      <c r="GF64" s="1808"/>
      <c r="GG64" s="1808"/>
      <c r="GH64" s="1808"/>
      <c r="GI64" s="1808"/>
      <c r="GJ64" s="1808"/>
      <c r="GK64" s="1808"/>
      <c r="GL64" s="1808"/>
      <c r="GM64" s="1808"/>
      <c r="GN64" s="1808"/>
      <c r="GO64" s="1808"/>
      <c r="GP64" s="1808"/>
      <c r="GQ64" s="1808"/>
      <c r="GR64" s="1808"/>
      <c r="GS64" s="1808"/>
      <c r="GT64" s="1808"/>
      <c r="GU64" s="1808"/>
      <c r="GV64" s="1808"/>
      <c r="GW64" s="1808"/>
      <c r="GX64" s="1808"/>
      <c r="GY64" s="1808"/>
      <c r="GZ64" s="1808"/>
      <c r="HA64" s="1808"/>
      <c r="HB64" s="1808"/>
      <c r="HC64" s="1808"/>
      <c r="HD64" s="1808"/>
      <c r="HE64" s="1808"/>
      <c r="HF64" s="1808"/>
      <c r="HG64" s="1808"/>
    </row>
    <row r="65" spans="1:215" s="1893" customFormat="1" ht="30" customHeight="1" thickBot="1" x14ac:dyDescent="0.25">
      <c r="A65" s="2017"/>
      <c r="B65" s="2048" t="s">
        <v>690</v>
      </c>
      <c r="C65" s="2049"/>
      <c r="D65" s="2049"/>
      <c r="E65" s="2050"/>
      <c r="F65" s="1922"/>
      <c r="G65" s="1598"/>
      <c r="H65" s="1806"/>
      <c r="I65" s="1806"/>
      <c r="J65" s="1806"/>
      <c r="K65" s="1806"/>
      <c r="L65" s="1806"/>
      <c r="M65" s="1806"/>
      <c r="N65" s="1806"/>
      <c r="O65" s="1806"/>
      <c r="P65" s="1806"/>
      <c r="Q65" s="1806"/>
      <c r="R65" s="1806"/>
      <c r="S65" s="1806"/>
      <c r="T65" s="1806"/>
      <c r="U65" s="1806"/>
      <c r="V65" s="1806"/>
      <c r="W65" s="1806"/>
      <c r="X65" s="1806"/>
      <c r="Y65" s="1806"/>
      <c r="Z65" s="1806"/>
      <c r="AA65" s="1806"/>
      <c r="AB65" s="1806"/>
      <c r="AC65" s="1806"/>
      <c r="AD65" s="1806"/>
      <c r="AE65" s="1806"/>
      <c r="AF65" s="1806"/>
      <c r="AG65" s="1806"/>
      <c r="AH65" s="1806"/>
      <c r="AI65" s="1806"/>
      <c r="AJ65" s="1806"/>
      <c r="AK65" s="1806"/>
      <c r="AL65" s="1806"/>
      <c r="AM65" s="1806"/>
      <c r="AN65" s="1806"/>
      <c r="AO65" s="1806"/>
      <c r="AP65" s="1806"/>
      <c r="AQ65" s="1806"/>
      <c r="AR65" s="1806"/>
      <c r="AS65" s="1806"/>
      <c r="AT65" s="1806"/>
      <c r="AU65" s="1806"/>
      <c r="AV65" s="1806"/>
      <c r="AW65" s="1806"/>
      <c r="AX65" s="1806"/>
      <c r="AY65" s="1806"/>
      <c r="AZ65" s="1806"/>
      <c r="BA65" s="1806"/>
      <c r="BB65" s="1806"/>
      <c r="BC65" s="1806"/>
      <c r="BD65" s="1806"/>
      <c r="BE65" s="1806"/>
      <c r="BF65" s="1806"/>
      <c r="BG65" s="1806"/>
      <c r="BH65" s="1806"/>
      <c r="BI65" s="1806"/>
      <c r="BJ65" s="1806"/>
      <c r="BK65" s="1806"/>
      <c r="BL65" s="1806"/>
      <c r="BM65" s="1806"/>
      <c r="BN65" s="1806"/>
      <c r="BO65" s="1806"/>
      <c r="BP65" s="1806"/>
      <c r="BQ65" s="1806"/>
      <c r="BR65" s="1806"/>
      <c r="BS65" s="1806"/>
      <c r="BT65" s="1806"/>
      <c r="BU65" s="1806"/>
      <c r="BV65" s="1806"/>
      <c r="BW65" s="1806"/>
      <c r="BX65" s="1806"/>
      <c r="BY65" s="1806"/>
      <c r="BZ65" s="1806"/>
      <c r="CA65" s="1806"/>
      <c r="CB65" s="1806"/>
      <c r="CC65" s="1806"/>
      <c r="CD65" s="1806"/>
      <c r="CE65" s="1806"/>
      <c r="CF65" s="1806"/>
      <c r="CG65" s="1806"/>
      <c r="CH65" s="1806"/>
      <c r="CI65" s="1806"/>
      <c r="CJ65" s="1806"/>
      <c r="CK65" s="1806"/>
      <c r="CL65" s="1806"/>
      <c r="CM65" s="1806"/>
      <c r="CN65" s="1806"/>
      <c r="CO65" s="1806"/>
      <c r="CP65" s="1806"/>
      <c r="CQ65" s="1806"/>
      <c r="CR65" s="1806"/>
      <c r="CS65" s="1806"/>
      <c r="CT65" s="1806"/>
      <c r="CU65" s="1806"/>
      <c r="CV65" s="1806"/>
      <c r="CW65" s="1806"/>
      <c r="CX65" s="1806"/>
      <c r="CY65" s="1806"/>
      <c r="CZ65" s="1806"/>
      <c r="DA65" s="1806"/>
      <c r="DB65" s="1806"/>
      <c r="DC65" s="1806"/>
      <c r="DD65" s="1806"/>
      <c r="DE65" s="1806"/>
      <c r="DF65" s="1806"/>
      <c r="DG65" s="1806"/>
      <c r="DH65" s="1806"/>
      <c r="DI65" s="1806"/>
      <c r="DJ65" s="1806"/>
      <c r="DK65" s="1806"/>
      <c r="DL65" s="1806"/>
      <c r="DM65" s="1806"/>
      <c r="DN65" s="1806"/>
      <c r="DO65" s="1806"/>
      <c r="DP65" s="1806"/>
      <c r="DQ65" s="1806"/>
      <c r="DR65" s="1806"/>
      <c r="DS65" s="1806"/>
      <c r="DT65" s="1806"/>
      <c r="DU65" s="1806"/>
      <c r="DV65" s="1806"/>
      <c r="DW65" s="1806"/>
      <c r="DX65" s="1806"/>
      <c r="DY65" s="1806"/>
      <c r="DZ65" s="1806"/>
      <c r="EA65" s="1806"/>
      <c r="EB65" s="1806"/>
      <c r="EC65" s="1806"/>
      <c r="ED65" s="1806"/>
      <c r="EE65" s="1806"/>
      <c r="EF65" s="1806"/>
      <c r="EG65" s="1806"/>
      <c r="EH65" s="1806"/>
      <c r="EI65" s="1806"/>
      <c r="EJ65" s="1806"/>
      <c r="EK65" s="1806"/>
      <c r="EL65" s="1806"/>
      <c r="EM65" s="1806"/>
      <c r="EN65" s="1806"/>
      <c r="EO65" s="1806"/>
      <c r="EP65" s="1806"/>
      <c r="EQ65" s="1806"/>
      <c r="ER65" s="1806"/>
      <c r="ES65" s="1806"/>
      <c r="ET65" s="1806"/>
      <c r="EU65" s="1806"/>
      <c r="EV65" s="1806"/>
      <c r="EW65" s="1806"/>
      <c r="EX65" s="1806"/>
      <c r="EY65" s="1806"/>
      <c r="EZ65" s="1806"/>
      <c r="FA65" s="1806"/>
      <c r="FB65" s="1806"/>
      <c r="FC65" s="1806"/>
      <c r="FD65" s="1806"/>
      <c r="FE65" s="1806"/>
      <c r="FF65" s="1806"/>
      <c r="FG65" s="1806"/>
      <c r="FH65" s="1806"/>
      <c r="FI65" s="1806"/>
      <c r="FJ65" s="1806"/>
      <c r="FK65" s="1806"/>
      <c r="FL65" s="1806"/>
      <c r="FM65" s="1806"/>
      <c r="FN65" s="1806"/>
      <c r="FO65" s="1806"/>
      <c r="FP65" s="1806"/>
      <c r="FQ65" s="1806"/>
      <c r="FR65" s="1806"/>
      <c r="FS65" s="1806"/>
      <c r="FT65" s="1806"/>
      <c r="FU65" s="1806"/>
      <c r="FV65" s="1806"/>
      <c r="FW65" s="1806"/>
      <c r="FX65" s="1806"/>
      <c r="FY65" s="1806"/>
      <c r="FZ65" s="1806"/>
      <c r="GA65" s="1806"/>
      <c r="GB65" s="1806"/>
      <c r="GC65" s="1806"/>
      <c r="GD65" s="1806"/>
      <c r="GE65" s="1806"/>
      <c r="GF65" s="1806"/>
      <c r="GG65" s="1806"/>
      <c r="GH65" s="1806"/>
      <c r="GI65" s="1806"/>
      <c r="GJ65" s="1806"/>
      <c r="GK65" s="1806"/>
      <c r="GL65" s="1806"/>
      <c r="GM65" s="1806"/>
      <c r="GN65" s="1806"/>
      <c r="GO65" s="1806"/>
      <c r="GP65" s="1806"/>
      <c r="GQ65" s="1806"/>
      <c r="GR65" s="1806"/>
      <c r="GS65" s="1806"/>
      <c r="GT65" s="1806"/>
      <c r="GU65" s="1806"/>
      <c r="GV65" s="1806"/>
      <c r="GW65" s="1806"/>
      <c r="GX65" s="1806"/>
      <c r="GY65" s="1806"/>
      <c r="GZ65" s="1806"/>
      <c r="HA65" s="1806"/>
      <c r="HB65" s="1806"/>
      <c r="HC65" s="1806"/>
      <c r="HD65" s="1806"/>
      <c r="HE65" s="1806"/>
      <c r="HF65" s="1806"/>
      <c r="HG65" s="1806"/>
    </row>
    <row r="66" spans="1:215" s="1893" customFormat="1" ht="15" customHeight="1" x14ac:dyDescent="0.2">
      <c r="A66" s="2017"/>
      <c r="B66" s="2040" t="s">
        <v>724</v>
      </c>
      <c r="C66" s="2041"/>
      <c r="D66" s="2041"/>
      <c r="E66" s="2041"/>
      <c r="F66" s="1923"/>
      <c r="G66" s="1598"/>
      <c r="H66" s="1807"/>
      <c r="I66" s="1807"/>
      <c r="J66" s="1807"/>
      <c r="K66" s="1807"/>
      <c r="L66" s="1807"/>
      <c r="M66" s="1807"/>
      <c r="N66" s="1807"/>
      <c r="O66" s="1807"/>
      <c r="P66" s="1807"/>
      <c r="Q66" s="1807"/>
      <c r="R66" s="1807"/>
      <c r="S66" s="1807"/>
      <c r="T66" s="1807"/>
      <c r="U66" s="1807"/>
      <c r="V66" s="1807"/>
      <c r="W66" s="1807"/>
      <c r="X66" s="1807"/>
      <c r="Y66" s="1807"/>
      <c r="Z66" s="1807"/>
      <c r="AA66" s="1807"/>
      <c r="AB66" s="1807"/>
      <c r="AC66" s="1807"/>
      <c r="AD66" s="1807"/>
      <c r="AE66" s="1807"/>
      <c r="AF66" s="1807"/>
      <c r="AG66" s="1807"/>
      <c r="AH66" s="1807"/>
      <c r="AI66" s="1807"/>
      <c r="AJ66" s="1807"/>
      <c r="AK66" s="1807"/>
      <c r="AL66" s="1807"/>
      <c r="AM66" s="1807"/>
      <c r="AN66" s="1807"/>
      <c r="AO66" s="1807"/>
      <c r="AP66" s="1807"/>
      <c r="AQ66" s="1807"/>
      <c r="AR66" s="1807"/>
      <c r="AS66" s="1807"/>
      <c r="AT66" s="1807"/>
      <c r="AU66" s="1807"/>
      <c r="AV66" s="1807"/>
      <c r="AW66" s="1807"/>
      <c r="AX66" s="1807"/>
      <c r="AY66" s="1807"/>
      <c r="AZ66" s="1807"/>
      <c r="BA66" s="1807"/>
      <c r="BB66" s="1807"/>
      <c r="BC66" s="1807"/>
      <c r="BD66" s="1807"/>
      <c r="BE66" s="1807"/>
      <c r="BF66" s="1807"/>
      <c r="BG66" s="1807"/>
      <c r="BH66" s="1807"/>
      <c r="BI66" s="1807"/>
      <c r="BJ66" s="1807"/>
      <c r="BK66" s="1807"/>
      <c r="BL66" s="1807"/>
      <c r="BM66" s="1807"/>
      <c r="BN66" s="1807"/>
      <c r="BO66" s="1807"/>
      <c r="BP66" s="1807"/>
      <c r="BQ66" s="1807"/>
      <c r="BR66" s="1807"/>
      <c r="BS66" s="1807"/>
      <c r="BT66" s="1807"/>
      <c r="BU66" s="1807"/>
      <c r="BV66" s="1807"/>
      <c r="BW66" s="1807"/>
      <c r="BX66" s="1807"/>
      <c r="BY66" s="1807"/>
      <c r="BZ66" s="1807"/>
      <c r="CA66" s="1807"/>
      <c r="CB66" s="1807"/>
      <c r="CC66" s="1807"/>
      <c r="CD66" s="1807"/>
      <c r="CE66" s="1807"/>
      <c r="CF66" s="1807"/>
      <c r="CG66" s="1807"/>
      <c r="CH66" s="1807"/>
      <c r="CI66" s="1807"/>
      <c r="CJ66" s="1807"/>
      <c r="CK66" s="1807"/>
      <c r="CL66" s="1807"/>
      <c r="CM66" s="1807"/>
      <c r="CN66" s="1807"/>
      <c r="CO66" s="1807"/>
      <c r="CP66" s="1807"/>
      <c r="CQ66" s="1807"/>
      <c r="CR66" s="1807"/>
      <c r="CS66" s="1807"/>
      <c r="CT66" s="1807"/>
      <c r="CU66" s="1807"/>
      <c r="CV66" s="1807"/>
      <c r="CW66" s="1807"/>
      <c r="CX66" s="1807"/>
      <c r="CY66" s="1807"/>
      <c r="CZ66" s="1807"/>
      <c r="DA66" s="1807"/>
      <c r="DB66" s="1807"/>
      <c r="DC66" s="1807"/>
      <c r="DD66" s="1807"/>
      <c r="DE66" s="1807"/>
      <c r="DF66" s="1807"/>
      <c r="DG66" s="1807"/>
      <c r="DH66" s="1807"/>
      <c r="DI66" s="1807"/>
      <c r="DJ66" s="1807"/>
      <c r="DK66" s="1807"/>
      <c r="DL66" s="1807"/>
      <c r="DM66" s="1807"/>
      <c r="DN66" s="1807"/>
      <c r="DO66" s="1807"/>
      <c r="DP66" s="1807"/>
      <c r="DQ66" s="1807"/>
      <c r="DR66" s="1807"/>
      <c r="DS66" s="1807"/>
      <c r="DT66" s="1807"/>
      <c r="DU66" s="1807"/>
      <c r="DV66" s="1807"/>
      <c r="DW66" s="1807"/>
      <c r="DX66" s="1807"/>
      <c r="DY66" s="1807"/>
      <c r="DZ66" s="1807"/>
      <c r="EA66" s="1807"/>
      <c r="EB66" s="1807"/>
      <c r="EC66" s="1807"/>
      <c r="ED66" s="1807"/>
      <c r="EE66" s="1807"/>
      <c r="EF66" s="1807"/>
      <c r="EG66" s="1807"/>
      <c r="EH66" s="1807"/>
      <c r="EI66" s="1807"/>
      <c r="EJ66" s="1807"/>
      <c r="EK66" s="1807"/>
      <c r="EL66" s="1807"/>
      <c r="EM66" s="1807"/>
      <c r="EN66" s="1807"/>
      <c r="EO66" s="1807"/>
      <c r="EP66" s="1807"/>
      <c r="EQ66" s="1807"/>
      <c r="ER66" s="1807"/>
      <c r="ES66" s="1807"/>
      <c r="ET66" s="1807"/>
      <c r="EU66" s="1807"/>
      <c r="EV66" s="1807"/>
      <c r="EW66" s="1807"/>
      <c r="EX66" s="1807"/>
      <c r="EY66" s="1807"/>
      <c r="EZ66" s="1807"/>
      <c r="FA66" s="1807"/>
      <c r="FB66" s="1807"/>
      <c r="FC66" s="1807"/>
      <c r="FD66" s="1807"/>
      <c r="FE66" s="1807"/>
      <c r="FF66" s="1807"/>
      <c r="FG66" s="1807"/>
      <c r="FH66" s="1807"/>
      <c r="FI66" s="1807"/>
      <c r="FJ66" s="1807"/>
      <c r="FK66" s="1807"/>
      <c r="FL66" s="1807"/>
      <c r="FM66" s="1807"/>
      <c r="FN66" s="1807"/>
      <c r="FO66" s="1807"/>
      <c r="FP66" s="1807"/>
      <c r="FQ66" s="1807"/>
      <c r="FR66" s="1807"/>
      <c r="FS66" s="1807"/>
      <c r="FT66" s="1807"/>
      <c r="FU66" s="1807"/>
      <c r="FV66" s="1807"/>
      <c r="FW66" s="1807"/>
      <c r="FX66" s="1807"/>
      <c r="FY66" s="1807"/>
      <c r="FZ66" s="1807"/>
      <c r="GA66" s="1807"/>
      <c r="GB66" s="1807"/>
      <c r="GC66" s="1807"/>
      <c r="GD66" s="1807"/>
      <c r="GE66" s="1807"/>
      <c r="GF66" s="1807"/>
      <c r="GG66" s="1807"/>
      <c r="GH66" s="1807"/>
      <c r="GI66" s="1807"/>
      <c r="GJ66" s="1807"/>
      <c r="GK66" s="1807"/>
      <c r="GL66" s="1807"/>
      <c r="GM66" s="1807"/>
      <c r="GN66" s="1807"/>
      <c r="GO66" s="1807"/>
      <c r="GP66" s="1807"/>
      <c r="GQ66" s="1807"/>
      <c r="GR66" s="1807"/>
      <c r="GS66" s="1807"/>
      <c r="GT66" s="1807"/>
      <c r="GU66" s="1807"/>
      <c r="GV66" s="1807"/>
      <c r="GW66" s="1807"/>
      <c r="GX66" s="1807"/>
      <c r="GY66" s="1807"/>
      <c r="GZ66" s="1807"/>
      <c r="HA66" s="1807"/>
      <c r="HB66" s="1807"/>
      <c r="HC66" s="1807"/>
      <c r="HD66" s="1807"/>
      <c r="HE66" s="1807"/>
      <c r="HF66" s="1807"/>
      <c r="HG66" s="1807"/>
    </row>
    <row r="67" spans="1:215" s="1893" customFormat="1" ht="15" customHeight="1" x14ac:dyDescent="0.2">
      <c r="A67" s="2017"/>
      <c r="B67" s="2023" t="s">
        <v>725</v>
      </c>
      <c r="C67" s="2024"/>
      <c r="D67" s="2024"/>
      <c r="E67" s="2024"/>
      <c r="F67" s="1923"/>
      <c r="G67" s="1598"/>
      <c r="H67" s="1807"/>
      <c r="I67" s="1807"/>
      <c r="J67" s="1807"/>
      <c r="K67" s="1807"/>
      <c r="L67" s="1807"/>
      <c r="M67" s="1807"/>
      <c r="N67" s="1807"/>
      <c r="O67" s="1807"/>
      <c r="P67" s="1807"/>
      <c r="Q67" s="1807"/>
      <c r="R67" s="1807"/>
      <c r="S67" s="1807"/>
      <c r="T67" s="1807"/>
      <c r="U67" s="1807"/>
      <c r="V67" s="1807"/>
      <c r="W67" s="1807"/>
      <c r="X67" s="1807"/>
      <c r="Y67" s="1807"/>
      <c r="Z67" s="1807"/>
      <c r="AA67" s="1807"/>
      <c r="AB67" s="1807"/>
      <c r="AC67" s="1807"/>
      <c r="AD67" s="1807"/>
      <c r="AE67" s="1807"/>
      <c r="AF67" s="1807"/>
      <c r="AG67" s="1807"/>
      <c r="AH67" s="1807"/>
      <c r="AI67" s="1807"/>
      <c r="AJ67" s="1807"/>
      <c r="AK67" s="1807"/>
      <c r="AL67" s="1807"/>
      <c r="AM67" s="1807"/>
      <c r="AN67" s="1807"/>
      <c r="AO67" s="1807"/>
      <c r="AP67" s="1807"/>
      <c r="AQ67" s="1807"/>
      <c r="AR67" s="1807"/>
      <c r="AS67" s="1807"/>
      <c r="AT67" s="1807"/>
      <c r="AU67" s="1807"/>
      <c r="AV67" s="1807"/>
      <c r="AW67" s="1807"/>
      <c r="AX67" s="1807"/>
      <c r="AY67" s="1807"/>
      <c r="AZ67" s="1807"/>
      <c r="BA67" s="1807"/>
      <c r="BB67" s="1807"/>
      <c r="BC67" s="1807"/>
      <c r="BD67" s="1807"/>
      <c r="BE67" s="1807"/>
      <c r="BF67" s="1807"/>
      <c r="BG67" s="1807"/>
      <c r="BH67" s="1807"/>
      <c r="BI67" s="1807"/>
      <c r="BJ67" s="1807"/>
      <c r="BK67" s="1807"/>
      <c r="BL67" s="1807"/>
      <c r="BM67" s="1807"/>
      <c r="BN67" s="1807"/>
      <c r="BO67" s="1807"/>
      <c r="BP67" s="1807"/>
      <c r="BQ67" s="1807"/>
      <c r="BR67" s="1807"/>
      <c r="BS67" s="1807"/>
      <c r="BT67" s="1807"/>
      <c r="BU67" s="1807"/>
      <c r="BV67" s="1807"/>
      <c r="BW67" s="1807"/>
      <c r="BX67" s="1807"/>
      <c r="BY67" s="1807"/>
      <c r="BZ67" s="1807"/>
      <c r="CA67" s="1807"/>
      <c r="CB67" s="1807"/>
      <c r="CC67" s="1807"/>
      <c r="CD67" s="1807"/>
      <c r="CE67" s="1807"/>
      <c r="CF67" s="1807"/>
      <c r="CG67" s="1807"/>
      <c r="CH67" s="1807"/>
      <c r="CI67" s="1807"/>
      <c r="CJ67" s="1807"/>
      <c r="CK67" s="1807"/>
      <c r="CL67" s="1807"/>
      <c r="CM67" s="1807"/>
      <c r="CN67" s="1807"/>
      <c r="CO67" s="1807"/>
      <c r="CP67" s="1807"/>
      <c r="CQ67" s="1807"/>
      <c r="CR67" s="1807"/>
      <c r="CS67" s="1807"/>
      <c r="CT67" s="1807"/>
      <c r="CU67" s="1807"/>
      <c r="CV67" s="1807"/>
      <c r="CW67" s="1807"/>
      <c r="CX67" s="1807"/>
      <c r="CY67" s="1807"/>
      <c r="CZ67" s="1807"/>
      <c r="DA67" s="1807"/>
      <c r="DB67" s="1807"/>
      <c r="DC67" s="1807"/>
      <c r="DD67" s="1807"/>
      <c r="DE67" s="1807"/>
      <c r="DF67" s="1807"/>
      <c r="DG67" s="1807"/>
      <c r="DH67" s="1807"/>
      <c r="DI67" s="1807"/>
      <c r="DJ67" s="1807"/>
      <c r="DK67" s="1807"/>
      <c r="DL67" s="1807"/>
      <c r="DM67" s="1807"/>
      <c r="DN67" s="1807"/>
      <c r="DO67" s="1807"/>
      <c r="DP67" s="1807"/>
      <c r="DQ67" s="1807"/>
      <c r="DR67" s="1807"/>
      <c r="DS67" s="1807"/>
      <c r="DT67" s="1807"/>
      <c r="DU67" s="1807"/>
      <c r="DV67" s="1807"/>
      <c r="DW67" s="1807"/>
      <c r="DX67" s="1807"/>
      <c r="DY67" s="1807"/>
      <c r="DZ67" s="1807"/>
      <c r="EA67" s="1807"/>
      <c r="EB67" s="1807"/>
      <c r="EC67" s="1807"/>
      <c r="ED67" s="1807"/>
      <c r="EE67" s="1807"/>
      <c r="EF67" s="1807"/>
      <c r="EG67" s="1807"/>
      <c r="EH67" s="1807"/>
      <c r="EI67" s="1807"/>
      <c r="EJ67" s="1807"/>
      <c r="EK67" s="1807"/>
      <c r="EL67" s="1807"/>
      <c r="EM67" s="1807"/>
      <c r="EN67" s="1807"/>
      <c r="EO67" s="1807"/>
      <c r="EP67" s="1807"/>
      <c r="EQ67" s="1807"/>
      <c r="ER67" s="1807"/>
      <c r="ES67" s="1807"/>
      <c r="ET67" s="1807"/>
      <c r="EU67" s="1807"/>
      <c r="EV67" s="1807"/>
      <c r="EW67" s="1807"/>
      <c r="EX67" s="1807"/>
      <c r="EY67" s="1807"/>
      <c r="EZ67" s="1807"/>
      <c r="FA67" s="1807"/>
      <c r="FB67" s="1807"/>
      <c r="FC67" s="1807"/>
      <c r="FD67" s="1807"/>
      <c r="FE67" s="1807"/>
      <c r="FF67" s="1807"/>
      <c r="FG67" s="1807"/>
      <c r="FH67" s="1807"/>
      <c r="FI67" s="1807"/>
      <c r="FJ67" s="1807"/>
      <c r="FK67" s="1807"/>
      <c r="FL67" s="1807"/>
      <c r="FM67" s="1807"/>
      <c r="FN67" s="1807"/>
      <c r="FO67" s="1807"/>
      <c r="FP67" s="1807"/>
      <c r="FQ67" s="1807"/>
      <c r="FR67" s="1807"/>
      <c r="FS67" s="1807"/>
      <c r="FT67" s="1807"/>
      <c r="FU67" s="1807"/>
      <c r="FV67" s="1807"/>
      <c r="FW67" s="1807"/>
      <c r="FX67" s="1807"/>
      <c r="FY67" s="1807"/>
      <c r="FZ67" s="1807"/>
      <c r="GA67" s="1807"/>
      <c r="GB67" s="1807"/>
      <c r="GC67" s="1807"/>
      <c r="GD67" s="1807"/>
      <c r="GE67" s="1807"/>
      <c r="GF67" s="1807"/>
      <c r="GG67" s="1807"/>
      <c r="GH67" s="1807"/>
      <c r="GI67" s="1807"/>
      <c r="GJ67" s="1807"/>
      <c r="GK67" s="1807"/>
      <c r="GL67" s="1807"/>
      <c r="GM67" s="1807"/>
      <c r="GN67" s="1807"/>
      <c r="GO67" s="1807"/>
      <c r="GP67" s="1807"/>
      <c r="GQ67" s="1807"/>
      <c r="GR67" s="1807"/>
      <c r="GS67" s="1807"/>
      <c r="GT67" s="1807"/>
      <c r="GU67" s="1807"/>
      <c r="GV67" s="1807"/>
      <c r="GW67" s="1807"/>
      <c r="GX67" s="1807"/>
      <c r="GY67" s="1807"/>
      <c r="GZ67" s="1807"/>
      <c r="HA67" s="1807"/>
      <c r="HB67" s="1807"/>
      <c r="HC67" s="1807"/>
      <c r="HD67" s="1807"/>
      <c r="HE67" s="1807"/>
      <c r="HF67" s="1807"/>
      <c r="HG67" s="1807"/>
    </row>
    <row r="68" spans="1:215" s="1893" customFormat="1" ht="15" customHeight="1" x14ac:dyDescent="0.2">
      <c r="A68" s="2017"/>
      <c r="B68" s="2023" t="s">
        <v>726</v>
      </c>
      <c r="C68" s="2024"/>
      <c r="D68" s="2024"/>
      <c r="E68" s="2024"/>
      <c r="F68" s="1923"/>
      <c r="G68" s="1598"/>
      <c r="H68" s="1807"/>
      <c r="I68" s="1807"/>
      <c r="J68" s="1807"/>
      <c r="K68" s="1807"/>
      <c r="L68" s="1807"/>
      <c r="M68" s="1807"/>
      <c r="N68" s="1807"/>
      <c r="O68" s="1807"/>
      <c r="P68" s="1807"/>
      <c r="Q68" s="1807"/>
      <c r="R68" s="1807"/>
      <c r="S68" s="1807"/>
      <c r="T68" s="1807"/>
      <c r="U68" s="1807"/>
      <c r="V68" s="1807"/>
      <c r="W68" s="1807"/>
      <c r="X68" s="1807"/>
      <c r="Y68" s="1807"/>
      <c r="Z68" s="1807"/>
      <c r="AA68" s="1807"/>
      <c r="AB68" s="1807"/>
      <c r="AC68" s="1807"/>
      <c r="AD68" s="1807"/>
      <c r="AE68" s="1807"/>
      <c r="AF68" s="1807"/>
      <c r="AG68" s="1807"/>
      <c r="AH68" s="1807"/>
      <c r="AI68" s="1807"/>
      <c r="AJ68" s="1807"/>
      <c r="AK68" s="1807"/>
      <c r="AL68" s="1807"/>
      <c r="AM68" s="1807"/>
      <c r="AN68" s="1807"/>
      <c r="AO68" s="1807"/>
      <c r="AP68" s="1807"/>
      <c r="AQ68" s="1807"/>
      <c r="AR68" s="1807"/>
      <c r="AS68" s="1807"/>
      <c r="AT68" s="1807"/>
      <c r="AU68" s="1807"/>
      <c r="AV68" s="1807"/>
      <c r="AW68" s="1807"/>
      <c r="AX68" s="1807"/>
      <c r="AY68" s="1807"/>
      <c r="AZ68" s="1807"/>
      <c r="BA68" s="1807"/>
      <c r="BB68" s="1807"/>
      <c r="BC68" s="1807"/>
      <c r="BD68" s="1807"/>
      <c r="BE68" s="1807"/>
      <c r="BF68" s="1807"/>
      <c r="BG68" s="1807"/>
      <c r="BH68" s="1807"/>
      <c r="BI68" s="1807"/>
      <c r="BJ68" s="1807"/>
      <c r="BK68" s="1807"/>
      <c r="BL68" s="1807"/>
      <c r="BM68" s="1807"/>
      <c r="BN68" s="1807"/>
      <c r="BO68" s="1807"/>
      <c r="BP68" s="1807"/>
      <c r="BQ68" s="1807"/>
      <c r="BR68" s="1807"/>
      <c r="BS68" s="1807"/>
      <c r="BT68" s="1807"/>
      <c r="BU68" s="1807"/>
      <c r="BV68" s="1807"/>
      <c r="BW68" s="1807"/>
      <c r="BX68" s="1807"/>
      <c r="BY68" s="1807"/>
      <c r="BZ68" s="1807"/>
      <c r="CA68" s="1807"/>
      <c r="CB68" s="1807"/>
      <c r="CC68" s="1807"/>
      <c r="CD68" s="1807"/>
      <c r="CE68" s="1807"/>
      <c r="CF68" s="1807"/>
      <c r="CG68" s="1807"/>
      <c r="CH68" s="1807"/>
      <c r="CI68" s="1807"/>
      <c r="CJ68" s="1807"/>
      <c r="CK68" s="1807"/>
      <c r="CL68" s="1807"/>
      <c r="CM68" s="1807"/>
      <c r="CN68" s="1807"/>
      <c r="CO68" s="1807"/>
      <c r="CP68" s="1807"/>
      <c r="CQ68" s="1807"/>
      <c r="CR68" s="1807"/>
      <c r="CS68" s="1807"/>
      <c r="CT68" s="1807"/>
      <c r="CU68" s="1807"/>
      <c r="CV68" s="1807"/>
      <c r="CW68" s="1807"/>
      <c r="CX68" s="1807"/>
      <c r="CY68" s="1807"/>
      <c r="CZ68" s="1807"/>
      <c r="DA68" s="1807"/>
      <c r="DB68" s="1807"/>
      <c r="DC68" s="1807"/>
      <c r="DD68" s="1807"/>
      <c r="DE68" s="1807"/>
      <c r="DF68" s="1807"/>
      <c r="DG68" s="1807"/>
      <c r="DH68" s="1807"/>
      <c r="DI68" s="1807"/>
      <c r="DJ68" s="1807"/>
      <c r="DK68" s="1807"/>
      <c r="DL68" s="1807"/>
      <c r="DM68" s="1807"/>
      <c r="DN68" s="1807"/>
      <c r="DO68" s="1807"/>
      <c r="DP68" s="1807"/>
      <c r="DQ68" s="1807"/>
      <c r="DR68" s="1807"/>
      <c r="DS68" s="1807"/>
      <c r="DT68" s="1807"/>
      <c r="DU68" s="1807"/>
      <c r="DV68" s="1807"/>
      <c r="DW68" s="1807"/>
      <c r="DX68" s="1807"/>
      <c r="DY68" s="1807"/>
      <c r="DZ68" s="1807"/>
      <c r="EA68" s="1807"/>
      <c r="EB68" s="1807"/>
      <c r="EC68" s="1807"/>
      <c r="ED68" s="1807"/>
      <c r="EE68" s="1807"/>
      <c r="EF68" s="1807"/>
      <c r="EG68" s="1807"/>
      <c r="EH68" s="1807"/>
      <c r="EI68" s="1807"/>
      <c r="EJ68" s="1807"/>
      <c r="EK68" s="1807"/>
      <c r="EL68" s="1807"/>
      <c r="EM68" s="1807"/>
      <c r="EN68" s="1807"/>
      <c r="EO68" s="1807"/>
      <c r="EP68" s="1807"/>
      <c r="EQ68" s="1807"/>
      <c r="ER68" s="1807"/>
      <c r="ES68" s="1807"/>
      <c r="ET68" s="1807"/>
      <c r="EU68" s="1807"/>
      <c r="EV68" s="1807"/>
      <c r="EW68" s="1807"/>
      <c r="EX68" s="1807"/>
      <c r="EY68" s="1807"/>
      <c r="EZ68" s="1807"/>
      <c r="FA68" s="1807"/>
      <c r="FB68" s="1807"/>
      <c r="FC68" s="1807"/>
      <c r="FD68" s="1807"/>
      <c r="FE68" s="1807"/>
      <c r="FF68" s="1807"/>
      <c r="FG68" s="1807"/>
      <c r="FH68" s="1807"/>
      <c r="FI68" s="1807"/>
      <c r="FJ68" s="1807"/>
      <c r="FK68" s="1807"/>
      <c r="FL68" s="1807"/>
      <c r="FM68" s="1807"/>
      <c r="FN68" s="1807"/>
      <c r="FO68" s="1807"/>
      <c r="FP68" s="1807"/>
      <c r="FQ68" s="1807"/>
      <c r="FR68" s="1807"/>
      <c r="FS68" s="1807"/>
      <c r="FT68" s="1807"/>
      <c r="FU68" s="1807"/>
      <c r="FV68" s="1807"/>
      <c r="FW68" s="1807"/>
      <c r="FX68" s="1807"/>
      <c r="FY68" s="1807"/>
      <c r="FZ68" s="1807"/>
      <c r="GA68" s="1807"/>
      <c r="GB68" s="1807"/>
      <c r="GC68" s="1807"/>
      <c r="GD68" s="1807"/>
      <c r="GE68" s="1807"/>
      <c r="GF68" s="1807"/>
      <c r="GG68" s="1807"/>
      <c r="GH68" s="1807"/>
      <c r="GI68" s="1807"/>
      <c r="GJ68" s="1807"/>
      <c r="GK68" s="1807"/>
      <c r="GL68" s="1807"/>
      <c r="GM68" s="1807"/>
      <c r="GN68" s="1807"/>
      <c r="GO68" s="1807"/>
      <c r="GP68" s="1807"/>
      <c r="GQ68" s="1807"/>
      <c r="GR68" s="1807"/>
      <c r="GS68" s="1807"/>
      <c r="GT68" s="1807"/>
      <c r="GU68" s="1807"/>
      <c r="GV68" s="1807"/>
      <c r="GW68" s="1807"/>
      <c r="GX68" s="1807"/>
      <c r="GY68" s="1807"/>
      <c r="GZ68" s="1807"/>
      <c r="HA68" s="1807"/>
      <c r="HB68" s="1807"/>
      <c r="HC68" s="1807"/>
      <c r="HD68" s="1807"/>
      <c r="HE68" s="1807"/>
      <c r="HF68" s="1807"/>
      <c r="HG68" s="1807"/>
    </row>
    <row r="69" spans="1:215" s="1893" customFormat="1" ht="15" customHeight="1" x14ac:dyDescent="0.2">
      <c r="A69" s="2017"/>
      <c r="B69" s="2023" t="s">
        <v>727</v>
      </c>
      <c r="C69" s="2024"/>
      <c r="D69" s="2024"/>
      <c r="E69" s="2024"/>
      <c r="F69" s="1923"/>
      <c r="G69" s="1598"/>
      <c r="H69" s="1807"/>
      <c r="I69" s="1807"/>
      <c r="J69" s="1807"/>
      <c r="K69" s="1807"/>
      <c r="L69" s="1807"/>
      <c r="M69" s="1807"/>
      <c r="N69" s="1807"/>
      <c r="O69" s="1807"/>
      <c r="P69" s="1807"/>
      <c r="Q69" s="1807"/>
      <c r="R69" s="1807"/>
      <c r="S69" s="1807"/>
      <c r="T69" s="1807"/>
      <c r="U69" s="1807"/>
      <c r="V69" s="1807"/>
      <c r="W69" s="1807"/>
      <c r="X69" s="1807"/>
      <c r="Y69" s="1807"/>
      <c r="Z69" s="1807"/>
      <c r="AA69" s="1807"/>
      <c r="AB69" s="1807"/>
      <c r="AC69" s="1807"/>
      <c r="AD69" s="1807"/>
      <c r="AE69" s="1807"/>
      <c r="AF69" s="1807"/>
      <c r="AG69" s="1807"/>
      <c r="AH69" s="1807"/>
      <c r="AI69" s="1807"/>
      <c r="AJ69" s="1807"/>
      <c r="AK69" s="1807"/>
      <c r="AL69" s="1807"/>
      <c r="AM69" s="1807"/>
      <c r="AN69" s="1807"/>
      <c r="AO69" s="1807"/>
      <c r="AP69" s="1807"/>
      <c r="AQ69" s="1807"/>
      <c r="AR69" s="1807"/>
      <c r="AS69" s="1807"/>
      <c r="AT69" s="1807"/>
      <c r="AU69" s="1807"/>
      <c r="AV69" s="1807"/>
      <c r="AW69" s="1807"/>
      <c r="AX69" s="1807"/>
      <c r="AY69" s="1807"/>
      <c r="AZ69" s="1807"/>
      <c r="BA69" s="1807"/>
      <c r="BB69" s="1807"/>
      <c r="BC69" s="1807"/>
      <c r="BD69" s="1807"/>
      <c r="BE69" s="1807"/>
      <c r="BF69" s="1807"/>
      <c r="BG69" s="1807"/>
      <c r="BH69" s="1807"/>
      <c r="BI69" s="1807"/>
      <c r="BJ69" s="1807"/>
      <c r="BK69" s="1807"/>
      <c r="BL69" s="1807"/>
      <c r="BM69" s="1807"/>
      <c r="BN69" s="1807"/>
      <c r="BO69" s="1807"/>
      <c r="BP69" s="1807"/>
      <c r="BQ69" s="1807"/>
      <c r="BR69" s="1807"/>
      <c r="BS69" s="1807"/>
      <c r="BT69" s="1807"/>
      <c r="BU69" s="1807"/>
      <c r="BV69" s="1807"/>
      <c r="BW69" s="1807"/>
      <c r="BX69" s="1807"/>
      <c r="BY69" s="1807"/>
      <c r="BZ69" s="1807"/>
      <c r="CA69" s="1807"/>
      <c r="CB69" s="1807"/>
      <c r="CC69" s="1807"/>
      <c r="CD69" s="1807"/>
      <c r="CE69" s="1807"/>
      <c r="CF69" s="1807"/>
      <c r="CG69" s="1807"/>
      <c r="CH69" s="1807"/>
      <c r="CI69" s="1807"/>
      <c r="CJ69" s="1807"/>
      <c r="CK69" s="1807"/>
      <c r="CL69" s="1807"/>
      <c r="CM69" s="1807"/>
      <c r="CN69" s="1807"/>
      <c r="CO69" s="1807"/>
      <c r="CP69" s="1807"/>
      <c r="CQ69" s="1807"/>
      <c r="CR69" s="1807"/>
      <c r="CS69" s="1807"/>
      <c r="CT69" s="1807"/>
      <c r="CU69" s="1807"/>
      <c r="CV69" s="1807"/>
      <c r="CW69" s="1807"/>
      <c r="CX69" s="1807"/>
      <c r="CY69" s="1807"/>
      <c r="CZ69" s="1807"/>
      <c r="DA69" s="1807"/>
      <c r="DB69" s="1807"/>
      <c r="DC69" s="1807"/>
      <c r="DD69" s="1807"/>
      <c r="DE69" s="1807"/>
      <c r="DF69" s="1807"/>
      <c r="DG69" s="1807"/>
      <c r="DH69" s="1807"/>
      <c r="DI69" s="1807"/>
      <c r="DJ69" s="1807"/>
      <c r="DK69" s="1807"/>
      <c r="DL69" s="1807"/>
      <c r="DM69" s="1807"/>
      <c r="DN69" s="1807"/>
      <c r="DO69" s="1807"/>
      <c r="DP69" s="1807"/>
      <c r="DQ69" s="1807"/>
      <c r="DR69" s="1807"/>
      <c r="DS69" s="1807"/>
      <c r="DT69" s="1807"/>
      <c r="DU69" s="1807"/>
      <c r="DV69" s="1807"/>
      <c r="DW69" s="1807"/>
      <c r="DX69" s="1807"/>
      <c r="DY69" s="1807"/>
      <c r="DZ69" s="1807"/>
      <c r="EA69" s="1807"/>
      <c r="EB69" s="1807"/>
      <c r="EC69" s="1807"/>
      <c r="ED69" s="1807"/>
      <c r="EE69" s="1807"/>
      <c r="EF69" s="1807"/>
      <c r="EG69" s="1807"/>
      <c r="EH69" s="1807"/>
      <c r="EI69" s="1807"/>
      <c r="EJ69" s="1807"/>
      <c r="EK69" s="1807"/>
      <c r="EL69" s="1807"/>
      <c r="EM69" s="1807"/>
      <c r="EN69" s="1807"/>
      <c r="EO69" s="1807"/>
      <c r="EP69" s="1807"/>
      <c r="EQ69" s="1807"/>
      <c r="ER69" s="1807"/>
      <c r="ES69" s="1807"/>
      <c r="ET69" s="1807"/>
      <c r="EU69" s="1807"/>
      <c r="EV69" s="1807"/>
      <c r="EW69" s="1807"/>
      <c r="EX69" s="1807"/>
      <c r="EY69" s="1807"/>
      <c r="EZ69" s="1807"/>
      <c r="FA69" s="1807"/>
      <c r="FB69" s="1807"/>
      <c r="FC69" s="1807"/>
      <c r="FD69" s="1807"/>
      <c r="FE69" s="1807"/>
      <c r="FF69" s="1807"/>
      <c r="FG69" s="1807"/>
      <c r="FH69" s="1807"/>
      <c r="FI69" s="1807"/>
      <c r="FJ69" s="1807"/>
      <c r="FK69" s="1807"/>
      <c r="FL69" s="1807"/>
      <c r="FM69" s="1807"/>
      <c r="FN69" s="1807"/>
      <c r="FO69" s="1807"/>
      <c r="FP69" s="1807"/>
      <c r="FQ69" s="1807"/>
      <c r="FR69" s="1807"/>
      <c r="FS69" s="1807"/>
      <c r="FT69" s="1807"/>
      <c r="FU69" s="1807"/>
      <c r="FV69" s="1807"/>
      <c r="FW69" s="1807"/>
      <c r="FX69" s="1807"/>
      <c r="FY69" s="1807"/>
      <c r="FZ69" s="1807"/>
      <c r="GA69" s="1807"/>
      <c r="GB69" s="1807"/>
      <c r="GC69" s="1807"/>
      <c r="GD69" s="1807"/>
      <c r="GE69" s="1807"/>
      <c r="GF69" s="1807"/>
      <c r="GG69" s="1807"/>
      <c r="GH69" s="1807"/>
      <c r="GI69" s="1807"/>
      <c r="GJ69" s="1807"/>
      <c r="GK69" s="1807"/>
      <c r="GL69" s="1807"/>
      <c r="GM69" s="1807"/>
      <c r="GN69" s="1807"/>
      <c r="GO69" s="1807"/>
      <c r="GP69" s="1807"/>
      <c r="GQ69" s="1807"/>
      <c r="GR69" s="1807"/>
      <c r="GS69" s="1807"/>
      <c r="GT69" s="1807"/>
      <c r="GU69" s="1807"/>
      <c r="GV69" s="1807"/>
      <c r="GW69" s="1807"/>
      <c r="GX69" s="1807"/>
      <c r="GY69" s="1807"/>
      <c r="GZ69" s="1807"/>
      <c r="HA69" s="1807"/>
      <c r="HB69" s="1807"/>
      <c r="HC69" s="1807"/>
      <c r="HD69" s="1807"/>
      <c r="HE69" s="1807"/>
      <c r="HF69" s="1807"/>
      <c r="HG69" s="1807"/>
    </row>
    <row r="70" spans="1:215" s="1893" customFormat="1" ht="15" customHeight="1" x14ac:dyDescent="0.2">
      <c r="A70" s="2017"/>
      <c r="B70" s="2023" t="s">
        <v>728</v>
      </c>
      <c r="C70" s="2024"/>
      <c r="D70" s="2024"/>
      <c r="E70" s="2024"/>
      <c r="F70" s="1923"/>
      <c r="G70" s="1598"/>
      <c r="H70" s="1807"/>
      <c r="I70" s="1807"/>
      <c r="J70" s="1807"/>
      <c r="K70" s="1807"/>
      <c r="L70" s="1807"/>
      <c r="M70" s="1807"/>
      <c r="N70" s="1807"/>
      <c r="O70" s="1807"/>
      <c r="P70" s="1807"/>
      <c r="Q70" s="1807"/>
      <c r="R70" s="1807"/>
      <c r="S70" s="1807"/>
      <c r="T70" s="1807"/>
      <c r="U70" s="1807"/>
      <c r="V70" s="1807"/>
      <c r="W70" s="1807"/>
      <c r="X70" s="1807"/>
      <c r="Y70" s="1807"/>
      <c r="Z70" s="1807"/>
      <c r="AA70" s="1807"/>
      <c r="AB70" s="1807"/>
      <c r="AC70" s="1807"/>
      <c r="AD70" s="1807"/>
      <c r="AE70" s="1807"/>
      <c r="AF70" s="1807"/>
      <c r="AG70" s="1807"/>
      <c r="AH70" s="1807"/>
      <c r="AI70" s="1807"/>
      <c r="AJ70" s="1807"/>
      <c r="AK70" s="1807"/>
      <c r="AL70" s="1807"/>
      <c r="AM70" s="1807"/>
      <c r="AN70" s="1807"/>
      <c r="AO70" s="1807"/>
      <c r="AP70" s="1807"/>
      <c r="AQ70" s="1807"/>
      <c r="AR70" s="1807"/>
      <c r="AS70" s="1807"/>
      <c r="AT70" s="1807"/>
      <c r="AU70" s="1807"/>
      <c r="AV70" s="1807"/>
      <c r="AW70" s="1807"/>
      <c r="AX70" s="1807"/>
      <c r="AY70" s="1807"/>
      <c r="AZ70" s="1807"/>
      <c r="BA70" s="1807"/>
      <c r="BB70" s="1807"/>
      <c r="BC70" s="1807"/>
      <c r="BD70" s="1807"/>
      <c r="BE70" s="1807"/>
      <c r="BF70" s="1807"/>
      <c r="BG70" s="1807"/>
      <c r="BH70" s="1807"/>
      <c r="BI70" s="1807"/>
      <c r="BJ70" s="1807"/>
      <c r="BK70" s="1807"/>
      <c r="BL70" s="1807"/>
      <c r="BM70" s="1807"/>
      <c r="BN70" s="1807"/>
      <c r="BO70" s="1807"/>
      <c r="BP70" s="1807"/>
      <c r="BQ70" s="1807"/>
      <c r="BR70" s="1807"/>
      <c r="BS70" s="1807"/>
      <c r="BT70" s="1807"/>
      <c r="BU70" s="1807"/>
      <c r="BV70" s="1807"/>
      <c r="BW70" s="1807"/>
      <c r="BX70" s="1807"/>
      <c r="BY70" s="1807"/>
      <c r="BZ70" s="1807"/>
      <c r="CA70" s="1807"/>
      <c r="CB70" s="1807"/>
      <c r="CC70" s="1807"/>
      <c r="CD70" s="1807"/>
      <c r="CE70" s="1807"/>
      <c r="CF70" s="1807"/>
      <c r="CG70" s="1807"/>
      <c r="CH70" s="1807"/>
      <c r="CI70" s="1807"/>
      <c r="CJ70" s="1807"/>
      <c r="CK70" s="1807"/>
      <c r="CL70" s="1807"/>
      <c r="CM70" s="1807"/>
      <c r="CN70" s="1807"/>
      <c r="CO70" s="1807"/>
      <c r="CP70" s="1807"/>
      <c r="CQ70" s="1807"/>
      <c r="CR70" s="1807"/>
      <c r="CS70" s="1807"/>
      <c r="CT70" s="1807"/>
      <c r="CU70" s="1807"/>
      <c r="CV70" s="1807"/>
      <c r="CW70" s="1807"/>
      <c r="CX70" s="1807"/>
      <c r="CY70" s="1807"/>
      <c r="CZ70" s="1807"/>
      <c r="DA70" s="1807"/>
      <c r="DB70" s="1807"/>
      <c r="DC70" s="1807"/>
      <c r="DD70" s="1807"/>
      <c r="DE70" s="1807"/>
      <c r="DF70" s="1807"/>
      <c r="DG70" s="1807"/>
      <c r="DH70" s="1807"/>
      <c r="DI70" s="1807"/>
      <c r="DJ70" s="1807"/>
      <c r="DK70" s="1807"/>
      <c r="DL70" s="1807"/>
      <c r="DM70" s="1807"/>
      <c r="DN70" s="1807"/>
      <c r="DO70" s="1807"/>
      <c r="DP70" s="1807"/>
      <c r="DQ70" s="1807"/>
      <c r="DR70" s="1807"/>
      <c r="DS70" s="1807"/>
      <c r="DT70" s="1807"/>
      <c r="DU70" s="1807"/>
      <c r="DV70" s="1807"/>
      <c r="DW70" s="1807"/>
      <c r="DX70" s="1807"/>
      <c r="DY70" s="1807"/>
      <c r="DZ70" s="1807"/>
      <c r="EA70" s="1807"/>
      <c r="EB70" s="1807"/>
      <c r="EC70" s="1807"/>
      <c r="ED70" s="1807"/>
      <c r="EE70" s="1807"/>
      <c r="EF70" s="1807"/>
      <c r="EG70" s="1807"/>
      <c r="EH70" s="1807"/>
      <c r="EI70" s="1807"/>
      <c r="EJ70" s="1807"/>
      <c r="EK70" s="1807"/>
      <c r="EL70" s="1807"/>
      <c r="EM70" s="1807"/>
      <c r="EN70" s="1807"/>
      <c r="EO70" s="1807"/>
      <c r="EP70" s="1807"/>
      <c r="EQ70" s="1807"/>
      <c r="ER70" s="1807"/>
      <c r="ES70" s="1807"/>
      <c r="ET70" s="1807"/>
      <c r="EU70" s="1807"/>
      <c r="EV70" s="1807"/>
      <c r="EW70" s="1807"/>
      <c r="EX70" s="1807"/>
      <c r="EY70" s="1807"/>
      <c r="EZ70" s="1807"/>
      <c r="FA70" s="1807"/>
      <c r="FB70" s="1807"/>
      <c r="FC70" s="1807"/>
      <c r="FD70" s="1807"/>
      <c r="FE70" s="1807"/>
      <c r="FF70" s="1807"/>
      <c r="FG70" s="1807"/>
      <c r="FH70" s="1807"/>
      <c r="FI70" s="1807"/>
      <c r="FJ70" s="1807"/>
      <c r="FK70" s="1807"/>
      <c r="FL70" s="1807"/>
      <c r="FM70" s="1807"/>
      <c r="FN70" s="1807"/>
      <c r="FO70" s="1807"/>
      <c r="FP70" s="1807"/>
      <c r="FQ70" s="1807"/>
      <c r="FR70" s="1807"/>
      <c r="FS70" s="1807"/>
      <c r="FT70" s="1807"/>
      <c r="FU70" s="1807"/>
      <c r="FV70" s="1807"/>
      <c r="FW70" s="1807"/>
      <c r="FX70" s="1807"/>
      <c r="FY70" s="1807"/>
      <c r="FZ70" s="1807"/>
      <c r="GA70" s="1807"/>
      <c r="GB70" s="1807"/>
      <c r="GC70" s="1807"/>
      <c r="GD70" s="1807"/>
      <c r="GE70" s="1807"/>
      <c r="GF70" s="1807"/>
      <c r="GG70" s="1807"/>
      <c r="GH70" s="1807"/>
      <c r="GI70" s="1807"/>
      <c r="GJ70" s="1807"/>
      <c r="GK70" s="1807"/>
      <c r="GL70" s="1807"/>
      <c r="GM70" s="1807"/>
      <c r="GN70" s="1807"/>
      <c r="GO70" s="1807"/>
      <c r="GP70" s="1807"/>
      <c r="GQ70" s="1807"/>
      <c r="GR70" s="1807"/>
      <c r="GS70" s="1807"/>
      <c r="GT70" s="1807"/>
      <c r="GU70" s="1807"/>
      <c r="GV70" s="1807"/>
      <c r="GW70" s="1807"/>
      <c r="GX70" s="1807"/>
      <c r="GY70" s="1807"/>
      <c r="GZ70" s="1807"/>
      <c r="HA70" s="1807"/>
      <c r="HB70" s="1807"/>
      <c r="HC70" s="1807"/>
      <c r="HD70" s="1807"/>
      <c r="HE70" s="1807"/>
      <c r="HF70" s="1807"/>
      <c r="HG70" s="1807"/>
    </row>
    <row r="71" spans="1:215" s="1893" customFormat="1" ht="15" customHeight="1" x14ac:dyDescent="0.2">
      <c r="A71" s="2017"/>
      <c r="B71" s="2060" t="s">
        <v>729</v>
      </c>
      <c r="C71" s="2061"/>
      <c r="D71" s="2061"/>
      <c r="E71" s="2061"/>
      <c r="F71" s="1923"/>
      <c r="G71" s="1598"/>
      <c r="H71" s="1807"/>
      <c r="I71" s="1807"/>
      <c r="J71" s="1807"/>
      <c r="K71" s="1807"/>
      <c r="L71" s="1807"/>
      <c r="M71" s="1807"/>
      <c r="N71" s="1807"/>
      <c r="O71" s="1807"/>
      <c r="P71" s="1807"/>
      <c r="Q71" s="1807"/>
      <c r="R71" s="1807"/>
      <c r="S71" s="1807"/>
      <c r="T71" s="1807"/>
      <c r="U71" s="1807"/>
      <c r="V71" s="1807"/>
      <c r="W71" s="1807"/>
      <c r="X71" s="1807"/>
      <c r="Y71" s="1807"/>
      <c r="Z71" s="1807"/>
      <c r="AA71" s="1807"/>
      <c r="AB71" s="1807"/>
      <c r="AC71" s="1807"/>
      <c r="AD71" s="1807"/>
      <c r="AE71" s="1807"/>
      <c r="AF71" s="1807"/>
      <c r="AG71" s="1807"/>
      <c r="AH71" s="1807"/>
      <c r="AI71" s="1807"/>
      <c r="AJ71" s="1807"/>
      <c r="AK71" s="1807"/>
      <c r="AL71" s="1807"/>
      <c r="AM71" s="1807"/>
      <c r="AN71" s="1807"/>
      <c r="AO71" s="1807"/>
      <c r="AP71" s="1807"/>
      <c r="AQ71" s="1807"/>
      <c r="AR71" s="1807"/>
      <c r="AS71" s="1807"/>
      <c r="AT71" s="1807"/>
      <c r="AU71" s="1807"/>
      <c r="AV71" s="1807"/>
      <c r="AW71" s="1807"/>
      <c r="AX71" s="1807"/>
      <c r="AY71" s="1807"/>
      <c r="AZ71" s="1807"/>
      <c r="BA71" s="1807"/>
      <c r="BB71" s="1807"/>
      <c r="BC71" s="1807"/>
      <c r="BD71" s="1807"/>
      <c r="BE71" s="1807"/>
      <c r="BF71" s="1807"/>
      <c r="BG71" s="1807"/>
      <c r="BH71" s="1807"/>
      <c r="BI71" s="1807"/>
      <c r="BJ71" s="1807"/>
      <c r="BK71" s="1807"/>
      <c r="BL71" s="1807"/>
      <c r="BM71" s="1807"/>
      <c r="BN71" s="1807"/>
      <c r="BO71" s="1807"/>
      <c r="BP71" s="1807"/>
      <c r="BQ71" s="1807"/>
      <c r="BR71" s="1807"/>
      <c r="BS71" s="1807"/>
      <c r="BT71" s="1807"/>
      <c r="BU71" s="1807"/>
      <c r="BV71" s="1807"/>
      <c r="BW71" s="1807"/>
      <c r="BX71" s="1807"/>
      <c r="BY71" s="1807"/>
      <c r="BZ71" s="1807"/>
      <c r="CA71" s="1807"/>
      <c r="CB71" s="1807"/>
      <c r="CC71" s="1807"/>
      <c r="CD71" s="1807"/>
      <c r="CE71" s="1807"/>
      <c r="CF71" s="1807"/>
      <c r="CG71" s="1807"/>
      <c r="CH71" s="1807"/>
      <c r="CI71" s="1807"/>
      <c r="CJ71" s="1807"/>
      <c r="CK71" s="1807"/>
      <c r="CL71" s="1807"/>
      <c r="CM71" s="1807"/>
      <c r="CN71" s="1807"/>
      <c r="CO71" s="1807"/>
      <c r="CP71" s="1807"/>
      <c r="CQ71" s="1807"/>
      <c r="CR71" s="1807"/>
      <c r="CS71" s="1807"/>
      <c r="CT71" s="1807"/>
      <c r="CU71" s="1807"/>
      <c r="CV71" s="1807"/>
      <c r="CW71" s="1807"/>
      <c r="CX71" s="1807"/>
      <c r="CY71" s="1807"/>
      <c r="CZ71" s="1807"/>
      <c r="DA71" s="1807"/>
      <c r="DB71" s="1807"/>
      <c r="DC71" s="1807"/>
      <c r="DD71" s="1807"/>
      <c r="DE71" s="1807"/>
      <c r="DF71" s="1807"/>
      <c r="DG71" s="1807"/>
      <c r="DH71" s="1807"/>
      <c r="DI71" s="1807"/>
      <c r="DJ71" s="1807"/>
      <c r="DK71" s="1807"/>
      <c r="DL71" s="1807"/>
      <c r="DM71" s="1807"/>
      <c r="DN71" s="1807"/>
      <c r="DO71" s="1807"/>
      <c r="DP71" s="1807"/>
      <c r="DQ71" s="1807"/>
      <c r="DR71" s="1807"/>
      <c r="DS71" s="1807"/>
      <c r="DT71" s="1807"/>
      <c r="DU71" s="1807"/>
      <c r="DV71" s="1807"/>
      <c r="DW71" s="1807"/>
      <c r="DX71" s="1807"/>
      <c r="DY71" s="1807"/>
      <c r="DZ71" s="1807"/>
      <c r="EA71" s="1807"/>
      <c r="EB71" s="1807"/>
      <c r="EC71" s="1807"/>
      <c r="ED71" s="1807"/>
      <c r="EE71" s="1807"/>
      <c r="EF71" s="1807"/>
      <c r="EG71" s="1807"/>
      <c r="EH71" s="1807"/>
      <c r="EI71" s="1807"/>
      <c r="EJ71" s="1807"/>
      <c r="EK71" s="1807"/>
      <c r="EL71" s="1807"/>
      <c r="EM71" s="1807"/>
      <c r="EN71" s="1807"/>
      <c r="EO71" s="1807"/>
      <c r="EP71" s="1807"/>
      <c r="EQ71" s="1807"/>
      <c r="ER71" s="1807"/>
      <c r="ES71" s="1807"/>
      <c r="ET71" s="1807"/>
      <c r="EU71" s="1807"/>
      <c r="EV71" s="1807"/>
      <c r="EW71" s="1807"/>
      <c r="EX71" s="1807"/>
      <c r="EY71" s="1807"/>
      <c r="EZ71" s="1807"/>
      <c r="FA71" s="1807"/>
      <c r="FB71" s="1807"/>
      <c r="FC71" s="1807"/>
      <c r="FD71" s="1807"/>
      <c r="FE71" s="1807"/>
      <c r="FF71" s="1807"/>
      <c r="FG71" s="1807"/>
      <c r="FH71" s="1807"/>
      <c r="FI71" s="1807"/>
      <c r="FJ71" s="1807"/>
      <c r="FK71" s="1807"/>
      <c r="FL71" s="1807"/>
      <c r="FM71" s="1807"/>
      <c r="FN71" s="1807"/>
      <c r="FO71" s="1807"/>
      <c r="FP71" s="1807"/>
      <c r="FQ71" s="1807"/>
      <c r="FR71" s="1807"/>
      <c r="FS71" s="1807"/>
      <c r="FT71" s="1807"/>
      <c r="FU71" s="1807"/>
      <c r="FV71" s="1807"/>
      <c r="FW71" s="1807"/>
      <c r="FX71" s="1807"/>
      <c r="FY71" s="1807"/>
      <c r="FZ71" s="1807"/>
      <c r="GA71" s="1807"/>
      <c r="GB71" s="1807"/>
      <c r="GC71" s="1807"/>
      <c r="GD71" s="1807"/>
      <c r="GE71" s="1807"/>
      <c r="GF71" s="1807"/>
      <c r="GG71" s="1807"/>
      <c r="GH71" s="1807"/>
      <c r="GI71" s="1807"/>
      <c r="GJ71" s="1807"/>
      <c r="GK71" s="1807"/>
      <c r="GL71" s="1807"/>
      <c r="GM71" s="1807"/>
      <c r="GN71" s="1807"/>
      <c r="GO71" s="1807"/>
      <c r="GP71" s="1807"/>
      <c r="GQ71" s="1807"/>
      <c r="GR71" s="1807"/>
      <c r="GS71" s="1807"/>
      <c r="GT71" s="1807"/>
      <c r="GU71" s="1807"/>
      <c r="GV71" s="1807"/>
      <c r="GW71" s="1807"/>
      <c r="GX71" s="1807"/>
      <c r="GY71" s="1807"/>
      <c r="GZ71" s="1807"/>
      <c r="HA71" s="1807"/>
      <c r="HB71" s="1807"/>
      <c r="HC71" s="1807"/>
      <c r="HD71" s="1807"/>
      <c r="HE71" s="1807"/>
      <c r="HF71" s="1807"/>
      <c r="HG71" s="1807"/>
    </row>
    <row r="72" spans="1:215" s="1893" customFormat="1" ht="15" customHeight="1" x14ac:dyDescent="0.2">
      <c r="A72" s="2017"/>
      <c r="B72" s="2023" t="s">
        <v>730</v>
      </c>
      <c r="C72" s="2024"/>
      <c r="D72" s="2024"/>
      <c r="E72" s="2024"/>
      <c r="F72" s="1923"/>
      <c r="G72" s="1598"/>
      <c r="H72" s="1807"/>
      <c r="I72" s="1807"/>
      <c r="J72" s="1807"/>
      <c r="K72" s="1807"/>
      <c r="L72" s="1807"/>
      <c r="M72" s="1807"/>
      <c r="N72" s="1807"/>
      <c r="O72" s="1807"/>
      <c r="P72" s="1807"/>
      <c r="Q72" s="1807"/>
      <c r="R72" s="1807"/>
      <c r="S72" s="1807"/>
      <c r="T72" s="1807"/>
      <c r="U72" s="1807"/>
      <c r="V72" s="1807"/>
      <c r="W72" s="1807"/>
      <c r="X72" s="1807"/>
      <c r="Y72" s="1807"/>
      <c r="Z72" s="1807"/>
      <c r="AA72" s="1807"/>
      <c r="AB72" s="1807"/>
      <c r="AC72" s="1807"/>
      <c r="AD72" s="1807"/>
      <c r="AE72" s="1807"/>
      <c r="AF72" s="1807"/>
      <c r="AG72" s="1807"/>
      <c r="AH72" s="1807"/>
      <c r="AI72" s="1807"/>
      <c r="AJ72" s="1807"/>
      <c r="AK72" s="1807"/>
      <c r="AL72" s="1807"/>
      <c r="AM72" s="1807"/>
      <c r="AN72" s="1807"/>
      <c r="AO72" s="1807"/>
      <c r="AP72" s="1807"/>
      <c r="AQ72" s="1807"/>
      <c r="AR72" s="1807"/>
      <c r="AS72" s="1807"/>
      <c r="AT72" s="1807"/>
      <c r="AU72" s="1807"/>
      <c r="AV72" s="1807"/>
      <c r="AW72" s="1807"/>
      <c r="AX72" s="1807"/>
      <c r="AY72" s="1807"/>
      <c r="AZ72" s="1807"/>
      <c r="BA72" s="1807"/>
      <c r="BB72" s="1807"/>
      <c r="BC72" s="1807"/>
      <c r="BD72" s="1807"/>
      <c r="BE72" s="1807"/>
      <c r="BF72" s="1807"/>
      <c r="BG72" s="1807"/>
      <c r="BH72" s="1807"/>
      <c r="BI72" s="1807"/>
      <c r="BJ72" s="1807"/>
      <c r="BK72" s="1807"/>
      <c r="BL72" s="1807"/>
      <c r="BM72" s="1807"/>
      <c r="BN72" s="1807"/>
      <c r="BO72" s="1807"/>
      <c r="BP72" s="1807"/>
      <c r="BQ72" s="1807"/>
      <c r="BR72" s="1807"/>
      <c r="BS72" s="1807"/>
      <c r="BT72" s="1807"/>
      <c r="BU72" s="1807"/>
      <c r="BV72" s="1807"/>
      <c r="BW72" s="1807"/>
      <c r="BX72" s="1807"/>
      <c r="BY72" s="1807"/>
      <c r="BZ72" s="1807"/>
      <c r="CA72" s="1807"/>
      <c r="CB72" s="1807"/>
      <c r="CC72" s="1807"/>
      <c r="CD72" s="1807"/>
      <c r="CE72" s="1807"/>
      <c r="CF72" s="1807"/>
      <c r="CG72" s="1807"/>
      <c r="CH72" s="1807"/>
      <c r="CI72" s="1807"/>
      <c r="CJ72" s="1807"/>
      <c r="CK72" s="1807"/>
      <c r="CL72" s="1807"/>
      <c r="CM72" s="1807"/>
      <c r="CN72" s="1807"/>
      <c r="CO72" s="1807"/>
      <c r="CP72" s="1807"/>
      <c r="CQ72" s="1807"/>
      <c r="CR72" s="1807"/>
      <c r="CS72" s="1807"/>
      <c r="CT72" s="1807"/>
      <c r="CU72" s="1807"/>
      <c r="CV72" s="1807"/>
      <c r="CW72" s="1807"/>
      <c r="CX72" s="1807"/>
      <c r="CY72" s="1807"/>
      <c r="CZ72" s="1807"/>
      <c r="DA72" s="1807"/>
      <c r="DB72" s="1807"/>
      <c r="DC72" s="1807"/>
      <c r="DD72" s="1807"/>
      <c r="DE72" s="1807"/>
      <c r="DF72" s="1807"/>
      <c r="DG72" s="1807"/>
      <c r="DH72" s="1807"/>
      <c r="DI72" s="1807"/>
      <c r="DJ72" s="1807"/>
      <c r="DK72" s="1807"/>
      <c r="DL72" s="1807"/>
      <c r="DM72" s="1807"/>
      <c r="DN72" s="1807"/>
      <c r="DO72" s="1807"/>
      <c r="DP72" s="1807"/>
      <c r="DQ72" s="1807"/>
      <c r="DR72" s="1807"/>
      <c r="DS72" s="1807"/>
      <c r="DT72" s="1807"/>
      <c r="DU72" s="1807"/>
      <c r="DV72" s="1807"/>
      <c r="DW72" s="1807"/>
      <c r="DX72" s="1807"/>
      <c r="DY72" s="1807"/>
      <c r="DZ72" s="1807"/>
      <c r="EA72" s="1807"/>
      <c r="EB72" s="1807"/>
      <c r="EC72" s="1807"/>
      <c r="ED72" s="1807"/>
      <c r="EE72" s="1807"/>
      <c r="EF72" s="1807"/>
      <c r="EG72" s="1807"/>
      <c r="EH72" s="1807"/>
      <c r="EI72" s="1807"/>
      <c r="EJ72" s="1807"/>
      <c r="EK72" s="1807"/>
      <c r="EL72" s="1807"/>
      <c r="EM72" s="1807"/>
      <c r="EN72" s="1807"/>
      <c r="EO72" s="1807"/>
      <c r="EP72" s="1807"/>
      <c r="EQ72" s="1807"/>
      <c r="ER72" s="1807"/>
      <c r="ES72" s="1807"/>
      <c r="ET72" s="1807"/>
      <c r="EU72" s="1807"/>
      <c r="EV72" s="1807"/>
      <c r="EW72" s="1807"/>
      <c r="EX72" s="1807"/>
      <c r="EY72" s="1807"/>
      <c r="EZ72" s="1807"/>
      <c r="FA72" s="1807"/>
      <c r="FB72" s="1807"/>
      <c r="FC72" s="1807"/>
      <c r="FD72" s="1807"/>
      <c r="FE72" s="1807"/>
      <c r="FF72" s="1807"/>
      <c r="FG72" s="1807"/>
      <c r="FH72" s="1807"/>
      <c r="FI72" s="1807"/>
      <c r="FJ72" s="1807"/>
      <c r="FK72" s="1807"/>
      <c r="FL72" s="1807"/>
      <c r="FM72" s="1807"/>
      <c r="FN72" s="1807"/>
      <c r="FO72" s="1807"/>
      <c r="FP72" s="1807"/>
      <c r="FQ72" s="1807"/>
      <c r="FR72" s="1807"/>
      <c r="FS72" s="1807"/>
      <c r="FT72" s="1807"/>
      <c r="FU72" s="1807"/>
      <c r="FV72" s="1807"/>
      <c r="FW72" s="1807"/>
      <c r="FX72" s="1807"/>
      <c r="FY72" s="1807"/>
      <c r="FZ72" s="1807"/>
      <c r="GA72" s="1807"/>
      <c r="GB72" s="1807"/>
      <c r="GC72" s="1807"/>
      <c r="GD72" s="1807"/>
      <c r="GE72" s="1807"/>
      <c r="GF72" s="1807"/>
      <c r="GG72" s="1807"/>
      <c r="GH72" s="1807"/>
      <c r="GI72" s="1807"/>
      <c r="GJ72" s="1807"/>
      <c r="GK72" s="1807"/>
      <c r="GL72" s="1807"/>
      <c r="GM72" s="1807"/>
      <c r="GN72" s="1807"/>
      <c r="GO72" s="1807"/>
      <c r="GP72" s="1807"/>
      <c r="GQ72" s="1807"/>
      <c r="GR72" s="1807"/>
      <c r="GS72" s="1807"/>
      <c r="GT72" s="1807"/>
      <c r="GU72" s="1807"/>
      <c r="GV72" s="1807"/>
      <c r="GW72" s="1807"/>
      <c r="GX72" s="1807"/>
      <c r="GY72" s="1807"/>
      <c r="GZ72" s="1807"/>
      <c r="HA72" s="1807"/>
      <c r="HB72" s="1807"/>
      <c r="HC72" s="1807"/>
      <c r="HD72" s="1807"/>
      <c r="HE72" s="1807"/>
      <c r="HF72" s="1807"/>
      <c r="HG72" s="1807"/>
    </row>
    <row r="73" spans="1:215" s="1893" customFormat="1" ht="15" customHeight="1" thickBot="1" x14ac:dyDescent="0.25">
      <c r="A73" s="2017"/>
      <c r="B73" s="2023" t="s">
        <v>731</v>
      </c>
      <c r="C73" s="2024"/>
      <c r="D73" s="2024"/>
      <c r="E73" s="2024"/>
      <c r="F73" s="1923"/>
      <c r="G73" s="1598"/>
      <c r="H73" s="1807"/>
      <c r="I73" s="1807"/>
      <c r="J73" s="1807"/>
      <c r="K73" s="1807"/>
      <c r="L73" s="1807"/>
      <c r="M73" s="1807"/>
      <c r="N73" s="1807"/>
      <c r="O73" s="1807"/>
      <c r="P73" s="1807"/>
      <c r="Q73" s="1807"/>
      <c r="R73" s="1807"/>
      <c r="S73" s="1807"/>
      <c r="T73" s="1807"/>
      <c r="U73" s="1807"/>
      <c r="V73" s="1807"/>
      <c r="W73" s="1807"/>
      <c r="X73" s="1807"/>
      <c r="Y73" s="1807"/>
      <c r="Z73" s="1807"/>
      <c r="AA73" s="1807"/>
      <c r="AB73" s="1807"/>
      <c r="AC73" s="1807"/>
      <c r="AD73" s="1807"/>
      <c r="AE73" s="1807"/>
      <c r="AF73" s="1807"/>
      <c r="AG73" s="1807"/>
      <c r="AH73" s="1807"/>
      <c r="AI73" s="1807"/>
      <c r="AJ73" s="1807"/>
      <c r="AK73" s="1807"/>
      <c r="AL73" s="1807"/>
      <c r="AM73" s="1807"/>
      <c r="AN73" s="1807"/>
      <c r="AO73" s="1807"/>
      <c r="AP73" s="1807"/>
      <c r="AQ73" s="1807"/>
      <c r="AR73" s="1807"/>
      <c r="AS73" s="1807"/>
      <c r="AT73" s="1807"/>
      <c r="AU73" s="1807"/>
      <c r="AV73" s="1807"/>
      <c r="AW73" s="1807"/>
      <c r="AX73" s="1807"/>
      <c r="AY73" s="1807"/>
      <c r="AZ73" s="1807"/>
      <c r="BA73" s="1807"/>
      <c r="BB73" s="1807"/>
      <c r="BC73" s="1807"/>
      <c r="BD73" s="1807"/>
      <c r="BE73" s="1807"/>
      <c r="BF73" s="1807"/>
      <c r="BG73" s="1807"/>
      <c r="BH73" s="1807"/>
      <c r="BI73" s="1807"/>
      <c r="BJ73" s="1807"/>
      <c r="BK73" s="1807"/>
      <c r="BL73" s="1807"/>
      <c r="BM73" s="1807"/>
      <c r="BN73" s="1807"/>
      <c r="BO73" s="1807"/>
      <c r="BP73" s="1807"/>
      <c r="BQ73" s="1807"/>
      <c r="BR73" s="1807"/>
      <c r="BS73" s="1807"/>
      <c r="BT73" s="1807"/>
      <c r="BU73" s="1807"/>
      <c r="BV73" s="1807"/>
      <c r="BW73" s="1807"/>
      <c r="BX73" s="1807"/>
      <c r="BY73" s="1807"/>
      <c r="BZ73" s="1807"/>
      <c r="CA73" s="1807"/>
      <c r="CB73" s="1807"/>
      <c r="CC73" s="1807"/>
      <c r="CD73" s="1807"/>
      <c r="CE73" s="1807"/>
      <c r="CF73" s="1807"/>
      <c r="CG73" s="1807"/>
      <c r="CH73" s="1807"/>
      <c r="CI73" s="1807"/>
      <c r="CJ73" s="1807"/>
      <c r="CK73" s="1807"/>
      <c r="CL73" s="1807"/>
      <c r="CM73" s="1807"/>
      <c r="CN73" s="1807"/>
      <c r="CO73" s="1807"/>
      <c r="CP73" s="1807"/>
      <c r="CQ73" s="1807"/>
      <c r="CR73" s="1807"/>
      <c r="CS73" s="1807"/>
      <c r="CT73" s="1807"/>
      <c r="CU73" s="1807"/>
      <c r="CV73" s="1807"/>
      <c r="CW73" s="1807"/>
      <c r="CX73" s="1807"/>
      <c r="CY73" s="1807"/>
      <c r="CZ73" s="1807"/>
      <c r="DA73" s="1807"/>
      <c r="DB73" s="1807"/>
      <c r="DC73" s="1807"/>
      <c r="DD73" s="1807"/>
      <c r="DE73" s="1807"/>
      <c r="DF73" s="1807"/>
      <c r="DG73" s="1807"/>
      <c r="DH73" s="1807"/>
      <c r="DI73" s="1807"/>
      <c r="DJ73" s="1807"/>
      <c r="DK73" s="1807"/>
      <c r="DL73" s="1807"/>
      <c r="DM73" s="1807"/>
      <c r="DN73" s="1807"/>
      <c r="DO73" s="1807"/>
      <c r="DP73" s="1807"/>
      <c r="DQ73" s="1807"/>
      <c r="DR73" s="1807"/>
      <c r="DS73" s="1807"/>
      <c r="DT73" s="1807"/>
      <c r="DU73" s="1807"/>
      <c r="DV73" s="1807"/>
      <c r="DW73" s="1807"/>
      <c r="DX73" s="1807"/>
      <c r="DY73" s="1807"/>
      <c r="DZ73" s="1807"/>
      <c r="EA73" s="1807"/>
      <c r="EB73" s="1807"/>
      <c r="EC73" s="1807"/>
      <c r="ED73" s="1807"/>
      <c r="EE73" s="1807"/>
      <c r="EF73" s="1807"/>
      <c r="EG73" s="1807"/>
      <c r="EH73" s="1807"/>
      <c r="EI73" s="1807"/>
      <c r="EJ73" s="1807"/>
      <c r="EK73" s="1807"/>
      <c r="EL73" s="1807"/>
      <c r="EM73" s="1807"/>
      <c r="EN73" s="1807"/>
      <c r="EO73" s="1807"/>
      <c r="EP73" s="1807"/>
      <c r="EQ73" s="1807"/>
      <c r="ER73" s="1807"/>
      <c r="ES73" s="1807"/>
      <c r="ET73" s="1807"/>
      <c r="EU73" s="1807"/>
      <c r="EV73" s="1807"/>
      <c r="EW73" s="1807"/>
      <c r="EX73" s="1807"/>
      <c r="EY73" s="1807"/>
      <c r="EZ73" s="1807"/>
      <c r="FA73" s="1807"/>
      <c r="FB73" s="1807"/>
      <c r="FC73" s="1807"/>
      <c r="FD73" s="1807"/>
      <c r="FE73" s="1807"/>
      <c r="FF73" s="1807"/>
      <c r="FG73" s="1807"/>
      <c r="FH73" s="1807"/>
      <c r="FI73" s="1807"/>
      <c r="FJ73" s="1807"/>
      <c r="FK73" s="1807"/>
      <c r="FL73" s="1807"/>
      <c r="FM73" s="1807"/>
      <c r="FN73" s="1807"/>
      <c r="FO73" s="1807"/>
      <c r="FP73" s="1807"/>
      <c r="FQ73" s="1807"/>
      <c r="FR73" s="1807"/>
      <c r="FS73" s="1807"/>
      <c r="FT73" s="1807"/>
      <c r="FU73" s="1807"/>
      <c r="FV73" s="1807"/>
      <c r="FW73" s="1807"/>
      <c r="FX73" s="1807"/>
      <c r="FY73" s="1807"/>
      <c r="FZ73" s="1807"/>
      <c r="GA73" s="1807"/>
      <c r="GB73" s="1807"/>
      <c r="GC73" s="1807"/>
      <c r="GD73" s="1807"/>
      <c r="GE73" s="1807"/>
      <c r="GF73" s="1807"/>
      <c r="GG73" s="1807"/>
      <c r="GH73" s="1807"/>
      <c r="GI73" s="1807"/>
      <c r="GJ73" s="1807"/>
      <c r="GK73" s="1807"/>
      <c r="GL73" s="1807"/>
      <c r="GM73" s="1807"/>
      <c r="GN73" s="1807"/>
      <c r="GO73" s="1807"/>
      <c r="GP73" s="1807"/>
      <c r="GQ73" s="1807"/>
      <c r="GR73" s="1807"/>
      <c r="GS73" s="1807"/>
      <c r="GT73" s="1807"/>
      <c r="GU73" s="1807"/>
      <c r="GV73" s="1807"/>
      <c r="GW73" s="1807"/>
      <c r="GX73" s="1807"/>
      <c r="GY73" s="1807"/>
      <c r="GZ73" s="1807"/>
      <c r="HA73" s="1807"/>
      <c r="HB73" s="1807"/>
      <c r="HC73" s="1807"/>
      <c r="HD73" s="1807"/>
      <c r="HE73" s="1807"/>
      <c r="HF73" s="1807"/>
      <c r="HG73" s="1807"/>
    </row>
    <row r="74" spans="1:215" s="1893" customFormat="1" ht="30" customHeight="1" thickBot="1" x14ac:dyDescent="0.25">
      <c r="A74" s="2017"/>
      <c r="B74" s="2042" t="s">
        <v>2406</v>
      </c>
      <c r="C74" s="2043"/>
      <c r="D74" s="2043"/>
      <c r="E74" s="2044"/>
      <c r="F74" s="1924"/>
      <c r="G74" s="1597"/>
      <c r="H74" s="1808"/>
      <c r="I74" s="1808"/>
      <c r="J74" s="1808"/>
      <c r="K74" s="1808"/>
      <c r="L74" s="1808"/>
      <c r="M74" s="1808"/>
      <c r="N74" s="1808"/>
      <c r="O74" s="1808"/>
      <c r="P74" s="1808"/>
      <c r="Q74" s="1808"/>
      <c r="R74" s="1808"/>
      <c r="S74" s="1808"/>
      <c r="T74" s="1808"/>
      <c r="U74" s="1808"/>
      <c r="V74" s="1808"/>
      <c r="W74" s="1808"/>
      <c r="X74" s="1808"/>
      <c r="Y74" s="1808"/>
      <c r="Z74" s="1808"/>
      <c r="AA74" s="1808"/>
      <c r="AB74" s="1808"/>
      <c r="AC74" s="1808"/>
      <c r="AD74" s="1808"/>
      <c r="AE74" s="1808"/>
      <c r="AF74" s="1808"/>
      <c r="AG74" s="1808"/>
      <c r="AH74" s="1808"/>
      <c r="AI74" s="1808"/>
      <c r="AJ74" s="1808"/>
      <c r="AK74" s="1808"/>
      <c r="AL74" s="1808"/>
      <c r="AM74" s="1808"/>
      <c r="AN74" s="1808"/>
      <c r="AO74" s="1808"/>
      <c r="AP74" s="1808"/>
      <c r="AQ74" s="1808"/>
      <c r="AR74" s="1808"/>
      <c r="AS74" s="1808"/>
      <c r="AT74" s="1808"/>
      <c r="AU74" s="1808"/>
      <c r="AV74" s="1808"/>
      <c r="AW74" s="1808"/>
      <c r="AX74" s="1808"/>
      <c r="AY74" s="1808"/>
      <c r="AZ74" s="1808"/>
      <c r="BA74" s="1808"/>
      <c r="BB74" s="1808"/>
      <c r="BC74" s="1808"/>
      <c r="BD74" s="1808"/>
      <c r="BE74" s="1808"/>
      <c r="BF74" s="1808"/>
      <c r="BG74" s="1808"/>
      <c r="BH74" s="1808"/>
      <c r="BI74" s="1808"/>
      <c r="BJ74" s="1808"/>
      <c r="BK74" s="1808"/>
      <c r="BL74" s="1808"/>
      <c r="BM74" s="1808"/>
      <c r="BN74" s="1808"/>
      <c r="BO74" s="1808"/>
      <c r="BP74" s="1808"/>
      <c r="BQ74" s="1808"/>
      <c r="BR74" s="1808"/>
      <c r="BS74" s="1808"/>
      <c r="BT74" s="1808"/>
      <c r="BU74" s="1808"/>
      <c r="BV74" s="1808"/>
      <c r="BW74" s="1808"/>
      <c r="BX74" s="1808"/>
      <c r="BY74" s="1808"/>
      <c r="BZ74" s="1808"/>
      <c r="CA74" s="1808"/>
      <c r="CB74" s="1808"/>
      <c r="CC74" s="1808"/>
      <c r="CD74" s="1808"/>
      <c r="CE74" s="1808"/>
      <c r="CF74" s="1808"/>
      <c r="CG74" s="1808"/>
      <c r="CH74" s="1808"/>
      <c r="CI74" s="1808"/>
      <c r="CJ74" s="1808"/>
      <c r="CK74" s="1808"/>
      <c r="CL74" s="1808"/>
      <c r="CM74" s="1808"/>
      <c r="CN74" s="1808"/>
      <c r="CO74" s="1808"/>
      <c r="CP74" s="1808"/>
      <c r="CQ74" s="1808"/>
      <c r="CR74" s="1808"/>
      <c r="CS74" s="1808"/>
      <c r="CT74" s="1808"/>
      <c r="CU74" s="1808"/>
      <c r="CV74" s="1808"/>
      <c r="CW74" s="1808"/>
      <c r="CX74" s="1808"/>
      <c r="CY74" s="1808"/>
      <c r="CZ74" s="1808"/>
      <c r="DA74" s="1808"/>
      <c r="DB74" s="1808"/>
      <c r="DC74" s="1808"/>
      <c r="DD74" s="1808"/>
      <c r="DE74" s="1808"/>
      <c r="DF74" s="1808"/>
      <c r="DG74" s="1808"/>
      <c r="DH74" s="1808"/>
      <c r="DI74" s="1808"/>
      <c r="DJ74" s="1808"/>
      <c r="DK74" s="1808"/>
      <c r="DL74" s="1808"/>
      <c r="DM74" s="1808"/>
      <c r="DN74" s="1808"/>
      <c r="DO74" s="1808"/>
      <c r="DP74" s="1808"/>
      <c r="DQ74" s="1808"/>
      <c r="DR74" s="1808"/>
      <c r="DS74" s="1808"/>
      <c r="DT74" s="1808"/>
      <c r="DU74" s="1808"/>
      <c r="DV74" s="1808"/>
      <c r="DW74" s="1808"/>
      <c r="DX74" s="1808"/>
      <c r="DY74" s="1808"/>
      <c r="DZ74" s="1808"/>
      <c r="EA74" s="1808"/>
      <c r="EB74" s="1808"/>
      <c r="EC74" s="1808"/>
      <c r="ED74" s="1808"/>
      <c r="EE74" s="1808"/>
      <c r="EF74" s="1808"/>
      <c r="EG74" s="1808"/>
      <c r="EH74" s="1808"/>
      <c r="EI74" s="1808"/>
      <c r="EJ74" s="1808"/>
      <c r="EK74" s="1808"/>
      <c r="EL74" s="1808"/>
      <c r="EM74" s="1808"/>
      <c r="EN74" s="1808"/>
      <c r="EO74" s="1808"/>
      <c r="EP74" s="1808"/>
      <c r="EQ74" s="1808"/>
      <c r="ER74" s="1808"/>
      <c r="ES74" s="1808"/>
      <c r="ET74" s="1808"/>
      <c r="EU74" s="1808"/>
      <c r="EV74" s="1808"/>
      <c r="EW74" s="1808"/>
      <c r="EX74" s="1808"/>
      <c r="EY74" s="1808"/>
      <c r="EZ74" s="1808"/>
      <c r="FA74" s="1808"/>
      <c r="FB74" s="1808"/>
      <c r="FC74" s="1808"/>
      <c r="FD74" s="1808"/>
      <c r="FE74" s="1808"/>
      <c r="FF74" s="1808"/>
      <c r="FG74" s="1808"/>
      <c r="FH74" s="1808"/>
      <c r="FI74" s="1808"/>
      <c r="FJ74" s="1808"/>
      <c r="FK74" s="1808"/>
      <c r="FL74" s="1808"/>
      <c r="FM74" s="1808"/>
      <c r="FN74" s="1808"/>
      <c r="FO74" s="1808"/>
      <c r="FP74" s="1808"/>
      <c r="FQ74" s="1808"/>
      <c r="FR74" s="1808"/>
      <c r="FS74" s="1808"/>
      <c r="FT74" s="1808"/>
      <c r="FU74" s="1808"/>
      <c r="FV74" s="1808"/>
      <c r="FW74" s="1808"/>
      <c r="FX74" s="1808"/>
      <c r="FY74" s="1808"/>
      <c r="FZ74" s="1808"/>
      <c r="GA74" s="1808"/>
      <c r="GB74" s="1808"/>
      <c r="GC74" s="1808"/>
      <c r="GD74" s="1808"/>
      <c r="GE74" s="1808"/>
      <c r="GF74" s="1808"/>
      <c r="GG74" s="1808"/>
      <c r="GH74" s="1808"/>
      <c r="GI74" s="1808"/>
      <c r="GJ74" s="1808"/>
      <c r="GK74" s="1808"/>
      <c r="GL74" s="1808"/>
      <c r="GM74" s="1808"/>
      <c r="GN74" s="1808"/>
      <c r="GO74" s="1808"/>
      <c r="GP74" s="1808"/>
      <c r="GQ74" s="1808"/>
      <c r="GR74" s="1808"/>
      <c r="GS74" s="1808"/>
      <c r="GT74" s="1808"/>
      <c r="GU74" s="1808"/>
      <c r="GV74" s="1808"/>
      <c r="GW74" s="1808"/>
      <c r="GX74" s="1808"/>
      <c r="GY74" s="1808"/>
      <c r="GZ74" s="1808"/>
      <c r="HA74" s="1808"/>
      <c r="HB74" s="1808"/>
      <c r="HC74" s="1808"/>
      <c r="HD74" s="1808"/>
      <c r="HE74" s="1808"/>
      <c r="HF74" s="1808"/>
      <c r="HG74" s="1808"/>
    </row>
    <row r="75" spans="1:215" s="1893" customFormat="1" ht="18" customHeight="1" thickBot="1" x14ac:dyDescent="0.25">
      <c r="A75" s="2017"/>
      <c r="B75" s="1925"/>
      <c r="C75" s="1926" t="s">
        <v>15</v>
      </c>
      <c r="D75" s="1926" t="s">
        <v>16</v>
      </c>
      <c r="E75" s="1926" t="s">
        <v>17</v>
      </c>
      <c r="F75" s="1924"/>
      <c r="G75" s="1597"/>
      <c r="H75" s="1808"/>
      <c r="I75" s="1808"/>
      <c r="J75" s="1808"/>
      <c r="K75" s="1808"/>
      <c r="L75" s="1808"/>
      <c r="M75" s="1808"/>
      <c r="N75" s="1808"/>
      <c r="O75" s="1808"/>
      <c r="P75" s="1808"/>
      <c r="Q75" s="1808"/>
      <c r="R75" s="1808"/>
      <c r="S75" s="1808"/>
      <c r="T75" s="1808"/>
      <c r="U75" s="1808"/>
      <c r="V75" s="1808"/>
      <c r="W75" s="1808"/>
      <c r="X75" s="1808"/>
      <c r="Y75" s="1808"/>
      <c r="Z75" s="1808"/>
      <c r="AA75" s="1808"/>
      <c r="AB75" s="1808"/>
      <c r="AC75" s="1808"/>
      <c r="AD75" s="1808"/>
      <c r="AE75" s="1808"/>
      <c r="AF75" s="1808"/>
      <c r="AG75" s="1808"/>
      <c r="AH75" s="1808"/>
      <c r="AI75" s="1808"/>
      <c r="AJ75" s="1808"/>
      <c r="AK75" s="1808"/>
      <c r="AL75" s="1808"/>
      <c r="AM75" s="1808"/>
      <c r="AN75" s="1808"/>
      <c r="AO75" s="1808"/>
      <c r="AP75" s="1808"/>
      <c r="AQ75" s="1808"/>
      <c r="AR75" s="1808"/>
      <c r="AS75" s="1808"/>
      <c r="AT75" s="1808"/>
      <c r="AU75" s="1808"/>
      <c r="AV75" s="1808"/>
      <c r="AW75" s="1808"/>
      <c r="AX75" s="1808"/>
      <c r="AY75" s="1808"/>
      <c r="AZ75" s="1808"/>
      <c r="BA75" s="1808"/>
      <c r="BB75" s="1808"/>
      <c r="BC75" s="1808"/>
      <c r="BD75" s="1808"/>
      <c r="BE75" s="1808"/>
      <c r="BF75" s="1808"/>
      <c r="BG75" s="1808"/>
      <c r="BH75" s="1808"/>
      <c r="BI75" s="1808"/>
      <c r="BJ75" s="1808"/>
      <c r="BK75" s="1808"/>
      <c r="BL75" s="1808"/>
      <c r="BM75" s="1808"/>
      <c r="BN75" s="1808"/>
      <c r="BO75" s="1808"/>
      <c r="BP75" s="1808"/>
      <c r="BQ75" s="1808"/>
      <c r="BR75" s="1808"/>
      <c r="BS75" s="1808"/>
      <c r="BT75" s="1808"/>
      <c r="BU75" s="1808"/>
      <c r="BV75" s="1808"/>
      <c r="BW75" s="1808"/>
      <c r="BX75" s="1808"/>
      <c r="BY75" s="1808"/>
      <c r="BZ75" s="1808"/>
      <c r="CA75" s="1808"/>
      <c r="CB75" s="1808"/>
      <c r="CC75" s="1808"/>
      <c r="CD75" s="1808"/>
      <c r="CE75" s="1808"/>
      <c r="CF75" s="1808"/>
      <c r="CG75" s="1808"/>
      <c r="CH75" s="1808"/>
      <c r="CI75" s="1808"/>
      <c r="CJ75" s="1808"/>
      <c r="CK75" s="1808"/>
      <c r="CL75" s="1808"/>
      <c r="CM75" s="1808"/>
      <c r="CN75" s="1808"/>
      <c r="CO75" s="1808"/>
      <c r="CP75" s="1808"/>
      <c r="CQ75" s="1808"/>
      <c r="CR75" s="1808"/>
      <c r="CS75" s="1808"/>
      <c r="CT75" s="1808"/>
      <c r="CU75" s="1808"/>
      <c r="CV75" s="1808"/>
      <c r="CW75" s="1808"/>
      <c r="CX75" s="1808"/>
      <c r="CY75" s="1808"/>
      <c r="CZ75" s="1808"/>
      <c r="DA75" s="1808"/>
      <c r="DB75" s="1808"/>
      <c r="DC75" s="1808"/>
      <c r="DD75" s="1808"/>
      <c r="DE75" s="1808"/>
      <c r="DF75" s="1808"/>
      <c r="DG75" s="1808"/>
      <c r="DH75" s="1808"/>
      <c r="DI75" s="1808"/>
      <c r="DJ75" s="1808"/>
      <c r="DK75" s="1808"/>
      <c r="DL75" s="1808"/>
      <c r="DM75" s="1808"/>
      <c r="DN75" s="1808"/>
      <c r="DO75" s="1808"/>
      <c r="DP75" s="1808"/>
      <c r="DQ75" s="1808"/>
      <c r="DR75" s="1808"/>
      <c r="DS75" s="1808"/>
      <c r="DT75" s="1808"/>
      <c r="DU75" s="1808"/>
      <c r="DV75" s="1808"/>
      <c r="DW75" s="1808"/>
      <c r="DX75" s="1808"/>
      <c r="DY75" s="1808"/>
      <c r="DZ75" s="1808"/>
      <c r="EA75" s="1808"/>
      <c r="EB75" s="1808"/>
      <c r="EC75" s="1808"/>
      <c r="ED75" s="1808"/>
      <c r="EE75" s="1808"/>
      <c r="EF75" s="1808"/>
      <c r="EG75" s="1808"/>
      <c r="EH75" s="1808"/>
      <c r="EI75" s="1808"/>
      <c r="EJ75" s="1808"/>
      <c r="EK75" s="1808"/>
      <c r="EL75" s="1808"/>
      <c r="EM75" s="1808"/>
      <c r="EN75" s="1808"/>
      <c r="EO75" s="1808"/>
      <c r="EP75" s="1808"/>
      <c r="EQ75" s="1808"/>
      <c r="ER75" s="1808"/>
      <c r="ES75" s="1808"/>
      <c r="ET75" s="1808"/>
      <c r="EU75" s="1808"/>
      <c r="EV75" s="1808"/>
      <c r="EW75" s="1808"/>
      <c r="EX75" s="1808"/>
      <c r="EY75" s="1808"/>
      <c r="EZ75" s="1808"/>
      <c r="FA75" s="1808"/>
      <c r="FB75" s="1808"/>
      <c r="FC75" s="1808"/>
      <c r="FD75" s="1808"/>
      <c r="FE75" s="1808"/>
      <c r="FF75" s="1808"/>
      <c r="FG75" s="1808"/>
      <c r="FH75" s="1808"/>
      <c r="FI75" s="1808"/>
      <c r="FJ75" s="1808"/>
      <c r="FK75" s="1808"/>
      <c r="FL75" s="1808"/>
      <c r="FM75" s="1808"/>
      <c r="FN75" s="1808"/>
      <c r="FO75" s="1808"/>
      <c r="FP75" s="1808"/>
      <c r="FQ75" s="1808"/>
      <c r="FR75" s="1808"/>
      <c r="FS75" s="1808"/>
      <c r="FT75" s="1808"/>
      <c r="FU75" s="1808"/>
      <c r="FV75" s="1808"/>
      <c r="FW75" s="1808"/>
      <c r="FX75" s="1808"/>
      <c r="FY75" s="1808"/>
      <c r="FZ75" s="1808"/>
      <c r="GA75" s="1808"/>
      <c r="GB75" s="1808"/>
      <c r="GC75" s="1808"/>
      <c r="GD75" s="1808"/>
      <c r="GE75" s="1808"/>
      <c r="GF75" s="1808"/>
      <c r="GG75" s="1808"/>
      <c r="GH75" s="1808"/>
      <c r="GI75" s="1808"/>
      <c r="GJ75" s="1808"/>
      <c r="GK75" s="1808"/>
      <c r="GL75" s="1808"/>
      <c r="GM75" s="1808"/>
      <c r="GN75" s="1808"/>
      <c r="GO75" s="1808"/>
      <c r="GP75" s="1808"/>
      <c r="GQ75" s="1808"/>
      <c r="GR75" s="1808"/>
      <c r="GS75" s="1808"/>
      <c r="GT75" s="1808"/>
      <c r="GU75" s="1808"/>
      <c r="GV75" s="1808"/>
      <c r="GW75" s="1808"/>
      <c r="GX75" s="1808"/>
      <c r="GY75" s="1808"/>
      <c r="GZ75" s="1808"/>
      <c r="HA75" s="1808"/>
      <c r="HB75" s="1808"/>
      <c r="HC75" s="1808"/>
      <c r="HD75" s="1808"/>
      <c r="HE75" s="1808"/>
      <c r="HF75" s="1808"/>
      <c r="HG75" s="1808"/>
    </row>
    <row r="76" spans="1:215" s="1893" customFormat="1" ht="15" customHeight="1" x14ac:dyDescent="0.2">
      <c r="A76" s="2017"/>
      <c r="B76" s="1927" t="s">
        <v>205</v>
      </c>
      <c r="C76" s="1928" t="s">
        <v>542</v>
      </c>
      <c r="D76" s="1928" t="s">
        <v>543</v>
      </c>
      <c r="E76" s="1929" t="s">
        <v>544</v>
      </c>
      <c r="F76" s="1907">
        <v>0</v>
      </c>
      <c r="G76" s="1599"/>
      <c r="H76" s="1809">
        <v>0</v>
      </c>
      <c r="I76" s="1809">
        <v>0</v>
      </c>
      <c r="J76" s="1809">
        <v>0</v>
      </c>
      <c r="K76" s="1809">
        <v>0</v>
      </c>
      <c r="L76" s="1809">
        <v>0</v>
      </c>
      <c r="M76" s="1809">
        <v>0</v>
      </c>
      <c r="N76" s="1809">
        <v>0</v>
      </c>
      <c r="O76" s="1809">
        <v>0</v>
      </c>
      <c r="P76" s="1809">
        <v>0</v>
      </c>
      <c r="Q76" s="1809">
        <v>0</v>
      </c>
      <c r="R76" s="1809">
        <v>0</v>
      </c>
      <c r="S76" s="1809">
        <v>0</v>
      </c>
      <c r="T76" s="1809">
        <v>0</v>
      </c>
      <c r="U76" s="1809">
        <v>0</v>
      </c>
      <c r="V76" s="1809">
        <v>0</v>
      </c>
      <c r="W76" s="1809">
        <v>0</v>
      </c>
      <c r="X76" s="1809">
        <v>0</v>
      </c>
      <c r="Y76" s="1809">
        <v>0</v>
      </c>
      <c r="Z76" s="1809">
        <v>0</v>
      </c>
      <c r="AA76" s="1809">
        <v>0</v>
      </c>
      <c r="AB76" s="1809">
        <v>0</v>
      </c>
      <c r="AC76" s="1809">
        <v>0</v>
      </c>
      <c r="AD76" s="1809">
        <v>0</v>
      </c>
      <c r="AE76" s="1809">
        <v>0</v>
      </c>
      <c r="AF76" s="1809">
        <v>0</v>
      </c>
      <c r="AG76" s="1809">
        <v>0</v>
      </c>
      <c r="AH76" s="1809">
        <v>0</v>
      </c>
      <c r="AI76" s="1809">
        <v>0</v>
      </c>
      <c r="AJ76" s="1809">
        <v>0</v>
      </c>
      <c r="AK76" s="1809">
        <v>0</v>
      </c>
      <c r="AL76" s="1809">
        <v>0</v>
      </c>
      <c r="AM76" s="1809">
        <v>0</v>
      </c>
      <c r="AN76" s="1809">
        <v>0</v>
      </c>
      <c r="AO76" s="1809">
        <v>0</v>
      </c>
      <c r="AP76" s="1809">
        <v>0</v>
      </c>
      <c r="AQ76" s="1809">
        <v>0</v>
      </c>
      <c r="AR76" s="1809">
        <v>0</v>
      </c>
      <c r="AS76" s="1809">
        <v>0</v>
      </c>
      <c r="AT76" s="1809">
        <v>0</v>
      </c>
      <c r="AU76" s="1809">
        <v>0</v>
      </c>
      <c r="AV76" s="1809">
        <v>0</v>
      </c>
      <c r="AW76" s="1809">
        <v>0</v>
      </c>
      <c r="AX76" s="1809">
        <v>0</v>
      </c>
      <c r="AY76" s="1809">
        <v>0</v>
      </c>
      <c r="AZ76" s="1809">
        <v>0</v>
      </c>
      <c r="BA76" s="1809">
        <v>0</v>
      </c>
      <c r="BB76" s="1809">
        <v>0</v>
      </c>
      <c r="BC76" s="1809">
        <v>0</v>
      </c>
      <c r="BD76" s="1809">
        <v>0</v>
      </c>
      <c r="BE76" s="1809">
        <v>0</v>
      </c>
      <c r="BF76" s="1809">
        <v>0</v>
      </c>
      <c r="BG76" s="1809">
        <v>0</v>
      </c>
      <c r="BH76" s="1809">
        <v>0</v>
      </c>
      <c r="BI76" s="1809">
        <v>0</v>
      </c>
      <c r="BJ76" s="1809">
        <v>0</v>
      </c>
      <c r="BK76" s="1809">
        <v>0</v>
      </c>
      <c r="BL76" s="1809">
        <v>0</v>
      </c>
      <c r="BM76" s="1809">
        <v>0</v>
      </c>
      <c r="BN76" s="1809">
        <v>0</v>
      </c>
      <c r="BO76" s="1809">
        <v>0</v>
      </c>
      <c r="BP76" s="1809">
        <v>0</v>
      </c>
      <c r="BQ76" s="1809">
        <v>0</v>
      </c>
      <c r="BR76" s="1809">
        <v>0</v>
      </c>
      <c r="BS76" s="1809">
        <v>0</v>
      </c>
      <c r="BT76" s="1809">
        <v>0</v>
      </c>
      <c r="BU76" s="1809">
        <v>0</v>
      </c>
      <c r="BV76" s="1809">
        <v>0</v>
      </c>
      <c r="BW76" s="1809">
        <v>0</v>
      </c>
      <c r="BX76" s="1809">
        <v>0</v>
      </c>
      <c r="BY76" s="1809">
        <v>0</v>
      </c>
      <c r="BZ76" s="1809">
        <v>0</v>
      </c>
      <c r="CA76" s="1809">
        <v>0</v>
      </c>
      <c r="CB76" s="1809">
        <v>0</v>
      </c>
      <c r="CC76" s="1809">
        <v>0</v>
      </c>
      <c r="CD76" s="1809">
        <v>0</v>
      </c>
      <c r="CE76" s="1809">
        <v>0</v>
      </c>
      <c r="CF76" s="1809">
        <v>0</v>
      </c>
      <c r="CG76" s="1809">
        <v>0</v>
      </c>
      <c r="CH76" s="1809">
        <v>0</v>
      </c>
      <c r="CI76" s="1809">
        <v>0</v>
      </c>
      <c r="CJ76" s="1809">
        <v>0</v>
      </c>
      <c r="CK76" s="1809">
        <v>0</v>
      </c>
      <c r="CL76" s="1809">
        <v>0</v>
      </c>
      <c r="CM76" s="1809">
        <v>0</v>
      </c>
      <c r="CN76" s="1809">
        <v>0</v>
      </c>
      <c r="CO76" s="1809">
        <v>0</v>
      </c>
      <c r="CP76" s="1809">
        <v>0</v>
      </c>
      <c r="CQ76" s="1809">
        <v>0</v>
      </c>
      <c r="CR76" s="1809">
        <v>0</v>
      </c>
      <c r="CS76" s="1809">
        <v>0</v>
      </c>
      <c r="CT76" s="1809">
        <v>0</v>
      </c>
      <c r="CU76" s="1809">
        <v>0</v>
      </c>
      <c r="CV76" s="1809">
        <v>0</v>
      </c>
      <c r="CW76" s="1809">
        <v>0</v>
      </c>
      <c r="CX76" s="1809">
        <v>0</v>
      </c>
      <c r="CY76" s="1809">
        <v>0</v>
      </c>
      <c r="CZ76" s="1809">
        <v>0</v>
      </c>
      <c r="DA76" s="1809">
        <v>0</v>
      </c>
      <c r="DB76" s="1809">
        <v>0</v>
      </c>
      <c r="DC76" s="1809">
        <v>0</v>
      </c>
      <c r="DD76" s="1809">
        <v>0</v>
      </c>
      <c r="DE76" s="1809">
        <v>0</v>
      </c>
      <c r="DF76" s="1809">
        <v>0</v>
      </c>
      <c r="DG76" s="1809">
        <v>0</v>
      </c>
      <c r="DH76" s="1809">
        <v>0</v>
      </c>
      <c r="DI76" s="1809">
        <v>0</v>
      </c>
      <c r="DJ76" s="1809">
        <v>0</v>
      </c>
      <c r="DK76" s="1809">
        <v>0</v>
      </c>
      <c r="DL76" s="1809">
        <v>0</v>
      </c>
      <c r="DM76" s="1809">
        <v>0</v>
      </c>
      <c r="DN76" s="1809">
        <v>0</v>
      </c>
      <c r="DO76" s="1809">
        <v>0</v>
      </c>
      <c r="DP76" s="1809">
        <v>0</v>
      </c>
      <c r="DQ76" s="1809">
        <v>0</v>
      </c>
      <c r="DR76" s="1809">
        <v>0</v>
      </c>
      <c r="DS76" s="1809">
        <v>0</v>
      </c>
      <c r="DT76" s="1809">
        <v>0</v>
      </c>
      <c r="DU76" s="1809">
        <v>0</v>
      </c>
      <c r="DV76" s="1809">
        <v>0</v>
      </c>
      <c r="DW76" s="1809">
        <v>0</v>
      </c>
      <c r="DX76" s="1809">
        <v>0</v>
      </c>
      <c r="DY76" s="1809">
        <v>0</v>
      </c>
      <c r="DZ76" s="1809">
        <v>0</v>
      </c>
      <c r="EA76" s="1809">
        <v>0</v>
      </c>
      <c r="EB76" s="1809">
        <v>0</v>
      </c>
      <c r="EC76" s="1809">
        <v>0</v>
      </c>
      <c r="ED76" s="1809">
        <v>0</v>
      </c>
      <c r="EE76" s="1809">
        <v>0</v>
      </c>
      <c r="EF76" s="1809">
        <v>0</v>
      </c>
      <c r="EG76" s="1809">
        <v>0</v>
      </c>
      <c r="EH76" s="1809">
        <v>0</v>
      </c>
      <c r="EI76" s="1809">
        <v>0</v>
      </c>
      <c r="EJ76" s="1809">
        <v>0</v>
      </c>
      <c r="EK76" s="1809">
        <v>0</v>
      </c>
      <c r="EL76" s="1809">
        <v>0</v>
      </c>
      <c r="EM76" s="1809">
        <v>0</v>
      </c>
      <c r="EN76" s="1809">
        <v>0</v>
      </c>
      <c r="EO76" s="1809">
        <v>0</v>
      </c>
      <c r="EP76" s="1809">
        <v>0</v>
      </c>
      <c r="EQ76" s="1809">
        <v>0</v>
      </c>
      <c r="ER76" s="1809">
        <v>0</v>
      </c>
      <c r="ES76" s="1809">
        <v>0</v>
      </c>
      <c r="ET76" s="1809">
        <v>0</v>
      </c>
      <c r="EU76" s="1809">
        <v>0</v>
      </c>
      <c r="EV76" s="1809">
        <v>0</v>
      </c>
      <c r="EW76" s="1809">
        <v>0</v>
      </c>
      <c r="EX76" s="1809">
        <v>0</v>
      </c>
      <c r="EY76" s="1809">
        <v>0</v>
      </c>
      <c r="EZ76" s="1809">
        <v>0</v>
      </c>
      <c r="FA76" s="1809">
        <v>0</v>
      </c>
      <c r="FB76" s="1809">
        <v>0</v>
      </c>
      <c r="FC76" s="1809">
        <v>0</v>
      </c>
      <c r="FD76" s="1809">
        <v>0</v>
      </c>
      <c r="FE76" s="1809">
        <v>0</v>
      </c>
      <c r="FF76" s="1809">
        <v>0</v>
      </c>
      <c r="FG76" s="1809">
        <v>0</v>
      </c>
      <c r="FH76" s="1809">
        <v>0</v>
      </c>
      <c r="FI76" s="1809">
        <v>0</v>
      </c>
      <c r="FJ76" s="1809">
        <v>0</v>
      </c>
      <c r="FK76" s="1809">
        <v>0</v>
      </c>
      <c r="FL76" s="1809">
        <v>0</v>
      </c>
      <c r="FM76" s="1809">
        <v>0</v>
      </c>
      <c r="FN76" s="1809">
        <v>0</v>
      </c>
      <c r="FO76" s="1809">
        <v>0</v>
      </c>
      <c r="FP76" s="1809">
        <v>0</v>
      </c>
      <c r="FQ76" s="1809">
        <v>0</v>
      </c>
      <c r="FR76" s="1809">
        <v>0</v>
      </c>
      <c r="FS76" s="1809">
        <v>0</v>
      </c>
      <c r="FT76" s="1809">
        <v>0</v>
      </c>
      <c r="FU76" s="1809">
        <v>0</v>
      </c>
      <c r="FV76" s="1809">
        <v>0</v>
      </c>
      <c r="FW76" s="1809">
        <v>0</v>
      </c>
      <c r="FX76" s="1809">
        <v>0</v>
      </c>
      <c r="FY76" s="1809">
        <v>0</v>
      </c>
      <c r="FZ76" s="1809">
        <v>0</v>
      </c>
      <c r="GA76" s="1809">
        <v>0</v>
      </c>
      <c r="GB76" s="1809">
        <v>0</v>
      </c>
      <c r="GC76" s="1809">
        <v>0</v>
      </c>
      <c r="GD76" s="1809">
        <v>0</v>
      </c>
      <c r="GE76" s="1809">
        <v>0</v>
      </c>
      <c r="GF76" s="1809">
        <v>0</v>
      </c>
      <c r="GG76" s="1809">
        <v>0</v>
      </c>
      <c r="GH76" s="1809">
        <v>0</v>
      </c>
      <c r="GI76" s="1809">
        <v>0</v>
      </c>
      <c r="GJ76" s="1809">
        <v>0</v>
      </c>
      <c r="GK76" s="1809">
        <v>0</v>
      </c>
      <c r="GL76" s="1809">
        <v>0</v>
      </c>
      <c r="GM76" s="1809">
        <v>0</v>
      </c>
      <c r="GN76" s="1809">
        <v>0</v>
      </c>
      <c r="GO76" s="1809">
        <v>0</v>
      </c>
      <c r="GP76" s="1809">
        <v>0</v>
      </c>
      <c r="GQ76" s="1809">
        <v>0</v>
      </c>
      <c r="GR76" s="1809">
        <v>0</v>
      </c>
      <c r="GS76" s="1809">
        <v>0</v>
      </c>
      <c r="GT76" s="1809">
        <v>0</v>
      </c>
      <c r="GU76" s="1809">
        <v>0</v>
      </c>
      <c r="GV76" s="1809">
        <v>0</v>
      </c>
      <c r="GW76" s="1809">
        <v>0</v>
      </c>
      <c r="GX76" s="1809">
        <v>0</v>
      </c>
      <c r="GY76" s="1809">
        <v>0</v>
      </c>
      <c r="GZ76" s="1809">
        <v>0</v>
      </c>
      <c r="HA76" s="1809">
        <v>0</v>
      </c>
      <c r="HB76" s="1809">
        <v>0</v>
      </c>
      <c r="HC76" s="1809">
        <v>0</v>
      </c>
      <c r="HD76" s="1809">
        <v>0</v>
      </c>
      <c r="HE76" s="1809">
        <v>0</v>
      </c>
      <c r="HF76" s="1809">
        <v>0</v>
      </c>
      <c r="HG76" s="1809">
        <v>0</v>
      </c>
    </row>
    <row r="77" spans="1:215" s="1893" customFormat="1" ht="15" customHeight="1" x14ac:dyDescent="0.2">
      <c r="A77" s="2017"/>
      <c r="B77" s="1927" t="s">
        <v>551</v>
      </c>
      <c r="C77" s="1928" t="s">
        <v>62</v>
      </c>
      <c r="D77" s="1928" t="s">
        <v>63</v>
      </c>
      <c r="E77" s="1930" t="s">
        <v>64</v>
      </c>
      <c r="F77" s="1907">
        <v>0</v>
      </c>
      <c r="G77" s="1599"/>
      <c r="H77" s="1809">
        <v>0</v>
      </c>
      <c r="I77" s="1809">
        <v>0</v>
      </c>
      <c r="J77" s="1809">
        <v>0</v>
      </c>
      <c r="K77" s="1809">
        <v>0</v>
      </c>
      <c r="L77" s="1809">
        <v>0</v>
      </c>
      <c r="M77" s="1809">
        <v>0</v>
      </c>
      <c r="N77" s="1809">
        <v>0</v>
      </c>
      <c r="O77" s="1809">
        <v>0</v>
      </c>
      <c r="P77" s="1809">
        <v>0</v>
      </c>
      <c r="Q77" s="1809">
        <v>0</v>
      </c>
      <c r="R77" s="1809">
        <v>0</v>
      </c>
      <c r="S77" s="1809">
        <v>0</v>
      </c>
      <c r="T77" s="1809">
        <v>0</v>
      </c>
      <c r="U77" s="1809">
        <v>0</v>
      </c>
      <c r="V77" s="1809">
        <v>0</v>
      </c>
      <c r="W77" s="1809">
        <v>0</v>
      </c>
      <c r="X77" s="1809">
        <v>0</v>
      </c>
      <c r="Y77" s="1809">
        <v>0</v>
      </c>
      <c r="Z77" s="1809">
        <v>0</v>
      </c>
      <c r="AA77" s="1809">
        <v>0</v>
      </c>
      <c r="AB77" s="1809">
        <v>0</v>
      </c>
      <c r="AC77" s="1809">
        <v>0</v>
      </c>
      <c r="AD77" s="1809">
        <v>0</v>
      </c>
      <c r="AE77" s="1809">
        <v>0</v>
      </c>
      <c r="AF77" s="1809">
        <v>0</v>
      </c>
      <c r="AG77" s="1809">
        <v>0</v>
      </c>
      <c r="AH77" s="1809">
        <v>0</v>
      </c>
      <c r="AI77" s="1809">
        <v>0</v>
      </c>
      <c r="AJ77" s="1809">
        <v>0</v>
      </c>
      <c r="AK77" s="1809">
        <v>0</v>
      </c>
      <c r="AL77" s="1809">
        <v>0</v>
      </c>
      <c r="AM77" s="1809">
        <v>0</v>
      </c>
      <c r="AN77" s="1809">
        <v>0</v>
      </c>
      <c r="AO77" s="1809">
        <v>0</v>
      </c>
      <c r="AP77" s="1809">
        <v>0</v>
      </c>
      <c r="AQ77" s="1809">
        <v>0</v>
      </c>
      <c r="AR77" s="1809">
        <v>0</v>
      </c>
      <c r="AS77" s="1809">
        <v>0</v>
      </c>
      <c r="AT77" s="1809">
        <v>0</v>
      </c>
      <c r="AU77" s="1809">
        <v>0</v>
      </c>
      <c r="AV77" s="1809">
        <v>0</v>
      </c>
      <c r="AW77" s="1809">
        <v>0</v>
      </c>
      <c r="AX77" s="1809">
        <v>0</v>
      </c>
      <c r="AY77" s="1809">
        <v>0</v>
      </c>
      <c r="AZ77" s="1809">
        <v>0</v>
      </c>
      <c r="BA77" s="1809">
        <v>0</v>
      </c>
      <c r="BB77" s="1809">
        <v>0</v>
      </c>
      <c r="BC77" s="1809">
        <v>0</v>
      </c>
      <c r="BD77" s="1809">
        <v>0</v>
      </c>
      <c r="BE77" s="1809">
        <v>0</v>
      </c>
      <c r="BF77" s="1809">
        <v>0</v>
      </c>
      <c r="BG77" s="1809">
        <v>0</v>
      </c>
      <c r="BH77" s="1809">
        <v>0</v>
      </c>
      <c r="BI77" s="1809">
        <v>0</v>
      </c>
      <c r="BJ77" s="1809">
        <v>0</v>
      </c>
      <c r="BK77" s="1809">
        <v>0</v>
      </c>
      <c r="BL77" s="1809">
        <v>0</v>
      </c>
      <c r="BM77" s="1809">
        <v>0</v>
      </c>
      <c r="BN77" s="1809">
        <v>0</v>
      </c>
      <c r="BO77" s="1809">
        <v>0</v>
      </c>
      <c r="BP77" s="1809">
        <v>0</v>
      </c>
      <c r="BQ77" s="1809">
        <v>0</v>
      </c>
      <c r="BR77" s="1809">
        <v>0</v>
      </c>
      <c r="BS77" s="1809">
        <v>0</v>
      </c>
      <c r="BT77" s="1809">
        <v>0</v>
      </c>
      <c r="BU77" s="1809">
        <v>0</v>
      </c>
      <c r="BV77" s="1809">
        <v>0</v>
      </c>
      <c r="BW77" s="1809">
        <v>0</v>
      </c>
      <c r="BX77" s="1809">
        <v>0</v>
      </c>
      <c r="BY77" s="1809">
        <v>0</v>
      </c>
      <c r="BZ77" s="1809">
        <v>0</v>
      </c>
      <c r="CA77" s="1809">
        <v>0</v>
      </c>
      <c r="CB77" s="1809">
        <v>0</v>
      </c>
      <c r="CC77" s="1809">
        <v>0</v>
      </c>
      <c r="CD77" s="1809">
        <v>0</v>
      </c>
      <c r="CE77" s="1809">
        <v>0</v>
      </c>
      <c r="CF77" s="1809">
        <v>0</v>
      </c>
      <c r="CG77" s="1809">
        <v>0</v>
      </c>
      <c r="CH77" s="1809">
        <v>0</v>
      </c>
      <c r="CI77" s="1809">
        <v>0</v>
      </c>
      <c r="CJ77" s="1809">
        <v>0</v>
      </c>
      <c r="CK77" s="1809">
        <v>0</v>
      </c>
      <c r="CL77" s="1809">
        <v>0</v>
      </c>
      <c r="CM77" s="1809">
        <v>0</v>
      </c>
      <c r="CN77" s="1809">
        <v>0</v>
      </c>
      <c r="CO77" s="1809">
        <v>0</v>
      </c>
      <c r="CP77" s="1809">
        <v>0</v>
      </c>
      <c r="CQ77" s="1809">
        <v>0</v>
      </c>
      <c r="CR77" s="1809">
        <v>0</v>
      </c>
      <c r="CS77" s="1809">
        <v>0</v>
      </c>
      <c r="CT77" s="1809">
        <v>0</v>
      </c>
      <c r="CU77" s="1809">
        <v>0</v>
      </c>
      <c r="CV77" s="1809">
        <v>0</v>
      </c>
      <c r="CW77" s="1809">
        <v>0</v>
      </c>
      <c r="CX77" s="1809">
        <v>0</v>
      </c>
      <c r="CY77" s="1809">
        <v>0</v>
      </c>
      <c r="CZ77" s="1809">
        <v>0</v>
      </c>
      <c r="DA77" s="1809">
        <v>0</v>
      </c>
      <c r="DB77" s="1809">
        <v>0</v>
      </c>
      <c r="DC77" s="1809">
        <v>0</v>
      </c>
      <c r="DD77" s="1809">
        <v>0</v>
      </c>
      <c r="DE77" s="1809">
        <v>0</v>
      </c>
      <c r="DF77" s="1809">
        <v>0</v>
      </c>
      <c r="DG77" s="1809">
        <v>0</v>
      </c>
      <c r="DH77" s="1809">
        <v>0</v>
      </c>
      <c r="DI77" s="1809">
        <v>0</v>
      </c>
      <c r="DJ77" s="1809">
        <v>0</v>
      </c>
      <c r="DK77" s="1809">
        <v>0</v>
      </c>
      <c r="DL77" s="1809">
        <v>0</v>
      </c>
      <c r="DM77" s="1809">
        <v>0</v>
      </c>
      <c r="DN77" s="1809">
        <v>0</v>
      </c>
      <c r="DO77" s="1809">
        <v>0</v>
      </c>
      <c r="DP77" s="1809">
        <v>0</v>
      </c>
      <c r="DQ77" s="1809">
        <v>0</v>
      </c>
      <c r="DR77" s="1809">
        <v>0</v>
      </c>
      <c r="DS77" s="1809">
        <v>0</v>
      </c>
      <c r="DT77" s="1809">
        <v>0</v>
      </c>
      <c r="DU77" s="1809">
        <v>0</v>
      </c>
      <c r="DV77" s="1809">
        <v>0</v>
      </c>
      <c r="DW77" s="1809">
        <v>0</v>
      </c>
      <c r="DX77" s="1809">
        <v>0</v>
      </c>
      <c r="DY77" s="1809">
        <v>0</v>
      </c>
      <c r="DZ77" s="1809">
        <v>0</v>
      </c>
      <c r="EA77" s="1809">
        <v>0</v>
      </c>
      <c r="EB77" s="1809">
        <v>0</v>
      </c>
      <c r="EC77" s="1809">
        <v>0</v>
      </c>
      <c r="ED77" s="1809">
        <v>0</v>
      </c>
      <c r="EE77" s="1809">
        <v>0</v>
      </c>
      <c r="EF77" s="1809">
        <v>0</v>
      </c>
      <c r="EG77" s="1809">
        <v>0</v>
      </c>
      <c r="EH77" s="1809">
        <v>0</v>
      </c>
      <c r="EI77" s="1809">
        <v>0</v>
      </c>
      <c r="EJ77" s="1809">
        <v>0</v>
      </c>
      <c r="EK77" s="1809">
        <v>0</v>
      </c>
      <c r="EL77" s="1809">
        <v>0</v>
      </c>
      <c r="EM77" s="1809">
        <v>0</v>
      </c>
      <c r="EN77" s="1809">
        <v>0</v>
      </c>
      <c r="EO77" s="1809">
        <v>0</v>
      </c>
      <c r="EP77" s="1809">
        <v>0</v>
      </c>
      <c r="EQ77" s="1809">
        <v>0</v>
      </c>
      <c r="ER77" s="1809">
        <v>0</v>
      </c>
      <c r="ES77" s="1809">
        <v>0</v>
      </c>
      <c r="ET77" s="1809">
        <v>0</v>
      </c>
      <c r="EU77" s="1809">
        <v>0</v>
      </c>
      <c r="EV77" s="1809">
        <v>0</v>
      </c>
      <c r="EW77" s="1809">
        <v>0</v>
      </c>
      <c r="EX77" s="1809">
        <v>0</v>
      </c>
      <c r="EY77" s="1809">
        <v>0</v>
      </c>
      <c r="EZ77" s="1809">
        <v>0</v>
      </c>
      <c r="FA77" s="1809">
        <v>0</v>
      </c>
      <c r="FB77" s="1809">
        <v>0</v>
      </c>
      <c r="FC77" s="1809">
        <v>0</v>
      </c>
      <c r="FD77" s="1809">
        <v>0</v>
      </c>
      <c r="FE77" s="1809">
        <v>0</v>
      </c>
      <c r="FF77" s="1809">
        <v>0</v>
      </c>
      <c r="FG77" s="1809">
        <v>0</v>
      </c>
      <c r="FH77" s="1809">
        <v>0</v>
      </c>
      <c r="FI77" s="1809">
        <v>0</v>
      </c>
      <c r="FJ77" s="1809">
        <v>0</v>
      </c>
      <c r="FK77" s="1809">
        <v>0</v>
      </c>
      <c r="FL77" s="1809">
        <v>0</v>
      </c>
      <c r="FM77" s="1809">
        <v>0</v>
      </c>
      <c r="FN77" s="1809">
        <v>0</v>
      </c>
      <c r="FO77" s="1809">
        <v>0</v>
      </c>
      <c r="FP77" s="1809">
        <v>0</v>
      </c>
      <c r="FQ77" s="1809">
        <v>0</v>
      </c>
      <c r="FR77" s="1809">
        <v>0</v>
      </c>
      <c r="FS77" s="1809">
        <v>0</v>
      </c>
      <c r="FT77" s="1809">
        <v>0</v>
      </c>
      <c r="FU77" s="1809">
        <v>0</v>
      </c>
      <c r="FV77" s="1809">
        <v>0</v>
      </c>
      <c r="FW77" s="1809">
        <v>0</v>
      </c>
      <c r="FX77" s="1809">
        <v>0</v>
      </c>
      <c r="FY77" s="1809">
        <v>0</v>
      </c>
      <c r="FZ77" s="1809">
        <v>0</v>
      </c>
      <c r="GA77" s="1809">
        <v>0</v>
      </c>
      <c r="GB77" s="1809">
        <v>0</v>
      </c>
      <c r="GC77" s="1809">
        <v>0</v>
      </c>
      <c r="GD77" s="1809">
        <v>0</v>
      </c>
      <c r="GE77" s="1809">
        <v>0</v>
      </c>
      <c r="GF77" s="1809">
        <v>0</v>
      </c>
      <c r="GG77" s="1809">
        <v>0</v>
      </c>
      <c r="GH77" s="1809">
        <v>0</v>
      </c>
      <c r="GI77" s="1809">
        <v>0</v>
      </c>
      <c r="GJ77" s="1809">
        <v>0</v>
      </c>
      <c r="GK77" s="1809">
        <v>0</v>
      </c>
      <c r="GL77" s="1809">
        <v>0</v>
      </c>
      <c r="GM77" s="1809">
        <v>0</v>
      </c>
      <c r="GN77" s="1809">
        <v>0</v>
      </c>
      <c r="GO77" s="1809">
        <v>0</v>
      </c>
      <c r="GP77" s="1809">
        <v>0</v>
      </c>
      <c r="GQ77" s="1809">
        <v>0</v>
      </c>
      <c r="GR77" s="1809">
        <v>0</v>
      </c>
      <c r="GS77" s="1809">
        <v>0</v>
      </c>
      <c r="GT77" s="1809">
        <v>0</v>
      </c>
      <c r="GU77" s="1809">
        <v>0</v>
      </c>
      <c r="GV77" s="1809">
        <v>0</v>
      </c>
      <c r="GW77" s="1809">
        <v>0</v>
      </c>
      <c r="GX77" s="1809">
        <v>0</v>
      </c>
      <c r="GY77" s="1809">
        <v>0</v>
      </c>
      <c r="GZ77" s="1809">
        <v>0</v>
      </c>
      <c r="HA77" s="1809">
        <v>0</v>
      </c>
      <c r="HB77" s="1809">
        <v>0</v>
      </c>
      <c r="HC77" s="1809">
        <v>0</v>
      </c>
      <c r="HD77" s="1809">
        <v>0</v>
      </c>
      <c r="HE77" s="1809">
        <v>0</v>
      </c>
      <c r="HF77" s="1809">
        <v>0</v>
      </c>
      <c r="HG77" s="1809">
        <v>0</v>
      </c>
    </row>
    <row r="78" spans="1:215" s="1893" customFormat="1" ht="15" customHeight="1" x14ac:dyDescent="0.2">
      <c r="A78" s="2017"/>
      <c r="B78" s="1927" t="s">
        <v>105</v>
      </c>
      <c r="C78" s="1928" t="s">
        <v>300</v>
      </c>
      <c r="D78" s="1928" t="s">
        <v>301</v>
      </c>
      <c r="E78" s="1930" t="s">
        <v>302</v>
      </c>
      <c r="F78" s="1907">
        <v>0</v>
      </c>
      <c r="G78" s="1599"/>
      <c r="H78" s="1809">
        <v>0</v>
      </c>
      <c r="I78" s="1809">
        <v>0</v>
      </c>
      <c r="J78" s="1809">
        <v>0</v>
      </c>
      <c r="K78" s="1809">
        <v>0</v>
      </c>
      <c r="L78" s="1809">
        <v>0</v>
      </c>
      <c r="M78" s="1809">
        <v>0</v>
      </c>
      <c r="N78" s="1809">
        <v>0</v>
      </c>
      <c r="O78" s="1809">
        <v>0</v>
      </c>
      <c r="P78" s="1809">
        <v>0</v>
      </c>
      <c r="Q78" s="1809">
        <v>0</v>
      </c>
      <c r="R78" s="1809">
        <v>0</v>
      </c>
      <c r="S78" s="1809">
        <v>0</v>
      </c>
      <c r="T78" s="1809">
        <v>0</v>
      </c>
      <c r="U78" s="1809">
        <v>0</v>
      </c>
      <c r="V78" s="1809">
        <v>0</v>
      </c>
      <c r="W78" s="1809">
        <v>0</v>
      </c>
      <c r="X78" s="1809">
        <v>0</v>
      </c>
      <c r="Y78" s="1809">
        <v>0</v>
      </c>
      <c r="Z78" s="1809">
        <v>0</v>
      </c>
      <c r="AA78" s="1809">
        <v>0</v>
      </c>
      <c r="AB78" s="1809">
        <v>0</v>
      </c>
      <c r="AC78" s="1809">
        <v>0</v>
      </c>
      <c r="AD78" s="1809">
        <v>0</v>
      </c>
      <c r="AE78" s="1809">
        <v>0</v>
      </c>
      <c r="AF78" s="1809">
        <v>0</v>
      </c>
      <c r="AG78" s="1809">
        <v>0</v>
      </c>
      <c r="AH78" s="1809">
        <v>0</v>
      </c>
      <c r="AI78" s="1809">
        <v>0</v>
      </c>
      <c r="AJ78" s="1809">
        <v>0</v>
      </c>
      <c r="AK78" s="1809">
        <v>0</v>
      </c>
      <c r="AL78" s="1809">
        <v>0</v>
      </c>
      <c r="AM78" s="1809">
        <v>0</v>
      </c>
      <c r="AN78" s="1809">
        <v>0</v>
      </c>
      <c r="AO78" s="1809">
        <v>0</v>
      </c>
      <c r="AP78" s="1809">
        <v>0</v>
      </c>
      <c r="AQ78" s="1809">
        <v>0</v>
      </c>
      <c r="AR78" s="1809">
        <v>0</v>
      </c>
      <c r="AS78" s="1809">
        <v>0</v>
      </c>
      <c r="AT78" s="1809">
        <v>0</v>
      </c>
      <c r="AU78" s="1809">
        <v>0</v>
      </c>
      <c r="AV78" s="1809">
        <v>0</v>
      </c>
      <c r="AW78" s="1809">
        <v>0</v>
      </c>
      <c r="AX78" s="1809">
        <v>0</v>
      </c>
      <c r="AY78" s="1809">
        <v>0</v>
      </c>
      <c r="AZ78" s="1809">
        <v>0</v>
      </c>
      <c r="BA78" s="1809">
        <v>0</v>
      </c>
      <c r="BB78" s="1809">
        <v>0</v>
      </c>
      <c r="BC78" s="1809">
        <v>0</v>
      </c>
      <c r="BD78" s="1809">
        <v>0</v>
      </c>
      <c r="BE78" s="1809">
        <v>0</v>
      </c>
      <c r="BF78" s="1809">
        <v>0</v>
      </c>
      <c r="BG78" s="1809">
        <v>0</v>
      </c>
      <c r="BH78" s="1809">
        <v>0</v>
      </c>
      <c r="BI78" s="1809">
        <v>0</v>
      </c>
      <c r="BJ78" s="1809">
        <v>0</v>
      </c>
      <c r="BK78" s="1809">
        <v>0</v>
      </c>
      <c r="BL78" s="1809">
        <v>0</v>
      </c>
      <c r="BM78" s="1809">
        <v>0</v>
      </c>
      <c r="BN78" s="1809">
        <v>0</v>
      </c>
      <c r="BO78" s="1809">
        <v>0</v>
      </c>
      <c r="BP78" s="1809">
        <v>0</v>
      </c>
      <c r="BQ78" s="1809">
        <v>0</v>
      </c>
      <c r="BR78" s="1809">
        <v>0</v>
      </c>
      <c r="BS78" s="1809">
        <v>0</v>
      </c>
      <c r="BT78" s="1809">
        <v>0</v>
      </c>
      <c r="BU78" s="1809">
        <v>0</v>
      </c>
      <c r="BV78" s="1809">
        <v>0</v>
      </c>
      <c r="BW78" s="1809">
        <v>0</v>
      </c>
      <c r="BX78" s="1809">
        <v>0</v>
      </c>
      <c r="BY78" s="1809">
        <v>0</v>
      </c>
      <c r="BZ78" s="1809">
        <v>0</v>
      </c>
      <c r="CA78" s="1809">
        <v>0</v>
      </c>
      <c r="CB78" s="1809">
        <v>0</v>
      </c>
      <c r="CC78" s="1809">
        <v>0</v>
      </c>
      <c r="CD78" s="1809">
        <v>0</v>
      </c>
      <c r="CE78" s="1809">
        <v>0</v>
      </c>
      <c r="CF78" s="1809">
        <v>0</v>
      </c>
      <c r="CG78" s="1809">
        <v>0</v>
      </c>
      <c r="CH78" s="1809">
        <v>0</v>
      </c>
      <c r="CI78" s="1809">
        <v>0</v>
      </c>
      <c r="CJ78" s="1809">
        <v>0</v>
      </c>
      <c r="CK78" s="1809">
        <v>0</v>
      </c>
      <c r="CL78" s="1809">
        <v>0</v>
      </c>
      <c r="CM78" s="1809">
        <v>0</v>
      </c>
      <c r="CN78" s="1809">
        <v>0</v>
      </c>
      <c r="CO78" s="1809">
        <v>0</v>
      </c>
      <c r="CP78" s="1809">
        <v>0</v>
      </c>
      <c r="CQ78" s="1809">
        <v>0</v>
      </c>
      <c r="CR78" s="1809">
        <v>0</v>
      </c>
      <c r="CS78" s="1809">
        <v>0</v>
      </c>
      <c r="CT78" s="1809">
        <v>0</v>
      </c>
      <c r="CU78" s="1809">
        <v>0</v>
      </c>
      <c r="CV78" s="1809">
        <v>0</v>
      </c>
      <c r="CW78" s="1809">
        <v>0</v>
      </c>
      <c r="CX78" s="1809">
        <v>0</v>
      </c>
      <c r="CY78" s="1809">
        <v>0</v>
      </c>
      <c r="CZ78" s="1809">
        <v>0</v>
      </c>
      <c r="DA78" s="1809">
        <v>0</v>
      </c>
      <c r="DB78" s="1809">
        <v>0</v>
      </c>
      <c r="DC78" s="1809">
        <v>0</v>
      </c>
      <c r="DD78" s="1809">
        <v>0</v>
      </c>
      <c r="DE78" s="1809">
        <v>0</v>
      </c>
      <c r="DF78" s="1809">
        <v>0</v>
      </c>
      <c r="DG78" s="1809">
        <v>0</v>
      </c>
      <c r="DH78" s="1809">
        <v>0</v>
      </c>
      <c r="DI78" s="1809">
        <v>0</v>
      </c>
      <c r="DJ78" s="1809">
        <v>0</v>
      </c>
      <c r="DK78" s="1809">
        <v>0</v>
      </c>
      <c r="DL78" s="1809">
        <v>0</v>
      </c>
      <c r="DM78" s="1809">
        <v>0</v>
      </c>
      <c r="DN78" s="1809">
        <v>0</v>
      </c>
      <c r="DO78" s="1809">
        <v>0</v>
      </c>
      <c r="DP78" s="1809">
        <v>0</v>
      </c>
      <c r="DQ78" s="1809">
        <v>0</v>
      </c>
      <c r="DR78" s="1809">
        <v>0</v>
      </c>
      <c r="DS78" s="1809">
        <v>0</v>
      </c>
      <c r="DT78" s="1809">
        <v>0</v>
      </c>
      <c r="DU78" s="1809">
        <v>0</v>
      </c>
      <c r="DV78" s="1809">
        <v>0</v>
      </c>
      <c r="DW78" s="1809">
        <v>0</v>
      </c>
      <c r="DX78" s="1809">
        <v>0</v>
      </c>
      <c r="DY78" s="1809">
        <v>0</v>
      </c>
      <c r="DZ78" s="1809">
        <v>0</v>
      </c>
      <c r="EA78" s="1809">
        <v>0</v>
      </c>
      <c r="EB78" s="1809">
        <v>0</v>
      </c>
      <c r="EC78" s="1809">
        <v>0</v>
      </c>
      <c r="ED78" s="1809">
        <v>0</v>
      </c>
      <c r="EE78" s="1809">
        <v>0</v>
      </c>
      <c r="EF78" s="1809">
        <v>0</v>
      </c>
      <c r="EG78" s="1809">
        <v>0</v>
      </c>
      <c r="EH78" s="1809">
        <v>0</v>
      </c>
      <c r="EI78" s="1809">
        <v>0</v>
      </c>
      <c r="EJ78" s="1809">
        <v>0</v>
      </c>
      <c r="EK78" s="1809">
        <v>0</v>
      </c>
      <c r="EL78" s="1809">
        <v>0</v>
      </c>
      <c r="EM78" s="1809">
        <v>0</v>
      </c>
      <c r="EN78" s="1809">
        <v>0</v>
      </c>
      <c r="EO78" s="1809">
        <v>0</v>
      </c>
      <c r="EP78" s="1809">
        <v>0</v>
      </c>
      <c r="EQ78" s="1809">
        <v>0</v>
      </c>
      <c r="ER78" s="1809">
        <v>0</v>
      </c>
      <c r="ES78" s="1809">
        <v>0</v>
      </c>
      <c r="ET78" s="1809">
        <v>0</v>
      </c>
      <c r="EU78" s="1809">
        <v>0</v>
      </c>
      <c r="EV78" s="1809">
        <v>0</v>
      </c>
      <c r="EW78" s="1809">
        <v>0</v>
      </c>
      <c r="EX78" s="1809">
        <v>0</v>
      </c>
      <c r="EY78" s="1809">
        <v>0</v>
      </c>
      <c r="EZ78" s="1809">
        <v>0</v>
      </c>
      <c r="FA78" s="1809">
        <v>0</v>
      </c>
      <c r="FB78" s="1809">
        <v>0</v>
      </c>
      <c r="FC78" s="1809">
        <v>0</v>
      </c>
      <c r="FD78" s="1809">
        <v>0</v>
      </c>
      <c r="FE78" s="1809">
        <v>0</v>
      </c>
      <c r="FF78" s="1809">
        <v>0</v>
      </c>
      <c r="FG78" s="1809">
        <v>0</v>
      </c>
      <c r="FH78" s="1809">
        <v>0</v>
      </c>
      <c r="FI78" s="1809">
        <v>0</v>
      </c>
      <c r="FJ78" s="1809">
        <v>0</v>
      </c>
      <c r="FK78" s="1809">
        <v>0</v>
      </c>
      <c r="FL78" s="1809">
        <v>0</v>
      </c>
      <c r="FM78" s="1809">
        <v>0</v>
      </c>
      <c r="FN78" s="1809">
        <v>0</v>
      </c>
      <c r="FO78" s="1809">
        <v>0</v>
      </c>
      <c r="FP78" s="1809">
        <v>0</v>
      </c>
      <c r="FQ78" s="1809">
        <v>0</v>
      </c>
      <c r="FR78" s="1809">
        <v>0</v>
      </c>
      <c r="FS78" s="1809">
        <v>0</v>
      </c>
      <c r="FT78" s="1809">
        <v>0</v>
      </c>
      <c r="FU78" s="1809">
        <v>0</v>
      </c>
      <c r="FV78" s="1809">
        <v>0</v>
      </c>
      <c r="FW78" s="1809">
        <v>0</v>
      </c>
      <c r="FX78" s="1809">
        <v>0</v>
      </c>
      <c r="FY78" s="1809">
        <v>0</v>
      </c>
      <c r="FZ78" s="1809">
        <v>0</v>
      </c>
      <c r="GA78" s="1809">
        <v>0</v>
      </c>
      <c r="GB78" s="1809">
        <v>0</v>
      </c>
      <c r="GC78" s="1809">
        <v>0</v>
      </c>
      <c r="GD78" s="1809">
        <v>0</v>
      </c>
      <c r="GE78" s="1809">
        <v>0</v>
      </c>
      <c r="GF78" s="1809">
        <v>0</v>
      </c>
      <c r="GG78" s="1809">
        <v>0</v>
      </c>
      <c r="GH78" s="1809">
        <v>0</v>
      </c>
      <c r="GI78" s="1809">
        <v>0</v>
      </c>
      <c r="GJ78" s="1809">
        <v>0</v>
      </c>
      <c r="GK78" s="1809">
        <v>0</v>
      </c>
      <c r="GL78" s="1809">
        <v>0</v>
      </c>
      <c r="GM78" s="1809">
        <v>0</v>
      </c>
      <c r="GN78" s="1809">
        <v>0</v>
      </c>
      <c r="GO78" s="1809">
        <v>0</v>
      </c>
      <c r="GP78" s="1809">
        <v>0</v>
      </c>
      <c r="GQ78" s="1809">
        <v>0</v>
      </c>
      <c r="GR78" s="1809">
        <v>0</v>
      </c>
      <c r="GS78" s="1809">
        <v>0</v>
      </c>
      <c r="GT78" s="1809">
        <v>0</v>
      </c>
      <c r="GU78" s="1809">
        <v>0</v>
      </c>
      <c r="GV78" s="1809">
        <v>0</v>
      </c>
      <c r="GW78" s="1809">
        <v>0</v>
      </c>
      <c r="GX78" s="1809">
        <v>0</v>
      </c>
      <c r="GY78" s="1809">
        <v>0</v>
      </c>
      <c r="GZ78" s="1809">
        <v>0</v>
      </c>
      <c r="HA78" s="1809">
        <v>0</v>
      </c>
      <c r="HB78" s="1809">
        <v>0</v>
      </c>
      <c r="HC78" s="1809">
        <v>0</v>
      </c>
      <c r="HD78" s="1809">
        <v>0</v>
      </c>
      <c r="HE78" s="1809">
        <v>0</v>
      </c>
      <c r="HF78" s="1809">
        <v>0</v>
      </c>
      <c r="HG78" s="1809">
        <v>0</v>
      </c>
    </row>
    <row r="79" spans="1:215" s="1893" customFormat="1" ht="15" customHeight="1" thickBot="1" x14ac:dyDescent="0.25">
      <c r="A79" s="2017"/>
      <c r="B79" s="1931" t="s">
        <v>106</v>
      </c>
      <c r="C79" s="1932" t="s">
        <v>97</v>
      </c>
      <c r="D79" s="1932" t="s">
        <v>96</v>
      </c>
      <c r="E79" s="1933" t="s">
        <v>878</v>
      </c>
      <c r="F79" s="1907">
        <v>0</v>
      </c>
      <c r="G79" s="1599"/>
      <c r="H79" s="1809">
        <v>0</v>
      </c>
      <c r="I79" s="1809">
        <v>0</v>
      </c>
      <c r="J79" s="1809">
        <v>0</v>
      </c>
      <c r="K79" s="1809">
        <v>0</v>
      </c>
      <c r="L79" s="1809">
        <v>0</v>
      </c>
      <c r="M79" s="1809">
        <v>0</v>
      </c>
      <c r="N79" s="1809">
        <v>0</v>
      </c>
      <c r="O79" s="1809">
        <v>0</v>
      </c>
      <c r="P79" s="1809">
        <v>0</v>
      </c>
      <c r="Q79" s="1809">
        <v>0</v>
      </c>
      <c r="R79" s="1809">
        <v>0</v>
      </c>
      <c r="S79" s="1809">
        <v>0</v>
      </c>
      <c r="T79" s="1809">
        <v>0</v>
      </c>
      <c r="U79" s="1809">
        <v>0</v>
      </c>
      <c r="V79" s="1809">
        <v>0</v>
      </c>
      <c r="W79" s="1809">
        <v>0</v>
      </c>
      <c r="X79" s="1809">
        <v>0</v>
      </c>
      <c r="Y79" s="1809">
        <v>0</v>
      </c>
      <c r="Z79" s="1809">
        <v>0</v>
      </c>
      <c r="AA79" s="1809">
        <v>0</v>
      </c>
      <c r="AB79" s="1809">
        <v>0</v>
      </c>
      <c r="AC79" s="1809">
        <v>0</v>
      </c>
      <c r="AD79" s="1809">
        <v>0</v>
      </c>
      <c r="AE79" s="1809">
        <v>0</v>
      </c>
      <c r="AF79" s="1809">
        <v>0</v>
      </c>
      <c r="AG79" s="1809">
        <v>0</v>
      </c>
      <c r="AH79" s="1809">
        <v>0</v>
      </c>
      <c r="AI79" s="1809">
        <v>0</v>
      </c>
      <c r="AJ79" s="1809">
        <v>0</v>
      </c>
      <c r="AK79" s="1809">
        <v>0</v>
      </c>
      <c r="AL79" s="1809">
        <v>0</v>
      </c>
      <c r="AM79" s="1809">
        <v>0</v>
      </c>
      <c r="AN79" s="1809">
        <v>0</v>
      </c>
      <c r="AO79" s="1809">
        <v>0</v>
      </c>
      <c r="AP79" s="1809">
        <v>0</v>
      </c>
      <c r="AQ79" s="1809">
        <v>0</v>
      </c>
      <c r="AR79" s="1809">
        <v>0</v>
      </c>
      <c r="AS79" s="1809">
        <v>0</v>
      </c>
      <c r="AT79" s="1809">
        <v>0</v>
      </c>
      <c r="AU79" s="1809">
        <v>0</v>
      </c>
      <c r="AV79" s="1809">
        <v>0</v>
      </c>
      <c r="AW79" s="1809">
        <v>0</v>
      </c>
      <c r="AX79" s="1809">
        <v>0</v>
      </c>
      <c r="AY79" s="1809">
        <v>0</v>
      </c>
      <c r="AZ79" s="1809">
        <v>0</v>
      </c>
      <c r="BA79" s="1809">
        <v>0</v>
      </c>
      <c r="BB79" s="1809">
        <v>0</v>
      </c>
      <c r="BC79" s="1809">
        <v>0</v>
      </c>
      <c r="BD79" s="1809">
        <v>0</v>
      </c>
      <c r="BE79" s="1809">
        <v>0</v>
      </c>
      <c r="BF79" s="1809">
        <v>0</v>
      </c>
      <c r="BG79" s="1809">
        <v>0</v>
      </c>
      <c r="BH79" s="1809">
        <v>0</v>
      </c>
      <c r="BI79" s="1809">
        <v>0</v>
      </c>
      <c r="BJ79" s="1809">
        <v>0</v>
      </c>
      <c r="BK79" s="1809">
        <v>0</v>
      </c>
      <c r="BL79" s="1809">
        <v>0</v>
      </c>
      <c r="BM79" s="1809">
        <v>0</v>
      </c>
      <c r="BN79" s="1809">
        <v>0</v>
      </c>
      <c r="BO79" s="1809">
        <v>0</v>
      </c>
      <c r="BP79" s="1809">
        <v>0</v>
      </c>
      <c r="BQ79" s="1809">
        <v>0</v>
      </c>
      <c r="BR79" s="1809">
        <v>0</v>
      </c>
      <c r="BS79" s="1809">
        <v>0</v>
      </c>
      <c r="BT79" s="1809">
        <v>0</v>
      </c>
      <c r="BU79" s="1809">
        <v>0</v>
      </c>
      <c r="BV79" s="1809">
        <v>0</v>
      </c>
      <c r="BW79" s="1809">
        <v>0</v>
      </c>
      <c r="BX79" s="1809">
        <v>0</v>
      </c>
      <c r="BY79" s="1809">
        <v>0</v>
      </c>
      <c r="BZ79" s="1809">
        <v>0</v>
      </c>
      <c r="CA79" s="1809">
        <v>0</v>
      </c>
      <c r="CB79" s="1809">
        <v>0</v>
      </c>
      <c r="CC79" s="1809">
        <v>0</v>
      </c>
      <c r="CD79" s="1809">
        <v>0</v>
      </c>
      <c r="CE79" s="1809">
        <v>0</v>
      </c>
      <c r="CF79" s="1809">
        <v>0</v>
      </c>
      <c r="CG79" s="1809">
        <v>0</v>
      </c>
      <c r="CH79" s="1809">
        <v>0</v>
      </c>
      <c r="CI79" s="1809">
        <v>0</v>
      </c>
      <c r="CJ79" s="1809">
        <v>0</v>
      </c>
      <c r="CK79" s="1809">
        <v>0</v>
      </c>
      <c r="CL79" s="1809">
        <v>0</v>
      </c>
      <c r="CM79" s="1809">
        <v>0</v>
      </c>
      <c r="CN79" s="1809">
        <v>0</v>
      </c>
      <c r="CO79" s="1809">
        <v>0</v>
      </c>
      <c r="CP79" s="1809">
        <v>0</v>
      </c>
      <c r="CQ79" s="1809">
        <v>0</v>
      </c>
      <c r="CR79" s="1809">
        <v>0</v>
      </c>
      <c r="CS79" s="1809">
        <v>0</v>
      </c>
      <c r="CT79" s="1809">
        <v>0</v>
      </c>
      <c r="CU79" s="1809">
        <v>0</v>
      </c>
      <c r="CV79" s="1809">
        <v>0</v>
      </c>
      <c r="CW79" s="1809">
        <v>0</v>
      </c>
      <c r="CX79" s="1809">
        <v>0</v>
      </c>
      <c r="CY79" s="1809">
        <v>0</v>
      </c>
      <c r="CZ79" s="1809">
        <v>0</v>
      </c>
      <c r="DA79" s="1809">
        <v>0</v>
      </c>
      <c r="DB79" s="1809">
        <v>0</v>
      </c>
      <c r="DC79" s="1809">
        <v>0</v>
      </c>
      <c r="DD79" s="1809">
        <v>0</v>
      </c>
      <c r="DE79" s="1809">
        <v>0</v>
      </c>
      <c r="DF79" s="1809">
        <v>0</v>
      </c>
      <c r="DG79" s="1809">
        <v>0</v>
      </c>
      <c r="DH79" s="1809">
        <v>0</v>
      </c>
      <c r="DI79" s="1809">
        <v>0</v>
      </c>
      <c r="DJ79" s="1809">
        <v>0</v>
      </c>
      <c r="DK79" s="1809">
        <v>0</v>
      </c>
      <c r="DL79" s="1809">
        <v>0</v>
      </c>
      <c r="DM79" s="1809">
        <v>0</v>
      </c>
      <c r="DN79" s="1809">
        <v>0</v>
      </c>
      <c r="DO79" s="1809">
        <v>0</v>
      </c>
      <c r="DP79" s="1809">
        <v>0</v>
      </c>
      <c r="DQ79" s="1809">
        <v>0</v>
      </c>
      <c r="DR79" s="1809">
        <v>0</v>
      </c>
      <c r="DS79" s="1809">
        <v>0</v>
      </c>
      <c r="DT79" s="1809">
        <v>0</v>
      </c>
      <c r="DU79" s="1809">
        <v>0</v>
      </c>
      <c r="DV79" s="1809">
        <v>0</v>
      </c>
      <c r="DW79" s="1809">
        <v>0</v>
      </c>
      <c r="DX79" s="1809">
        <v>0</v>
      </c>
      <c r="DY79" s="1809">
        <v>0</v>
      </c>
      <c r="DZ79" s="1809">
        <v>0</v>
      </c>
      <c r="EA79" s="1809">
        <v>0</v>
      </c>
      <c r="EB79" s="1809">
        <v>0</v>
      </c>
      <c r="EC79" s="1809">
        <v>0</v>
      </c>
      <c r="ED79" s="1809">
        <v>0</v>
      </c>
      <c r="EE79" s="1809">
        <v>0</v>
      </c>
      <c r="EF79" s="1809">
        <v>0</v>
      </c>
      <c r="EG79" s="1809">
        <v>0</v>
      </c>
      <c r="EH79" s="1809">
        <v>0</v>
      </c>
      <c r="EI79" s="1809">
        <v>0</v>
      </c>
      <c r="EJ79" s="1809">
        <v>0</v>
      </c>
      <c r="EK79" s="1809">
        <v>0</v>
      </c>
      <c r="EL79" s="1809">
        <v>0</v>
      </c>
      <c r="EM79" s="1809">
        <v>0</v>
      </c>
      <c r="EN79" s="1809">
        <v>0</v>
      </c>
      <c r="EO79" s="1809">
        <v>0</v>
      </c>
      <c r="EP79" s="1809">
        <v>0</v>
      </c>
      <c r="EQ79" s="1809">
        <v>0</v>
      </c>
      <c r="ER79" s="1809">
        <v>0</v>
      </c>
      <c r="ES79" s="1809">
        <v>0</v>
      </c>
      <c r="ET79" s="1809">
        <v>0</v>
      </c>
      <c r="EU79" s="1809">
        <v>0</v>
      </c>
      <c r="EV79" s="1809">
        <v>0</v>
      </c>
      <c r="EW79" s="1809">
        <v>0</v>
      </c>
      <c r="EX79" s="1809">
        <v>0</v>
      </c>
      <c r="EY79" s="1809">
        <v>0</v>
      </c>
      <c r="EZ79" s="1809">
        <v>0</v>
      </c>
      <c r="FA79" s="1809">
        <v>0</v>
      </c>
      <c r="FB79" s="1809">
        <v>0</v>
      </c>
      <c r="FC79" s="1809">
        <v>0</v>
      </c>
      <c r="FD79" s="1809">
        <v>0</v>
      </c>
      <c r="FE79" s="1809">
        <v>0</v>
      </c>
      <c r="FF79" s="1809">
        <v>0</v>
      </c>
      <c r="FG79" s="1809">
        <v>0</v>
      </c>
      <c r="FH79" s="1809">
        <v>0</v>
      </c>
      <c r="FI79" s="1809">
        <v>0</v>
      </c>
      <c r="FJ79" s="1809">
        <v>0</v>
      </c>
      <c r="FK79" s="1809">
        <v>0</v>
      </c>
      <c r="FL79" s="1809">
        <v>0</v>
      </c>
      <c r="FM79" s="1809">
        <v>0</v>
      </c>
      <c r="FN79" s="1809">
        <v>0</v>
      </c>
      <c r="FO79" s="1809">
        <v>0</v>
      </c>
      <c r="FP79" s="1809">
        <v>0</v>
      </c>
      <c r="FQ79" s="1809">
        <v>0</v>
      </c>
      <c r="FR79" s="1809">
        <v>0</v>
      </c>
      <c r="FS79" s="1809">
        <v>0</v>
      </c>
      <c r="FT79" s="1809">
        <v>0</v>
      </c>
      <c r="FU79" s="1809">
        <v>0</v>
      </c>
      <c r="FV79" s="1809">
        <v>0</v>
      </c>
      <c r="FW79" s="1809">
        <v>0</v>
      </c>
      <c r="FX79" s="1809">
        <v>0</v>
      </c>
      <c r="FY79" s="1809">
        <v>0</v>
      </c>
      <c r="FZ79" s="1809">
        <v>0</v>
      </c>
      <c r="GA79" s="1809">
        <v>0</v>
      </c>
      <c r="GB79" s="1809">
        <v>0</v>
      </c>
      <c r="GC79" s="1809">
        <v>0</v>
      </c>
      <c r="GD79" s="1809">
        <v>0</v>
      </c>
      <c r="GE79" s="1809">
        <v>0</v>
      </c>
      <c r="GF79" s="1809">
        <v>0</v>
      </c>
      <c r="GG79" s="1809">
        <v>0</v>
      </c>
      <c r="GH79" s="1809">
        <v>0</v>
      </c>
      <c r="GI79" s="1809">
        <v>0</v>
      </c>
      <c r="GJ79" s="1809">
        <v>0</v>
      </c>
      <c r="GK79" s="1809">
        <v>0</v>
      </c>
      <c r="GL79" s="1809">
        <v>0</v>
      </c>
      <c r="GM79" s="1809">
        <v>0</v>
      </c>
      <c r="GN79" s="1809">
        <v>0</v>
      </c>
      <c r="GO79" s="1809">
        <v>0</v>
      </c>
      <c r="GP79" s="1809">
        <v>0</v>
      </c>
      <c r="GQ79" s="1809">
        <v>0</v>
      </c>
      <c r="GR79" s="1809">
        <v>0</v>
      </c>
      <c r="GS79" s="1809">
        <v>0</v>
      </c>
      <c r="GT79" s="1809">
        <v>0</v>
      </c>
      <c r="GU79" s="1809">
        <v>0</v>
      </c>
      <c r="GV79" s="1809">
        <v>0</v>
      </c>
      <c r="GW79" s="1809">
        <v>0</v>
      </c>
      <c r="GX79" s="1809">
        <v>0</v>
      </c>
      <c r="GY79" s="1809">
        <v>0</v>
      </c>
      <c r="GZ79" s="1809">
        <v>0</v>
      </c>
      <c r="HA79" s="1809">
        <v>0</v>
      </c>
      <c r="HB79" s="1809">
        <v>0</v>
      </c>
      <c r="HC79" s="1809">
        <v>0</v>
      </c>
      <c r="HD79" s="1809">
        <v>0</v>
      </c>
      <c r="HE79" s="1809">
        <v>0</v>
      </c>
      <c r="HF79" s="1809">
        <v>0</v>
      </c>
      <c r="HG79" s="1809">
        <v>0</v>
      </c>
    </row>
    <row r="80" spans="1:215" s="1893" customFormat="1" ht="21" customHeight="1" thickBot="1" x14ac:dyDescent="0.25">
      <c r="A80" s="2017"/>
      <c r="B80" s="2037" t="s">
        <v>2393</v>
      </c>
      <c r="C80" s="2038"/>
      <c r="D80" s="2038"/>
      <c r="E80" s="2039"/>
      <c r="F80" s="1934">
        <f t="shared" ref="F80" si="40">SUM(F76:F79)</f>
        <v>0</v>
      </c>
      <c r="G80" s="1599"/>
      <c r="H80" s="1940">
        <f>SUM(H76:H79)</f>
        <v>0</v>
      </c>
      <c r="I80" s="1940">
        <f t="shared" ref="I80:BT80" si="41">SUM(I76:I79)</f>
        <v>0</v>
      </c>
      <c r="J80" s="1940">
        <f t="shared" si="41"/>
        <v>0</v>
      </c>
      <c r="K80" s="1940">
        <f t="shared" si="41"/>
        <v>0</v>
      </c>
      <c r="L80" s="1940">
        <f t="shared" si="41"/>
        <v>0</v>
      </c>
      <c r="M80" s="1940">
        <f t="shared" si="41"/>
        <v>0</v>
      </c>
      <c r="N80" s="1940">
        <f t="shared" si="41"/>
        <v>0</v>
      </c>
      <c r="O80" s="1940">
        <f t="shared" si="41"/>
        <v>0</v>
      </c>
      <c r="P80" s="1940">
        <f t="shared" si="41"/>
        <v>0</v>
      </c>
      <c r="Q80" s="1940">
        <f t="shared" si="41"/>
        <v>0</v>
      </c>
      <c r="R80" s="1940">
        <f t="shared" si="41"/>
        <v>0</v>
      </c>
      <c r="S80" s="1940">
        <f t="shared" si="41"/>
        <v>0</v>
      </c>
      <c r="T80" s="1940">
        <f t="shared" si="41"/>
        <v>0</v>
      </c>
      <c r="U80" s="1940">
        <f t="shared" si="41"/>
        <v>0</v>
      </c>
      <c r="V80" s="1940">
        <f t="shared" si="41"/>
        <v>0</v>
      </c>
      <c r="W80" s="1940">
        <f t="shared" si="41"/>
        <v>0</v>
      </c>
      <c r="X80" s="1940">
        <f t="shared" si="41"/>
        <v>0</v>
      </c>
      <c r="Y80" s="1940">
        <f t="shared" si="41"/>
        <v>0</v>
      </c>
      <c r="Z80" s="1940">
        <f t="shared" si="41"/>
        <v>0</v>
      </c>
      <c r="AA80" s="1940">
        <f t="shared" si="41"/>
        <v>0</v>
      </c>
      <c r="AB80" s="1940">
        <f t="shared" si="41"/>
        <v>0</v>
      </c>
      <c r="AC80" s="1940">
        <f t="shared" si="41"/>
        <v>0</v>
      </c>
      <c r="AD80" s="1940">
        <f t="shared" si="41"/>
        <v>0</v>
      </c>
      <c r="AE80" s="1940">
        <f t="shared" si="41"/>
        <v>0</v>
      </c>
      <c r="AF80" s="1940">
        <f t="shared" si="41"/>
        <v>0</v>
      </c>
      <c r="AG80" s="1940">
        <f t="shared" si="41"/>
        <v>0</v>
      </c>
      <c r="AH80" s="1940">
        <f t="shared" si="41"/>
        <v>0</v>
      </c>
      <c r="AI80" s="1940">
        <f t="shared" si="41"/>
        <v>0</v>
      </c>
      <c r="AJ80" s="1940">
        <f t="shared" si="41"/>
        <v>0</v>
      </c>
      <c r="AK80" s="1940">
        <f t="shared" si="41"/>
        <v>0</v>
      </c>
      <c r="AL80" s="1940">
        <f t="shared" si="41"/>
        <v>0</v>
      </c>
      <c r="AM80" s="1940">
        <f t="shared" si="41"/>
        <v>0</v>
      </c>
      <c r="AN80" s="1940">
        <f t="shared" si="41"/>
        <v>0</v>
      </c>
      <c r="AO80" s="1940">
        <f t="shared" si="41"/>
        <v>0</v>
      </c>
      <c r="AP80" s="1940">
        <f t="shared" si="41"/>
        <v>0</v>
      </c>
      <c r="AQ80" s="1940">
        <f t="shared" si="41"/>
        <v>0</v>
      </c>
      <c r="AR80" s="1940">
        <f t="shared" si="41"/>
        <v>0</v>
      </c>
      <c r="AS80" s="1940">
        <f t="shared" si="41"/>
        <v>0</v>
      </c>
      <c r="AT80" s="1940">
        <f t="shared" si="41"/>
        <v>0</v>
      </c>
      <c r="AU80" s="1940">
        <f t="shared" si="41"/>
        <v>0</v>
      </c>
      <c r="AV80" s="1940">
        <f t="shared" si="41"/>
        <v>0</v>
      </c>
      <c r="AW80" s="1940">
        <f t="shared" si="41"/>
        <v>0</v>
      </c>
      <c r="AX80" s="1940">
        <f t="shared" si="41"/>
        <v>0</v>
      </c>
      <c r="AY80" s="1940">
        <f t="shared" si="41"/>
        <v>0</v>
      </c>
      <c r="AZ80" s="1940">
        <f t="shared" si="41"/>
        <v>0</v>
      </c>
      <c r="BA80" s="1940">
        <f t="shared" si="41"/>
        <v>0</v>
      </c>
      <c r="BB80" s="1940">
        <f t="shared" si="41"/>
        <v>0</v>
      </c>
      <c r="BC80" s="1940">
        <f t="shared" si="41"/>
        <v>0</v>
      </c>
      <c r="BD80" s="1940">
        <f t="shared" si="41"/>
        <v>0</v>
      </c>
      <c r="BE80" s="1940">
        <f t="shared" si="41"/>
        <v>0</v>
      </c>
      <c r="BF80" s="1940">
        <f t="shared" si="41"/>
        <v>0</v>
      </c>
      <c r="BG80" s="1940">
        <f t="shared" si="41"/>
        <v>0</v>
      </c>
      <c r="BH80" s="1940">
        <f t="shared" si="41"/>
        <v>0</v>
      </c>
      <c r="BI80" s="1940">
        <f t="shared" si="41"/>
        <v>0</v>
      </c>
      <c r="BJ80" s="1940">
        <f t="shared" si="41"/>
        <v>0</v>
      </c>
      <c r="BK80" s="1940">
        <f t="shared" si="41"/>
        <v>0</v>
      </c>
      <c r="BL80" s="1940">
        <f t="shared" si="41"/>
        <v>0</v>
      </c>
      <c r="BM80" s="1940">
        <f t="shared" si="41"/>
        <v>0</v>
      </c>
      <c r="BN80" s="1940">
        <f t="shared" si="41"/>
        <v>0</v>
      </c>
      <c r="BO80" s="1940">
        <f t="shared" si="41"/>
        <v>0</v>
      </c>
      <c r="BP80" s="1940">
        <f t="shared" si="41"/>
        <v>0</v>
      </c>
      <c r="BQ80" s="1940">
        <f t="shared" si="41"/>
        <v>0</v>
      </c>
      <c r="BR80" s="1940">
        <f t="shared" si="41"/>
        <v>0</v>
      </c>
      <c r="BS80" s="1940">
        <f t="shared" si="41"/>
        <v>0</v>
      </c>
      <c r="BT80" s="1940">
        <f t="shared" si="41"/>
        <v>0</v>
      </c>
      <c r="BU80" s="1940">
        <f t="shared" ref="BU80:EF80" si="42">SUM(BU76:BU79)</f>
        <v>0</v>
      </c>
      <c r="BV80" s="1940">
        <f t="shared" si="42"/>
        <v>0</v>
      </c>
      <c r="BW80" s="1940">
        <f t="shared" si="42"/>
        <v>0</v>
      </c>
      <c r="BX80" s="1940">
        <f t="shared" si="42"/>
        <v>0</v>
      </c>
      <c r="BY80" s="1940">
        <f t="shared" si="42"/>
        <v>0</v>
      </c>
      <c r="BZ80" s="1940">
        <f t="shared" si="42"/>
        <v>0</v>
      </c>
      <c r="CA80" s="1940">
        <f t="shared" si="42"/>
        <v>0</v>
      </c>
      <c r="CB80" s="1940">
        <f t="shared" si="42"/>
        <v>0</v>
      </c>
      <c r="CC80" s="1940">
        <f t="shared" si="42"/>
        <v>0</v>
      </c>
      <c r="CD80" s="1940">
        <f t="shared" si="42"/>
        <v>0</v>
      </c>
      <c r="CE80" s="1940">
        <f t="shared" si="42"/>
        <v>0</v>
      </c>
      <c r="CF80" s="1940">
        <f t="shared" si="42"/>
        <v>0</v>
      </c>
      <c r="CG80" s="1940">
        <f t="shared" si="42"/>
        <v>0</v>
      </c>
      <c r="CH80" s="1940">
        <f t="shared" si="42"/>
        <v>0</v>
      </c>
      <c r="CI80" s="1940">
        <f t="shared" si="42"/>
        <v>0</v>
      </c>
      <c r="CJ80" s="1940">
        <f t="shared" si="42"/>
        <v>0</v>
      </c>
      <c r="CK80" s="1940">
        <f t="shared" si="42"/>
        <v>0</v>
      </c>
      <c r="CL80" s="1940">
        <f t="shared" si="42"/>
        <v>0</v>
      </c>
      <c r="CM80" s="1940">
        <f t="shared" si="42"/>
        <v>0</v>
      </c>
      <c r="CN80" s="1940">
        <f t="shared" si="42"/>
        <v>0</v>
      </c>
      <c r="CO80" s="1940">
        <f t="shared" si="42"/>
        <v>0</v>
      </c>
      <c r="CP80" s="1940">
        <f t="shared" si="42"/>
        <v>0</v>
      </c>
      <c r="CQ80" s="1940">
        <f t="shared" si="42"/>
        <v>0</v>
      </c>
      <c r="CR80" s="1940">
        <f t="shared" si="42"/>
        <v>0</v>
      </c>
      <c r="CS80" s="1940">
        <f t="shared" si="42"/>
        <v>0</v>
      </c>
      <c r="CT80" s="1940">
        <f t="shared" si="42"/>
        <v>0</v>
      </c>
      <c r="CU80" s="1940">
        <f t="shared" si="42"/>
        <v>0</v>
      </c>
      <c r="CV80" s="1940">
        <f t="shared" si="42"/>
        <v>0</v>
      </c>
      <c r="CW80" s="1940">
        <f t="shared" si="42"/>
        <v>0</v>
      </c>
      <c r="CX80" s="1940">
        <f t="shared" si="42"/>
        <v>0</v>
      </c>
      <c r="CY80" s="1940">
        <f t="shared" si="42"/>
        <v>0</v>
      </c>
      <c r="CZ80" s="1940">
        <f t="shared" si="42"/>
        <v>0</v>
      </c>
      <c r="DA80" s="1940">
        <f t="shared" si="42"/>
        <v>0</v>
      </c>
      <c r="DB80" s="1940">
        <f t="shared" si="42"/>
        <v>0</v>
      </c>
      <c r="DC80" s="1940">
        <f t="shared" si="42"/>
        <v>0</v>
      </c>
      <c r="DD80" s="1940">
        <f t="shared" si="42"/>
        <v>0</v>
      </c>
      <c r="DE80" s="1940">
        <f t="shared" si="42"/>
        <v>0</v>
      </c>
      <c r="DF80" s="1940">
        <f t="shared" si="42"/>
        <v>0</v>
      </c>
      <c r="DG80" s="1940">
        <f t="shared" si="42"/>
        <v>0</v>
      </c>
      <c r="DH80" s="1940">
        <f t="shared" si="42"/>
        <v>0</v>
      </c>
      <c r="DI80" s="1940">
        <f t="shared" si="42"/>
        <v>0</v>
      </c>
      <c r="DJ80" s="1940">
        <f t="shared" si="42"/>
        <v>0</v>
      </c>
      <c r="DK80" s="1940">
        <f t="shared" si="42"/>
        <v>0</v>
      </c>
      <c r="DL80" s="1940">
        <f t="shared" si="42"/>
        <v>0</v>
      </c>
      <c r="DM80" s="1940">
        <f t="shared" si="42"/>
        <v>0</v>
      </c>
      <c r="DN80" s="1940">
        <f t="shared" si="42"/>
        <v>0</v>
      </c>
      <c r="DO80" s="1940">
        <f t="shared" si="42"/>
        <v>0</v>
      </c>
      <c r="DP80" s="1940">
        <f t="shared" si="42"/>
        <v>0</v>
      </c>
      <c r="DQ80" s="1940">
        <f t="shared" si="42"/>
        <v>0</v>
      </c>
      <c r="DR80" s="1940">
        <f t="shared" si="42"/>
        <v>0</v>
      </c>
      <c r="DS80" s="1940">
        <f t="shared" si="42"/>
        <v>0</v>
      </c>
      <c r="DT80" s="1940">
        <f t="shared" si="42"/>
        <v>0</v>
      </c>
      <c r="DU80" s="1940">
        <f t="shared" si="42"/>
        <v>0</v>
      </c>
      <c r="DV80" s="1940">
        <f t="shared" si="42"/>
        <v>0</v>
      </c>
      <c r="DW80" s="1940">
        <f t="shared" si="42"/>
        <v>0</v>
      </c>
      <c r="DX80" s="1940">
        <f t="shared" si="42"/>
        <v>0</v>
      </c>
      <c r="DY80" s="1940">
        <f t="shared" si="42"/>
        <v>0</v>
      </c>
      <c r="DZ80" s="1940">
        <f t="shared" si="42"/>
        <v>0</v>
      </c>
      <c r="EA80" s="1940">
        <f t="shared" si="42"/>
        <v>0</v>
      </c>
      <c r="EB80" s="1940">
        <f t="shared" si="42"/>
        <v>0</v>
      </c>
      <c r="EC80" s="1940">
        <f t="shared" si="42"/>
        <v>0</v>
      </c>
      <c r="ED80" s="1940">
        <f t="shared" si="42"/>
        <v>0</v>
      </c>
      <c r="EE80" s="1940">
        <f t="shared" si="42"/>
        <v>0</v>
      </c>
      <c r="EF80" s="1940">
        <f t="shared" si="42"/>
        <v>0</v>
      </c>
      <c r="EG80" s="1940">
        <f t="shared" ref="EG80:GR80" si="43">SUM(EG76:EG79)</f>
        <v>0</v>
      </c>
      <c r="EH80" s="1940">
        <f t="shared" si="43"/>
        <v>0</v>
      </c>
      <c r="EI80" s="1940">
        <f t="shared" si="43"/>
        <v>0</v>
      </c>
      <c r="EJ80" s="1940">
        <f t="shared" si="43"/>
        <v>0</v>
      </c>
      <c r="EK80" s="1940">
        <f t="shared" si="43"/>
        <v>0</v>
      </c>
      <c r="EL80" s="1940">
        <f t="shared" si="43"/>
        <v>0</v>
      </c>
      <c r="EM80" s="1940">
        <f t="shared" si="43"/>
        <v>0</v>
      </c>
      <c r="EN80" s="1940">
        <f t="shared" si="43"/>
        <v>0</v>
      </c>
      <c r="EO80" s="1940">
        <f t="shared" si="43"/>
        <v>0</v>
      </c>
      <c r="EP80" s="1940">
        <f t="shared" si="43"/>
        <v>0</v>
      </c>
      <c r="EQ80" s="1940">
        <f t="shared" si="43"/>
        <v>0</v>
      </c>
      <c r="ER80" s="1940">
        <f t="shared" si="43"/>
        <v>0</v>
      </c>
      <c r="ES80" s="1940">
        <f t="shared" si="43"/>
        <v>0</v>
      </c>
      <c r="ET80" s="1940">
        <f t="shared" si="43"/>
        <v>0</v>
      </c>
      <c r="EU80" s="1940">
        <f t="shared" si="43"/>
        <v>0</v>
      </c>
      <c r="EV80" s="1940">
        <f t="shared" si="43"/>
        <v>0</v>
      </c>
      <c r="EW80" s="1940">
        <f t="shared" si="43"/>
        <v>0</v>
      </c>
      <c r="EX80" s="1940">
        <f t="shared" si="43"/>
        <v>0</v>
      </c>
      <c r="EY80" s="1940">
        <f t="shared" si="43"/>
        <v>0</v>
      </c>
      <c r="EZ80" s="1940">
        <f t="shared" si="43"/>
        <v>0</v>
      </c>
      <c r="FA80" s="1940">
        <f t="shared" si="43"/>
        <v>0</v>
      </c>
      <c r="FB80" s="1940">
        <f t="shared" si="43"/>
        <v>0</v>
      </c>
      <c r="FC80" s="1940">
        <f t="shared" si="43"/>
        <v>0</v>
      </c>
      <c r="FD80" s="1940">
        <f t="shared" si="43"/>
        <v>0</v>
      </c>
      <c r="FE80" s="1940">
        <f t="shared" si="43"/>
        <v>0</v>
      </c>
      <c r="FF80" s="1940">
        <f t="shared" si="43"/>
        <v>0</v>
      </c>
      <c r="FG80" s="1940">
        <f t="shared" si="43"/>
        <v>0</v>
      </c>
      <c r="FH80" s="1940">
        <f t="shared" si="43"/>
        <v>0</v>
      </c>
      <c r="FI80" s="1940">
        <f t="shared" si="43"/>
        <v>0</v>
      </c>
      <c r="FJ80" s="1940">
        <f t="shared" si="43"/>
        <v>0</v>
      </c>
      <c r="FK80" s="1940">
        <f t="shared" si="43"/>
        <v>0</v>
      </c>
      <c r="FL80" s="1940">
        <f t="shared" si="43"/>
        <v>0</v>
      </c>
      <c r="FM80" s="1940">
        <f t="shared" si="43"/>
        <v>0</v>
      </c>
      <c r="FN80" s="1940">
        <f t="shared" si="43"/>
        <v>0</v>
      </c>
      <c r="FO80" s="1940">
        <f t="shared" si="43"/>
        <v>0</v>
      </c>
      <c r="FP80" s="1940">
        <f t="shared" si="43"/>
        <v>0</v>
      </c>
      <c r="FQ80" s="1940">
        <f t="shared" si="43"/>
        <v>0</v>
      </c>
      <c r="FR80" s="1940">
        <f t="shared" si="43"/>
        <v>0</v>
      </c>
      <c r="FS80" s="1940">
        <f t="shared" si="43"/>
        <v>0</v>
      </c>
      <c r="FT80" s="1940">
        <f t="shared" si="43"/>
        <v>0</v>
      </c>
      <c r="FU80" s="1940">
        <f t="shared" si="43"/>
        <v>0</v>
      </c>
      <c r="FV80" s="1940">
        <f t="shared" si="43"/>
        <v>0</v>
      </c>
      <c r="FW80" s="1940">
        <f t="shared" si="43"/>
        <v>0</v>
      </c>
      <c r="FX80" s="1940">
        <f t="shared" si="43"/>
        <v>0</v>
      </c>
      <c r="FY80" s="1940">
        <f t="shared" si="43"/>
        <v>0</v>
      </c>
      <c r="FZ80" s="1940">
        <f t="shared" si="43"/>
        <v>0</v>
      </c>
      <c r="GA80" s="1940">
        <f t="shared" si="43"/>
        <v>0</v>
      </c>
      <c r="GB80" s="1940">
        <f t="shared" si="43"/>
        <v>0</v>
      </c>
      <c r="GC80" s="1940">
        <f t="shared" si="43"/>
        <v>0</v>
      </c>
      <c r="GD80" s="1940">
        <f t="shared" si="43"/>
        <v>0</v>
      </c>
      <c r="GE80" s="1940">
        <f t="shared" si="43"/>
        <v>0</v>
      </c>
      <c r="GF80" s="1940">
        <f t="shared" si="43"/>
        <v>0</v>
      </c>
      <c r="GG80" s="1940">
        <f t="shared" si="43"/>
        <v>0</v>
      </c>
      <c r="GH80" s="1940">
        <f t="shared" si="43"/>
        <v>0</v>
      </c>
      <c r="GI80" s="1940">
        <f t="shared" si="43"/>
        <v>0</v>
      </c>
      <c r="GJ80" s="1940">
        <f t="shared" si="43"/>
        <v>0</v>
      </c>
      <c r="GK80" s="1940">
        <f t="shared" si="43"/>
        <v>0</v>
      </c>
      <c r="GL80" s="1940">
        <f t="shared" si="43"/>
        <v>0</v>
      </c>
      <c r="GM80" s="1940">
        <f t="shared" si="43"/>
        <v>0</v>
      </c>
      <c r="GN80" s="1940">
        <f t="shared" si="43"/>
        <v>0</v>
      </c>
      <c r="GO80" s="1940">
        <f t="shared" si="43"/>
        <v>0</v>
      </c>
      <c r="GP80" s="1940">
        <f t="shared" si="43"/>
        <v>0</v>
      </c>
      <c r="GQ80" s="1940">
        <f t="shared" si="43"/>
        <v>0</v>
      </c>
      <c r="GR80" s="1940">
        <f t="shared" si="43"/>
        <v>0</v>
      </c>
      <c r="GS80" s="1940">
        <f t="shared" ref="GS80:HG80" si="44">SUM(GS76:GS79)</f>
        <v>0</v>
      </c>
      <c r="GT80" s="1940">
        <f t="shared" si="44"/>
        <v>0</v>
      </c>
      <c r="GU80" s="1940">
        <f t="shared" si="44"/>
        <v>0</v>
      </c>
      <c r="GV80" s="1940">
        <f t="shared" si="44"/>
        <v>0</v>
      </c>
      <c r="GW80" s="1940">
        <f t="shared" si="44"/>
        <v>0</v>
      </c>
      <c r="GX80" s="1940">
        <f t="shared" si="44"/>
        <v>0</v>
      </c>
      <c r="GY80" s="1940">
        <f t="shared" si="44"/>
        <v>0</v>
      </c>
      <c r="GZ80" s="1940">
        <f t="shared" si="44"/>
        <v>0</v>
      </c>
      <c r="HA80" s="1940">
        <f t="shared" si="44"/>
        <v>0</v>
      </c>
      <c r="HB80" s="1940">
        <f t="shared" si="44"/>
        <v>0</v>
      </c>
      <c r="HC80" s="1940">
        <f t="shared" si="44"/>
        <v>0</v>
      </c>
      <c r="HD80" s="1940">
        <f t="shared" si="44"/>
        <v>0</v>
      </c>
      <c r="HE80" s="1940">
        <f t="shared" si="44"/>
        <v>0</v>
      </c>
      <c r="HF80" s="1940">
        <f t="shared" si="44"/>
        <v>0</v>
      </c>
      <c r="HG80" s="1940">
        <f t="shared" si="44"/>
        <v>0</v>
      </c>
    </row>
    <row r="81" spans="1:215" s="1893" customFormat="1" ht="21" customHeight="1" thickBot="1" x14ac:dyDescent="0.25">
      <c r="A81" s="2018"/>
      <c r="B81" s="2055"/>
      <c r="C81" s="2056"/>
      <c r="D81" s="2056"/>
      <c r="E81" s="1935" t="s">
        <v>602</v>
      </c>
      <c r="F81" s="1936">
        <f t="shared" ref="F81" si="45">F80/12</f>
        <v>0</v>
      </c>
      <c r="G81" s="1600"/>
      <c r="H81" s="1941">
        <f>H80/12</f>
        <v>0</v>
      </c>
      <c r="I81" s="1941">
        <f t="shared" ref="I81:BT81" si="46">I80/12</f>
        <v>0</v>
      </c>
      <c r="J81" s="1941">
        <f t="shared" si="46"/>
        <v>0</v>
      </c>
      <c r="K81" s="1941">
        <f t="shared" si="46"/>
        <v>0</v>
      </c>
      <c r="L81" s="1941">
        <f t="shared" si="46"/>
        <v>0</v>
      </c>
      <c r="M81" s="1941">
        <f t="shared" si="46"/>
        <v>0</v>
      </c>
      <c r="N81" s="1941">
        <f t="shared" si="46"/>
        <v>0</v>
      </c>
      <c r="O81" s="1941">
        <f t="shared" si="46"/>
        <v>0</v>
      </c>
      <c r="P81" s="1941">
        <f t="shared" si="46"/>
        <v>0</v>
      </c>
      <c r="Q81" s="1941">
        <f t="shared" si="46"/>
        <v>0</v>
      </c>
      <c r="R81" s="1941">
        <f t="shared" si="46"/>
        <v>0</v>
      </c>
      <c r="S81" s="1941">
        <f t="shared" si="46"/>
        <v>0</v>
      </c>
      <c r="T81" s="1941">
        <f t="shared" si="46"/>
        <v>0</v>
      </c>
      <c r="U81" s="1941">
        <f t="shared" si="46"/>
        <v>0</v>
      </c>
      <c r="V81" s="1941">
        <f t="shared" si="46"/>
        <v>0</v>
      </c>
      <c r="W81" s="1941">
        <f t="shared" si="46"/>
        <v>0</v>
      </c>
      <c r="X81" s="1941">
        <f t="shared" si="46"/>
        <v>0</v>
      </c>
      <c r="Y81" s="1941">
        <f t="shared" si="46"/>
        <v>0</v>
      </c>
      <c r="Z81" s="1941">
        <f t="shared" si="46"/>
        <v>0</v>
      </c>
      <c r="AA81" s="1941">
        <f t="shared" si="46"/>
        <v>0</v>
      </c>
      <c r="AB81" s="1941">
        <f t="shared" si="46"/>
        <v>0</v>
      </c>
      <c r="AC81" s="1941">
        <f t="shared" si="46"/>
        <v>0</v>
      </c>
      <c r="AD81" s="1941">
        <f t="shared" si="46"/>
        <v>0</v>
      </c>
      <c r="AE81" s="1941">
        <f t="shared" si="46"/>
        <v>0</v>
      </c>
      <c r="AF81" s="1941">
        <f t="shared" si="46"/>
        <v>0</v>
      </c>
      <c r="AG81" s="1941">
        <f t="shared" si="46"/>
        <v>0</v>
      </c>
      <c r="AH81" s="1941">
        <f t="shared" si="46"/>
        <v>0</v>
      </c>
      <c r="AI81" s="1941">
        <f t="shared" si="46"/>
        <v>0</v>
      </c>
      <c r="AJ81" s="1941">
        <f t="shared" si="46"/>
        <v>0</v>
      </c>
      <c r="AK81" s="1941">
        <f t="shared" si="46"/>
        <v>0</v>
      </c>
      <c r="AL81" s="1941">
        <f t="shared" si="46"/>
        <v>0</v>
      </c>
      <c r="AM81" s="1941">
        <f t="shared" si="46"/>
        <v>0</v>
      </c>
      <c r="AN81" s="1941">
        <f t="shared" si="46"/>
        <v>0</v>
      </c>
      <c r="AO81" s="1941">
        <f t="shared" si="46"/>
        <v>0</v>
      </c>
      <c r="AP81" s="1941">
        <f t="shared" si="46"/>
        <v>0</v>
      </c>
      <c r="AQ81" s="1941">
        <f t="shared" si="46"/>
        <v>0</v>
      </c>
      <c r="AR81" s="1941">
        <f t="shared" si="46"/>
        <v>0</v>
      </c>
      <c r="AS81" s="1941">
        <f t="shared" si="46"/>
        <v>0</v>
      </c>
      <c r="AT81" s="1941">
        <f t="shared" si="46"/>
        <v>0</v>
      </c>
      <c r="AU81" s="1941">
        <f t="shared" si="46"/>
        <v>0</v>
      </c>
      <c r="AV81" s="1941">
        <f t="shared" si="46"/>
        <v>0</v>
      </c>
      <c r="AW81" s="1941">
        <f t="shared" si="46"/>
        <v>0</v>
      </c>
      <c r="AX81" s="1941">
        <f t="shared" si="46"/>
        <v>0</v>
      </c>
      <c r="AY81" s="1941">
        <f t="shared" si="46"/>
        <v>0</v>
      </c>
      <c r="AZ81" s="1941">
        <f t="shared" si="46"/>
        <v>0</v>
      </c>
      <c r="BA81" s="1941">
        <f t="shared" si="46"/>
        <v>0</v>
      </c>
      <c r="BB81" s="1941">
        <f t="shared" si="46"/>
        <v>0</v>
      </c>
      <c r="BC81" s="1941">
        <f t="shared" si="46"/>
        <v>0</v>
      </c>
      <c r="BD81" s="1941">
        <f t="shared" si="46"/>
        <v>0</v>
      </c>
      <c r="BE81" s="1941">
        <f t="shared" si="46"/>
        <v>0</v>
      </c>
      <c r="BF81" s="1941">
        <f t="shared" si="46"/>
        <v>0</v>
      </c>
      <c r="BG81" s="1941">
        <f t="shared" si="46"/>
        <v>0</v>
      </c>
      <c r="BH81" s="1941">
        <f t="shared" si="46"/>
        <v>0</v>
      </c>
      <c r="BI81" s="1941">
        <f t="shared" si="46"/>
        <v>0</v>
      </c>
      <c r="BJ81" s="1941">
        <f t="shared" si="46"/>
        <v>0</v>
      </c>
      <c r="BK81" s="1941">
        <f t="shared" si="46"/>
        <v>0</v>
      </c>
      <c r="BL81" s="1941">
        <f t="shared" si="46"/>
        <v>0</v>
      </c>
      <c r="BM81" s="1941">
        <f t="shared" si="46"/>
        <v>0</v>
      </c>
      <c r="BN81" s="1941">
        <f t="shared" si="46"/>
        <v>0</v>
      </c>
      <c r="BO81" s="1941">
        <f t="shared" si="46"/>
        <v>0</v>
      </c>
      <c r="BP81" s="1941">
        <f t="shared" si="46"/>
        <v>0</v>
      </c>
      <c r="BQ81" s="1941">
        <f t="shared" si="46"/>
        <v>0</v>
      </c>
      <c r="BR81" s="1941">
        <f t="shared" si="46"/>
        <v>0</v>
      </c>
      <c r="BS81" s="1941">
        <f t="shared" si="46"/>
        <v>0</v>
      </c>
      <c r="BT81" s="1941">
        <f t="shared" si="46"/>
        <v>0</v>
      </c>
      <c r="BU81" s="1941">
        <f t="shared" ref="BU81:EF81" si="47">BU80/12</f>
        <v>0</v>
      </c>
      <c r="BV81" s="1941">
        <f t="shared" si="47"/>
        <v>0</v>
      </c>
      <c r="BW81" s="1941">
        <f t="shared" si="47"/>
        <v>0</v>
      </c>
      <c r="BX81" s="1941">
        <f t="shared" si="47"/>
        <v>0</v>
      </c>
      <c r="BY81" s="1941">
        <f t="shared" si="47"/>
        <v>0</v>
      </c>
      <c r="BZ81" s="1941">
        <f t="shared" si="47"/>
        <v>0</v>
      </c>
      <c r="CA81" s="1941">
        <f t="shared" si="47"/>
        <v>0</v>
      </c>
      <c r="CB81" s="1941">
        <f t="shared" si="47"/>
        <v>0</v>
      </c>
      <c r="CC81" s="1941">
        <f t="shared" si="47"/>
        <v>0</v>
      </c>
      <c r="CD81" s="1941">
        <f t="shared" si="47"/>
        <v>0</v>
      </c>
      <c r="CE81" s="1941">
        <f t="shared" si="47"/>
        <v>0</v>
      </c>
      <c r="CF81" s="1941">
        <f t="shared" si="47"/>
        <v>0</v>
      </c>
      <c r="CG81" s="1941">
        <f t="shared" si="47"/>
        <v>0</v>
      </c>
      <c r="CH81" s="1941">
        <f t="shared" si="47"/>
        <v>0</v>
      </c>
      <c r="CI81" s="1941">
        <f t="shared" si="47"/>
        <v>0</v>
      </c>
      <c r="CJ81" s="1941">
        <f t="shared" si="47"/>
        <v>0</v>
      </c>
      <c r="CK81" s="1941">
        <f t="shared" si="47"/>
        <v>0</v>
      </c>
      <c r="CL81" s="1941">
        <f t="shared" si="47"/>
        <v>0</v>
      </c>
      <c r="CM81" s="1941">
        <f t="shared" si="47"/>
        <v>0</v>
      </c>
      <c r="CN81" s="1941">
        <f t="shared" si="47"/>
        <v>0</v>
      </c>
      <c r="CO81" s="1941">
        <f t="shared" si="47"/>
        <v>0</v>
      </c>
      <c r="CP81" s="1941">
        <f t="shared" si="47"/>
        <v>0</v>
      </c>
      <c r="CQ81" s="1941">
        <f t="shared" si="47"/>
        <v>0</v>
      </c>
      <c r="CR81" s="1941">
        <f t="shared" si="47"/>
        <v>0</v>
      </c>
      <c r="CS81" s="1941">
        <f t="shared" si="47"/>
        <v>0</v>
      </c>
      <c r="CT81" s="1941">
        <f t="shared" si="47"/>
        <v>0</v>
      </c>
      <c r="CU81" s="1941">
        <f t="shared" si="47"/>
        <v>0</v>
      </c>
      <c r="CV81" s="1941">
        <f t="shared" si="47"/>
        <v>0</v>
      </c>
      <c r="CW81" s="1941">
        <f t="shared" si="47"/>
        <v>0</v>
      </c>
      <c r="CX81" s="1941">
        <f t="shared" si="47"/>
        <v>0</v>
      </c>
      <c r="CY81" s="1941">
        <f t="shared" si="47"/>
        <v>0</v>
      </c>
      <c r="CZ81" s="1941">
        <f t="shared" si="47"/>
        <v>0</v>
      </c>
      <c r="DA81" s="1941">
        <f t="shared" si="47"/>
        <v>0</v>
      </c>
      <c r="DB81" s="1941">
        <f t="shared" si="47"/>
        <v>0</v>
      </c>
      <c r="DC81" s="1941">
        <f t="shared" si="47"/>
        <v>0</v>
      </c>
      <c r="DD81" s="1941">
        <f t="shared" si="47"/>
        <v>0</v>
      </c>
      <c r="DE81" s="1941">
        <f t="shared" si="47"/>
        <v>0</v>
      </c>
      <c r="DF81" s="1941">
        <f t="shared" si="47"/>
        <v>0</v>
      </c>
      <c r="DG81" s="1941">
        <f t="shared" si="47"/>
        <v>0</v>
      </c>
      <c r="DH81" s="1941">
        <f t="shared" si="47"/>
        <v>0</v>
      </c>
      <c r="DI81" s="1941">
        <f t="shared" si="47"/>
        <v>0</v>
      </c>
      <c r="DJ81" s="1941">
        <f t="shared" si="47"/>
        <v>0</v>
      </c>
      <c r="DK81" s="1941">
        <f t="shared" si="47"/>
        <v>0</v>
      </c>
      <c r="DL81" s="1941">
        <f t="shared" si="47"/>
        <v>0</v>
      </c>
      <c r="DM81" s="1941">
        <f t="shared" si="47"/>
        <v>0</v>
      </c>
      <c r="DN81" s="1941">
        <f t="shared" si="47"/>
        <v>0</v>
      </c>
      <c r="DO81" s="1941">
        <f t="shared" si="47"/>
        <v>0</v>
      </c>
      <c r="DP81" s="1941">
        <f t="shared" si="47"/>
        <v>0</v>
      </c>
      <c r="DQ81" s="1941">
        <f t="shared" si="47"/>
        <v>0</v>
      </c>
      <c r="DR81" s="1941">
        <f t="shared" si="47"/>
        <v>0</v>
      </c>
      <c r="DS81" s="1941">
        <f t="shared" si="47"/>
        <v>0</v>
      </c>
      <c r="DT81" s="1941">
        <f t="shared" si="47"/>
        <v>0</v>
      </c>
      <c r="DU81" s="1941">
        <f t="shared" si="47"/>
        <v>0</v>
      </c>
      <c r="DV81" s="1941">
        <f t="shared" si="47"/>
        <v>0</v>
      </c>
      <c r="DW81" s="1941">
        <f t="shared" si="47"/>
        <v>0</v>
      </c>
      <c r="DX81" s="1941">
        <f t="shared" si="47"/>
        <v>0</v>
      </c>
      <c r="DY81" s="1941">
        <f t="shared" si="47"/>
        <v>0</v>
      </c>
      <c r="DZ81" s="1941">
        <f t="shared" si="47"/>
        <v>0</v>
      </c>
      <c r="EA81" s="1941">
        <f t="shared" si="47"/>
        <v>0</v>
      </c>
      <c r="EB81" s="1941">
        <f t="shared" si="47"/>
        <v>0</v>
      </c>
      <c r="EC81" s="1941">
        <f t="shared" si="47"/>
        <v>0</v>
      </c>
      <c r="ED81" s="1941">
        <f t="shared" si="47"/>
        <v>0</v>
      </c>
      <c r="EE81" s="1941">
        <f t="shared" si="47"/>
        <v>0</v>
      </c>
      <c r="EF81" s="1941">
        <f t="shared" si="47"/>
        <v>0</v>
      </c>
      <c r="EG81" s="1941">
        <f t="shared" ref="EG81:GR81" si="48">EG80/12</f>
        <v>0</v>
      </c>
      <c r="EH81" s="1941">
        <f t="shared" si="48"/>
        <v>0</v>
      </c>
      <c r="EI81" s="1941">
        <f t="shared" si="48"/>
        <v>0</v>
      </c>
      <c r="EJ81" s="1941">
        <f t="shared" si="48"/>
        <v>0</v>
      </c>
      <c r="EK81" s="1941">
        <f t="shared" si="48"/>
        <v>0</v>
      </c>
      <c r="EL81" s="1941">
        <f t="shared" si="48"/>
        <v>0</v>
      </c>
      <c r="EM81" s="1941">
        <f t="shared" si="48"/>
        <v>0</v>
      </c>
      <c r="EN81" s="1941">
        <f t="shared" si="48"/>
        <v>0</v>
      </c>
      <c r="EO81" s="1941">
        <f t="shared" si="48"/>
        <v>0</v>
      </c>
      <c r="EP81" s="1941">
        <f t="shared" si="48"/>
        <v>0</v>
      </c>
      <c r="EQ81" s="1941">
        <f t="shared" si="48"/>
        <v>0</v>
      </c>
      <c r="ER81" s="1941">
        <f t="shared" si="48"/>
        <v>0</v>
      </c>
      <c r="ES81" s="1941">
        <f t="shared" si="48"/>
        <v>0</v>
      </c>
      <c r="ET81" s="1941">
        <f t="shared" si="48"/>
        <v>0</v>
      </c>
      <c r="EU81" s="1941">
        <f t="shared" si="48"/>
        <v>0</v>
      </c>
      <c r="EV81" s="1941">
        <f t="shared" si="48"/>
        <v>0</v>
      </c>
      <c r="EW81" s="1941">
        <f t="shared" si="48"/>
        <v>0</v>
      </c>
      <c r="EX81" s="1941">
        <f t="shared" si="48"/>
        <v>0</v>
      </c>
      <c r="EY81" s="1941">
        <f t="shared" si="48"/>
        <v>0</v>
      </c>
      <c r="EZ81" s="1941">
        <f t="shared" si="48"/>
        <v>0</v>
      </c>
      <c r="FA81" s="1941">
        <f t="shared" si="48"/>
        <v>0</v>
      </c>
      <c r="FB81" s="1941">
        <f t="shared" si="48"/>
        <v>0</v>
      </c>
      <c r="FC81" s="1941">
        <f t="shared" si="48"/>
        <v>0</v>
      </c>
      <c r="FD81" s="1941">
        <f t="shared" si="48"/>
        <v>0</v>
      </c>
      <c r="FE81" s="1941">
        <f t="shared" si="48"/>
        <v>0</v>
      </c>
      <c r="FF81" s="1941">
        <f t="shared" si="48"/>
        <v>0</v>
      </c>
      <c r="FG81" s="1941">
        <f t="shared" si="48"/>
        <v>0</v>
      </c>
      <c r="FH81" s="1941">
        <f t="shared" si="48"/>
        <v>0</v>
      </c>
      <c r="FI81" s="1941">
        <f t="shared" si="48"/>
        <v>0</v>
      </c>
      <c r="FJ81" s="1941">
        <f t="shared" si="48"/>
        <v>0</v>
      </c>
      <c r="FK81" s="1941">
        <f t="shared" si="48"/>
        <v>0</v>
      </c>
      <c r="FL81" s="1941">
        <f t="shared" si="48"/>
        <v>0</v>
      </c>
      <c r="FM81" s="1941">
        <f t="shared" si="48"/>
        <v>0</v>
      </c>
      <c r="FN81" s="1941">
        <f t="shared" si="48"/>
        <v>0</v>
      </c>
      <c r="FO81" s="1941">
        <f t="shared" si="48"/>
        <v>0</v>
      </c>
      <c r="FP81" s="1941">
        <f t="shared" si="48"/>
        <v>0</v>
      </c>
      <c r="FQ81" s="1941">
        <f t="shared" si="48"/>
        <v>0</v>
      </c>
      <c r="FR81" s="1941">
        <f t="shared" si="48"/>
        <v>0</v>
      </c>
      <c r="FS81" s="1941">
        <f t="shared" si="48"/>
        <v>0</v>
      </c>
      <c r="FT81" s="1941">
        <f t="shared" si="48"/>
        <v>0</v>
      </c>
      <c r="FU81" s="1941">
        <f t="shared" si="48"/>
        <v>0</v>
      </c>
      <c r="FV81" s="1941">
        <f t="shared" si="48"/>
        <v>0</v>
      </c>
      <c r="FW81" s="1941">
        <f t="shared" si="48"/>
        <v>0</v>
      </c>
      <c r="FX81" s="1941">
        <f t="shared" si="48"/>
        <v>0</v>
      </c>
      <c r="FY81" s="1941">
        <f t="shared" si="48"/>
        <v>0</v>
      </c>
      <c r="FZ81" s="1941">
        <f t="shared" si="48"/>
        <v>0</v>
      </c>
      <c r="GA81" s="1941">
        <f t="shared" si="48"/>
        <v>0</v>
      </c>
      <c r="GB81" s="1941">
        <f t="shared" si="48"/>
        <v>0</v>
      </c>
      <c r="GC81" s="1941">
        <f t="shared" si="48"/>
        <v>0</v>
      </c>
      <c r="GD81" s="1941">
        <f t="shared" si="48"/>
        <v>0</v>
      </c>
      <c r="GE81" s="1941">
        <f t="shared" si="48"/>
        <v>0</v>
      </c>
      <c r="GF81" s="1941">
        <f t="shared" si="48"/>
        <v>0</v>
      </c>
      <c r="GG81" s="1941">
        <f t="shared" si="48"/>
        <v>0</v>
      </c>
      <c r="GH81" s="1941">
        <f t="shared" si="48"/>
        <v>0</v>
      </c>
      <c r="GI81" s="1941">
        <f t="shared" si="48"/>
        <v>0</v>
      </c>
      <c r="GJ81" s="1941">
        <f t="shared" si="48"/>
        <v>0</v>
      </c>
      <c r="GK81" s="1941">
        <f t="shared" si="48"/>
        <v>0</v>
      </c>
      <c r="GL81" s="1941">
        <f t="shared" si="48"/>
        <v>0</v>
      </c>
      <c r="GM81" s="1941">
        <f t="shared" si="48"/>
        <v>0</v>
      </c>
      <c r="GN81" s="1941">
        <f t="shared" si="48"/>
        <v>0</v>
      </c>
      <c r="GO81" s="1941">
        <f t="shared" si="48"/>
        <v>0</v>
      </c>
      <c r="GP81" s="1941">
        <f t="shared" si="48"/>
        <v>0</v>
      </c>
      <c r="GQ81" s="1941">
        <f t="shared" si="48"/>
        <v>0</v>
      </c>
      <c r="GR81" s="1941">
        <f t="shared" si="48"/>
        <v>0</v>
      </c>
      <c r="GS81" s="1941">
        <f t="shared" ref="GS81:HG81" si="49">GS80/12</f>
        <v>0</v>
      </c>
      <c r="GT81" s="1941">
        <f t="shared" si="49"/>
        <v>0</v>
      </c>
      <c r="GU81" s="1941">
        <f t="shared" si="49"/>
        <v>0</v>
      </c>
      <c r="GV81" s="1941">
        <f t="shared" si="49"/>
        <v>0</v>
      </c>
      <c r="GW81" s="1941">
        <f t="shared" si="49"/>
        <v>0</v>
      </c>
      <c r="GX81" s="1941">
        <f t="shared" si="49"/>
        <v>0</v>
      </c>
      <c r="GY81" s="1941">
        <f t="shared" si="49"/>
        <v>0</v>
      </c>
      <c r="GZ81" s="1941">
        <f t="shared" si="49"/>
        <v>0</v>
      </c>
      <c r="HA81" s="1941">
        <f t="shared" si="49"/>
        <v>0</v>
      </c>
      <c r="HB81" s="1941">
        <f t="shared" si="49"/>
        <v>0</v>
      </c>
      <c r="HC81" s="1941">
        <f t="shared" si="49"/>
        <v>0</v>
      </c>
      <c r="HD81" s="1941">
        <f t="shared" si="49"/>
        <v>0</v>
      </c>
      <c r="HE81" s="1941">
        <f t="shared" si="49"/>
        <v>0</v>
      </c>
      <c r="HF81" s="1941">
        <f t="shared" si="49"/>
        <v>0</v>
      </c>
      <c r="HG81" s="1941">
        <f t="shared" si="49"/>
        <v>0</v>
      </c>
    </row>
    <row r="82" spans="1:215" ht="12.75" hidden="1" customHeight="1" x14ac:dyDescent="0.2">
      <c r="L82" s="1775"/>
      <c r="M82" s="1775"/>
    </row>
    <row r="83" spans="1:215" x14ac:dyDescent="0.2">
      <c r="L83" s="1775"/>
      <c r="M83" s="1775"/>
    </row>
    <row r="84" spans="1:215" x14ac:dyDescent="0.2">
      <c r="L84" s="1775"/>
      <c r="M84" s="1775"/>
    </row>
    <row r="85" spans="1:215" x14ac:dyDescent="0.2">
      <c r="L85" s="1775"/>
      <c r="M85" s="1775"/>
    </row>
    <row r="86" spans="1:215" x14ac:dyDescent="0.2">
      <c r="L86" s="1775"/>
      <c r="M86" s="1775"/>
    </row>
    <row r="87" spans="1:215" x14ac:dyDescent="0.2">
      <c r="B87" s="1895"/>
      <c r="L87" s="1775"/>
      <c r="M87" s="1775"/>
    </row>
    <row r="88" spans="1:215" x14ac:dyDescent="0.2">
      <c r="L88" s="1775"/>
      <c r="M88" s="1775"/>
    </row>
    <row r="89" spans="1:215" x14ac:dyDescent="0.2">
      <c r="L89" s="1775"/>
      <c r="M89" s="1775"/>
    </row>
    <row r="90" spans="1:215" x14ac:dyDescent="0.2">
      <c r="L90" s="1775"/>
      <c r="M90" s="1775"/>
    </row>
    <row r="91" spans="1:215" x14ac:dyDescent="0.2">
      <c r="L91" s="1775"/>
      <c r="M91" s="1775"/>
    </row>
    <row r="92" spans="1:215" x14ac:dyDescent="0.2">
      <c r="L92" s="1775"/>
      <c r="M92" s="1775"/>
    </row>
    <row r="93" spans="1:215" x14ac:dyDescent="0.2">
      <c r="L93" s="1775"/>
      <c r="M93" s="1775"/>
    </row>
    <row r="94" spans="1:215" x14ac:dyDescent="0.2">
      <c r="L94" s="1775"/>
      <c r="M94" s="1775"/>
    </row>
    <row r="95" spans="1:215" x14ac:dyDescent="0.2">
      <c r="L95" s="1775"/>
      <c r="M95" s="1775"/>
    </row>
    <row r="96" spans="1:215" x14ac:dyDescent="0.2">
      <c r="L96" s="1775"/>
      <c r="M96" s="1775"/>
    </row>
    <row r="97" spans="12:13" x14ac:dyDescent="0.2">
      <c r="L97" s="1775"/>
      <c r="M97" s="1775"/>
    </row>
    <row r="98" spans="12:13" x14ac:dyDescent="0.2">
      <c r="L98" s="1775"/>
      <c r="M98" s="1775"/>
    </row>
    <row r="99" spans="12:13" x14ac:dyDescent="0.2">
      <c r="L99" s="1775"/>
      <c r="M99" s="1775"/>
    </row>
    <row r="100" spans="12:13" x14ac:dyDescent="0.2">
      <c r="L100" s="1775"/>
      <c r="M100" s="1775"/>
    </row>
    <row r="101" spans="12:13" x14ac:dyDescent="0.2">
      <c r="L101" s="1775"/>
      <c r="M101" s="1775"/>
    </row>
    <row r="102" spans="12:13" x14ac:dyDescent="0.2">
      <c r="L102" s="1775"/>
      <c r="M102" s="1775"/>
    </row>
    <row r="103" spans="12:13" x14ac:dyDescent="0.2">
      <c r="L103" s="1775"/>
      <c r="M103" s="1775"/>
    </row>
    <row r="104" spans="12:13" x14ac:dyDescent="0.2">
      <c r="L104" s="1775"/>
      <c r="M104" s="1775"/>
    </row>
    <row r="105" spans="12:13" x14ac:dyDescent="0.2">
      <c r="L105" s="1775"/>
      <c r="M105" s="1775"/>
    </row>
    <row r="106" spans="12:13" x14ac:dyDescent="0.2">
      <c r="L106" s="1775"/>
      <c r="M106" s="1775"/>
    </row>
    <row r="107" spans="12:13" x14ac:dyDescent="0.2">
      <c r="L107" s="1775"/>
      <c r="M107" s="1775"/>
    </row>
    <row r="108" spans="12:13" x14ac:dyDescent="0.2">
      <c r="L108" s="1775"/>
      <c r="M108" s="1775"/>
    </row>
    <row r="109" spans="12:13" x14ac:dyDescent="0.2">
      <c r="L109" s="1775"/>
      <c r="M109" s="1775"/>
    </row>
    <row r="110" spans="12:13" x14ac:dyDescent="0.2">
      <c r="L110" s="1775"/>
      <c r="M110" s="1775"/>
    </row>
    <row r="111" spans="12:13" x14ac:dyDescent="0.2">
      <c r="L111" s="1775"/>
      <c r="M111" s="1775"/>
    </row>
    <row r="112" spans="12:13" x14ac:dyDescent="0.2">
      <c r="L112" s="1775"/>
      <c r="M112" s="1775"/>
    </row>
    <row r="113" spans="12:13" x14ac:dyDescent="0.2">
      <c r="L113" s="1775"/>
      <c r="M113" s="1775"/>
    </row>
    <row r="114" spans="12:13" x14ac:dyDescent="0.2">
      <c r="L114" s="1775"/>
      <c r="M114" s="1775"/>
    </row>
    <row r="115" spans="12:13" x14ac:dyDescent="0.2">
      <c r="L115" s="1775"/>
      <c r="M115" s="1775"/>
    </row>
    <row r="116" spans="12:13" x14ac:dyDescent="0.2">
      <c r="L116" s="1775"/>
      <c r="M116" s="1775"/>
    </row>
    <row r="117" spans="12:13" x14ac:dyDescent="0.2">
      <c r="L117" s="1775"/>
      <c r="M117" s="1775"/>
    </row>
    <row r="118" spans="12:13" x14ac:dyDescent="0.2">
      <c r="L118" s="1775"/>
      <c r="M118" s="1775"/>
    </row>
    <row r="119" spans="12:13" x14ac:dyDescent="0.2">
      <c r="L119" s="1775"/>
      <c r="M119" s="1775"/>
    </row>
    <row r="120" spans="12:13" x14ac:dyDescent="0.2">
      <c r="L120" s="1775"/>
      <c r="M120" s="1775"/>
    </row>
    <row r="121" spans="12:13" x14ac:dyDescent="0.2">
      <c r="L121" s="1775"/>
      <c r="M121" s="1775"/>
    </row>
    <row r="122" spans="12:13" x14ac:dyDescent="0.2">
      <c r="L122" s="1775"/>
      <c r="M122" s="1775"/>
    </row>
    <row r="123" spans="12:13" x14ac:dyDescent="0.2">
      <c r="L123" s="1775"/>
      <c r="M123" s="1775"/>
    </row>
    <row r="124" spans="12:13" x14ac:dyDescent="0.2">
      <c r="L124" s="1775"/>
      <c r="M124" s="1775"/>
    </row>
    <row r="125" spans="12:13" x14ac:dyDescent="0.2">
      <c r="L125" s="1775"/>
      <c r="M125" s="1775"/>
    </row>
    <row r="126" spans="12:13" x14ac:dyDescent="0.2">
      <c r="L126" s="1775"/>
      <c r="M126" s="1775"/>
    </row>
    <row r="127" spans="12:13" x14ac:dyDescent="0.2">
      <c r="L127" s="1775"/>
      <c r="M127" s="1775"/>
    </row>
    <row r="128" spans="12:13" x14ac:dyDescent="0.2">
      <c r="L128" s="1775"/>
      <c r="M128" s="1775"/>
    </row>
    <row r="129" spans="12:13" x14ac:dyDescent="0.2">
      <c r="L129" s="1775"/>
      <c r="M129" s="1775"/>
    </row>
    <row r="130" spans="12:13" x14ac:dyDescent="0.2">
      <c r="L130" s="1775"/>
      <c r="M130" s="1775"/>
    </row>
    <row r="131" spans="12:13" x14ac:dyDescent="0.2">
      <c r="L131" s="1775"/>
      <c r="M131" s="1775"/>
    </row>
    <row r="132" spans="12:13" x14ac:dyDescent="0.2">
      <c r="L132" s="1775"/>
      <c r="M132" s="1775"/>
    </row>
    <row r="133" spans="12:13" x14ac:dyDescent="0.2">
      <c r="L133" s="1775"/>
      <c r="M133" s="1775"/>
    </row>
    <row r="134" spans="12:13" x14ac:dyDescent="0.2">
      <c r="L134" s="1775"/>
      <c r="M134" s="1775"/>
    </row>
    <row r="135" spans="12:13" x14ac:dyDescent="0.2">
      <c r="L135" s="1775"/>
      <c r="M135" s="1775"/>
    </row>
    <row r="136" spans="12:13" x14ac:dyDescent="0.2">
      <c r="L136" s="1775"/>
      <c r="M136" s="1775"/>
    </row>
    <row r="137" spans="12:13" x14ac:dyDescent="0.2">
      <c r="L137" s="1775"/>
      <c r="M137" s="1775"/>
    </row>
    <row r="138" spans="12:13" x14ac:dyDescent="0.2">
      <c r="L138" s="1775"/>
      <c r="M138" s="1775"/>
    </row>
    <row r="139" spans="12:13" x14ac:dyDescent="0.2">
      <c r="L139" s="1775"/>
      <c r="M139" s="1775"/>
    </row>
    <row r="140" spans="12:13" x14ac:dyDescent="0.2">
      <c r="L140" s="1775"/>
      <c r="M140" s="1775"/>
    </row>
    <row r="141" spans="12:13" x14ac:dyDescent="0.2">
      <c r="L141" s="1775"/>
      <c r="M141" s="1775"/>
    </row>
    <row r="142" spans="12:13" x14ac:dyDescent="0.2">
      <c r="L142" s="1775"/>
      <c r="M142" s="1775"/>
    </row>
    <row r="143" spans="12:13" x14ac:dyDescent="0.2">
      <c r="L143" s="1775"/>
      <c r="M143" s="1775"/>
    </row>
    <row r="144" spans="12:13" x14ac:dyDescent="0.2">
      <c r="L144" s="1775"/>
      <c r="M144" s="1775"/>
    </row>
    <row r="145" spans="12:13" x14ac:dyDescent="0.2">
      <c r="L145" s="1775"/>
      <c r="M145" s="1775"/>
    </row>
    <row r="146" spans="12:13" x14ac:dyDescent="0.2">
      <c r="L146" s="1775"/>
      <c r="M146" s="1775"/>
    </row>
    <row r="147" spans="12:13" x14ac:dyDescent="0.2">
      <c r="L147" s="1775"/>
      <c r="M147" s="1775"/>
    </row>
    <row r="148" spans="12:13" x14ac:dyDescent="0.2">
      <c r="L148" s="1775"/>
      <c r="M148" s="1775"/>
    </row>
    <row r="149" spans="12:13" x14ac:dyDescent="0.2">
      <c r="L149" s="1775"/>
      <c r="M149" s="1775"/>
    </row>
    <row r="150" spans="12:13" x14ac:dyDescent="0.2">
      <c r="L150" s="1775"/>
      <c r="M150" s="1775"/>
    </row>
    <row r="151" spans="12:13" x14ac:dyDescent="0.2">
      <c r="L151" s="1775"/>
      <c r="M151" s="1775"/>
    </row>
    <row r="152" spans="12:13" x14ac:dyDescent="0.2">
      <c r="L152" s="1775"/>
      <c r="M152" s="1775"/>
    </row>
    <row r="153" spans="12:13" x14ac:dyDescent="0.2">
      <c r="L153" s="1775"/>
      <c r="M153" s="1775"/>
    </row>
    <row r="154" spans="12:13" x14ac:dyDescent="0.2">
      <c r="L154" s="1775"/>
      <c r="M154" s="1775"/>
    </row>
    <row r="155" spans="12:13" x14ac:dyDescent="0.2">
      <c r="L155" s="1775"/>
      <c r="M155" s="1775"/>
    </row>
    <row r="156" spans="12:13" x14ac:dyDescent="0.2">
      <c r="L156" s="1775"/>
      <c r="M156" s="1775"/>
    </row>
    <row r="157" spans="12:13" x14ac:dyDescent="0.2">
      <c r="L157" s="1775"/>
      <c r="M157" s="1775"/>
    </row>
    <row r="158" spans="12:13" x14ac:dyDescent="0.2">
      <c r="L158" s="1775"/>
      <c r="M158" s="1775"/>
    </row>
    <row r="159" spans="12:13" x14ac:dyDescent="0.2">
      <c r="L159" s="1775"/>
      <c r="M159" s="1775"/>
    </row>
    <row r="160" spans="12:13" x14ac:dyDescent="0.2">
      <c r="L160" s="1775"/>
      <c r="M160" s="1775"/>
    </row>
    <row r="161" spans="12:13" x14ac:dyDescent="0.2">
      <c r="L161" s="1775"/>
      <c r="M161" s="1775"/>
    </row>
    <row r="162" spans="12:13" x14ac:dyDescent="0.2">
      <c r="L162" s="1775"/>
      <c r="M162" s="1775"/>
    </row>
    <row r="163" spans="12:13" x14ac:dyDescent="0.2">
      <c r="L163" s="1775"/>
      <c r="M163" s="1775"/>
    </row>
    <row r="164" spans="12:13" x14ac:dyDescent="0.2">
      <c r="L164" s="1775"/>
      <c r="M164" s="1775"/>
    </row>
    <row r="165" spans="12:13" x14ac:dyDescent="0.2">
      <c r="L165" s="1775"/>
      <c r="M165" s="1775"/>
    </row>
    <row r="166" spans="12:13" x14ac:dyDescent="0.2">
      <c r="L166" s="1775"/>
      <c r="M166" s="1775"/>
    </row>
    <row r="167" spans="12:13" x14ac:dyDescent="0.2">
      <c r="L167" s="1775"/>
      <c r="M167" s="1775"/>
    </row>
    <row r="168" spans="12:13" x14ac:dyDescent="0.2">
      <c r="L168" s="1775"/>
      <c r="M168" s="1775"/>
    </row>
    <row r="169" spans="12:13" x14ac:dyDescent="0.2">
      <c r="L169" s="1775"/>
      <c r="M169" s="1775"/>
    </row>
    <row r="170" spans="12:13" x14ac:dyDescent="0.2">
      <c r="L170" s="1775"/>
      <c r="M170" s="1775"/>
    </row>
    <row r="171" spans="12:13" x14ac:dyDescent="0.2">
      <c r="L171" s="1775"/>
      <c r="M171" s="1775"/>
    </row>
    <row r="172" spans="12:13" x14ac:dyDescent="0.2">
      <c r="L172" s="1775"/>
      <c r="M172" s="1775"/>
    </row>
    <row r="173" spans="12:13" x14ac:dyDescent="0.2">
      <c r="L173" s="1775"/>
      <c r="M173" s="1775"/>
    </row>
    <row r="174" spans="12:13" x14ac:dyDescent="0.2">
      <c r="L174" s="1775"/>
      <c r="M174" s="1775"/>
    </row>
    <row r="175" spans="12:13" x14ac:dyDescent="0.2">
      <c r="L175" s="1775"/>
      <c r="M175" s="1775"/>
    </row>
    <row r="176" spans="12:13" x14ac:dyDescent="0.2">
      <c r="L176" s="1775"/>
      <c r="M176" s="1775"/>
    </row>
    <row r="177" spans="12:13" x14ac:dyDescent="0.2">
      <c r="L177" s="1775"/>
      <c r="M177" s="1775"/>
    </row>
    <row r="178" spans="12:13" x14ac:dyDescent="0.2">
      <c r="L178" s="1775"/>
      <c r="M178" s="1775"/>
    </row>
    <row r="179" spans="12:13" x14ac:dyDescent="0.2">
      <c r="L179" s="1775"/>
      <c r="M179" s="1775"/>
    </row>
    <row r="180" spans="12:13" x14ac:dyDescent="0.2">
      <c r="L180" s="1775"/>
      <c r="M180" s="1775"/>
    </row>
    <row r="181" spans="12:13" x14ac:dyDescent="0.2">
      <c r="L181" s="1775"/>
      <c r="M181" s="1775"/>
    </row>
    <row r="182" spans="12:13" x14ac:dyDescent="0.2">
      <c r="L182" s="1775"/>
      <c r="M182" s="1775"/>
    </row>
    <row r="183" spans="12:13" x14ac:dyDescent="0.2">
      <c r="L183" s="1775"/>
      <c r="M183" s="1775"/>
    </row>
    <row r="184" spans="12:13" x14ac:dyDescent="0.2">
      <c r="L184" s="1775"/>
      <c r="M184" s="1775"/>
    </row>
    <row r="185" spans="12:13" x14ac:dyDescent="0.2">
      <c r="L185" s="1775"/>
      <c r="M185" s="1775"/>
    </row>
    <row r="186" spans="12:13" x14ac:dyDescent="0.2">
      <c r="L186" s="1775"/>
      <c r="M186" s="1775"/>
    </row>
    <row r="187" spans="12:13" x14ac:dyDescent="0.2">
      <c r="L187" s="1775"/>
      <c r="M187" s="1775"/>
    </row>
    <row r="188" spans="12:13" x14ac:dyDescent="0.2">
      <c r="L188" s="1775"/>
      <c r="M188" s="1775"/>
    </row>
    <row r="189" spans="12:13" x14ac:dyDescent="0.2">
      <c r="L189" s="1775"/>
      <c r="M189" s="1775"/>
    </row>
    <row r="190" spans="12:13" x14ac:dyDescent="0.2">
      <c r="L190" s="1775"/>
      <c r="M190" s="1775"/>
    </row>
    <row r="191" spans="12:13" x14ac:dyDescent="0.2">
      <c r="L191" s="1775"/>
      <c r="M191" s="1775"/>
    </row>
    <row r="192" spans="12:13" x14ac:dyDescent="0.2">
      <c r="L192" s="1775"/>
      <c r="M192" s="1775"/>
    </row>
    <row r="193" spans="12:13" x14ac:dyDescent="0.2">
      <c r="L193" s="1775"/>
      <c r="M193" s="1775"/>
    </row>
    <row r="194" spans="12:13" x14ac:dyDescent="0.2">
      <c r="L194" s="1775"/>
      <c r="M194" s="1775"/>
    </row>
    <row r="195" spans="12:13" x14ac:dyDescent="0.2">
      <c r="L195" s="1775"/>
      <c r="M195" s="1775"/>
    </row>
    <row r="196" spans="12:13" x14ac:dyDescent="0.2">
      <c r="L196" s="1775"/>
      <c r="M196" s="1775"/>
    </row>
    <row r="197" spans="12:13" x14ac:dyDescent="0.2">
      <c r="L197" s="1775"/>
      <c r="M197" s="1775"/>
    </row>
    <row r="198" spans="12:13" x14ac:dyDescent="0.2">
      <c r="L198" s="1775"/>
      <c r="M198" s="1775"/>
    </row>
    <row r="199" spans="12:13" x14ac:dyDescent="0.2">
      <c r="L199" s="1775"/>
      <c r="M199" s="1775"/>
    </row>
    <row r="200" spans="12:13" x14ac:dyDescent="0.2">
      <c r="L200" s="1775"/>
      <c r="M200" s="1775"/>
    </row>
    <row r="201" spans="12:13" x14ac:dyDescent="0.2">
      <c r="L201" s="1775"/>
      <c r="M201" s="1775"/>
    </row>
    <row r="202" spans="12:13" x14ac:dyDescent="0.2">
      <c r="L202" s="1775"/>
      <c r="M202" s="1775"/>
    </row>
    <row r="203" spans="12:13" x14ac:dyDescent="0.2">
      <c r="L203" s="1775"/>
      <c r="M203" s="1775"/>
    </row>
    <row r="204" spans="12:13" x14ac:dyDescent="0.2">
      <c r="L204" s="1775"/>
      <c r="M204" s="1775"/>
    </row>
    <row r="205" spans="12:13" x14ac:dyDescent="0.2">
      <c r="L205" s="1775"/>
      <c r="M205" s="1775"/>
    </row>
    <row r="206" spans="12:13" x14ac:dyDescent="0.2">
      <c r="L206" s="1775"/>
      <c r="M206" s="1775"/>
    </row>
    <row r="207" spans="12:13" x14ac:dyDescent="0.2">
      <c r="L207" s="1775"/>
      <c r="M207" s="1775"/>
    </row>
    <row r="208" spans="12:13" x14ac:dyDescent="0.2">
      <c r="L208" s="1775"/>
      <c r="M208" s="1775"/>
    </row>
    <row r="209" spans="12:13" x14ac:dyDescent="0.2">
      <c r="L209" s="1775"/>
      <c r="M209" s="1775"/>
    </row>
    <row r="210" spans="12:13" x14ac:dyDescent="0.2">
      <c r="L210" s="1775"/>
      <c r="M210" s="1775"/>
    </row>
    <row r="211" spans="12:13" x14ac:dyDescent="0.2">
      <c r="L211" s="1775"/>
      <c r="M211" s="1775"/>
    </row>
    <row r="212" spans="12:13" x14ac:dyDescent="0.2">
      <c r="L212" s="1775"/>
      <c r="M212" s="1775"/>
    </row>
    <row r="213" spans="12:13" x14ac:dyDescent="0.2">
      <c r="L213" s="1775"/>
      <c r="M213" s="1775"/>
    </row>
    <row r="214" spans="12:13" x14ac:dyDescent="0.2">
      <c r="L214" s="1775"/>
      <c r="M214" s="1775"/>
    </row>
    <row r="215" spans="12:13" x14ac:dyDescent="0.2">
      <c r="L215" s="1775"/>
      <c r="M215" s="1775"/>
    </row>
    <row r="216" spans="12:13" x14ac:dyDescent="0.2">
      <c r="L216" s="1775"/>
      <c r="M216" s="1775"/>
    </row>
    <row r="217" spans="12:13" x14ac:dyDescent="0.2">
      <c r="L217" s="1775"/>
      <c r="M217" s="1775"/>
    </row>
    <row r="218" spans="12:13" x14ac:dyDescent="0.2">
      <c r="L218" s="1775"/>
      <c r="M218" s="1775"/>
    </row>
    <row r="219" spans="12:13" x14ac:dyDescent="0.2">
      <c r="L219" s="1775"/>
      <c r="M219" s="1775"/>
    </row>
    <row r="220" spans="12:13" x14ac:dyDescent="0.2">
      <c r="L220" s="1775"/>
      <c r="M220" s="1775"/>
    </row>
    <row r="221" spans="12:13" x14ac:dyDescent="0.2">
      <c r="L221" s="1775"/>
      <c r="M221" s="1775"/>
    </row>
    <row r="222" spans="12:13" x14ac:dyDescent="0.2">
      <c r="L222" s="1775"/>
      <c r="M222" s="1775"/>
    </row>
    <row r="223" spans="12:13" x14ac:dyDescent="0.2">
      <c r="L223" s="1775"/>
      <c r="M223" s="1775"/>
    </row>
    <row r="224" spans="12:13" x14ac:dyDescent="0.2">
      <c r="L224" s="1775"/>
      <c r="M224" s="1775"/>
    </row>
    <row r="225" spans="12:13" x14ac:dyDescent="0.2">
      <c r="L225" s="1775"/>
      <c r="M225" s="1775"/>
    </row>
    <row r="226" spans="12:13" x14ac:dyDescent="0.2">
      <c r="L226" s="1775"/>
      <c r="M226" s="1775"/>
    </row>
    <row r="227" spans="12:13" x14ac:dyDescent="0.2">
      <c r="L227" s="1775"/>
      <c r="M227" s="1775"/>
    </row>
    <row r="228" spans="12:13" x14ac:dyDescent="0.2">
      <c r="L228" s="1775"/>
      <c r="M228" s="1775"/>
    </row>
    <row r="229" spans="12:13" x14ac:dyDescent="0.2">
      <c r="L229" s="1775"/>
      <c r="M229" s="1775"/>
    </row>
    <row r="230" spans="12:13" x14ac:dyDescent="0.2">
      <c r="L230" s="1775"/>
      <c r="M230" s="1775"/>
    </row>
    <row r="231" spans="12:13" x14ac:dyDescent="0.2">
      <c r="L231" s="1775"/>
      <c r="M231" s="1775"/>
    </row>
    <row r="232" spans="12:13" x14ac:dyDescent="0.2">
      <c r="L232" s="1775"/>
      <c r="M232" s="1775"/>
    </row>
    <row r="233" spans="12:13" x14ac:dyDescent="0.2">
      <c r="L233" s="1775"/>
      <c r="M233" s="1775"/>
    </row>
    <row r="234" spans="12:13" x14ac:dyDescent="0.2">
      <c r="L234" s="1775"/>
      <c r="M234" s="1775"/>
    </row>
    <row r="235" spans="12:13" x14ac:dyDescent="0.2">
      <c r="L235" s="1775"/>
      <c r="M235" s="1775"/>
    </row>
    <row r="236" spans="12:13" x14ac:dyDescent="0.2">
      <c r="L236" s="1775"/>
      <c r="M236" s="1775"/>
    </row>
    <row r="237" spans="12:13" x14ac:dyDescent="0.2">
      <c r="L237" s="1775"/>
      <c r="M237" s="1775"/>
    </row>
    <row r="238" spans="12:13" x14ac:dyDescent="0.2">
      <c r="L238" s="1775"/>
      <c r="M238" s="1775"/>
    </row>
    <row r="239" spans="12:13" x14ac:dyDescent="0.2">
      <c r="L239" s="1775"/>
      <c r="M239" s="1775"/>
    </row>
    <row r="240" spans="12:13" x14ac:dyDescent="0.2">
      <c r="L240" s="1775"/>
      <c r="M240" s="1775"/>
    </row>
    <row r="241" spans="12:13" x14ac:dyDescent="0.2">
      <c r="L241" s="1775"/>
      <c r="M241" s="1775"/>
    </row>
    <row r="242" spans="12:13" x14ac:dyDescent="0.2">
      <c r="L242" s="1775"/>
      <c r="M242" s="1775"/>
    </row>
    <row r="243" spans="12:13" x14ac:dyDescent="0.2">
      <c r="L243" s="1775"/>
      <c r="M243" s="1775"/>
    </row>
    <row r="244" spans="12:13" x14ac:dyDescent="0.2">
      <c r="L244" s="1775"/>
      <c r="M244" s="1775"/>
    </row>
    <row r="245" spans="12:13" x14ac:dyDescent="0.2">
      <c r="L245" s="1775"/>
      <c r="M245" s="1775"/>
    </row>
    <row r="246" spans="12:13" x14ac:dyDescent="0.2">
      <c r="L246" s="1775"/>
      <c r="M246" s="1775"/>
    </row>
    <row r="247" spans="12:13" x14ac:dyDescent="0.2">
      <c r="L247" s="1775"/>
      <c r="M247" s="1775"/>
    </row>
    <row r="248" spans="12:13" x14ac:dyDescent="0.2">
      <c r="L248" s="1775"/>
      <c r="M248" s="1775"/>
    </row>
    <row r="249" spans="12:13" x14ac:dyDescent="0.2">
      <c r="L249" s="1775"/>
      <c r="M249" s="1775"/>
    </row>
    <row r="250" spans="12:13" x14ac:dyDescent="0.2">
      <c r="L250" s="1775"/>
      <c r="M250" s="1775"/>
    </row>
    <row r="251" spans="12:13" x14ac:dyDescent="0.2">
      <c r="L251" s="1775"/>
      <c r="M251" s="1775"/>
    </row>
    <row r="252" spans="12:13" x14ac:dyDescent="0.2">
      <c r="L252" s="1775"/>
      <c r="M252" s="1775"/>
    </row>
    <row r="253" spans="12:13" x14ac:dyDescent="0.2">
      <c r="L253" s="1775"/>
      <c r="M253" s="1775"/>
    </row>
    <row r="254" spans="12:13" x14ac:dyDescent="0.2">
      <c r="L254" s="1775"/>
      <c r="M254" s="1775"/>
    </row>
    <row r="255" spans="12:13" x14ac:dyDescent="0.2">
      <c r="L255" s="1775"/>
      <c r="M255" s="1775"/>
    </row>
    <row r="256" spans="12:13" x14ac:dyDescent="0.2">
      <c r="L256" s="1775"/>
      <c r="M256" s="1775"/>
    </row>
    <row r="257" spans="12:13" x14ac:dyDescent="0.2">
      <c r="L257" s="1775"/>
      <c r="M257" s="1775"/>
    </row>
    <row r="258" spans="12:13" x14ac:dyDescent="0.2">
      <c r="L258" s="1775"/>
      <c r="M258" s="1775"/>
    </row>
    <row r="259" spans="12:13" x14ac:dyDescent="0.2">
      <c r="L259" s="1775"/>
      <c r="M259" s="1775"/>
    </row>
    <row r="260" spans="12:13" x14ac:dyDescent="0.2">
      <c r="L260" s="1775"/>
      <c r="M260" s="1775"/>
    </row>
    <row r="261" spans="12:13" x14ac:dyDescent="0.2">
      <c r="L261" s="1775"/>
      <c r="M261" s="1775"/>
    </row>
    <row r="262" spans="12:13" x14ac:dyDescent="0.2">
      <c r="L262" s="1775"/>
      <c r="M262" s="1775"/>
    </row>
    <row r="263" spans="12:13" x14ac:dyDescent="0.2">
      <c r="L263" s="1775"/>
      <c r="M263" s="1775"/>
    </row>
    <row r="264" spans="12:13" x14ac:dyDescent="0.2">
      <c r="L264" s="1775"/>
      <c r="M264" s="1775"/>
    </row>
    <row r="265" spans="12:13" x14ac:dyDescent="0.2">
      <c r="L265" s="1775"/>
      <c r="M265" s="1775"/>
    </row>
    <row r="266" spans="12:13" x14ac:dyDescent="0.2">
      <c r="L266" s="1775"/>
      <c r="M266" s="1775"/>
    </row>
    <row r="267" spans="12:13" x14ac:dyDescent="0.2">
      <c r="L267" s="1775"/>
      <c r="M267" s="1775"/>
    </row>
    <row r="268" spans="12:13" x14ac:dyDescent="0.2">
      <c r="L268" s="1775"/>
      <c r="M268" s="1775"/>
    </row>
    <row r="269" spans="12:13" x14ac:dyDescent="0.2">
      <c r="L269" s="1775"/>
      <c r="M269" s="1775"/>
    </row>
    <row r="270" spans="12:13" x14ac:dyDescent="0.2">
      <c r="L270" s="1775"/>
      <c r="M270" s="1775"/>
    </row>
    <row r="271" spans="12:13" x14ac:dyDescent="0.2">
      <c r="L271" s="1775"/>
      <c r="M271" s="1775"/>
    </row>
    <row r="272" spans="12:13" x14ac:dyDescent="0.2">
      <c r="L272" s="1775"/>
      <c r="M272" s="1775"/>
    </row>
    <row r="273" spans="12:13" x14ac:dyDescent="0.2">
      <c r="L273" s="1775"/>
      <c r="M273" s="1775"/>
    </row>
    <row r="274" spans="12:13" x14ac:dyDescent="0.2">
      <c r="L274" s="1775"/>
      <c r="M274" s="1775"/>
    </row>
    <row r="275" spans="12:13" x14ac:dyDescent="0.2">
      <c r="L275" s="1775"/>
      <c r="M275" s="1775"/>
    </row>
    <row r="276" spans="12:13" x14ac:dyDescent="0.2">
      <c r="L276" s="1775"/>
      <c r="M276" s="1775"/>
    </row>
    <row r="277" spans="12:13" x14ac:dyDescent="0.2">
      <c r="L277" s="1775"/>
      <c r="M277" s="1775"/>
    </row>
    <row r="278" spans="12:13" x14ac:dyDescent="0.2">
      <c r="L278" s="1775"/>
      <c r="M278" s="1775"/>
    </row>
    <row r="279" spans="12:13" x14ac:dyDescent="0.2">
      <c r="L279" s="1775"/>
      <c r="M279" s="1775"/>
    </row>
    <row r="280" spans="12:13" x14ac:dyDescent="0.2">
      <c r="L280" s="1775"/>
      <c r="M280" s="1775"/>
    </row>
    <row r="281" spans="12:13" x14ac:dyDescent="0.2">
      <c r="L281" s="1775"/>
      <c r="M281" s="1775"/>
    </row>
    <row r="282" spans="12:13" x14ac:dyDescent="0.2">
      <c r="L282" s="1775"/>
      <c r="M282" s="1775"/>
    </row>
    <row r="283" spans="12:13" x14ac:dyDescent="0.2">
      <c r="L283" s="1775"/>
      <c r="M283" s="1775"/>
    </row>
    <row r="284" spans="12:13" x14ac:dyDescent="0.2">
      <c r="L284" s="1775"/>
      <c r="M284" s="1775"/>
    </row>
    <row r="285" spans="12:13" x14ac:dyDescent="0.2">
      <c r="L285" s="1775"/>
      <c r="M285" s="1775"/>
    </row>
    <row r="286" spans="12:13" x14ac:dyDescent="0.2">
      <c r="L286" s="1775"/>
      <c r="M286" s="1775"/>
    </row>
    <row r="287" spans="12:13" x14ac:dyDescent="0.2">
      <c r="L287" s="1775"/>
      <c r="M287" s="1775"/>
    </row>
    <row r="288" spans="12:13" x14ac:dyDescent="0.2">
      <c r="L288" s="1775"/>
      <c r="M288" s="1775"/>
    </row>
    <row r="289" spans="12:13" x14ac:dyDescent="0.2">
      <c r="L289" s="1775"/>
      <c r="M289" s="1775"/>
    </row>
    <row r="290" spans="12:13" x14ac:dyDescent="0.2">
      <c r="L290" s="1775"/>
      <c r="M290" s="1775"/>
    </row>
    <row r="291" spans="12:13" x14ac:dyDescent="0.2">
      <c r="L291" s="1775"/>
      <c r="M291" s="1775"/>
    </row>
    <row r="292" spans="12:13" x14ac:dyDescent="0.2">
      <c r="L292" s="1775"/>
      <c r="M292" s="1775"/>
    </row>
    <row r="293" spans="12:13" x14ac:dyDescent="0.2">
      <c r="L293" s="1775"/>
      <c r="M293" s="1775"/>
    </row>
    <row r="294" spans="12:13" x14ac:dyDescent="0.2">
      <c r="L294" s="1775"/>
      <c r="M294" s="1775"/>
    </row>
    <row r="295" spans="12:13" x14ac:dyDescent="0.2">
      <c r="L295" s="1775"/>
      <c r="M295" s="1775"/>
    </row>
    <row r="296" spans="12:13" x14ac:dyDescent="0.2">
      <c r="L296" s="1775"/>
      <c r="M296" s="1775"/>
    </row>
    <row r="297" spans="12:13" x14ac:dyDescent="0.2">
      <c r="L297" s="1775"/>
      <c r="M297" s="1775"/>
    </row>
    <row r="298" spans="12:13" x14ac:dyDescent="0.2">
      <c r="L298" s="1775"/>
      <c r="M298" s="1775"/>
    </row>
    <row r="299" spans="12:13" x14ac:dyDescent="0.2">
      <c r="L299" s="1775"/>
      <c r="M299" s="1775"/>
    </row>
    <row r="300" spans="12:13" x14ac:dyDescent="0.2">
      <c r="L300" s="1775"/>
      <c r="M300" s="1775"/>
    </row>
    <row r="301" spans="12:13" x14ac:dyDescent="0.2">
      <c r="L301" s="1775"/>
      <c r="M301" s="1775"/>
    </row>
    <row r="302" spans="12:13" x14ac:dyDescent="0.2">
      <c r="L302" s="1775"/>
      <c r="M302" s="1775"/>
    </row>
    <row r="303" spans="12:13" x14ac:dyDescent="0.2">
      <c r="L303" s="1775"/>
      <c r="M303" s="1775"/>
    </row>
    <row r="304" spans="12:13" x14ac:dyDescent="0.2">
      <c r="L304" s="1775"/>
      <c r="M304" s="1775"/>
    </row>
    <row r="305" spans="12:13" x14ac:dyDescent="0.2">
      <c r="L305" s="1775"/>
      <c r="M305" s="1775"/>
    </row>
    <row r="306" spans="12:13" x14ac:dyDescent="0.2">
      <c r="L306" s="1775"/>
      <c r="M306" s="1775"/>
    </row>
    <row r="307" spans="12:13" x14ac:dyDescent="0.2">
      <c r="L307" s="1775"/>
      <c r="M307" s="1775"/>
    </row>
    <row r="308" spans="12:13" x14ac:dyDescent="0.2">
      <c r="L308" s="1775"/>
      <c r="M308" s="1775"/>
    </row>
    <row r="309" spans="12:13" x14ac:dyDescent="0.2">
      <c r="L309" s="1775"/>
      <c r="M309" s="1775"/>
    </row>
    <row r="310" spans="12:13" x14ac:dyDescent="0.2">
      <c r="L310" s="1775"/>
      <c r="M310" s="1775"/>
    </row>
    <row r="311" spans="12:13" x14ac:dyDescent="0.2">
      <c r="L311" s="1775"/>
      <c r="M311" s="1775"/>
    </row>
    <row r="312" spans="12:13" x14ac:dyDescent="0.2">
      <c r="L312" s="1775"/>
      <c r="M312" s="1775"/>
    </row>
    <row r="313" spans="12:13" x14ac:dyDescent="0.2">
      <c r="L313" s="1775"/>
      <c r="M313" s="1775"/>
    </row>
    <row r="314" spans="12:13" x14ac:dyDescent="0.2">
      <c r="L314" s="1775"/>
      <c r="M314" s="1775"/>
    </row>
    <row r="315" spans="12:13" x14ac:dyDescent="0.2">
      <c r="L315" s="1775"/>
      <c r="M315" s="1775"/>
    </row>
    <row r="316" spans="12:13" x14ac:dyDescent="0.2">
      <c r="L316" s="1775"/>
      <c r="M316" s="1775"/>
    </row>
    <row r="317" spans="12:13" x14ac:dyDescent="0.2">
      <c r="L317" s="1775"/>
      <c r="M317" s="1775"/>
    </row>
    <row r="318" spans="12:13" x14ac:dyDescent="0.2">
      <c r="L318" s="1775"/>
      <c r="M318" s="1775"/>
    </row>
    <row r="319" spans="12:13" x14ac:dyDescent="0.2">
      <c r="L319" s="1775"/>
      <c r="M319" s="1775"/>
    </row>
    <row r="320" spans="12:13" x14ac:dyDescent="0.2">
      <c r="L320" s="1775"/>
      <c r="M320" s="1775"/>
    </row>
    <row r="321" spans="12:13" x14ac:dyDescent="0.2">
      <c r="L321" s="1775"/>
      <c r="M321" s="1775"/>
    </row>
    <row r="322" spans="12:13" x14ac:dyDescent="0.2">
      <c r="L322" s="1775"/>
      <c r="M322" s="1775"/>
    </row>
    <row r="323" spans="12:13" x14ac:dyDescent="0.2">
      <c r="L323" s="1775"/>
      <c r="M323" s="1775"/>
    </row>
    <row r="324" spans="12:13" x14ac:dyDescent="0.2">
      <c r="L324" s="1775"/>
      <c r="M324" s="1775"/>
    </row>
    <row r="325" spans="12:13" x14ac:dyDescent="0.2">
      <c r="L325" s="1775"/>
      <c r="M325" s="1775"/>
    </row>
    <row r="326" spans="12:13" x14ac:dyDescent="0.2">
      <c r="L326" s="1775"/>
      <c r="M326" s="1775"/>
    </row>
    <row r="327" spans="12:13" x14ac:dyDescent="0.2">
      <c r="L327" s="1775"/>
      <c r="M327" s="1775"/>
    </row>
    <row r="328" spans="12:13" x14ac:dyDescent="0.2">
      <c r="L328" s="1775"/>
      <c r="M328" s="1775"/>
    </row>
    <row r="329" spans="12:13" x14ac:dyDescent="0.2">
      <c r="L329" s="1775"/>
      <c r="M329" s="1775"/>
    </row>
    <row r="330" spans="12:13" x14ac:dyDescent="0.2">
      <c r="L330" s="1775"/>
      <c r="M330" s="1775"/>
    </row>
    <row r="331" spans="12:13" x14ac:dyDescent="0.2">
      <c r="L331" s="1775"/>
      <c r="M331" s="1775"/>
    </row>
    <row r="332" spans="12:13" x14ac:dyDescent="0.2">
      <c r="L332" s="1775"/>
      <c r="M332" s="1775"/>
    </row>
    <row r="333" spans="12:13" x14ac:dyDescent="0.2">
      <c r="L333" s="1775"/>
      <c r="M333" s="1775"/>
    </row>
    <row r="334" spans="12:13" x14ac:dyDescent="0.2">
      <c r="L334" s="1775"/>
      <c r="M334" s="1775"/>
    </row>
    <row r="335" spans="12:13" x14ac:dyDescent="0.2">
      <c r="L335" s="1775"/>
      <c r="M335" s="1775"/>
    </row>
    <row r="336" spans="12:13" x14ac:dyDescent="0.2">
      <c r="L336" s="1775"/>
      <c r="M336" s="1775"/>
    </row>
    <row r="337" spans="12:13" x14ac:dyDescent="0.2">
      <c r="L337" s="1775"/>
      <c r="M337" s="1775"/>
    </row>
    <row r="338" spans="12:13" x14ac:dyDescent="0.2">
      <c r="L338" s="1775"/>
      <c r="M338" s="1775"/>
    </row>
    <row r="339" spans="12:13" x14ac:dyDescent="0.2">
      <c r="L339" s="1775"/>
      <c r="M339" s="1775"/>
    </row>
    <row r="340" spans="12:13" x14ac:dyDescent="0.2">
      <c r="L340" s="1775"/>
      <c r="M340" s="1775"/>
    </row>
    <row r="341" spans="12:13" x14ac:dyDescent="0.2">
      <c r="L341" s="1775"/>
      <c r="M341" s="1775"/>
    </row>
    <row r="342" spans="12:13" x14ac:dyDescent="0.2">
      <c r="L342" s="1775"/>
      <c r="M342" s="1775"/>
    </row>
    <row r="343" spans="12:13" x14ac:dyDescent="0.2">
      <c r="L343" s="1775"/>
      <c r="M343" s="1775"/>
    </row>
    <row r="344" spans="12:13" x14ac:dyDescent="0.2">
      <c r="L344" s="1775"/>
      <c r="M344" s="1775"/>
    </row>
    <row r="345" spans="12:13" x14ac:dyDescent="0.2">
      <c r="L345" s="1775"/>
      <c r="M345" s="1775"/>
    </row>
    <row r="346" spans="12:13" x14ac:dyDescent="0.2">
      <c r="L346" s="1775"/>
      <c r="M346" s="1775"/>
    </row>
    <row r="347" spans="12:13" x14ac:dyDescent="0.2">
      <c r="L347" s="1775"/>
      <c r="M347" s="1775"/>
    </row>
    <row r="348" spans="12:13" x14ac:dyDescent="0.2">
      <c r="L348" s="1775"/>
      <c r="M348" s="1775"/>
    </row>
    <row r="349" spans="12:13" x14ac:dyDescent="0.2">
      <c r="L349" s="1775"/>
      <c r="M349" s="1775"/>
    </row>
    <row r="350" spans="12:13" x14ac:dyDescent="0.2">
      <c r="L350" s="1775"/>
      <c r="M350" s="1775"/>
    </row>
    <row r="351" spans="12:13" x14ac:dyDescent="0.2">
      <c r="L351" s="1775"/>
      <c r="M351" s="1775"/>
    </row>
    <row r="352" spans="12:13" x14ac:dyDescent="0.2">
      <c r="L352" s="1775"/>
      <c r="M352" s="1775"/>
    </row>
    <row r="353" spans="12:13" x14ac:dyDescent="0.2">
      <c r="L353" s="1775"/>
      <c r="M353" s="1775"/>
    </row>
    <row r="354" spans="12:13" x14ac:dyDescent="0.2">
      <c r="L354" s="1775"/>
      <c r="M354" s="1775"/>
    </row>
    <row r="355" spans="12:13" x14ac:dyDescent="0.2">
      <c r="L355" s="1775"/>
      <c r="M355" s="1775"/>
    </row>
    <row r="356" spans="12:13" x14ac:dyDescent="0.2">
      <c r="L356" s="1775"/>
      <c r="M356" s="1775"/>
    </row>
    <row r="357" spans="12:13" x14ac:dyDescent="0.2">
      <c r="L357" s="1775"/>
      <c r="M357" s="1775"/>
    </row>
    <row r="358" spans="12:13" x14ac:dyDescent="0.2">
      <c r="L358" s="1775"/>
      <c r="M358" s="1775"/>
    </row>
    <row r="359" spans="12:13" x14ac:dyDescent="0.2">
      <c r="L359" s="1775"/>
      <c r="M359" s="1775"/>
    </row>
    <row r="360" spans="12:13" x14ac:dyDescent="0.2">
      <c r="L360" s="1775"/>
      <c r="M360" s="1775"/>
    </row>
    <row r="361" spans="12:13" x14ac:dyDescent="0.2">
      <c r="L361" s="1775"/>
      <c r="M361" s="1775"/>
    </row>
    <row r="362" spans="12:13" x14ac:dyDescent="0.2">
      <c r="L362" s="1775"/>
      <c r="M362" s="1775"/>
    </row>
    <row r="363" spans="12:13" x14ac:dyDescent="0.2">
      <c r="L363" s="1775"/>
      <c r="M363" s="1775"/>
    </row>
    <row r="364" spans="12:13" x14ac:dyDescent="0.2">
      <c r="L364" s="1775"/>
      <c r="M364" s="1775"/>
    </row>
    <row r="365" spans="12:13" x14ac:dyDescent="0.2">
      <c r="L365" s="1775"/>
      <c r="M365" s="1775"/>
    </row>
    <row r="366" spans="12:13" x14ac:dyDescent="0.2">
      <c r="L366" s="1775"/>
      <c r="M366" s="1775"/>
    </row>
    <row r="367" spans="12:13" x14ac:dyDescent="0.2">
      <c r="L367" s="1775"/>
      <c r="M367" s="1775"/>
    </row>
    <row r="368" spans="12:13" x14ac:dyDescent="0.2">
      <c r="L368" s="1775"/>
      <c r="M368" s="1775"/>
    </row>
    <row r="369" spans="12:13" x14ac:dyDescent="0.2">
      <c r="L369" s="1775"/>
      <c r="M369" s="1775"/>
    </row>
    <row r="370" spans="12:13" x14ac:dyDescent="0.2">
      <c r="L370" s="1775"/>
      <c r="M370" s="1775"/>
    </row>
    <row r="371" spans="12:13" x14ac:dyDescent="0.2">
      <c r="L371" s="1775"/>
      <c r="M371" s="1775"/>
    </row>
    <row r="372" spans="12:13" x14ac:dyDescent="0.2">
      <c r="L372" s="1775"/>
      <c r="M372" s="1775"/>
    </row>
    <row r="373" spans="12:13" x14ac:dyDescent="0.2">
      <c r="L373" s="1775"/>
      <c r="M373" s="1775"/>
    </row>
    <row r="374" spans="12:13" x14ac:dyDescent="0.2">
      <c r="L374" s="1775"/>
      <c r="M374" s="1775"/>
    </row>
    <row r="375" spans="12:13" x14ac:dyDescent="0.2">
      <c r="L375" s="1775"/>
      <c r="M375" s="1775"/>
    </row>
    <row r="376" spans="12:13" x14ac:dyDescent="0.2">
      <c r="L376" s="1775"/>
      <c r="M376" s="1775"/>
    </row>
    <row r="377" spans="12:13" x14ac:dyDescent="0.2">
      <c r="L377" s="1775"/>
      <c r="M377" s="1775"/>
    </row>
    <row r="378" spans="12:13" x14ac:dyDescent="0.2">
      <c r="L378" s="1775"/>
      <c r="M378" s="1775"/>
    </row>
    <row r="379" spans="12:13" x14ac:dyDescent="0.2">
      <c r="L379" s="1775"/>
      <c r="M379" s="1775"/>
    </row>
    <row r="380" spans="12:13" x14ac:dyDescent="0.2">
      <c r="L380" s="1775"/>
      <c r="M380" s="1775"/>
    </row>
    <row r="381" spans="12:13" x14ac:dyDescent="0.2">
      <c r="L381" s="1775"/>
      <c r="M381" s="1775"/>
    </row>
    <row r="382" spans="12:13" x14ac:dyDescent="0.2">
      <c r="L382" s="1775"/>
      <c r="M382" s="1775"/>
    </row>
    <row r="383" spans="12:13" x14ac:dyDescent="0.2">
      <c r="L383" s="1775"/>
      <c r="M383" s="1775"/>
    </row>
    <row r="384" spans="12:13" x14ac:dyDescent="0.2">
      <c r="L384" s="1775"/>
      <c r="M384" s="1775"/>
    </row>
    <row r="385" spans="12:13" x14ac:dyDescent="0.2">
      <c r="L385" s="1775"/>
      <c r="M385" s="1775"/>
    </row>
    <row r="386" spans="12:13" x14ac:dyDescent="0.2">
      <c r="L386" s="1775"/>
      <c r="M386" s="1775"/>
    </row>
    <row r="387" spans="12:13" x14ac:dyDescent="0.2">
      <c r="L387" s="1775"/>
      <c r="M387" s="1775"/>
    </row>
    <row r="388" spans="12:13" x14ac:dyDescent="0.2">
      <c r="L388" s="1775"/>
      <c r="M388" s="1775"/>
    </row>
    <row r="389" spans="12:13" x14ac:dyDescent="0.2">
      <c r="L389" s="1775"/>
      <c r="M389" s="1775"/>
    </row>
    <row r="390" spans="12:13" x14ac:dyDescent="0.2">
      <c r="L390" s="1775"/>
      <c r="M390" s="1775"/>
    </row>
    <row r="391" spans="12:13" x14ac:dyDescent="0.2">
      <c r="L391" s="1775"/>
      <c r="M391" s="1775"/>
    </row>
    <row r="392" spans="12:13" x14ac:dyDescent="0.2">
      <c r="L392" s="1775"/>
      <c r="M392" s="1775"/>
    </row>
    <row r="393" spans="12:13" x14ac:dyDescent="0.2">
      <c r="L393" s="1775"/>
      <c r="M393" s="1775"/>
    </row>
    <row r="394" spans="12:13" x14ac:dyDescent="0.2">
      <c r="L394" s="1775"/>
      <c r="M394" s="1775"/>
    </row>
    <row r="395" spans="12:13" x14ac:dyDescent="0.2">
      <c r="L395" s="1775"/>
      <c r="M395" s="1775"/>
    </row>
    <row r="396" spans="12:13" x14ac:dyDescent="0.2">
      <c r="L396" s="1775"/>
      <c r="M396" s="1775"/>
    </row>
    <row r="397" spans="12:13" x14ac:dyDescent="0.2">
      <c r="L397" s="1775"/>
      <c r="M397" s="1775"/>
    </row>
    <row r="398" spans="12:13" x14ac:dyDescent="0.2">
      <c r="L398" s="1775"/>
      <c r="M398" s="1775"/>
    </row>
    <row r="399" spans="12:13" x14ac:dyDescent="0.2">
      <c r="L399" s="1775"/>
      <c r="M399" s="1775"/>
    </row>
    <row r="400" spans="12:13" x14ac:dyDescent="0.2">
      <c r="L400" s="1775"/>
      <c r="M400" s="1775"/>
    </row>
    <row r="401" spans="12:13" x14ac:dyDescent="0.2">
      <c r="L401" s="1775"/>
      <c r="M401" s="1775"/>
    </row>
    <row r="402" spans="12:13" x14ac:dyDescent="0.2">
      <c r="L402" s="1775"/>
      <c r="M402" s="1775"/>
    </row>
    <row r="403" spans="12:13" x14ac:dyDescent="0.2">
      <c r="L403" s="1775"/>
      <c r="M403" s="1775"/>
    </row>
    <row r="404" spans="12:13" x14ac:dyDescent="0.2">
      <c r="L404" s="1775"/>
      <c r="M404" s="1775"/>
    </row>
    <row r="405" spans="12:13" x14ac:dyDescent="0.2">
      <c r="L405" s="1775"/>
      <c r="M405" s="1775"/>
    </row>
    <row r="406" spans="12:13" x14ac:dyDescent="0.2">
      <c r="L406" s="1775"/>
      <c r="M406" s="1775"/>
    </row>
    <row r="407" spans="12:13" x14ac:dyDescent="0.2">
      <c r="L407" s="1775"/>
      <c r="M407" s="1775"/>
    </row>
    <row r="408" spans="12:13" x14ac:dyDescent="0.2">
      <c r="L408" s="1775"/>
      <c r="M408" s="1775"/>
    </row>
    <row r="409" spans="12:13" x14ac:dyDescent="0.2">
      <c r="L409" s="1775"/>
      <c r="M409" s="1775"/>
    </row>
    <row r="410" spans="12:13" x14ac:dyDescent="0.2">
      <c r="L410" s="1775"/>
      <c r="M410" s="1775"/>
    </row>
    <row r="411" spans="12:13" x14ac:dyDescent="0.2">
      <c r="L411" s="1775"/>
      <c r="M411" s="1775"/>
    </row>
    <row r="412" spans="12:13" x14ac:dyDescent="0.2">
      <c r="L412" s="1775"/>
      <c r="M412" s="1775"/>
    </row>
    <row r="413" spans="12:13" x14ac:dyDescent="0.2">
      <c r="L413" s="1775"/>
      <c r="M413" s="1775"/>
    </row>
    <row r="414" spans="12:13" x14ac:dyDescent="0.2">
      <c r="L414" s="1775"/>
      <c r="M414" s="1775"/>
    </row>
    <row r="415" spans="12:13" x14ac:dyDescent="0.2">
      <c r="L415" s="1775"/>
      <c r="M415" s="1775"/>
    </row>
    <row r="416" spans="12:13" x14ac:dyDescent="0.2">
      <c r="L416" s="1775"/>
      <c r="M416" s="1775"/>
    </row>
    <row r="417" spans="12:13" x14ac:dyDescent="0.2">
      <c r="L417" s="1775"/>
      <c r="M417" s="1775"/>
    </row>
    <row r="418" spans="12:13" x14ac:dyDescent="0.2">
      <c r="L418" s="1775"/>
      <c r="M418" s="1775"/>
    </row>
    <row r="419" spans="12:13" x14ac:dyDescent="0.2">
      <c r="L419" s="1775"/>
      <c r="M419" s="1775"/>
    </row>
    <row r="420" spans="12:13" x14ac:dyDescent="0.2">
      <c r="L420" s="1775"/>
      <c r="M420" s="1775"/>
    </row>
    <row r="421" spans="12:13" x14ac:dyDescent="0.2">
      <c r="L421" s="1775"/>
      <c r="M421" s="1775"/>
    </row>
    <row r="422" spans="12:13" x14ac:dyDescent="0.2">
      <c r="L422" s="1775"/>
      <c r="M422" s="1775"/>
    </row>
    <row r="423" spans="12:13" x14ac:dyDescent="0.2">
      <c r="L423" s="1775"/>
      <c r="M423" s="1775"/>
    </row>
    <row r="424" spans="12:13" x14ac:dyDescent="0.2">
      <c r="L424" s="1775"/>
      <c r="M424" s="1775"/>
    </row>
    <row r="425" spans="12:13" x14ac:dyDescent="0.2">
      <c r="L425" s="1775"/>
      <c r="M425" s="1775"/>
    </row>
    <row r="426" spans="12:13" x14ac:dyDescent="0.2">
      <c r="L426" s="1775"/>
      <c r="M426" s="1775"/>
    </row>
    <row r="427" spans="12:13" x14ac:dyDescent="0.2">
      <c r="L427" s="1775"/>
      <c r="M427" s="1775"/>
    </row>
    <row r="428" spans="12:13" x14ac:dyDescent="0.2">
      <c r="L428" s="1775"/>
      <c r="M428" s="1775"/>
    </row>
    <row r="429" spans="12:13" x14ac:dyDescent="0.2">
      <c r="L429" s="1775"/>
      <c r="M429" s="1775"/>
    </row>
    <row r="430" spans="12:13" x14ac:dyDescent="0.2">
      <c r="L430" s="1775"/>
      <c r="M430" s="1775"/>
    </row>
    <row r="431" spans="12:13" x14ac:dyDescent="0.2">
      <c r="L431" s="1775"/>
      <c r="M431" s="1775"/>
    </row>
    <row r="432" spans="12:13" x14ac:dyDescent="0.2">
      <c r="L432" s="1775"/>
      <c r="M432" s="1775"/>
    </row>
    <row r="433" spans="12:13" x14ac:dyDescent="0.2">
      <c r="L433" s="1775"/>
      <c r="M433" s="1775"/>
    </row>
    <row r="434" spans="12:13" x14ac:dyDescent="0.2">
      <c r="L434" s="1775"/>
      <c r="M434" s="1775"/>
    </row>
    <row r="435" spans="12:13" x14ac:dyDescent="0.2">
      <c r="L435" s="1775"/>
      <c r="M435" s="1775"/>
    </row>
    <row r="436" spans="12:13" x14ac:dyDescent="0.2">
      <c r="L436" s="1775"/>
      <c r="M436" s="1775"/>
    </row>
    <row r="437" spans="12:13" x14ac:dyDescent="0.2">
      <c r="L437" s="1775"/>
      <c r="M437" s="1775"/>
    </row>
    <row r="438" spans="12:13" x14ac:dyDescent="0.2">
      <c r="L438" s="1775"/>
      <c r="M438" s="1775"/>
    </row>
    <row r="439" spans="12:13" x14ac:dyDescent="0.2">
      <c r="L439" s="1775"/>
      <c r="M439" s="1775"/>
    </row>
    <row r="440" spans="12:13" x14ac:dyDescent="0.2">
      <c r="L440" s="1775"/>
      <c r="M440" s="1775"/>
    </row>
    <row r="441" spans="12:13" x14ac:dyDescent="0.2">
      <c r="L441" s="1775"/>
      <c r="M441" s="1775"/>
    </row>
    <row r="442" spans="12:13" x14ac:dyDescent="0.2">
      <c r="L442" s="1775"/>
      <c r="M442" s="1775"/>
    </row>
    <row r="443" spans="12:13" x14ac:dyDescent="0.2">
      <c r="L443" s="1775"/>
      <c r="M443" s="1775"/>
    </row>
    <row r="444" spans="12:13" x14ac:dyDescent="0.2">
      <c r="L444" s="1775"/>
      <c r="M444" s="1775"/>
    </row>
    <row r="445" spans="12:13" x14ac:dyDescent="0.2">
      <c r="L445" s="1775"/>
      <c r="M445" s="1775"/>
    </row>
    <row r="446" spans="12:13" x14ac:dyDescent="0.2">
      <c r="L446" s="1775"/>
      <c r="M446" s="1775"/>
    </row>
    <row r="447" spans="12:13" x14ac:dyDescent="0.2">
      <c r="L447" s="1775"/>
      <c r="M447" s="1775"/>
    </row>
    <row r="448" spans="12:13" x14ac:dyDescent="0.2">
      <c r="L448" s="1775"/>
      <c r="M448" s="1775"/>
    </row>
    <row r="449" spans="12:13" x14ac:dyDescent="0.2">
      <c r="L449" s="1775"/>
      <c r="M449" s="1775"/>
    </row>
    <row r="450" spans="12:13" x14ac:dyDescent="0.2">
      <c r="L450" s="1775"/>
      <c r="M450" s="1775"/>
    </row>
    <row r="451" spans="12:13" x14ac:dyDescent="0.2">
      <c r="L451" s="1775"/>
      <c r="M451" s="1775"/>
    </row>
    <row r="452" spans="12:13" x14ac:dyDescent="0.2">
      <c r="L452" s="1775"/>
      <c r="M452" s="1775"/>
    </row>
    <row r="453" spans="12:13" x14ac:dyDescent="0.2">
      <c r="L453" s="1775"/>
      <c r="M453" s="1775"/>
    </row>
    <row r="454" spans="12:13" x14ac:dyDescent="0.2">
      <c r="L454" s="1775"/>
      <c r="M454" s="1775"/>
    </row>
    <row r="455" spans="12:13" x14ac:dyDescent="0.2">
      <c r="L455" s="1775"/>
      <c r="M455" s="1775"/>
    </row>
    <row r="456" spans="12:13" x14ac:dyDescent="0.2">
      <c r="L456" s="1775"/>
      <c r="M456" s="1775"/>
    </row>
    <row r="457" spans="12:13" x14ac:dyDescent="0.2">
      <c r="L457" s="1775"/>
      <c r="M457" s="1775"/>
    </row>
    <row r="458" spans="12:13" x14ac:dyDescent="0.2">
      <c r="L458" s="1775"/>
      <c r="M458" s="1775"/>
    </row>
    <row r="459" spans="12:13" x14ac:dyDescent="0.2">
      <c r="L459" s="1775"/>
      <c r="M459" s="1775"/>
    </row>
    <row r="460" spans="12:13" x14ac:dyDescent="0.2">
      <c r="L460" s="1775"/>
      <c r="M460" s="1775"/>
    </row>
    <row r="461" spans="12:13" x14ac:dyDescent="0.2">
      <c r="L461" s="1775"/>
      <c r="M461" s="1775"/>
    </row>
    <row r="462" spans="12:13" x14ac:dyDescent="0.2">
      <c r="L462" s="1775"/>
      <c r="M462" s="1775"/>
    </row>
    <row r="463" spans="12:13" x14ac:dyDescent="0.2">
      <c r="L463" s="1775"/>
      <c r="M463" s="1775"/>
    </row>
    <row r="464" spans="12:13" x14ac:dyDescent="0.2">
      <c r="L464" s="1775"/>
      <c r="M464" s="1775"/>
    </row>
    <row r="465" spans="12:13" x14ac:dyDescent="0.2">
      <c r="L465" s="1775"/>
      <c r="M465" s="1775"/>
    </row>
    <row r="466" spans="12:13" x14ac:dyDescent="0.2">
      <c r="L466" s="1775"/>
      <c r="M466" s="1775"/>
    </row>
    <row r="467" spans="12:13" x14ac:dyDescent="0.2">
      <c r="L467" s="1775"/>
      <c r="M467" s="1775"/>
    </row>
    <row r="468" spans="12:13" x14ac:dyDescent="0.2">
      <c r="L468" s="1775"/>
      <c r="M468" s="1775"/>
    </row>
    <row r="469" spans="12:13" x14ac:dyDescent="0.2">
      <c r="L469" s="1775"/>
      <c r="M469" s="1775"/>
    </row>
    <row r="470" spans="12:13" x14ac:dyDescent="0.2">
      <c r="L470" s="1775"/>
      <c r="M470" s="1775"/>
    </row>
    <row r="471" spans="12:13" x14ac:dyDescent="0.2">
      <c r="L471" s="1775"/>
      <c r="M471" s="1775"/>
    </row>
    <row r="472" spans="12:13" x14ac:dyDescent="0.2">
      <c r="L472" s="1775"/>
      <c r="M472" s="1775"/>
    </row>
    <row r="473" spans="12:13" x14ac:dyDescent="0.2">
      <c r="L473" s="1775"/>
      <c r="M473" s="1775"/>
    </row>
    <row r="474" spans="12:13" x14ac:dyDescent="0.2">
      <c r="L474" s="1775"/>
      <c r="M474" s="1775"/>
    </row>
    <row r="475" spans="12:13" x14ac:dyDescent="0.2">
      <c r="L475" s="1775"/>
      <c r="M475" s="1775"/>
    </row>
    <row r="476" spans="12:13" x14ac:dyDescent="0.2">
      <c r="L476" s="1775"/>
      <c r="M476" s="1775"/>
    </row>
    <row r="477" spans="12:13" x14ac:dyDescent="0.2">
      <c r="L477" s="1775"/>
      <c r="M477" s="1775"/>
    </row>
    <row r="478" spans="12:13" x14ac:dyDescent="0.2">
      <c r="L478" s="1775"/>
      <c r="M478" s="1775"/>
    </row>
    <row r="479" spans="12:13" x14ac:dyDescent="0.2">
      <c r="L479" s="1775"/>
      <c r="M479" s="1775"/>
    </row>
    <row r="480" spans="12:13" x14ac:dyDescent="0.2">
      <c r="L480" s="1775"/>
      <c r="M480" s="1775"/>
    </row>
    <row r="481" spans="12:13" x14ac:dyDescent="0.2">
      <c r="L481" s="1775"/>
      <c r="M481" s="1775"/>
    </row>
    <row r="482" spans="12:13" x14ac:dyDescent="0.2">
      <c r="L482" s="1775"/>
      <c r="M482" s="1775"/>
    </row>
    <row r="483" spans="12:13" x14ac:dyDescent="0.2">
      <c r="L483" s="1775"/>
      <c r="M483" s="1775"/>
    </row>
    <row r="484" spans="12:13" x14ac:dyDescent="0.2">
      <c r="L484" s="1775"/>
      <c r="M484" s="1775"/>
    </row>
    <row r="485" spans="12:13" x14ac:dyDescent="0.2">
      <c r="L485" s="1775"/>
      <c r="M485" s="1775"/>
    </row>
    <row r="486" spans="12:13" x14ac:dyDescent="0.2">
      <c r="L486" s="1775"/>
      <c r="M486" s="1775"/>
    </row>
    <row r="487" spans="12:13" x14ac:dyDescent="0.2">
      <c r="L487" s="1775"/>
      <c r="M487" s="1775"/>
    </row>
    <row r="488" spans="12:13" x14ac:dyDescent="0.2">
      <c r="L488" s="1775"/>
      <c r="M488" s="1775"/>
    </row>
    <row r="489" spans="12:13" x14ac:dyDescent="0.2">
      <c r="L489" s="1775"/>
      <c r="M489" s="1775"/>
    </row>
    <row r="490" spans="12:13" x14ac:dyDescent="0.2">
      <c r="L490" s="1775"/>
      <c r="M490" s="1775"/>
    </row>
    <row r="491" spans="12:13" x14ac:dyDescent="0.2">
      <c r="L491" s="1775"/>
      <c r="M491" s="1775"/>
    </row>
    <row r="492" spans="12:13" x14ac:dyDescent="0.2">
      <c r="L492" s="1775"/>
      <c r="M492" s="1775"/>
    </row>
    <row r="493" spans="12:13" x14ac:dyDescent="0.2">
      <c r="L493" s="1775"/>
      <c r="M493" s="1775"/>
    </row>
    <row r="494" spans="12:13" x14ac:dyDescent="0.2">
      <c r="L494" s="1775"/>
      <c r="M494" s="1775"/>
    </row>
    <row r="495" spans="12:13" x14ac:dyDescent="0.2">
      <c r="L495" s="1775"/>
      <c r="M495" s="1775"/>
    </row>
    <row r="496" spans="12:13" x14ac:dyDescent="0.2">
      <c r="L496" s="1775"/>
      <c r="M496" s="1775"/>
    </row>
    <row r="497" spans="12:13" x14ac:dyDescent="0.2">
      <c r="L497" s="1775"/>
      <c r="M497" s="1775"/>
    </row>
    <row r="498" spans="12:13" x14ac:dyDescent="0.2">
      <c r="L498" s="1775"/>
      <c r="M498" s="1775"/>
    </row>
    <row r="499" spans="12:13" x14ac:dyDescent="0.2">
      <c r="L499" s="1775"/>
      <c r="M499" s="1775"/>
    </row>
    <row r="500" spans="12:13" x14ac:dyDescent="0.2">
      <c r="L500" s="1775"/>
      <c r="M500" s="1775"/>
    </row>
    <row r="501" spans="12:13" x14ac:dyDescent="0.2">
      <c r="L501" s="1775"/>
      <c r="M501" s="1775"/>
    </row>
    <row r="502" spans="12:13" x14ac:dyDescent="0.2">
      <c r="L502" s="1775"/>
      <c r="M502" s="1775"/>
    </row>
    <row r="503" spans="12:13" x14ac:dyDescent="0.2">
      <c r="L503" s="1775"/>
      <c r="M503" s="1775"/>
    </row>
    <row r="504" spans="12:13" x14ac:dyDescent="0.2">
      <c r="L504" s="1775"/>
      <c r="M504" s="1775"/>
    </row>
    <row r="505" spans="12:13" x14ac:dyDescent="0.2">
      <c r="L505" s="1775"/>
      <c r="M505" s="1775"/>
    </row>
    <row r="506" spans="12:13" x14ac:dyDescent="0.2">
      <c r="L506" s="1775"/>
      <c r="M506" s="1775"/>
    </row>
    <row r="507" spans="12:13" x14ac:dyDescent="0.2">
      <c r="L507" s="1775"/>
      <c r="M507" s="1775"/>
    </row>
    <row r="508" spans="12:13" x14ac:dyDescent="0.2">
      <c r="L508" s="1775"/>
      <c r="M508" s="1775"/>
    </row>
    <row r="509" spans="12:13" x14ac:dyDescent="0.2">
      <c r="L509" s="1775"/>
      <c r="M509" s="1775"/>
    </row>
    <row r="510" spans="12:13" x14ac:dyDescent="0.2">
      <c r="L510" s="1775"/>
      <c r="M510" s="1775"/>
    </row>
    <row r="511" spans="12:13" x14ac:dyDescent="0.2">
      <c r="L511" s="1775"/>
      <c r="M511" s="1775"/>
    </row>
    <row r="512" spans="12:13" x14ac:dyDescent="0.2">
      <c r="L512" s="1775"/>
      <c r="M512" s="1775"/>
    </row>
    <row r="513" spans="12:13" x14ac:dyDescent="0.2">
      <c r="L513" s="1775"/>
      <c r="M513" s="1775"/>
    </row>
    <row r="514" spans="12:13" x14ac:dyDescent="0.2">
      <c r="L514" s="1775"/>
      <c r="M514" s="1775"/>
    </row>
    <row r="515" spans="12:13" x14ac:dyDescent="0.2">
      <c r="L515" s="1775"/>
      <c r="M515" s="1775"/>
    </row>
    <row r="516" spans="12:13" x14ac:dyDescent="0.2">
      <c r="L516" s="1775"/>
      <c r="M516" s="1775"/>
    </row>
    <row r="517" spans="12:13" x14ac:dyDescent="0.2">
      <c r="L517" s="1775"/>
      <c r="M517" s="1775"/>
    </row>
    <row r="518" spans="12:13" x14ac:dyDescent="0.2">
      <c r="L518" s="1775"/>
      <c r="M518" s="1775"/>
    </row>
    <row r="519" spans="12:13" x14ac:dyDescent="0.2">
      <c r="L519" s="1775"/>
      <c r="M519" s="1775"/>
    </row>
    <row r="520" spans="12:13" x14ac:dyDescent="0.2">
      <c r="L520" s="1775"/>
      <c r="M520" s="1775"/>
    </row>
    <row r="521" spans="12:13" x14ac:dyDescent="0.2">
      <c r="L521" s="1775"/>
      <c r="M521" s="1775"/>
    </row>
    <row r="522" spans="12:13" x14ac:dyDescent="0.2">
      <c r="L522" s="1775"/>
      <c r="M522" s="1775"/>
    </row>
    <row r="523" spans="12:13" x14ac:dyDescent="0.2">
      <c r="L523" s="1775"/>
      <c r="M523" s="1775"/>
    </row>
    <row r="524" spans="12:13" x14ac:dyDescent="0.2">
      <c r="L524" s="1775"/>
      <c r="M524" s="1775"/>
    </row>
    <row r="525" spans="12:13" x14ac:dyDescent="0.2">
      <c r="L525" s="1775"/>
      <c r="M525" s="1775"/>
    </row>
    <row r="526" spans="12:13" x14ac:dyDescent="0.2">
      <c r="L526" s="1775"/>
      <c r="M526" s="1775"/>
    </row>
    <row r="527" spans="12:13" x14ac:dyDescent="0.2">
      <c r="L527" s="1775"/>
      <c r="M527" s="1775"/>
    </row>
    <row r="528" spans="12:13" x14ac:dyDescent="0.2">
      <c r="L528" s="1775"/>
      <c r="M528" s="1775"/>
    </row>
    <row r="529" spans="12:13" x14ac:dyDescent="0.2">
      <c r="L529" s="1775"/>
      <c r="M529" s="1775"/>
    </row>
    <row r="530" spans="12:13" x14ac:dyDescent="0.2">
      <c r="L530" s="1775"/>
      <c r="M530" s="1775"/>
    </row>
    <row r="531" spans="12:13" x14ac:dyDescent="0.2">
      <c r="L531" s="1775"/>
      <c r="M531" s="1775"/>
    </row>
    <row r="532" spans="12:13" x14ac:dyDescent="0.2">
      <c r="L532" s="1775"/>
      <c r="M532" s="1775"/>
    </row>
    <row r="533" spans="12:13" x14ac:dyDescent="0.2">
      <c r="L533" s="1775"/>
      <c r="M533" s="1775"/>
    </row>
    <row r="534" spans="12:13" x14ac:dyDescent="0.2">
      <c r="L534" s="1775"/>
      <c r="M534" s="1775"/>
    </row>
    <row r="535" spans="12:13" x14ac:dyDescent="0.2">
      <c r="L535" s="1775"/>
      <c r="M535" s="1775"/>
    </row>
    <row r="536" spans="12:13" x14ac:dyDescent="0.2">
      <c r="L536" s="1775"/>
      <c r="M536" s="1775"/>
    </row>
    <row r="537" spans="12:13" x14ac:dyDescent="0.2">
      <c r="L537" s="1775"/>
      <c r="M537" s="1775"/>
    </row>
    <row r="538" spans="12:13" x14ac:dyDescent="0.2">
      <c r="L538" s="1775"/>
      <c r="M538" s="1775"/>
    </row>
    <row r="539" spans="12:13" x14ac:dyDescent="0.2">
      <c r="L539" s="1775"/>
      <c r="M539" s="1775"/>
    </row>
    <row r="540" spans="12:13" x14ac:dyDescent="0.2">
      <c r="L540" s="1775"/>
      <c r="M540" s="1775"/>
    </row>
    <row r="541" spans="12:13" x14ac:dyDescent="0.2">
      <c r="L541" s="1775"/>
      <c r="M541" s="1775"/>
    </row>
    <row r="542" spans="12:13" x14ac:dyDescent="0.2">
      <c r="L542" s="1775"/>
      <c r="M542" s="1775"/>
    </row>
    <row r="543" spans="12:13" x14ac:dyDescent="0.2">
      <c r="L543" s="1775"/>
      <c r="M543" s="1775"/>
    </row>
    <row r="544" spans="12:13" x14ac:dyDescent="0.2">
      <c r="L544" s="1775"/>
      <c r="M544" s="1775"/>
    </row>
    <row r="545" spans="12:13" x14ac:dyDescent="0.2">
      <c r="L545" s="1775"/>
      <c r="M545" s="1775"/>
    </row>
    <row r="546" spans="12:13" x14ac:dyDescent="0.2">
      <c r="L546" s="1775"/>
      <c r="M546" s="1775"/>
    </row>
    <row r="547" spans="12:13" x14ac:dyDescent="0.2">
      <c r="L547" s="1775"/>
      <c r="M547" s="1775"/>
    </row>
    <row r="548" spans="12:13" x14ac:dyDescent="0.2">
      <c r="L548" s="1775"/>
      <c r="M548" s="1775"/>
    </row>
    <row r="549" spans="12:13" x14ac:dyDescent="0.2">
      <c r="L549" s="1775"/>
      <c r="M549" s="1775"/>
    </row>
    <row r="550" spans="12:13" x14ac:dyDescent="0.2">
      <c r="L550" s="1775"/>
      <c r="M550" s="1775"/>
    </row>
    <row r="551" spans="12:13" x14ac:dyDescent="0.2">
      <c r="L551" s="1775"/>
      <c r="M551" s="1775"/>
    </row>
    <row r="552" spans="12:13" x14ac:dyDescent="0.2">
      <c r="L552" s="1775"/>
      <c r="M552" s="1775"/>
    </row>
    <row r="553" spans="12:13" x14ac:dyDescent="0.2">
      <c r="L553" s="1775"/>
      <c r="M553" s="1775"/>
    </row>
    <row r="554" spans="12:13" x14ac:dyDescent="0.2">
      <c r="L554" s="1775"/>
      <c r="M554" s="1775"/>
    </row>
    <row r="555" spans="12:13" x14ac:dyDescent="0.2">
      <c r="L555" s="1775"/>
      <c r="M555" s="1775"/>
    </row>
    <row r="556" spans="12:13" x14ac:dyDescent="0.2">
      <c r="L556" s="1775"/>
      <c r="M556" s="1775"/>
    </row>
    <row r="557" spans="12:13" x14ac:dyDescent="0.2">
      <c r="L557" s="1775"/>
      <c r="M557" s="1775"/>
    </row>
    <row r="558" spans="12:13" x14ac:dyDescent="0.2">
      <c r="L558" s="1775"/>
      <c r="M558" s="1775"/>
    </row>
    <row r="559" spans="12:13" x14ac:dyDescent="0.2">
      <c r="L559" s="1775"/>
      <c r="M559" s="1775"/>
    </row>
    <row r="560" spans="12:13" x14ac:dyDescent="0.2">
      <c r="L560" s="1775"/>
      <c r="M560" s="1775"/>
    </row>
    <row r="561" spans="12:13" x14ac:dyDescent="0.2">
      <c r="L561" s="1775"/>
      <c r="M561" s="1775"/>
    </row>
    <row r="562" spans="12:13" x14ac:dyDescent="0.2">
      <c r="L562" s="1775"/>
      <c r="M562" s="1775"/>
    </row>
    <row r="563" spans="12:13" x14ac:dyDescent="0.2">
      <c r="L563" s="1775"/>
      <c r="M563" s="1775"/>
    </row>
    <row r="564" spans="12:13" x14ac:dyDescent="0.2">
      <c r="L564" s="1775"/>
      <c r="M564" s="1775"/>
    </row>
    <row r="565" spans="12:13" x14ac:dyDescent="0.2">
      <c r="L565" s="1775"/>
      <c r="M565" s="1775"/>
    </row>
    <row r="566" spans="12:13" x14ac:dyDescent="0.2">
      <c r="L566" s="1775"/>
      <c r="M566" s="1775"/>
    </row>
    <row r="567" spans="12:13" x14ac:dyDescent="0.2">
      <c r="L567" s="1775"/>
      <c r="M567" s="1775"/>
    </row>
    <row r="568" spans="12:13" x14ac:dyDescent="0.2">
      <c r="L568" s="1775"/>
      <c r="M568" s="1775"/>
    </row>
    <row r="569" spans="12:13" x14ac:dyDescent="0.2">
      <c r="L569" s="1775"/>
      <c r="M569" s="1775"/>
    </row>
    <row r="570" spans="12:13" x14ac:dyDescent="0.2">
      <c r="L570" s="1775"/>
      <c r="M570" s="1775"/>
    </row>
    <row r="571" spans="12:13" x14ac:dyDescent="0.2">
      <c r="L571" s="1775"/>
      <c r="M571" s="1775"/>
    </row>
    <row r="572" spans="12:13" x14ac:dyDescent="0.2">
      <c r="L572" s="1775"/>
      <c r="M572" s="1775"/>
    </row>
    <row r="573" spans="12:13" x14ac:dyDescent="0.2">
      <c r="L573" s="1775"/>
      <c r="M573" s="1775"/>
    </row>
    <row r="574" spans="12:13" x14ac:dyDescent="0.2">
      <c r="L574" s="1775"/>
      <c r="M574" s="1775"/>
    </row>
    <row r="575" spans="12:13" x14ac:dyDescent="0.2">
      <c r="L575" s="1775"/>
      <c r="M575" s="1775"/>
    </row>
    <row r="576" spans="12:13" x14ac:dyDescent="0.2">
      <c r="L576" s="1775"/>
      <c r="M576" s="1775"/>
    </row>
    <row r="577" spans="12:13" x14ac:dyDescent="0.2">
      <c r="L577" s="1775"/>
      <c r="M577" s="1775"/>
    </row>
    <row r="578" spans="12:13" x14ac:dyDescent="0.2">
      <c r="L578" s="1775"/>
      <c r="M578" s="1775"/>
    </row>
    <row r="579" spans="12:13" x14ac:dyDescent="0.2">
      <c r="L579" s="1775"/>
      <c r="M579" s="1775"/>
    </row>
    <row r="580" spans="12:13" x14ac:dyDescent="0.2">
      <c r="L580" s="1775"/>
      <c r="M580" s="1775"/>
    </row>
    <row r="581" spans="12:13" x14ac:dyDescent="0.2">
      <c r="L581" s="1775"/>
      <c r="M581" s="1775"/>
    </row>
    <row r="582" spans="12:13" x14ac:dyDescent="0.2">
      <c r="L582" s="1775"/>
      <c r="M582" s="1775"/>
    </row>
    <row r="583" spans="12:13" x14ac:dyDescent="0.2">
      <c r="L583" s="1775"/>
      <c r="M583" s="1775"/>
    </row>
    <row r="584" spans="12:13" x14ac:dyDescent="0.2">
      <c r="L584" s="1775"/>
      <c r="M584" s="1775"/>
    </row>
    <row r="585" spans="12:13" x14ac:dyDescent="0.2">
      <c r="L585" s="1775"/>
      <c r="M585" s="1775"/>
    </row>
    <row r="586" spans="12:13" x14ac:dyDescent="0.2">
      <c r="L586" s="1775"/>
      <c r="M586" s="1775"/>
    </row>
    <row r="587" spans="12:13" x14ac:dyDescent="0.2">
      <c r="L587" s="1775"/>
      <c r="M587" s="1775"/>
    </row>
    <row r="588" spans="12:13" x14ac:dyDescent="0.2">
      <c r="L588" s="1775"/>
      <c r="M588" s="1775"/>
    </row>
    <row r="589" spans="12:13" x14ac:dyDescent="0.2">
      <c r="L589" s="1775"/>
      <c r="M589" s="1775"/>
    </row>
    <row r="590" spans="12:13" x14ac:dyDescent="0.2">
      <c r="L590" s="1775"/>
      <c r="M590" s="1775"/>
    </row>
    <row r="591" spans="12:13" x14ac:dyDescent="0.2">
      <c r="L591" s="1775"/>
      <c r="M591" s="1775"/>
    </row>
    <row r="592" spans="12:13" x14ac:dyDescent="0.2">
      <c r="L592" s="1775"/>
      <c r="M592" s="1775"/>
    </row>
    <row r="593" spans="12:13" x14ac:dyDescent="0.2">
      <c r="L593" s="1775"/>
      <c r="M593" s="1775"/>
    </row>
    <row r="594" spans="12:13" x14ac:dyDescent="0.2">
      <c r="L594" s="1775"/>
      <c r="M594" s="1775"/>
    </row>
    <row r="595" spans="12:13" x14ac:dyDescent="0.2">
      <c r="L595" s="1775"/>
      <c r="M595" s="1775"/>
    </row>
    <row r="596" spans="12:13" x14ac:dyDescent="0.2">
      <c r="L596" s="1775"/>
      <c r="M596" s="1775"/>
    </row>
    <row r="597" spans="12:13" x14ac:dyDescent="0.2">
      <c r="L597" s="1775"/>
      <c r="M597" s="1775"/>
    </row>
    <row r="598" spans="12:13" x14ac:dyDescent="0.2">
      <c r="L598" s="1775"/>
      <c r="M598" s="1775"/>
    </row>
    <row r="599" spans="12:13" x14ac:dyDescent="0.2">
      <c r="L599" s="1775"/>
      <c r="M599" s="1775"/>
    </row>
    <row r="600" spans="12:13" x14ac:dyDescent="0.2">
      <c r="L600" s="1775"/>
      <c r="M600" s="1775"/>
    </row>
    <row r="601" spans="12:13" x14ac:dyDescent="0.2">
      <c r="L601" s="1775"/>
      <c r="M601" s="1775"/>
    </row>
    <row r="602" spans="12:13" x14ac:dyDescent="0.2">
      <c r="L602" s="1775"/>
      <c r="M602" s="1775"/>
    </row>
    <row r="603" spans="12:13" x14ac:dyDescent="0.2">
      <c r="L603" s="1775"/>
      <c r="M603" s="1775"/>
    </row>
    <row r="604" spans="12:13" x14ac:dyDescent="0.2">
      <c r="L604" s="1775"/>
      <c r="M604" s="1775"/>
    </row>
    <row r="605" spans="12:13" x14ac:dyDescent="0.2">
      <c r="L605" s="1775"/>
      <c r="M605" s="1775"/>
    </row>
    <row r="606" spans="12:13" x14ac:dyDescent="0.2">
      <c r="L606" s="1775"/>
      <c r="M606" s="1775"/>
    </row>
    <row r="607" spans="12:13" x14ac:dyDescent="0.2">
      <c r="L607" s="1775"/>
      <c r="M607" s="1775"/>
    </row>
    <row r="608" spans="12:13" x14ac:dyDescent="0.2">
      <c r="L608" s="1775"/>
      <c r="M608" s="1775"/>
    </row>
    <row r="609" spans="12:13" x14ac:dyDescent="0.2">
      <c r="L609" s="1775"/>
      <c r="M609" s="1775"/>
    </row>
    <row r="610" spans="12:13" x14ac:dyDescent="0.2">
      <c r="L610" s="1775"/>
      <c r="M610" s="1775"/>
    </row>
    <row r="611" spans="12:13" x14ac:dyDescent="0.2">
      <c r="L611" s="1775"/>
      <c r="M611" s="1775"/>
    </row>
    <row r="612" spans="12:13" x14ac:dyDescent="0.2">
      <c r="L612" s="1775"/>
      <c r="M612" s="1775"/>
    </row>
    <row r="613" spans="12:13" x14ac:dyDescent="0.2">
      <c r="L613" s="1775"/>
      <c r="M613" s="1775"/>
    </row>
    <row r="614" spans="12:13" x14ac:dyDescent="0.2">
      <c r="L614" s="1775"/>
      <c r="M614" s="1775"/>
    </row>
    <row r="615" spans="12:13" x14ac:dyDescent="0.2">
      <c r="L615" s="1775"/>
      <c r="M615" s="1775"/>
    </row>
    <row r="616" spans="12:13" x14ac:dyDescent="0.2">
      <c r="L616" s="1775"/>
      <c r="M616" s="1775"/>
    </row>
    <row r="617" spans="12:13" x14ac:dyDescent="0.2">
      <c r="L617" s="1775"/>
      <c r="M617" s="1775"/>
    </row>
    <row r="618" spans="12:13" x14ac:dyDescent="0.2">
      <c r="L618" s="1775"/>
      <c r="M618" s="1775"/>
    </row>
    <row r="619" spans="12:13" x14ac:dyDescent="0.2">
      <c r="L619" s="1775"/>
      <c r="M619" s="1775"/>
    </row>
    <row r="620" spans="12:13" x14ac:dyDescent="0.2">
      <c r="L620" s="1775"/>
      <c r="M620" s="1775"/>
    </row>
    <row r="621" spans="12:13" x14ac:dyDescent="0.2">
      <c r="L621" s="1775"/>
      <c r="M621" s="1775"/>
    </row>
    <row r="622" spans="12:13" x14ac:dyDescent="0.2">
      <c r="L622" s="1775"/>
      <c r="M622" s="1775"/>
    </row>
    <row r="623" spans="12:13" x14ac:dyDescent="0.2">
      <c r="L623" s="1775"/>
      <c r="M623" s="1775"/>
    </row>
    <row r="624" spans="12:13" x14ac:dyDescent="0.2">
      <c r="L624" s="1775"/>
      <c r="M624" s="1775"/>
    </row>
    <row r="625" spans="12:13" x14ac:dyDescent="0.2">
      <c r="L625" s="1775"/>
      <c r="M625" s="1775"/>
    </row>
    <row r="626" spans="12:13" x14ac:dyDescent="0.2">
      <c r="L626" s="1775"/>
      <c r="M626" s="1775"/>
    </row>
    <row r="627" spans="12:13" x14ac:dyDescent="0.2">
      <c r="L627" s="1775"/>
      <c r="M627" s="1775"/>
    </row>
    <row r="628" spans="12:13" x14ac:dyDescent="0.2">
      <c r="L628" s="1775"/>
      <c r="M628" s="1775"/>
    </row>
    <row r="629" spans="12:13" x14ac:dyDescent="0.2">
      <c r="L629" s="1775"/>
      <c r="M629" s="1775"/>
    </row>
    <row r="630" spans="12:13" x14ac:dyDescent="0.2">
      <c r="L630" s="1775"/>
      <c r="M630" s="1775"/>
    </row>
    <row r="631" spans="12:13" x14ac:dyDescent="0.2">
      <c r="L631" s="1775"/>
      <c r="M631" s="1775"/>
    </row>
    <row r="632" spans="12:13" x14ac:dyDescent="0.2">
      <c r="L632" s="1775"/>
      <c r="M632" s="1775"/>
    </row>
    <row r="633" spans="12:13" x14ac:dyDescent="0.2">
      <c r="L633" s="1775"/>
      <c r="M633" s="1775"/>
    </row>
    <row r="634" spans="12:13" x14ac:dyDescent="0.2">
      <c r="L634" s="1775"/>
      <c r="M634" s="1775"/>
    </row>
    <row r="635" spans="12:13" x14ac:dyDescent="0.2">
      <c r="L635" s="1775"/>
      <c r="M635" s="1775"/>
    </row>
    <row r="636" spans="12:13" x14ac:dyDescent="0.2">
      <c r="L636" s="1775"/>
      <c r="M636" s="1775"/>
    </row>
    <row r="637" spans="12:13" x14ac:dyDescent="0.2">
      <c r="L637" s="1775"/>
      <c r="M637" s="1775"/>
    </row>
    <row r="638" spans="12:13" x14ac:dyDescent="0.2">
      <c r="L638" s="1775"/>
      <c r="M638" s="1775"/>
    </row>
    <row r="639" spans="12:13" x14ac:dyDescent="0.2">
      <c r="L639" s="1775"/>
      <c r="M639" s="1775"/>
    </row>
    <row r="640" spans="12:13" x14ac:dyDescent="0.2">
      <c r="L640" s="1775"/>
      <c r="M640" s="1775"/>
    </row>
    <row r="641" spans="12:13" x14ac:dyDescent="0.2">
      <c r="L641" s="1775"/>
      <c r="M641" s="1775"/>
    </row>
    <row r="642" spans="12:13" x14ac:dyDescent="0.2">
      <c r="L642" s="1775"/>
      <c r="M642" s="1775"/>
    </row>
    <row r="643" spans="12:13" x14ac:dyDescent="0.2">
      <c r="L643" s="1775"/>
      <c r="M643" s="1775"/>
    </row>
    <row r="644" spans="12:13" x14ac:dyDescent="0.2">
      <c r="L644" s="1775"/>
      <c r="M644" s="1775"/>
    </row>
    <row r="645" spans="12:13" x14ac:dyDescent="0.2">
      <c r="L645" s="1775"/>
      <c r="M645" s="1775"/>
    </row>
    <row r="646" spans="12:13" x14ac:dyDescent="0.2">
      <c r="L646" s="1775"/>
      <c r="M646" s="1775"/>
    </row>
    <row r="647" spans="12:13" x14ac:dyDescent="0.2">
      <c r="L647" s="1775"/>
      <c r="M647" s="1775"/>
    </row>
    <row r="648" spans="12:13" x14ac:dyDescent="0.2">
      <c r="L648" s="1775"/>
      <c r="M648" s="1775"/>
    </row>
    <row r="649" spans="12:13" x14ac:dyDescent="0.2">
      <c r="L649" s="1775"/>
      <c r="M649" s="1775"/>
    </row>
    <row r="650" spans="12:13" x14ac:dyDescent="0.2">
      <c r="L650" s="1775"/>
      <c r="M650" s="1775"/>
    </row>
    <row r="651" spans="12:13" x14ac:dyDescent="0.2">
      <c r="L651" s="1775"/>
      <c r="M651" s="1775"/>
    </row>
    <row r="652" spans="12:13" x14ac:dyDescent="0.2">
      <c r="L652" s="1775"/>
      <c r="M652" s="1775"/>
    </row>
    <row r="653" spans="12:13" x14ac:dyDescent="0.2">
      <c r="L653" s="1775"/>
      <c r="M653" s="1775"/>
    </row>
    <row r="654" spans="12:13" x14ac:dyDescent="0.2">
      <c r="L654" s="1775"/>
      <c r="M654" s="1775"/>
    </row>
    <row r="655" spans="12:13" x14ac:dyDescent="0.2">
      <c r="L655" s="1775"/>
      <c r="M655" s="1775"/>
    </row>
    <row r="656" spans="12:13" x14ac:dyDescent="0.2">
      <c r="L656" s="1775"/>
      <c r="M656" s="1775"/>
    </row>
    <row r="657" spans="12:13" x14ac:dyDescent="0.2">
      <c r="L657" s="1775"/>
      <c r="M657" s="1775"/>
    </row>
    <row r="658" spans="12:13" x14ac:dyDescent="0.2">
      <c r="L658" s="1775"/>
      <c r="M658" s="1775"/>
    </row>
    <row r="659" spans="12:13" x14ac:dyDescent="0.2">
      <c r="L659" s="1775"/>
      <c r="M659" s="1775"/>
    </row>
    <row r="660" spans="12:13" x14ac:dyDescent="0.2">
      <c r="L660" s="1775"/>
      <c r="M660" s="1775"/>
    </row>
    <row r="661" spans="12:13" x14ac:dyDescent="0.2">
      <c r="L661" s="1775"/>
      <c r="M661" s="1775"/>
    </row>
    <row r="662" spans="12:13" x14ac:dyDescent="0.2">
      <c r="L662" s="1775"/>
      <c r="M662" s="1775"/>
    </row>
    <row r="663" spans="12:13" x14ac:dyDescent="0.2">
      <c r="L663" s="1775"/>
      <c r="M663" s="1775"/>
    </row>
    <row r="664" spans="12:13" x14ac:dyDescent="0.2">
      <c r="L664" s="1775"/>
      <c r="M664" s="1775"/>
    </row>
    <row r="665" spans="12:13" x14ac:dyDescent="0.2">
      <c r="L665" s="1775"/>
      <c r="M665" s="1775"/>
    </row>
    <row r="666" spans="12:13" x14ac:dyDescent="0.2">
      <c r="L666" s="1775"/>
      <c r="M666" s="1775"/>
    </row>
    <row r="667" spans="12:13" x14ac:dyDescent="0.2">
      <c r="L667" s="1775"/>
      <c r="M667" s="1775"/>
    </row>
    <row r="668" spans="12:13" x14ac:dyDescent="0.2">
      <c r="L668" s="1775"/>
      <c r="M668" s="1775"/>
    </row>
    <row r="669" spans="12:13" x14ac:dyDescent="0.2">
      <c r="L669" s="1775"/>
      <c r="M669" s="1775"/>
    </row>
    <row r="670" spans="12:13" x14ac:dyDescent="0.2">
      <c r="L670" s="1775"/>
      <c r="M670" s="1775"/>
    </row>
    <row r="671" spans="12:13" x14ac:dyDescent="0.2">
      <c r="L671" s="1775"/>
      <c r="M671" s="1775"/>
    </row>
    <row r="672" spans="12:13" x14ac:dyDescent="0.2">
      <c r="L672" s="1775"/>
      <c r="M672" s="1775"/>
    </row>
    <row r="673" spans="12:13" x14ac:dyDescent="0.2">
      <c r="L673" s="1775"/>
      <c r="M673" s="1775"/>
    </row>
    <row r="674" spans="12:13" x14ac:dyDescent="0.2">
      <c r="L674" s="1775"/>
      <c r="M674" s="1775"/>
    </row>
    <row r="675" spans="12:13" x14ac:dyDescent="0.2">
      <c r="L675" s="1775"/>
      <c r="M675" s="1775"/>
    </row>
    <row r="676" spans="12:13" x14ac:dyDescent="0.2">
      <c r="L676" s="1775"/>
      <c r="M676" s="1775"/>
    </row>
    <row r="677" spans="12:13" x14ac:dyDescent="0.2">
      <c r="L677" s="1775"/>
      <c r="M677" s="1775"/>
    </row>
    <row r="678" spans="12:13" x14ac:dyDescent="0.2">
      <c r="L678" s="1775"/>
      <c r="M678" s="1775"/>
    </row>
    <row r="679" spans="12:13" x14ac:dyDescent="0.2">
      <c r="L679" s="1775"/>
      <c r="M679" s="1775"/>
    </row>
    <row r="680" spans="12:13" x14ac:dyDescent="0.2">
      <c r="L680" s="1775"/>
      <c r="M680" s="1775"/>
    </row>
    <row r="681" spans="12:13" x14ac:dyDescent="0.2">
      <c r="L681" s="1775"/>
      <c r="M681" s="1775"/>
    </row>
    <row r="682" spans="12:13" x14ac:dyDescent="0.2">
      <c r="L682" s="1775"/>
      <c r="M682" s="1775"/>
    </row>
    <row r="683" spans="12:13" x14ac:dyDescent="0.2">
      <c r="L683" s="1775"/>
      <c r="M683" s="1775"/>
    </row>
    <row r="684" spans="12:13" x14ac:dyDescent="0.2">
      <c r="L684" s="1775"/>
      <c r="M684" s="1775"/>
    </row>
    <row r="685" spans="12:13" x14ac:dyDescent="0.2">
      <c r="L685" s="1775"/>
      <c r="M685" s="1775"/>
    </row>
    <row r="686" spans="12:13" x14ac:dyDescent="0.2">
      <c r="L686" s="1775"/>
      <c r="M686" s="1775"/>
    </row>
    <row r="687" spans="12:13" x14ac:dyDescent="0.2">
      <c r="L687" s="1775"/>
      <c r="M687" s="1775"/>
    </row>
  </sheetData>
  <sheetProtection password="C4B9" sheet="1" objects="1" scenarios="1" formatCells="0" formatColumns="0" formatRows="0"/>
  <customSheetViews>
    <customSheetView guid="{B8E02330-2419-4DE6-AD01-7ACC7A5D18DD}" topLeftCell="A2">
      <selection activeCell="B157" sqref="B157:E157"/>
      <rowBreaks count="4" manualBreakCount="4">
        <brk id="36" max="5" man="1"/>
        <brk id="70" max="5" man="1"/>
        <brk id="109" max="16383" man="1"/>
        <brk id="148" max="16383" man="1"/>
      </rowBreaks>
      <pageMargins left="0.25" right="0.25" top="0.75" bottom="0.75" header="0.3" footer="0.3"/>
      <printOptions horizontalCentered="1"/>
      <pageSetup scale="75" orientation="portrait" r:id="rId1"/>
      <headerFooter alignWithMargins="0">
        <oddFooter>&amp;CWESPUS betaV1, by Dr. Paul Adamus</oddFooter>
      </headerFooter>
    </customSheetView>
  </customSheetViews>
  <mergeCells count="66">
    <mergeCell ref="A2:E2"/>
    <mergeCell ref="B62:D62"/>
    <mergeCell ref="B17:D17"/>
    <mergeCell ref="B13:E13"/>
    <mergeCell ref="B3:E3"/>
    <mergeCell ref="B6:E6"/>
    <mergeCell ref="B8:E8"/>
    <mergeCell ref="B9:E9"/>
    <mergeCell ref="B51:E51"/>
    <mergeCell ref="B52:E52"/>
    <mergeCell ref="B35:E35"/>
    <mergeCell ref="B38:E38"/>
    <mergeCell ref="B55:E55"/>
    <mergeCell ref="B39:E39"/>
    <mergeCell ref="B36:E36"/>
    <mergeCell ref="B34:E34"/>
    <mergeCell ref="G3:G17"/>
    <mergeCell ref="G18:G32"/>
    <mergeCell ref="G33:G45"/>
    <mergeCell ref="A33:A45"/>
    <mergeCell ref="B81:D81"/>
    <mergeCell ref="A18:A32"/>
    <mergeCell ref="B26:E26"/>
    <mergeCell ref="A3:A17"/>
    <mergeCell ref="B20:E20"/>
    <mergeCell ref="B4:E4"/>
    <mergeCell ref="B16:E16"/>
    <mergeCell ref="B71:E71"/>
    <mergeCell ref="B24:E24"/>
    <mergeCell ref="B5:E5"/>
    <mergeCell ref="B7:E7"/>
    <mergeCell ref="B18:E18"/>
    <mergeCell ref="B80:E80"/>
    <mergeCell ref="B70:E70"/>
    <mergeCell ref="B66:E66"/>
    <mergeCell ref="B69:E69"/>
    <mergeCell ref="B54:E54"/>
    <mergeCell ref="B73:E73"/>
    <mergeCell ref="B74:E74"/>
    <mergeCell ref="B68:E68"/>
    <mergeCell ref="B64:E64"/>
    <mergeCell ref="B65:E65"/>
    <mergeCell ref="B48:E48"/>
    <mergeCell ref="B37:E37"/>
    <mergeCell ref="B72:E72"/>
    <mergeCell ref="B33:E33"/>
    <mergeCell ref="B53:E53"/>
    <mergeCell ref="B47:E47"/>
    <mergeCell ref="B50:E50"/>
    <mergeCell ref="B49:E49"/>
    <mergeCell ref="B21:E21"/>
    <mergeCell ref="A64:A81"/>
    <mergeCell ref="A1:C1"/>
    <mergeCell ref="B31:E31"/>
    <mergeCell ref="B44:E44"/>
    <mergeCell ref="B67:E67"/>
    <mergeCell ref="B63:D63"/>
    <mergeCell ref="A46:A63"/>
    <mergeCell ref="B45:D45"/>
    <mergeCell ref="B19:E19"/>
    <mergeCell ref="B56:E56"/>
    <mergeCell ref="B32:D32"/>
    <mergeCell ref="B22:E22"/>
    <mergeCell ref="B23:E23"/>
    <mergeCell ref="B46:E46"/>
    <mergeCell ref="B25:E25"/>
  </mergeCells>
  <phoneticPr fontId="26" type="noConversion"/>
  <conditionalFormatting sqref="H2:R2">
    <cfRule type="duplicateValues" dxfId="19" priority="2"/>
  </conditionalFormatting>
  <dataValidations disablePrompts="1" count="1">
    <dataValidation type="whole" allowBlank="1" showErrorMessage="1" sqref="F76:F79 F11:F15 F28:F30 F58:F61 F41:F43 H58:HG61 H28:HG30 H41:HG43 H11:HG15 H76:HG79">
      <formula1>0</formula1>
      <formula2>3</formula2>
    </dataValidation>
  </dataValidations>
  <printOptions horizontalCentered="1"/>
  <pageMargins left="0.25" right="0.25" top="0.75" bottom="0.75" header="0.3" footer="0.3"/>
  <pageSetup scale="75" orientation="portrait" r:id="rId2"/>
  <headerFooter alignWithMargins="0">
    <oddHeader>&amp;L&amp;G&amp;R&amp;G</oddHeader>
    <oddFooter>&amp;L&amp;"Arial,Regular"&amp;8Version 1.0
Jun 1, 2015
FieldS form Non-tidal&amp;C&amp;"Arial,Regular"&amp;8Alberta Wetland Rapid Evaluation Tool - Actual Forms
© 2015 Government of Alberta&amp;R&amp;"Arial,Regular"&amp;8Page &amp;P of &amp;N</oddFooter>
  </headerFooter>
  <rowBreaks count="2" manualBreakCount="2">
    <brk id="2" max="5" man="1"/>
    <brk id="45" max="16383" man="1"/>
  </rowBreaks>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72A2DC"/>
  </sheetPr>
  <dimension ref="A1:HN74"/>
  <sheetViews>
    <sheetView zoomScaleNormal="100" workbookViewId="0">
      <selection activeCell="H29" sqref="H29"/>
    </sheetView>
  </sheetViews>
  <sheetFormatPr defaultColWidth="9.33203125" defaultRowHeight="12.75" x14ac:dyDescent="0.2"/>
  <cols>
    <col min="1" max="1" width="5.83203125" style="1348" customWidth="1"/>
    <col min="2" max="2" width="16.83203125" style="979" customWidth="1"/>
    <col min="3" max="3" width="55.83203125" style="159" customWidth="1"/>
    <col min="4" max="4" width="12.33203125" style="1349" customWidth="1"/>
    <col min="5" max="5" width="9.5" style="1350" customWidth="1"/>
    <col min="6" max="6" width="84.83203125" style="185" customWidth="1"/>
    <col min="7" max="7" width="12.33203125" style="1482" bestFit="1" customWidth="1"/>
    <col min="8" max="8" width="9.5" style="1482" bestFit="1" customWidth="1"/>
    <col min="9" max="9" width="11.6640625" style="1482" bestFit="1" customWidth="1"/>
    <col min="10" max="10" width="9.5" style="1482" bestFit="1" customWidth="1"/>
    <col min="11" max="11" width="11.83203125" style="1482" bestFit="1" customWidth="1"/>
    <col min="12" max="12" width="9.5" style="1482" bestFit="1" customWidth="1"/>
    <col min="13" max="13" width="10.6640625" style="1482" bestFit="1" customWidth="1"/>
    <col min="14" max="14" width="9.5" style="1482" bestFit="1" customWidth="1"/>
    <col min="15" max="15" width="11.6640625" style="1482" bestFit="1" customWidth="1"/>
    <col min="16" max="16" width="9.5" style="1482" bestFit="1" customWidth="1"/>
    <col min="17" max="17" width="10.83203125" style="1482" bestFit="1" customWidth="1"/>
    <col min="18" max="18" width="9.5" style="1482" bestFit="1" customWidth="1"/>
    <col min="19" max="19" width="11.6640625" style="1482" bestFit="1" customWidth="1"/>
    <col min="20" max="20" width="9.5" style="1482" bestFit="1" customWidth="1"/>
    <col min="21" max="21" width="10.83203125" style="1482" bestFit="1" customWidth="1"/>
    <col min="22" max="22" width="9.5" style="1482" bestFit="1" customWidth="1"/>
    <col min="23" max="23" width="13.83203125" style="1482" bestFit="1" customWidth="1"/>
    <col min="24" max="24" width="9.5" style="1482" bestFit="1" customWidth="1"/>
    <col min="25" max="25" width="11.6640625" style="1482" bestFit="1" customWidth="1"/>
    <col min="26" max="26" width="9.5" style="1482" bestFit="1" customWidth="1"/>
    <col min="27" max="27" width="11.6640625" style="1482" bestFit="1" customWidth="1"/>
    <col min="28" max="28" width="9.5" style="1482" bestFit="1" customWidth="1"/>
    <col min="29" max="29" width="11.6640625" style="1482" bestFit="1" customWidth="1"/>
    <col min="30" max="30" width="9.5" style="1482" bestFit="1" customWidth="1"/>
    <col min="31" max="31" width="12.6640625" style="1482" bestFit="1" customWidth="1"/>
    <col min="32" max="32" width="9.5" style="1482" bestFit="1" customWidth="1"/>
    <col min="33" max="33" width="10.83203125" style="1482" bestFit="1" customWidth="1"/>
    <col min="34" max="34" width="9.5" style="1482" bestFit="1" customWidth="1"/>
    <col min="35" max="35" width="11.6640625" style="1482" bestFit="1" customWidth="1"/>
    <col min="36" max="36" width="9.5" style="1482" bestFit="1" customWidth="1"/>
    <col min="37" max="37" width="11.6640625" style="1482" bestFit="1" customWidth="1"/>
    <col min="38" max="38" width="9.5" style="1482" bestFit="1" customWidth="1"/>
    <col min="39" max="39" width="10.83203125" style="1482" bestFit="1" customWidth="1"/>
    <col min="40" max="40" width="9.5" style="1482" bestFit="1" customWidth="1"/>
    <col min="41" max="41" width="10.83203125" style="1482" bestFit="1" customWidth="1"/>
    <col min="42" max="42" width="9.5" style="1482" bestFit="1" customWidth="1"/>
    <col min="43" max="43" width="10.6640625" style="1482" bestFit="1" customWidth="1"/>
    <col min="44" max="44" width="9.5" style="1482" bestFit="1" customWidth="1"/>
    <col min="45" max="45" width="12.6640625" style="1482" bestFit="1" customWidth="1"/>
    <col min="46" max="46" width="9.5" style="1482" bestFit="1" customWidth="1"/>
    <col min="47" max="47" width="11.6640625" style="1482" bestFit="1" customWidth="1"/>
    <col min="48" max="48" width="9.5" style="1482" bestFit="1" customWidth="1"/>
    <col min="49" max="49" width="13.83203125" style="1482" bestFit="1" customWidth="1"/>
    <col min="50" max="50" width="9.5" style="1482" bestFit="1" customWidth="1"/>
    <col min="51" max="51" width="10.83203125" style="1482" bestFit="1" customWidth="1"/>
    <col min="52" max="52" width="9.5" style="1482" bestFit="1" customWidth="1"/>
    <col min="53" max="53" width="11.6640625" style="1482" bestFit="1" customWidth="1"/>
    <col min="54" max="54" width="9.5" style="1482" bestFit="1" customWidth="1"/>
    <col min="55" max="55" width="11.6640625" style="1482" bestFit="1" customWidth="1"/>
    <col min="56" max="56" width="9.5" style="1482" bestFit="1" customWidth="1"/>
    <col min="57" max="57" width="10.83203125" style="1482" bestFit="1" customWidth="1"/>
    <col min="58" max="58" width="9.5" style="1482" bestFit="1" customWidth="1"/>
    <col min="59" max="59" width="12.6640625" style="1482" bestFit="1" customWidth="1"/>
    <col min="60" max="60" width="9.5" style="1482" bestFit="1" customWidth="1"/>
    <col min="61" max="61" width="11.6640625" style="1482" bestFit="1" customWidth="1"/>
    <col min="62" max="62" width="9.5" style="1482" bestFit="1" customWidth="1"/>
    <col min="63" max="63" width="11.6640625" style="1482" bestFit="1" customWidth="1"/>
    <col min="64" max="64" width="9.5" style="1482" bestFit="1" customWidth="1"/>
    <col min="65" max="66" width="9.5" style="1482" customWidth="1"/>
    <col min="67" max="67" width="12.6640625" style="1482" bestFit="1" customWidth="1"/>
    <col min="68" max="68" width="9.5" style="1482" bestFit="1" customWidth="1"/>
    <col min="69" max="69" width="11.6640625" style="1482" bestFit="1" customWidth="1"/>
    <col min="70" max="70" width="9.5" style="1482" bestFit="1" customWidth="1"/>
    <col min="71" max="71" width="12.6640625" style="1482" bestFit="1" customWidth="1"/>
    <col min="72" max="72" width="9.5" style="1482" bestFit="1" customWidth="1"/>
    <col min="73" max="73" width="10.6640625" style="1482" bestFit="1" customWidth="1"/>
    <col min="74" max="74" width="9.5" style="1482" bestFit="1" customWidth="1"/>
    <col min="75" max="75" width="10.6640625" style="1482" bestFit="1" customWidth="1"/>
    <col min="76" max="76" width="9.5" style="1482" bestFit="1" customWidth="1"/>
    <col min="77" max="77" width="10.6640625" style="1482" bestFit="1" customWidth="1"/>
    <col min="78" max="78" width="9.5" style="1482" bestFit="1" customWidth="1"/>
    <col min="79" max="79" width="11.6640625" style="1482" bestFit="1" customWidth="1"/>
    <col min="80" max="80" width="9.5" style="1482" bestFit="1" customWidth="1"/>
    <col min="81" max="81" width="10.83203125" style="1482" bestFit="1" customWidth="1"/>
    <col min="82" max="82" width="9.5" style="1482" bestFit="1" customWidth="1"/>
    <col min="83" max="83" width="11.6640625" style="1482" bestFit="1" customWidth="1"/>
    <col min="84" max="84" width="9.6640625" style="1482" bestFit="1" customWidth="1"/>
    <col min="85" max="85" width="12.83203125" style="1482" bestFit="1" customWidth="1"/>
    <col min="86" max="86" width="9.5" style="1482" bestFit="1" customWidth="1"/>
    <col min="87" max="87" width="11.6640625" style="1482" bestFit="1" customWidth="1"/>
    <col min="88" max="88" width="9.5" style="1482" bestFit="1" customWidth="1"/>
    <col min="89" max="89" width="11.6640625" style="1482" bestFit="1" customWidth="1"/>
    <col min="90" max="90" width="9.5" style="1482" bestFit="1" customWidth="1"/>
    <col min="91" max="91" width="13.83203125" style="1482" bestFit="1" customWidth="1"/>
    <col min="92" max="92" width="9.5" style="1482" bestFit="1" customWidth="1"/>
    <col min="93" max="93" width="11.6640625" style="1482" bestFit="1" customWidth="1"/>
    <col min="94" max="94" width="9.5" style="1482" bestFit="1" customWidth="1"/>
    <col min="95" max="95" width="13.83203125" style="1482" bestFit="1" customWidth="1"/>
    <col min="96" max="96" width="9.5" style="1482" bestFit="1" customWidth="1"/>
    <col min="97" max="97" width="11.83203125" style="1483" bestFit="1" customWidth="1"/>
    <col min="98" max="98" width="9.5" style="1483" bestFit="1" customWidth="1"/>
    <col min="99" max="99" width="10.83203125" style="1484" bestFit="1" customWidth="1"/>
    <col min="100" max="100" width="9.6640625" style="1484" bestFit="1" customWidth="1"/>
    <col min="101" max="101" width="11.83203125" style="1484" bestFit="1" customWidth="1"/>
    <col min="102" max="102" width="9.6640625" style="1484" bestFit="1" customWidth="1"/>
    <col min="103" max="103" width="11.6640625" style="1484" bestFit="1" customWidth="1"/>
    <col min="104" max="104" width="9.6640625" style="1484" bestFit="1" customWidth="1"/>
    <col min="105" max="105" width="11.83203125" style="1484" bestFit="1" customWidth="1"/>
    <col min="106" max="106" width="9.6640625" style="1484" bestFit="1" customWidth="1"/>
    <col min="107" max="107" width="11.83203125" style="1484" bestFit="1" customWidth="1"/>
    <col min="108" max="108" width="9.5" style="1484" bestFit="1" customWidth="1"/>
    <col min="109" max="109" width="11.6640625" style="1484" bestFit="1" customWidth="1"/>
    <col min="110" max="110" width="9.5" style="1484" bestFit="1" customWidth="1"/>
    <col min="111" max="111" width="11.6640625" style="1484" bestFit="1" customWidth="1"/>
    <col min="112" max="112" width="9.5" style="1484" bestFit="1" customWidth="1"/>
    <col min="113" max="113" width="12.6640625" style="1484" bestFit="1" customWidth="1"/>
    <col min="114" max="114" width="9.5" style="1484" bestFit="1" customWidth="1"/>
    <col min="115" max="115" width="14" style="1484" bestFit="1" customWidth="1"/>
    <col min="116" max="116" width="9.5" style="1484" bestFit="1" customWidth="1"/>
    <col min="117" max="117" width="11.6640625" style="1484" bestFit="1" customWidth="1"/>
    <col min="118" max="118" width="9.5" style="1484" bestFit="1" customWidth="1"/>
    <col min="119" max="119" width="12.83203125" style="1484" bestFit="1" customWidth="1"/>
    <col min="120" max="120" width="9.5" style="1484" bestFit="1" customWidth="1"/>
    <col min="121" max="121" width="11.83203125" style="1484" bestFit="1" customWidth="1"/>
    <col min="122" max="122" width="9.6640625" style="1484" bestFit="1" customWidth="1"/>
    <col min="123" max="123" width="13.83203125" style="1484" bestFit="1" customWidth="1"/>
    <col min="124" max="124" width="9.6640625" style="1484" bestFit="1" customWidth="1"/>
    <col min="125" max="125" width="11.83203125" style="1484" bestFit="1" customWidth="1"/>
    <col min="126" max="126" width="9.6640625" style="1484" bestFit="1" customWidth="1"/>
    <col min="127" max="127" width="12.6640625" style="1484" bestFit="1" customWidth="1"/>
    <col min="128" max="128" width="9.5" style="1484" bestFit="1" customWidth="1"/>
    <col min="129" max="129" width="11.6640625" style="1484" bestFit="1" customWidth="1"/>
    <col min="130" max="130" width="9.5" style="1484" bestFit="1" customWidth="1"/>
    <col min="131" max="131" width="12.6640625" style="1484" bestFit="1" customWidth="1"/>
    <col min="132" max="132" width="9.5" style="1484" bestFit="1" customWidth="1"/>
    <col min="133" max="133" width="10.83203125" style="1484" bestFit="1" customWidth="1"/>
    <col min="134" max="134" width="9.5" style="1484" bestFit="1" customWidth="1"/>
    <col min="135" max="135" width="11.6640625" style="1484" bestFit="1" customWidth="1"/>
    <col min="136" max="136" width="9.5" style="1484" bestFit="1" customWidth="1"/>
    <col min="137" max="137" width="11.83203125" style="1484" bestFit="1" customWidth="1"/>
    <col min="138" max="138" width="9.5" style="1484" bestFit="1" customWidth="1"/>
    <col min="139" max="139" width="11.6640625" style="1484" bestFit="1" customWidth="1"/>
    <col min="140" max="140" width="9.5" style="1484" bestFit="1" customWidth="1"/>
    <col min="141" max="141" width="12.83203125" style="1484" bestFit="1" customWidth="1"/>
    <col min="142" max="142" width="9.5" style="1484" bestFit="1" customWidth="1"/>
    <col min="143" max="143" width="11.83203125" style="1484" bestFit="1" customWidth="1"/>
    <col min="144" max="144" width="9.5" style="1484" bestFit="1" customWidth="1"/>
    <col min="145" max="145" width="12.6640625" style="1484" bestFit="1" customWidth="1"/>
    <col min="146" max="146" width="9.6640625" style="1484" bestFit="1" customWidth="1"/>
    <col min="147" max="147" width="11.6640625" style="1484" bestFit="1" customWidth="1"/>
    <col min="148" max="148" width="9.5" style="1484" bestFit="1" customWidth="1"/>
    <col min="149" max="149" width="11.6640625" style="1484" bestFit="1" customWidth="1"/>
    <col min="150" max="150" width="9.6640625" style="1484" bestFit="1" customWidth="1"/>
    <col min="151" max="151" width="11.6640625" style="1484" bestFit="1" customWidth="1"/>
    <col min="152" max="152" width="9.5" style="1484" bestFit="1" customWidth="1"/>
    <col min="153" max="153" width="11.83203125" style="1484" bestFit="1" customWidth="1"/>
    <col min="154" max="154" width="9.5" style="1484" bestFit="1" customWidth="1"/>
    <col min="155" max="155" width="11.6640625" style="1484" bestFit="1" customWidth="1"/>
    <col min="156" max="156" width="9.6640625" style="1484" bestFit="1" customWidth="1"/>
    <col min="157" max="157" width="12.83203125" style="1484" bestFit="1" customWidth="1"/>
    <col min="158" max="158" width="9.5" style="1484" bestFit="1" customWidth="1"/>
    <col min="159" max="159" width="11.6640625" style="1484" bestFit="1" customWidth="1"/>
    <col min="160" max="160" width="9.6640625" style="1484" bestFit="1" customWidth="1"/>
    <col min="161" max="161" width="11.83203125" style="1484" bestFit="1" customWidth="1"/>
    <col min="162" max="162" width="9.5" style="1484" bestFit="1" customWidth="1"/>
    <col min="163" max="163" width="11.83203125" style="1484" bestFit="1" customWidth="1"/>
    <col min="164" max="164" width="9.5" style="1484" bestFit="1" customWidth="1"/>
    <col min="165" max="165" width="12.6640625" style="1484" bestFit="1" customWidth="1"/>
    <col min="166" max="166" width="9.5" style="1484" bestFit="1" customWidth="1"/>
    <col min="167" max="167" width="11.6640625" style="1484" bestFit="1" customWidth="1"/>
    <col min="168" max="168" width="9.5" style="1484" bestFit="1" customWidth="1"/>
    <col min="169" max="169" width="11.6640625" style="1484" bestFit="1" customWidth="1"/>
    <col min="170" max="170" width="9.5" style="1484" bestFit="1" customWidth="1"/>
    <col min="171" max="171" width="11.6640625" style="1484" bestFit="1" customWidth="1"/>
    <col min="172" max="172" width="9.6640625" style="1484" bestFit="1" customWidth="1"/>
    <col min="173" max="173" width="10.6640625" style="1484" bestFit="1" customWidth="1"/>
    <col min="174" max="174" width="9.5" style="1484" bestFit="1" customWidth="1"/>
    <col min="175" max="175" width="11.6640625" style="1484" bestFit="1" customWidth="1"/>
    <col min="176" max="176" width="9.6640625" style="1484" bestFit="1" customWidth="1"/>
    <col min="177" max="177" width="11.83203125" style="1484" bestFit="1" customWidth="1"/>
    <col min="178" max="178" width="9.5" style="1484" bestFit="1" customWidth="1"/>
    <col min="179" max="179" width="10.83203125" style="1484" bestFit="1" customWidth="1"/>
    <col min="180" max="180" width="9.5" style="1484" bestFit="1" customWidth="1"/>
    <col min="181" max="181" width="10.6640625" style="1484" bestFit="1" customWidth="1"/>
    <col min="182" max="182" width="9.6640625" style="1484" bestFit="1" customWidth="1"/>
    <col min="183" max="183" width="12.83203125" style="1484" bestFit="1" customWidth="1"/>
    <col min="184" max="184" width="9.5" style="1484" bestFit="1" customWidth="1"/>
    <col min="185" max="185" width="11.6640625" style="1484" bestFit="1" customWidth="1"/>
    <col min="186" max="186" width="9.5" style="1484" bestFit="1" customWidth="1"/>
    <col min="187" max="187" width="11.6640625" style="1484" bestFit="1" customWidth="1"/>
    <col min="188" max="188" width="9.6640625" style="1484" bestFit="1" customWidth="1"/>
    <col min="189" max="189" width="11.6640625" style="1484" bestFit="1" customWidth="1"/>
    <col min="190" max="190" width="9.6640625" style="1484" bestFit="1" customWidth="1"/>
    <col min="191" max="191" width="12.83203125" style="1484" bestFit="1" customWidth="1"/>
    <col min="192" max="192" width="9.5" style="1484" bestFit="1" customWidth="1"/>
    <col min="193" max="193" width="12.6640625" style="1484" bestFit="1" customWidth="1"/>
    <col min="194" max="194" width="9.5" style="1484" bestFit="1" customWidth="1"/>
    <col min="195" max="195" width="11.6640625" style="1484" bestFit="1" customWidth="1"/>
    <col min="196" max="196" width="9.6640625" style="1484" bestFit="1" customWidth="1"/>
    <col min="197" max="197" width="12.6640625" style="1484" bestFit="1" customWidth="1"/>
    <col min="198" max="198" width="9.6640625" style="1484" bestFit="1" customWidth="1"/>
    <col min="199" max="199" width="11.6640625" style="1484" bestFit="1" customWidth="1"/>
    <col min="200" max="200" width="9.5" style="1484" bestFit="1" customWidth="1"/>
    <col min="201" max="201" width="11.6640625" style="1484" bestFit="1" customWidth="1"/>
    <col min="202" max="202" width="9.5" style="1484" bestFit="1" customWidth="1"/>
    <col min="203" max="203" width="11.6640625" style="1484" bestFit="1" customWidth="1"/>
    <col min="204" max="204" width="9.6640625" style="1484" bestFit="1" customWidth="1"/>
    <col min="205" max="205" width="11.6640625" style="1484" bestFit="1" customWidth="1"/>
    <col min="206" max="206" width="9.6640625" style="1484" bestFit="1" customWidth="1"/>
    <col min="207" max="207" width="12.6640625" style="1484" bestFit="1" customWidth="1"/>
    <col min="208" max="208" width="9.6640625" style="1484" bestFit="1" customWidth="1"/>
    <col min="209" max="209" width="10.83203125" style="1484" bestFit="1" customWidth="1"/>
    <col min="210" max="210" width="9.5" style="1484" bestFit="1" customWidth="1"/>
    <col min="211" max="211" width="12.6640625" style="1484" bestFit="1" customWidth="1"/>
    <col min="212" max="212" width="9.6640625" style="1484" bestFit="1" customWidth="1"/>
    <col min="213" max="213" width="11.6640625" style="1484" bestFit="1" customWidth="1"/>
    <col min="214" max="214" width="9.6640625" style="1484" bestFit="1" customWidth="1"/>
    <col min="215" max="215" width="10.83203125" style="1484" bestFit="1" customWidth="1"/>
    <col min="216" max="216" width="9.6640625" style="1484" bestFit="1" customWidth="1"/>
    <col min="217" max="217" width="11.6640625" style="1484" bestFit="1" customWidth="1"/>
    <col min="218" max="218" width="9.6640625" style="1484" bestFit="1" customWidth="1"/>
    <col min="219" max="219" width="11.6640625" style="1484" bestFit="1" customWidth="1"/>
    <col min="220" max="220" width="9.6640625" style="1484" bestFit="1" customWidth="1"/>
    <col min="221" max="221" width="10.6640625" style="1484" bestFit="1" customWidth="1"/>
    <col min="222" max="222" width="9.6640625" style="1484" bestFit="1" customWidth="1"/>
    <col min="223" max="223" width="10.6640625" style="1344" bestFit="1" customWidth="1"/>
    <col min="224" max="224" width="9.33203125" style="1344"/>
    <col min="225" max="225" width="10.6640625" style="1344" bestFit="1" customWidth="1"/>
    <col min="226" max="226" width="9.33203125" style="1344"/>
    <col min="227" max="227" width="12.6640625" style="1344" bestFit="1" customWidth="1"/>
    <col min="228" max="228" width="9.33203125" style="1344"/>
    <col min="229" max="229" width="10.6640625" style="1344" bestFit="1" customWidth="1"/>
    <col min="230" max="230" width="9.33203125" style="1344"/>
    <col min="231" max="231" width="12.6640625" style="1344" bestFit="1" customWidth="1"/>
    <col min="232" max="232" width="9.33203125" style="1344"/>
    <col min="233" max="233" width="9.6640625" style="1344" bestFit="1" customWidth="1"/>
    <col min="234" max="234" width="9.33203125" style="1344"/>
    <col min="235" max="235" width="12.6640625" style="1344" bestFit="1" customWidth="1"/>
    <col min="236" max="236" width="9.33203125" style="1344"/>
    <col min="237" max="237" width="10.6640625" style="1344" bestFit="1" customWidth="1"/>
    <col min="238" max="238" width="9.33203125" style="1344"/>
    <col min="239" max="239" width="10.6640625" style="1344" bestFit="1" customWidth="1"/>
    <col min="240" max="240" width="9.33203125" style="1344"/>
    <col min="241" max="241" width="11.6640625" style="1344" bestFit="1" customWidth="1"/>
    <col min="242" max="242" width="9.33203125" style="1344"/>
    <col min="243" max="243" width="12.6640625" style="1344" bestFit="1" customWidth="1"/>
    <col min="244" max="244" width="9.33203125" style="1344"/>
    <col min="245" max="245" width="11.6640625" style="1344" bestFit="1" customWidth="1"/>
    <col min="246" max="246" width="9.33203125" style="1344"/>
    <col min="247" max="247" width="11.6640625" style="1344" bestFit="1" customWidth="1"/>
    <col min="248" max="248" width="9.33203125" style="1344"/>
    <col min="249" max="249" width="11.6640625" style="1344" bestFit="1" customWidth="1"/>
    <col min="250" max="250" width="9.33203125" style="1344"/>
    <col min="251" max="251" width="9.6640625" style="1344" bestFit="1" customWidth="1"/>
    <col min="252" max="252" width="9.33203125" style="1344"/>
    <col min="253" max="253" width="9.6640625" style="1344" bestFit="1" customWidth="1"/>
    <col min="254" max="254" width="9.33203125" style="1344"/>
    <col min="255" max="255" width="10.6640625" style="1344" bestFit="1" customWidth="1"/>
    <col min="256" max="256" width="9.33203125" style="1344"/>
    <col min="257" max="257" width="10.6640625" style="1344" bestFit="1" customWidth="1"/>
    <col min="258" max="258" width="9.33203125" style="1344"/>
    <col min="259" max="259" width="9.6640625" style="1344" bestFit="1" customWidth="1"/>
    <col min="260" max="260" width="9.33203125" style="1344"/>
    <col min="261" max="261" width="10.6640625" style="1344" bestFit="1" customWidth="1"/>
    <col min="262" max="262" width="9.33203125" style="1344"/>
    <col min="263" max="263" width="10.6640625" style="1344" bestFit="1" customWidth="1"/>
    <col min="264" max="264" width="9.33203125" style="1344"/>
    <col min="265" max="265" width="10.6640625" style="1344" bestFit="1" customWidth="1"/>
    <col min="266" max="266" width="9.33203125" style="1344"/>
    <col min="267" max="267" width="9.6640625" style="1344" bestFit="1" customWidth="1"/>
    <col min="268" max="268" width="9.33203125" style="1344"/>
    <col min="269" max="269" width="11.6640625" style="1344" bestFit="1" customWidth="1"/>
    <col min="270" max="270" width="9.33203125" style="1344"/>
    <col min="271" max="271" width="10.6640625" style="1344" bestFit="1" customWidth="1"/>
    <col min="272" max="272" width="9.33203125" style="1344"/>
    <col min="273" max="273" width="10.6640625" style="1344" bestFit="1" customWidth="1"/>
    <col min="274" max="274" width="9.33203125" style="1344"/>
    <col min="275" max="275" width="10.6640625" style="1344" bestFit="1" customWidth="1"/>
    <col min="276" max="276" width="9.33203125" style="1344"/>
    <col min="277" max="277" width="11.6640625" style="1344" bestFit="1" customWidth="1"/>
    <col min="278" max="278" width="9.33203125" style="1344"/>
    <col min="279" max="279" width="10.6640625" style="1344" bestFit="1" customWidth="1"/>
    <col min="280" max="280" width="9.33203125" style="1344"/>
    <col min="281" max="281" width="9.6640625" style="1344" bestFit="1" customWidth="1"/>
    <col min="282" max="282" width="9.33203125" style="1344"/>
    <col min="283" max="283" width="12.6640625" style="1344" bestFit="1" customWidth="1"/>
    <col min="284" max="284" width="9.33203125" style="1344"/>
    <col min="285" max="285" width="10.6640625" style="1344" bestFit="1" customWidth="1"/>
    <col min="286" max="286" width="9.33203125" style="1344"/>
    <col min="287" max="287" width="11.6640625" style="1344" bestFit="1" customWidth="1"/>
    <col min="288" max="288" width="9.33203125" style="1344"/>
    <col min="289" max="289" width="11.6640625" style="1344" bestFit="1" customWidth="1"/>
    <col min="290" max="290" width="9.33203125" style="1344"/>
    <col min="291" max="291" width="9.6640625" style="1344" bestFit="1" customWidth="1"/>
    <col min="292" max="292" width="9.33203125" style="1344"/>
    <col min="293" max="293" width="9.6640625" style="1344" bestFit="1" customWidth="1"/>
    <col min="294" max="294" width="9.33203125" style="1344"/>
    <col min="295" max="295" width="10.6640625" style="1344" bestFit="1" customWidth="1"/>
    <col min="296" max="296" width="9.33203125" style="1344"/>
    <col min="297" max="297" width="11.6640625" style="1344" bestFit="1" customWidth="1"/>
    <col min="298" max="298" width="9.33203125" style="1344"/>
    <col min="299" max="299" width="11.6640625" style="1344" bestFit="1" customWidth="1"/>
    <col min="300" max="300" width="9.33203125" style="1344"/>
    <col min="301" max="301" width="11.6640625" style="1344" bestFit="1" customWidth="1"/>
    <col min="302" max="302" width="9.33203125" style="1344"/>
    <col min="303" max="303" width="9.6640625" style="1344" bestFit="1" customWidth="1"/>
    <col min="304" max="304" width="9.33203125" style="1344"/>
    <col min="305" max="305" width="9.6640625" style="1344" bestFit="1" customWidth="1"/>
    <col min="306" max="306" width="9.33203125" style="1344"/>
    <col min="307" max="307" width="11.6640625" style="1344" bestFit="1" customWidth="1"/>
    <col min="308" max="308" width="9.33203125" style="1344"/>
    <col min="309" max="309" width="10.6640625" style="1344" bestFit="1" customWidth="1"/>
    <col min="310" max="310" width="9.33203125" style="1344"/>
    <col min="311" max="311" width="10.6640625" style="1344" bestFit="1" customWidth="1"/>
    <col min="312" max="312" width="9.33203125" style="1344"/>
    <col min="313" max="313" width="11.6640625" style="1344" bestFit="1" customWidth="1"/>
    <col min="314" max="314" width="9.33203125" style="1344"/>
    <col min="315" max="315" width="11.6640625" style="1344" bestFit="1" customWidth="1"/>
    <col min="316" max="316" width="9.33203125" style="1344"/>
    <col min="317" max="317" width="10.6640625" style="1344" bestFit="1" customWidth="1"/>
    <col min="318" max="318" width="9.33203125" style="1344"/>
    <col min="319" max="319" width="9.6640625" style="1344" bestFit="1" customWidth="1"/>
    <col min="320" max="320" width="9.33203125" style="1344"/>
    <col min="321" max="321" width="10.6640625" style="1344" bestFit="1" customWidth="1"/>
    <col min="322" max="322" width="9.33203125" style="1344"/>
    <col min="323" max="323" width="11.6640625" style="1344" bestFit="1" customWidth="1"/>
    <col min="324" max="324" width="9.33203125" style="1344"/>
    <col min="325" max="325" width="10.6640625" style="1344" bestFit="1" customWidth="1"/>
    <col min="326" max="326" width="9.33203125" style="1344"/>
    <col min="327" max="327" width="10.6640625" style="1344" bestFit="1" customWidth="1"/>
    <col min="328" max="328" width="9.33203125" style="1344"/>
    <col min="329" max="329" width="10.6640625" style="1344" bestFit="1" customWidth="1"/>
    <col min="330" max="330" width="9.33203125" style="1344"/>
    <col min="331" max="331" width="10.6640625" style="1344" bestFit="1" customWidth="1"/>
    <col min="332" max="332" width="9.33203125" style="1344"/>
    <col min="333" max="333" width="12.6640625" style="1344" bestFit="1" customWidth="1"/>
    <col min="334" max="334" width="9.33203125" style="1344"/>
    <col min="335" max="335" width="10.6640625" style="1344" bestFit="1" customWidth="1"/>
    <col min="336" max="336" width="9.33203125" style="1344"/>
    <col min="337" max="337" width="12.6640625" style="1344" bestFit="1" customWidth="1"/>
    <col min="338" max="340" width="9.33203125" style="1344"/>
    <col min="341" max="341" width="10.6640625" style="1344" bestFit="1" customWidth="1"/>
    <col min="342" max="342" width="9.33203125" style="1344"/>
    <col min="343" max="343" width="11.6640625" style="1344" bestFit="1" customWidth="1"/>
    <col min="344" max="344" width="9.33203125" style="1344"/>
    <col min="345" max="345" width="10.6640625" style="1344" bestFit="1" customWidth="1"/>
    <col min="346" max="346" width="9.33203125" style="1344"/>
    <col min="347" max="347" width="10.6640625" style="1344" bestFit="1" customWidth="1"/>
    <col min="348" max="348" width="9.33203125" style="1344"/>
    <col min="349" max="349" width="9.6640625" style="1344" bestFit="1" customWidth="1"/>
    <col min="350" max="350" width="9.33203125" style="1344"/>
    <col min="351" max="351" width="10.6640625" style="1344" bestFit="1" customWidth="1"/>
    <col min="352" max="352" width="9.33203125" style="1344"/>
    <col min="353" max="353" width="9.6640625" style="1344" bestFit="1" customWidth="1"/>
    <col min="354" max="354" width="9.33203125" style="1344"/>
    <col min="355" max="355" width="10.6640625" style="1344" bestFit="1" customWidth="1"/>
    <col min="356" max="16384" width="9.33203125" style="1344"/>
  </cols>
  <sheetData>
    <row r="1" spans="1:222" s="1338" customFormat="1" ht="45" customHeight="1" thickBot="1" x14ac:dyDescent="0.25">
      <c r="A1" s="1603" t="s">
        <v>110</v>
      </c>
      <c r="B1" s="1604" t="s">
        <v>1440</v>
      </c>
      <c r="C1" s="1602" t="s">
        <v>109</v>
      </c>
      <c r="D1" s="1670"/>
      <c r="E1" s="1671"/>
      <c r="F1" s="1777" t="s">
        <v>1439</v>
      </c>
    </row>
    <row r="2" spans="1:222" s="1340" customFormat="1" ht="30" customHeight="1" thickBot="1" x14ac:dyDescent="0.25">
      <c r="A2" s="1339" t="s">
        <v>1518</v>
      </c>
      <c r="B2" s="856" t="s">
        <v>1033</v>
      </c>
      <c r="C2" s="997" t="s">
        <v>1038</v>
      </c>
      <c r="D2" s="1672"/>
      <c r="E2" s="1675"/>
      <c r="F2" s="1778" t="s">
        <v>1467</v>
      </c>
    </row>
    <row r="3" spans="1:222" s="1341" customFormat="1" ht="30" customHeight="1" thickBot="1" x14ac:dyDescent="0.25">
      <c r="A3" s="1205" t="s">
        <v>1519</v>
      </c>
      <c r="B3" s="741" t="s">
        <v>1298</v>
      </c>
      <c r="C3" s="1033" t="s">
        <v>1453</v>
      </c>
      <c r="D3" s="1673"/>
      <c r="E3" s="1676"/>
      <c r="F3" s="1779" t="s">
        <v>2290</v>
      </c>
    </row>
    <row r="4" spans="1:222" s="1343" customFormat="1" ht="30" customHeight="1" thickBot="1" x14ac:dyDescent="0.25">
      <c r="A4" s="1342" t="s">
        <v>1520</v>
      </c>
      <c r="B4" s="767" t="s">
        <v>1067</v>
      </c>
      <c r="C4" s="998" t="s">
        <v>1045</v>
      </c>
      <c r="D4" s="1674"/>
      <c r="E4" s="1677"/>
      <c r="F4" s="1779" t="s">
        <v>1474</v>
      </c>
    </row>
    <row r="5" spans="1:222" ht="30" customHeight="1" thickBot="1" x14ac:dyDescent="0.25">
      <c r="A5" s="1205" t="s">
        <v>1521</v>
      </c>
      <c r="B5" s="741" t="s">
        <v>1326</v>
      </c>
      <c r="C5" s="1033" t="s">
        <v>1327</v>
      </c>
      <c r="D5" s="1673"/>
      <c r="E5" s="1678"/>
      <c r="F5" s="1779" t="s">
        <v>1437</v>
      </c>
      <c r="G5" s="1344"/>
      <c r="H5" s="1344"/>
      <c r="I5" s="1344"/>
      <c r="J5" s="1344"/>
      <c r="K5" s="1344"/>
      <c r="L5" s="1344"/>
      <c r="M5" s="1344"/>
      <c r="N5" s="1344"/>
      <c r="O5" s="1344"/>
      <c r="P5" s="1344"/>
      <c r="Q5" s="1344"/>
      <c r="R5" s="1344"/>
      <c r="S5" s="1344"/>
      <c r="T5" s="1344"/>
      <c r="U5" s="1344"/>
      <c r="V5" s="1344"/>
      <c r="W5" s="1344"/>
      <c r="X5" s="1344"/>
      <c r="Y5" s="1344"/>
      <c r="Z5" s="1344"/>
      <c r="AA5" s="1344"/>
      <c r="AB5" s="1344"/>
      <c r="AC5" s="1344"/>
      <c r="AD5" s="1344"/>
      <c r="AE5" s="1344"/>
      <c r="AF5" s="1344"/>
      <c r="AG5" s="1344"/>
      <c r="AH5" s="1344"/>
      <c r="AI5" s="1344"/>
      <c r="AJ5" s="1344"/>
      <c r="AK5" s="1344"/>
      <c r="AL5" s="1344"/>
      <c r="AM5" s="1344"/>
      <c r="AN5" s="1344"/>
      <c r="AO5" s="1344"/>
      <c r="AP5" s="1344"/>
      <c r="AQ5" s="1344"/>
      <c r="AR5" s="1344"/>
      <c r="AS5" s="1344"/>
      <c r="AT5" s="1344"/>
      <c r="AU5" s="1344"/>
      <c r="AV5" s="1344"/>
      <c r="AW5" s="1344"/>
      <c r="AX5" s="1344"/>
      <c r="AY5" s="1344"/>
      <c r="AZ5" s="1344"/>
      <c r="BA5" s="1344"/>
      <c r="BB5" s="1344"/>
      <c r="BC5" s="1344"/>
      <c r="BD5" s="1344"/>
      <c r="BE5" s="1344"/>
      <c r="BF5" s="1344"/>
      <c r="BG5" s="1344"/>
      <c r="BH5" s="1344"/>
      <c r="BI5" s="1344"/>
      <c r="BJ5" s="1344"/>
      <c r="BK5" s="1344"/>
      <c r="BL5" s="1344"/>
      <c r="BM5" s="1344"/>
      <c r="BN5" s="1344"/>
      <c r="BO5" s="1344"/>
      <c r="BP5" s="1344"/>
      <c r="BQ5" s="1344"/>
      <c r="BR5" s="1344"/>
      <c r="BS5" s="1344"/>
      <c r="BT5" s="1344"/>
      <c r="BU5" s="1344"/>
      <c r="BV5" s="1344"/>
      <c r="BW5" s="1344"/>
      <c r="BX5" s="1344"/>
      <c r="BY5" s="1344"/>
      <c r="BZ5" s="1344"/>
      <c r="CA5" s="1344"/>
      <c r="CB5" s="1344"/>
      <c r="CC5" s="1344"/>
      <c r="CD5" s="1344"/>
      <c r="CE5" s="1344"/>
      <c r="CF5" s="1344"/>
      <c r="CG5" s="1344"/>
      <c r="CH5" s="1344"/>
      <c r="CI5" s="1344"/>
      <c r="CJ5" s="1344"/>
      <c r="CK5" s="1344"/>
      <c r="CL5" s="1344"/>
      <c r="CM5" s="1344"/>
      <c r="CN5" s="1344"/>
      <c r="CO5" s="1344"/>
      <c r="CP5" s="1344"/>
      <c r="CQ5" s="1344"/>
      <c r="CR5" s="1344"/>
      <c r="CS5" s="1344"/>
      <c r="CT5" s="1344"/>
      <c r="CU5" s="1344"/>
      <c r="CV5" s="1344"/>
      <c r="CW5" s="1344"/>
      <c r="CX5" s="1344"/>
      <c r="CY5" s="1344"/>
      <c r="CZ5" s="1344"/>
      <c r="DA5" s="1344"/>
      <c r="DB5" s="1344"/>
      <c r="DC5" s="1344"/>
      <c r="DD5" s="1344"/>
      <c r="DE5" s="1344"/>
      <c r="DF5" s="1344"/>
      <c r="DG5" s="1344"/>
      <c r="DH5" s="1344"/>
      <c r="DI5" s="1344"/>
      <c r="DJ5" s="1344"/>
      <c r="DK5" s="1344"/>
      <c r="DL5" s="1344"/>
      <c r="DM5" s="1344"/>
      <c r="DN5" s="1344"/>
      <c r="DO5" s="1344"/>
      <c r="DP5" s="1344"/>
      <c r="DQ5" s="1344"/>
      <c r="DR5" s="1344"/>
      <c r="DS5" s="1344"/>
      <c r="DT5" s="1344"/>
      <c r="DU5" s="1344"/>
      <c r="DV5" s="1344"/>
      <c r="DW5" s="1344"/>
      <c r="DX5" s="1344"/>
      <c r="DY5" s="1344"/>
      <c r="DZ5" s="1344"/>
      <c r="EA5" s="1344"/>
      <c r="EB5" s="1344"/>
      <c r="EC5" s="1344"/>
      <c r="ED5" s="1344"/>
      <c r="EE5" s="1344"/>
      <c r="EF5" s="1344"/>
      <c r="EG5" s="1344"/>
      <c r="EH5" s="1344"/>
      <c r="EI5" s="1344"/>
      <c r="EJ5" s="1344"/>
      <c r="EK5" s="1344"/>
      <c r="EL5" s="1344"/>
      <c r="EM5" s="1344"/>
      <c r="EN5" s="1344"/>
      <c r="EO5" s="1344"/>
      <c r="EP5" s="1344"/>
      <c r="EQ5" s="1344"/>
      <c r="ER5" s="1344"/>
      <c r="ES5" s="1344"/>
      <c r="ET5" s="1344"/>
      <c r="EU5" s="1344"/>
      <c r="EV5" s="1344"/>
      <c r="EW5" s="1344"/>
      <c r="EX5" s="1344"/>
      <c r="EY5" s="1344"/>
      <c r="EZ5" s="1344"/>
      <c r="FA5" s="1344"/>
      <c r="FB5" s="1344"/>
      <c r="FC5" s="1344"/>
      <c r="FD5" s="1344"/>
      <c r="FE5" s="1344"/>
      <c r="FF5" s="1344"/>
      <c r="FG5" s="1344"/>
      <c r="FH5" s="1344"/>
      <c r="FI5" s="1344"/>
      <c r="FJ5" s="1344"/>
      <c r="FK5" s="1344"/>
      <c r="FL5" s="1344"/>
      <c r="FM5" s="1344"/>
      <c r="FN5" s="1344"/>
      <c r="FO5" s="1344"/>
      <c r="FP5" s="1344"/>
      <c r="FQ5" s="1344"/>
      <c r="FR5" s="1344"/>
      <c r="FS5" s="1344"/>
      <c r="FT5" s="1344"/>
      <c r="FU5" s="1344"/>
      <c r="FV5" s="1344"/>
      <c r="FW5" s="1344"/>
      <c r="FX5" s="1344"/>
      <c r="FY5" s="1344"/>
      <c r="FZ5" s="1344"/>
      <c r="GA5" s="1344"/>
      <c r="GB5" s="1344"/>
      <c r="GC5" s="1344"/>
      <c r="GD5" s="1344"/>
      <c r="GE5" s="1344"/>
      <c r="GF5" s="1344"/>
      <c r="GG5" s="1344"/>
      <c r="GH5" s="1344"/>
      <c r="GI5" s="1344"/>
      <c r="GJ5" s="1344"/>
      <c r="GK5" s="1344"/>
      <c r="GL5" s="1344"/>
      <c r="GM5" s="1344"/>
      <c r="GN5" s="1344"/>
      <c r="GO5" s="1344"/>
      <c r="GP5" s="1344"/>
      <c r="GQ5" s="1344"/>
      <c r="GR5" s="1344"/>
      <c r="GS5" s="1344"/>
      <c r="GT5" s="1344"/>
      <c r="GU5" s="1344"/>
      <c r="GV5" s="1344"/>
      <c r="GW5" s="1344"/>
      <c r="GX5" s="1344"/>
      <c r="GY5" s="1344"/>
      <c r="GZ5" s="1344"/>
      <c r="HA5" s="1344"/>
      <c r="HB5" s="1344"/>
      <c r="HC5" s="1344"/>
      <c r="HD5" s="1344"/>
      <c r="HE5" s="1344"/>
      <c r="HF5" s="1344"/>
      <c r="HG5" s="1344"/>
      <c r="HH5" s="1344"/>
      <c r="HI5" s="1344"/>
      <c r="HJ5" s="1344"/>
      <c r="HK5" s="1344"/>
      <c r="HL5" s="1344"/>
      <c r="HM5" s="1344"/>
      <c r="HN5" s="1344"/>
    </row>
    <row r="6" spans="1:222" ht="30" customHeight="1" thickBot="1" x14ac:dyDescent="0.25">
      <c r="A6" s="1342" t="s">
        <v>1522</v>
      </c>
      <c r="B6" s="767" t="s">
        <v>1261</v>
      </c>
      <c r="C6" s="998" t="s">
        <v>1059</v>
      </c>
      <c r="D6" s="1674"/>
      <c r="E6" s="1677"/>
      <c r="F6" s="1779" t="s">
        <v>2291</v>
      </c>
      <c r="G6" s="1344"/>
      <c r="H6" s="1344"/>
      <c r="I6" s="1344"/>
      <c r="J6" s="1344"/>
      <c r="K6" s="1344"/>
      <c r="L6" s="1344"/>
      <c r="M6" s="1344"/>
      <c r="N6" s="1344"/>
      <c r="O6" s="1344"/>
      <c r="P6" s="1344"/>
      <c r="Q6" s="1344"/>
      <c r="R6" s="1344"/>
      <c r="S6" s="1344"/>
      <c r="T6" s="1344"/>
      <c r="U6" s="1344"/>
      <c r="V6" s="1344"/>
      <c r="W6" s="1344"/>
      <c r="X6" s="1344"/>
      <c r="Y6" s="1344"/>
      <c r="Z6" s="1344"/>
      <c r="AA6" s="1344"/>
      <c r="AB6" s="1344"/>
      <c r="AC6" s="1344"/>
      <c r="AD6" s="1344"/>
      <c r="AE6" s="1344"/>
      <c r="AF6" s="1344"/>
      <c r="AG6" s="1344"/>
      <c r="AH6" s="1344"/>
      <c r="AI6" s="1344"/>
      <c r="AJ6" s="1344"/>
      <c r="AK6" s="1344"/>
      <c r="AL6" s="1344"/>
      <c r="AM6" s="1344"/>
      <c r="AN6" s="1344"/>
      <c r="AO6" s="1344"/>
      <c r="AP6" s="1344"/>
      <c r="AQ6" s="1344"/>
      <c r="AR6" s="1344"/>
      <c r="AS6" s="1344"/>
      <c r="AT6" s="1344"/>
      <c r="AU6" s="1344"/>
      <c r="AV6" s="1344"/>
      <c r="AW6" s="1344"/>
      <c r="AX6" s="1344"/>
      <c r="AY6" s="1344"/>
      <c r="AZ6" s="1344"/>
      <c r="BA6" s="1344"/>
      <c r="BB6" s="1344"/>
      <c r="BC6" s="1344"/>
      <c r="BD6" s="1344"/>
      <c r="BE6" s="1344"/>
      <c r="BF6" s="1344"/>
      <c r="BG6" s="1344"/>
      <c r="BH6" s="1344"/>
      <c r="BI6" s="1344"/>
      <c r="BJ6" s="1344"/>
      <c r="BK6" s="1344"/>
      <c r="BL6" s="1344"/>
      <c r="BM6" s="1344"/>
      <c r="BN6" s="1344"/>
      <c r="BO6" s="1344"/>
      <c r="BP6" s="1344"/>
      <c r="BQ6" s="1344"/>
      <c r="BR6" s="1344"/>
      <c r="BS6" s="1344"/>
      <c r="BT6" s="1344"/>
      <c r="BU6" s="1344"/>
      <c r="BV6" s="1344"/>
      <c r="BW6" s="1344"/>
      <c r="BX6" s="1344"/>
      <c r="BY6" s="1344"/>
      <c r="BZ6" s="1344"/>
      <c r="CA6" s="1344"/>
      <c r="CB6" s="1344"/>
      <c r="CC6" s="1344"/>
      <c r="CD6" s="1344"/>
      <c r="CE6" s="1344"/>
      <c r="CF6" s="1344"/>
      <c r="CG6" s="1344"/>
      <c r="CH6" s="1344"/>
      <c r="CI6" s="1344"/>
      <c r="CJ6" s="1344"/>
      <c r="CK6" s="1344"/>
      <c r="CL6" s="1344"/>
      <c r="CM6" s="1344"/>
      <c r="CN6" s="1344"/>
      <c r="CO6" s="1344"/>
      <c r="CP6" s="1344"/>
      <c r="CQ6" s="1344"/>
      <c r="CR6" s="1344"/>
      <c r="CS6" s="1344"/>
      <c r="CT6" s="1344"/>
      <c r="CU6" s="1344"/>
      <c r="CV6" s="1344"/>
      <c r="CW6" s="1344"/>
      <c r="CX6" s="1344"/>
      <c r="CY6" s="1344"/>
      <c r="CZ6" s="1344"/>
      <c r="DA6" s="1344"/>
      <c r="DB6" s="1344"/>
      <c r="DC6" s="1344"/>
      <c r="DD6" s="1344"/>
      <c r="DE6" s="1344"/>
      <c r="DF6" s="1344"/>
      <c r="DG6" s="1344"/>
      <c r="DH6" s="1344"/>
      <c r="DI6" s="1344"/>
      <c r="DJ6" s="1344"/>
      <c r="DK6" s="1344"/>
      <c r="DL6" s="1344"/>
      <c r="DM6" s="1344"/>
      <c r="DN6" s="1344"/>
      <c r="DO6" s="1344"/>
      <c r="DP6" s="1344"/>
      <c r="DQ6" s="1344"/>
      <c r="DR6" s="1344"/>
      <c r="DS6" s="1344"/>
      <c r="DT6" s="1344"/>
      <c r="DU6" s="1344"/>
      <c r="DV6" s="1344"/>
      <c r="DW6" s="1344"/>
      <c r="DX6" s="1344"/>
      <c r="DY6" s="1344"/>
      <c r="DZ6" s="1344"/>
      <c r="EA6" s="1344"/>
      <c r="EB6" s="1344"/>
      <c r="EC6" s="1344"/>
      <c r="ED6" s="1344"/>
      <c r="EE6" s="1344"/>
      <c r="EF6" s="1344"/>
      <c r="EG6" s="1344"/>
      <c r="EH6" s="1344"/>
      <c r="EI6" s="1344"/>
      <c r="EJ6" s="1344"/>
      <c r="EK6" s="1344"/>
      <c r="EL6" s="1344"/>
      <c r="EM6" s="1344"/>
      <c r="EN6" s="1344"/>
      <c r="EO6" s="1344"/>
      <c r="EP6" s="1344"/>
      <c r="EQ6" s="1344"/>
      <c r="ER6" s="1344"/>
      <c r="ES6" s="1344"/>
      <c r="ET6" s="1344"/>
      <c r="EU6" s="1344"/>
      <c r="EV6" s="1344"/>
      <c r="EW6" s="1344"/>
      <c r="EX6" s="1344"/>
      <c r="EY6" s="1344"/>
      <c r="EZ6" s="1344"/>
      <c r="FA6" s="1344"/>
      <c r="FB6" s="1344"/>
      <c r="FC6" s="1344"/>
      <c r="FD6" s="1344"/>
      <c r="FE6" s="1344"/>
      <c r="FF6" s="1344"/>
      <c r="FG6" s="1344"/>
      <c r="FH6" s="1344"/>
      <c r="FI6" s="1344"/>
      <c r="FJ6" s="1344"/>
      <c r="FK6" s="1344"/>
      <c r="FL6" s="1344"/>
      <c r="FM6" s="1344"/>
      <c r="FN6" s="1344"/>
      <c r="FO6" s="1344"/>
      <c r="FP6" s="1344"/>
      <c r="FQ6" s="1344"/>
      <c r="FR6" s="1344"/>
      <c r="FS6" s="1344"/>
      <c r="FT6" s="1344"/>
      <c r="FU6" s="1344"/>
      <c r="FV6" s="1344"/>
      <c r="FW6" s="1344"/>
      <c r="FX6" s="1344"/>
      <c r="FY6" s="1344"/>
      <c r="FZ6" s="1344"/>
      <c r="GA6" s="1344"/>
      <c r="GB6" s="1344"/>
      <c r="GC6" s="1344"/>
      <c r="GD6" s="1344"/>
      <c r="GE6" s="1344"/>
      <c r="GF6" s="1344"/>
      <c r="GG6" s="1344"/>
      <c r="GH6" s="1344"/>
      <c r="GI6" s="1344"/>
      <c r="GJ6" s="1344"/>
      <c r="GK6" s="1344"/>
      <c r="GL6" s="1344"/>
      <c r="GM6" s="1344"/>
      <c r="GN6" s="1344"/>
      <c r="GO6" s="1344"/>
      <c r="GP6" s="1344"/>
      <c r="GQ6" s="1344"/>
      <c r="GR6" s="1344"/>
      <c r="GS6" s="1344"/>
      <c r="GT6" s="1344"/>
      <c r="GU6" s="1344"/>
      <c r="GV6" s="1344"/>
      <c r="GW6" s="1344"/>
      <c r="GX6" s="1344"/>
      <c r="GY6" s="1344"/>
      <c r="GZ6" s="1344"/>
      <c r="HA6" s="1344"/>
      <c r="HB6" s="1344"/>
      <c r="HC6" s="1344"/>
      <c r="HD6" s="1344"/>
      <c r="HE6" s="1344"/>
      <c r="HF6" s="1344"/>
      <c r="HG6" s="1344"/>
      <c r="HH6" s="1344"/>
      <c r="HI6" s="1344"/>
      <c r="HJ6" s="1344"/>
      <c r="HK6" s="1344"/>
      <c r="HL6" s="1344"/>
      <c r="HM6" s="1344"/>
      <c r="HN6" s="1344"/>
    </row>
    <row r="7" spans="1:222" s="1345" customFormat="1" ht="30" customHeight="1" thickBot="1" x14ac:dyDescent="0.25">
      <c r="A7" s="1205" t="s">
        <v>1523</v>
      </c>
      <c r="B7" s="741" t="s">
        <v>1060</v>
      </c>
      <c r="C7" s="1033" t="s">
        <v>1296</v>
      </c>
      <c r="D7" s="1673"/>
      <c r="E7" s="1676"/>
      <c r="F7" s="1779" t="s">
        <v>2292</v>
      </c>
    </row>
    <row r="8" spans="1:222" s="242" customFormat="1" ht="30" customHeight="1" thickBot="1" x14ac:dyDescent="0.25">
      <c r="A8" s="1342" t="s">
        <v>1524</v>
      </c>
      <c r="B8" s="767" t="s">
        <v>1257</v>
      </c>
      <c r="C8" s="998" t="s">
        <v>1289</v>
      </c>
      <c r="D8" s="1674"/>
      <c r="E8" s="1677"/>
      <c r="F8" s="1779" t="s">
        <v>2287</v>
      </c>
    </row>
    <row r="9" spans="1:222" s="242" customFormat="1" ht="30" customHeight="1" thickBot="1" x14ac:dyDescent="0.25">
      <c r="A9" s="1205" t="s">
        <v>1525</v>
      </c>
      <c r="B9" s="741" t="s">
        <v>1270</v>
      </c>
      <c r="C9" s="1033" t="s">
        <v>1042</v>
      </c>
      <c r="D9" s="1673"/>
      <c r="E9" s="1678"/>
      <c r="F9" s="1779" t="s">
        <v>1435</v>
      </c>
    </row>
    <row r="10" spans="1:222" s="242" customFormat="1" ht="30" customHeight="1" thickBot="1" x14ac:dyDescent="0.25">
      <c r="A10" s="1342" t="s">
        <v>1526</v>
      </c>
      <c r="B10" s="767" t="s">
        <v>1041</v>
      </c>
      <c r="C10" s="998" t="s">
        <v>1040</v>
      </c>
      <c r="D10" s="1674"/>
      <c r="E10" s="1677"/>
      <c r="F10" s="1779" t="s">
        <v>1909</v>
      </c>
    </row>
    <row r="11" spans="1:222" s="242" customFormat="1" ht="30" customHeight="1" thickBot="1" x14ac:dyDescent="0.25">
      <c r="A11" s="1205" t="s">
        <v>1527</v>
      </c>
      <c r="B11" s="741" t="s">
        <v>1052</v>
      </c>
      <c r="C11" s="1033" t="s">
        <v>1051</v>
      </c>
      <c r="D11" s="1673"/>
      <c r="E11" s="1678"/>
      <c r="F11" s="1779" t="s">
        <v>1477</v>
      </c>
    </row>
    <row r="12" spans="1:222" s="242" customFormat="1" ht="30" customHeight="1" thickBot="1" x14ac:dyDescent="0.25">
      <c r="A12" s="1342" t="s">
        <v>1528</v>
      </c>
      <c r="B12" s="767" t="s">
        <v>1035</v>
      </c>
      <c r="C12" s="998" t="s">
        <v>1455</v>
      </c>
      <c r="D12" s="1674"/>
      <c r="E12" s="1677"/>
      <c r="F12" s="1778" t="s">
        <v>1457</v>
      </c>
    </row>
    <row r="13" spans="1:222" s="242" customFormat="1" ht="30" customHeight="1" thickBot="1" x14ac:dyDescent="0.25">
      <c r="A13" s="1205" t="s">
        <v>1529</v>
      </c>
      <c r="B13" s="741" t="s">
        <v>1250</v>
      </c>
      <c r="C13" s="1033" t="s">
        <v>1403</v>
      </c>
      <c r="D13" s="1673"/>
      <c r="E13" s="1678"/>
      <c r="F13" s="1779" t="s">
        <v>2293</v>
      </c>
    </row>
    <row r="14" spans="1:222" s="242" customFormat="1" ht="30" customHeight="1" thickBot="1" x14ac:dyDescent="0.25">
      <c r="A14" s="1342" t="s">
        <v>1530</v>
      </c>
      <c r="B14" s="767" t="s">
        <v>1299</v>
      </c>
      <c r="C14" s="998" t="s">
        <v>1404</v>
      </c>
      <c r="D14" s="1674"/>
      <c r="E14" s="1677"/>
      <c r="F14" s="1779" t="s">
        <v>2293</v>
      </c>
    </row>
    <row r="15" spans="1:222" s="242" customFormat="1" ht="30" customHeight="1" thickBot="1" x14ac:dyDescent="0.25">
      <c r="A15" s="1205" t="s">
        <v>1531</v>
      </c>
      <c r="B15" s="741" t="s">
        <v>1287</v>
      </c>
      <c r="C15" s="1033" t="s">
        <v>1405</v>
      </c>
      <c r="D15" s="1673"/>
      <c r="E15" s="1678"/>
      <c r="F15" s="1779" t="s">
        <v>2294</v>
      </c>
    </row>
    <row r="16" spans="1:222" s="242" customFormat="1" ht="30" customHeight="1" thickBot="1" x14ac:dyDescent="0.25">
      <c r="A16" s="1342" t="s">
        <v>1532</v>
      </c>
      <c r="B16" s="767" t="s">
        <v>1044</v>
      </c>
      <c r="C16" s="998" t="s">
        <v>1436</v>
      </c>
      <c r="D16" s="1674"/>
      <c r="E16" s="1677"/>
      <c r="F16" s="1779" t="s">
        <v>1478</v>
      </c>
    </row>
    <row r="17" spans="1:6" s="242" customFormat="1" ht="45" customHeight="1" thickBot="1" x14ac:dyDescent="0.25">
      <c r="A17" s="1205" t="s">
        <v>1533</v>
      </c>
      <c r="B17" s="741" t="s">
        <v>1039</v>
      </c>
      <c r="C17" s="1033" t="s">
        <v>344</v>
      </c>
      <c r="D17" s="1673"/>
      <c r="E17" s="1678"/>
      <c r="F17" s="1779" t="s">
        <v>2295</v>
      </c>
    </row>
    <row r="18" spans="1:6" s="242" customFormat="1" ht="30" customHeight="1" thickBot="1" x14ac:dyDescent="0.25">
      <c r="A18" s="1342" t="s">
        <v>1534</v>
      </c>
      <c r="B18" s="767" t="s">
        <v>1078</v>
      </c>
      <c r="C18" s="998" t="s">
        <v>1018</v>
      </c>
      <c r="D18" s="1674"/>
      <c r="E18" s="1677"/>
      <c r="F18" s="1779" t="s">
        <v>1465</v>
      </c>
    </row>
    <row r="19" spans="1:6" s="242" customFormat="1" ht="30" customHeight="1" thickBot="1" x14ac:dyDescent="0.25">
      <c r="A19" s="1205" t="s">
        <v>1535</v>
      </c>
      <c r="B19" s="741" t="s">
        <v>1029</v>
      </c>
      <c r="C19" s="1033" t="s">
        <v>1028</v>
      </c>
      <c r="D19" s="1673"/>
      <c r="E19" s="1678"/>
      <c r="F19" s="1779" t="s">
        <v>1466</v>
      </c>
    </row>
    <row r="20" spans="1:6" s="242" customFormat="1" ht="30" customHeight="1" thickBot="1" x14ac:dyDescent="0.25">
      <c r="A20" s="1342" t="s">
        <v>1536</v>
      </c>
      <c r="B20" s="767" t="s">
        <v>1284</v>
      </c>
      <c r="C20" s="998" t="s">
        <v>1491</v>
      </c>
      <c r="D20" s="1674"/>
      <c r="E20" s="1677"/>
      <c r="F20" s="1779" t="s">
        <v>1472</v>
      </c>
    </row>
    <row r="21" spans="1:6" s="242" customFormat="1" ht="30" customHeight="1" thickBot="1" x14ac:dyDescent="0.25">
      <c r="A21" s="1205" t="s">
        <v>1537</v>
      </c>
      <c r="B21" s="741" t="s">
        <v>1079</v>
      </c>
      <c r="C21" s="1033" t="s">
        <v>1046</v>
      </c>
      <c r="D21" s="1673"/>
      <c r="E21" s="1678"/>
      <c r="F21" s="1779" t="s">
        <v>2288</v>
      </c>
    </row>
    <row r="22" spans="1:6" s="242" customFormat="1" ht="30" customHeight="1" thickBot="1" x14ac:dyDescent="0.25">
      <c r="A22" s="1342" t="s">
        <v>1538</v>
      </c>
      <c r="B22" s="767" t="s">
        <v>1076</v>
      </c>
      <c r="C22" s="998" t="s">
        <v>345</v>
      </c>
      <c r="D22" s="1674"/>
      <c r="E22" s="1677"/>
      <c r="F22" s="1779" t="s">
        <v>1458</v>
      </c>
    </row>
    <row r="23" spans="1:6" s="242" customFormat="1" ht="30" customHeight="1" thickBot="1" x14ac:dyDescent="0.25">
      <c r="A23" s="1205" t="s">
        <v>1539</v>
      </c>
      <c r="B23" s="741" t="s">
        <v>1024</v>
      </c>
      <c r="C23" s="1033" t="s">
        <v>1023</v>
      </c>
      <c r="D23" s="1673"/>
      <c r="E23" s="1678"/>
      <c r="F23" s="1779" t="s">
        <v>2296</v>
      </c>
    </row>
    <row r="24" spans="1:6" s="242" customFormat="1" ht="30" customHeight="1" thickBot="1" x14ac:dyDescent="0.25">
      <c r="A24" s="1342" t="s">
        <v>1540</v>
      </c>
      <c r="B24" s="767" t="s">
        <v>1265</v>
      </c>
      <c r="C24" s="998" t="s">
        <v>1410</v>
      </c>
      <c r="D24" s="1674"/>
      <c r="E24" s="1677"/>
      <c r="F24" s="1779" t="s">
        <v>2294</v>
      </c>
    </row>
    <row r="25" spans="1:6" s="242" customFormat="1" ht="30" customHeight="1" thickBot="1" x14ac:dyDescent="0.25">
      <c r="A25" s="1205" t="s">
        <v>1541</v>
      </c>
      <c r="B25" s="741" t="s">
        <v>1266</v>
      </c>
      <c r="C25" s="1033" t="s">
        <v>1267</v>
      </c>
      <c r="D25" s="1673"/>
      <c r="E25" s="1678"/>
      <c r="F25" s="1779" t="s">
        <v>2294</v>
      </c>
    </row>
    <row r="26" spans="1:6" s="242" customFormat="1" ht="30" customHeight="1" thickBot="1" x14ac:dyDescent="0.25">
      <c r="A26" s="1342" t="s">
        <v>1542</v>
      </c>
      <c r="B26" s="767" t="s">
        <v>1345</v>
      </c>
      <c r="C26" s="998" t="s">
        <v>1346</v>
      </c>
      <c r="D26" s="1674"/>
      <c r="E26" s="1677"/>
      <c r="F26" s="1779" t="s">
        <v>2294</v>
      </c>
    </row>
    <row r="27" spans="1:6" s="242" customFormat="1" ht="45" customHeight="1" thickBot="1" x14ac:dyDescent="0.25">
      <c r="A27" s="1205" t="s">
        <v>1543</v>
      </c>
      <c r="B27" s="741" t="s">
        <v>1061</v>
      </c>
      <c r="C27" s="1033" t="s">
        <v>1426</v>
      </c>
      <c r="D27" s="1673"/>
      <c r="E27" s="1678"/>
      <c r="F27" s="1779" t="s">
        <v>1907</v>
      </c>
    </row>
    <row r="28" spans="1:6" s="242" customFormat="1" ht="30" customHeight="1" thickBot="1" x14ac:dyDescent="0.25">
      <c r="A28" s="1342" t="s">
        <v>1544</v>
      </c>
      <c r="B28" s="767" t="s">
        <v>1032</v>
      </c>
      <c r="C28" s="998" t="s">
        <v>1427</v>
      </c>
      <c r="D28" s="1674"/>
      <c r="E28" s="1677"/>
      <c r="F28" s="1779" t="s">
        <v>1906</v>
      </c>
    </row>
    <row r="29" spans="1:6" s="242" customFormat="1" ht="30" customHeight="1" thickBot="1" x14ac:dyDescent="0.25">
      <c r="A29" s="1205" t="s">
        <v>1545</v>
      </c>
      <c r="B29" s="741" t="s">
        <v>1063</v>
      </c>
      <c r="C29" s="1033" t="s">
        <v>1484</v>
      </c>
      <c r="D29" s="1673"/>
      <c r="E29" s="1678"/>
      <c r="F29" s="1779" t="s">
        <v>1483</v>
      </c>
    </row>
    <row r="30" spans="1:6" s="242" customFormat="1" ht="30" customHeight="1" thickBot="1" x14ac:dyDescent="0.25">
      <c r="A30" s="1342" t="s">
        <v>1546</v>
      </c>
      <c r="B30" s="767" t="s">
        <v>1354</v>
      </c>
      <c r="C30" s="998" t="s">
        <v>1393</v>
      </c>
      <c r="D30" s="1674"/>
      <c r="E30" s="1677"/>
      <c r="F30" s="1779" t="s">
        <v>2294</v>
      </c>
    </row>
    <row r="31" spans="1:6" s="242" customFormat="1" ht="30" customHeight="1" thickBot="1" x14ac:dyDescent="0.25">
      <c r="A31" s="1205" t="s">
        <v>1547</v>
      </c>
      <c r="B31" s="741" t="s">
        <v>1355</v>
      </c>
      <c r="C31" s="1033" t="s">
        <v>1408</v>
      </c>
      <c r="D31" s="1673"/>
      <c r="E31" s="1678"/>
      <c r="F31" s="1779" t="s">
        <v>2294</v>
      </c>
    </row>
    <row r="32" spans="1:6" s="242" customFormat="1" ht="45" customHeight="1" thickBot="1" x14ac:dyDescent="0.25">
      <c r="A32" s="1342" t="s">
        <v>1548</v>
      </c>
      <c r="B32" s="767" t="s">
        <v>1400</v>
      </c>
      <c r="C32" s="998" t="s">
        <v>1423</v>
      </c>
      <c r="D32" s="1674"/>
      <c r="E32" s="1677"/>
      <c r="F32" s="1779" t="s">
        <v>2297</v>
      </c>
    </row>
    <row r="33" spans="1:222" s="242" customFormat="1" ht="30" customHeight="1" thickBot="1" x14ac:dyDescent="0.25">
      <c r="A33" s="1205" t="s">
        <v>1549</v>
      </c>
      <c r="B33" s="741" t="s">
        <v>1401</v>
      </c>
      <c r="C33" s="1033" t="s">
        <v>1424</v>
      </c>
      <c r="D33" s="1673"/>
      <c r="E33" s="1678"/>
      <c r="F33" s="1779" t="s">
        <v>2298</v>
      </c>
    </row>
    <row r="34" spans="1:222" s="242" customFormat="1" ht="30" customHeight="1" thickBot="1" x14ac:dyDescent="0.25">
      <c r="A34" s="1342" t="s">
        <v>1550</v>
      </c>
      <c r="B34" s="767" t="s">
        <v>1402</v>
      </c>
      <c r="C34" s="998" t="s">
        <v>1425</v>
      </c>
      <c r="D34" s="1674"/>
      <c r="E34" s="1677"/>
      <c r="F34" s="1779" t="s">
        <v>2299</v>
      </c>
    </row>
    <row r="35" spans="1:222" s="242" customFormat="1" ht="30" customHeight="1" thickBot="1" x14ac:dyDescent="0.25">
      <c r="A35" s="1205" t="s">
        <v>1551</v>
      </c>
      <c r="B35" s="741" t="s">
        <v>1064</v>
      </c>
      <c r="C35" s="1033" t="s">
        <v>1482</v>
      </c>
      <c r="D35" s="1673"/>
      <c r="E35" s="1678"/>
      <c r="F35" s="1779" t="s">
        <v>2300</v>
      </c>
    </row>
    <row r="36" spans="1:222" s="242" customFormat="1" ht="30" customHeight="1" thickBot="1" x14ac:dyDescent="0.25">
      <c r="A36" s="1342" t="s">
        <v>1552</v>
      </c>
      <c r="B36" s="767" t="s">
        <v>1019</v>
      </c>
      <c r="C36" s="998" t="s">
        <v>1080</v>
      </c>
      <c r="D36" s="1674"/>
      <c r="E36" s="1677"/>
      <c r="F36" s="1779" t="s">
        <v>2173</v>
      </c>
    </row>
    <row r="37" spans="1:222" s="242" customFormat="1" ht="30" customHeight="1" thickBot="1" x14ac:dyDescent="0.25">
      <c r="A37" s="1205" t="s">
        <v>1553</v>
      </c>
      <c r="B37" s="741" t="s">
        <v>1348</v>
      </c>
      <c r="C37" s="1033" t="s">
        <v>1349</v>
      </c>
      <c r="D37" s="1673"/>
      <c r="E37" s="1678"/>
      <c r="F37" s="1779" t="s">
        <v>1438</v>
      </c>
    </row>
    <row r="38" spans="1:222" s="242" customFormat="1" ht="30" customHeight="1" thickBot="1" x14ac:dyDescent="0.25">
      <c r="A38" s="1342" t="s">
        <v>1554</v>
      </c>
      <c r="B38" s="767" t="s">
        <v>1069</v>
      </c>
      <c r="C38" s="998" t="s">
        <v>1049</v>
      </c>
      <c r="D38" s="1674"/>
      <c r="E38" s="1677"/>
      <c r="F38" s="1779" t="s">
        <v>2301</v>
      </c>
    </row>
    <row r="39" spans="1:222" s="242" customFormat="1" ht="30" customHeight="1" thickBot="1" x14ac:dyDescent="0.25">
      <c r="A39" s="1205" t="s">
        <v>1555</v>
      </c>
      <c r="B39" s="741" t="s">
        <v>1070</v>
      </c>
      <c r="C39" s="1033" t="s">
        <v>1285</v>
      </c>
      <c r="D39" s="1673"/>
      <c r="E39" s="1678"/>
      <c r="F39" s="1779" t="s">
        <v>1476</v>
      </c>
    </row>
    <row r="40" spans="1:222" s="242" customFormat="1" ht="30" customHeight="1" thickBot="1" x14ac:dyDescent="0.25">
      <c r="A40" s="1342" t="s">
        <v>1556</v>
      </c>
      <c r="B40" s="767" t="s">
        <v>1280</v>
      </c>
      <c r="C40" s="998" t="s">
        <v>1279</v>
      </c>
      <c r="D40" s="1674"/>
      <c r="E40" s="1677"/>
      <c r="F40" s="1779" t="s">
        <v>1454</v>
      </c>
    </row>
    <row r="41" spans="1:222" s="242" customFormat="1" ht="30" customHeight="1" thickBot="1" x14ac:dyDescent="0.25">
      <c r="A41" s="1205" t="s">
        <v>1557</v>
      </c>
      <c r="B41" s="741" t="s">
        <v>1065</v>
      </c>
      <c r="C41" s="1033" t="s">
        <v>1043</v>
      </c>
      <c r="D41" s="1673"/>
      <c r="E41" s="1678"/>
      <c r="F41" s="1779"/>
    </row>
    <row r="42" spans="1:222" s="242" customFormat="1" ht="30" customHeight="1" thickBot="1" x14ac:dyDescent="0.25">
      <c r="A42" s="1342" t="s">
        <v>1558</v>
      </c>
      <c r="B42" s="767" t="s">
        <v>1068</v>
      </c>
      <c r="C42" s="998" t="s">
        <v>1047</v>
      </c>
      <c r="D42" s="1674"/>
      <c r="E42" s="1677"/>
      <c r="F42" s="1779" t="s">
        <v>1438</v>
      </c>
    </row>
    <row r="43" spans="1:222" s="242" customFormat="1" ht="30" customHeight="1" thickBot="1" x14ac:dyDescent="0.25">
      <c r="A43" s="1205" t="s">
        <v>1559</v>
      </c>
      <c r="B43" s="741" t="s">
        <v>1077</v>
      </c>
      <c r="C43" s="1033" t="s">
        <v>1031</v>
      </c>
      <c r="D43" s="1673"/>
      <c r="E43" s="1678"/>
      <c r="F43" s="1779" t="s">
        <v>1473</v>
      </c>
    </row>
    <row r="44" spans="1:222" s="242" customFormat="1" ht="30" customHeight="1" thickBot="1" x14ac:dyDescent="0.25">
      <c r="A44" s="1342" t="s">
        <v>1560</v>
      </c>
      <c r="B44" s="767" t="s">
        <v>1073</v>
      </c>
      <c r="C44" s="998" t="s">
        <v>1054</v>
      </c>
      <c r="D44" s="1674"/>
      <c r="E44" s="1677"/>
      <c r="F44" s="1779" t="s">
        <v>1459</v>
      </c>
    </row>
    <row r="45" spans="1:222" s="242" customFormat="1" ht="30" customHeight="1" thickBot="1" x14ac:dyDescent="0.25">
      <c r="A45" s="1205" t="s">
        <v>1561</v>
      </c>
      <c r="B45" s="741" t="s">
        <v>1074</v>
      </c>
      <c r="C45" s="1033" t="s">
        <v>1055</v>
      </c>
      <c r="D45" s="1673"/>
      <c r="E45" s="1678"/>
      <c r="F45" s="1779" t="s">
        <v>2302</v>
      </c>
    </row>
    <row r="46" spans="1:222" ht="30" customHeight="1" thickBot="1" x14ac:dyDescent="0.25">
      <c r="A46" s="1342" t="s">
        <v>1562</v>
      </c>
      <c r="B46" s="767" t="s">
        <v>1246</v>
      </c>
      <c r="C46" s="998" t="s">
        <v>1479</v>
      </c>
      <c r="D46" s="1674"/>
      <c r="E46" s="1677"/>
      <c r="F46" s="1778" t="s">
        <v>1480</v>
      </c>
      <c r="G46" s="1344"/>
      <c r="H46" s="1344"/>
      <c r="I46" s="1344"/>
      <c r="J46" s="1344"/>
      <c r="K46" s="1344"/>
      <c r="L46" s="1344"/>
      <c r="M46" s="1344"/>
      <c r="N46" s="1344"/>
      <c r="O46" s="1344"/>
      <c r="P46" s="1344"/>
      <c r="Q46" s="1344"/>
      <c r="R46" s="1344"/>
      <c r="S46" s="1344"/>
      <c r="T46" s="1344"/>
      <c r="U46" s="1344"/>
      <c r="V46" s="1344"/>
      <c r="W46" s="1344"/>
      <c r="X46" s="1344"/>
      <c r="Y46" s="1344"/>
      <c r="Z46" s="1344"/>
      <c r="AA46" s="1344"/>
      <c r="AB46" s="1344"/>
      <c r="AC46" s="1344"/>
      <c r="AD46" s="1344"/>
      <c r="AE46" s="1344"/>
      <c r="AF46" s="1344"/>
      <c r="AG46" s="1344"/>
      <c r="AH46" s="1344"/>
      <c r="AI46" s="1344"/>
      <c r="AJ46" s="1344"/>
      <c r="AK46" s="1344"/>
      <c r="AL46" s="1344"/>
      <c r="AM46" s="1344"/>
      <c r="AN46" s="1344"/>
      <c r="AO46" s="1344"/>
      <c r="AP46" s="1344"/>
      <c r="AQ46" s="1344"/>
      <c r="AR46" s="1344"/>
      <c r="AS46" s="1344"/>
      <c r="AT46" s="1344"/>
      <c r="AU46" s="1344"/>
      <c r="AV46" s="1344"/>
      <c r="AW46" s="1344"/>
      <c r="AX46" s="1344"/>
      <c r="AY46" s="1344"/>
      <c r="AZ46" s="1344"/>
      <c r="BA46" s="1344"/>
      <c r="BB46" s="1344"/>
      <c r="BC46" s="1344"/>
      <c r="BD46" s="1344"/>
      <c r="BE46" s="1344"/>
      <c r="BF46" s="1344"/>
      <c r="BG46" s="1344"/>
      <c r="BH46" s="1344"/>
      <c r="BI46" s="1344"/>
      <c r="BJ46" s="1344"/>
      <c r="BK46" s="1344"/>
      <c r="BL46" s="1344"/>
      <c r="BM46" s="1344"/>
      <c r="BN46" s="1344"/>
      <c r="BO46" s="1344"/>
      <c r="BP46" s="1344"/>
      <c r="BQ46" s="1344"/>
      <c r="BR46" s="1344"/>
      <c r="BS46" s="1344"/>
      <c r="BT46" s="1344"/>
      <c r="BU46" s="1344"/>
      <c r="BV46" s="1344"/>
      <c r="BW46" s="1344"/>
      <c r="BX46" s="1344"/>
      <c r="BY46" s="1344"/>
      <c r="BZ46" s="1344"/>
      <c r="CA46" s="1344"/>
      <c r="CB46" s="1344"/>
      <c r="CC46" s="1344"/>
      <c r="CD46" s="1344"/>
      <c r="CE46" s="1344"/>
      <c r="CF46" s="1344"/>
      <c r="CG46" s="1344"/>
      <c r="CH46" s="1344"/>
      <c r="CI46" s="1344"/>
      <c r="CJ46" s="1344"/>
      <c r="CK46" s="1344"/>
      <c r="CL46" s="1344"/>
      <c r="CM46" s="1344"/>
      <c r="CN46" s="1344"/>
      <c r="CO46" s="1344"/>
      <c r="CP46" s="1344"/>
      <c r="CQ46" s="1344"/>
      <c r="CR46" s="1344"/>
      <c r="CS46" s="1344"/>
      <c r="CT46" s="1344"/>
      <c r="CU46" s="1344"/>
      <c r="CV46" s="1344"/>
      <c r="CW46" s="1344"/>
      <c r="CX46" s="1344"/>
      <c r="CY46" s="1344"/>
      <c r="CZ46" s="1344"/>
      <c r="DA46" s="1344"/>
      <c r="DB46" s="1344"/>
      <c r="DC46" s="1344"/>
      <c r="DD46" s="1344"/>
      <c r="DE46" s="1344"/>
      <c r="DF46" s="1344"/>
      <c r="DG46" s="1344"/>
      <c r="DH46" s="1344"/>
      <c r="DI46" s="1344"/>
      <c r="DJ46" s="1344"/>
      <c r="DK46" s="1344"/>
      <c r="DL46" s="1344"/>
      <c r="DM46" s="1344"/>
      <c r="DN46" s="1344"/>
      <c r="DO46" s="1344"/>
      <c r="DP46" s="1344"/>
      <c r="DQ46" s="1344"/>
      <c r="DR46" s="1344"/>
      <c r="DS46" s="1344"/>
      <c r="DT46" s="1344"/>
      <c r="DU46" s="1344"/>
      <c r="DV46" s="1344"/>
      <c r="DW46" s="1344"/>
      <c r="DX46" s="1344"/>
      <c r="DY46" s="1344"/>
      <c r="DZ46" s="1344"/>
      <c r="EA46" s="1344"/>
      <c r="EB46" s="1344"/>
      <c r="EC46" s="1344"/>
      <c r="ED46" s="1344"/>
      <c r="EE46" s="1344"/>
      <c r="EF46" s="1344"/>
      <c r="EG46" s="1344"/>
      <c r="EH46" s="1344"/>
      <c r="EI46" s="1344"/>
      <c r="EJ46" s="1344"/>
      <c r="EK46" s="1344"/>
      <c r="EL46" s="1344"/>
      <c r="EM46" s="1344"/>
      <c r="EN46" s="1344"/>
      <c r="EO46" s="1344"/>
      <c r="EP46" s="1344"/>
      <c r="EQ46" s="1344"/>
      <c r="ER46" s="1344"/>
      <c r="ES46" s="1344"/>
      <c r="ET46" s="1344"/>
      <c r="EU46" s="1344"/>
      <c r="EV46" s="1344"/>
      <c r="EW46" s="1344"/>
      <c r="EX46" s="1344"/>
      <c r="EY46" s="1344"/>
      <c r="EZ46" s="1344"/>
      <c r="FA46" s="1344"/>
      <c r="FB46" s="1344"/>
      <c r="FC46" s="1344"/>
      <c r="FD46" s="1344"/>
      <c r="FE46" s="1344"/>
      <c r="FF46" s="1344"/>
      <c r="FG46" s="1344"/>
      <c r="FH46" s="1344"/>
      <c r="FI46" s="1344"/>
      <c r="FJ46" s="1344"/>
      <c r="FK46" s="1344"/>
      <c r="FL46" s="1344"/>
      <c r="FM46" s="1344"/>
      <c r="FN46" s="1344"/>
      <c r="FO46" s="1344"/>
      <c r="FP46" s="1344"/>
      <c r="FQ46" s="1344"/>
      <c r="FR46" s="1344"/>
      <c r="FS46" s="1344"/>
      <c r="FT46" s="1344"/>
      <c r="FU46" s="1344"/>
      <c r="FV46" s="1344"/>
      <c r="FW46" s="1344"/>
      <c r="FX46" s="1344"/>
      <c r="FY46" s="1344"/>
      <c r="FZ46" s="1344"/>
      <c r="GA46" s="1344"/>
      <c r="GB46" s="1344"/>
      <c r="GC46" s="1344"/>
      <c r="GD46" s="1344"/>
      <c r="GE46" s="1344"/>
      <c r="GF46" s="1344"/>
      <c r="GG46" s="1344"/>
      <c r="GH46" s="1344"/>
      <c r="GI46" s="1344"/>
      <c r="GJ46" s="1344"/>
      <c r="GK46" s="1344"/>
      <c r="GL46" s="1344"/>
      <c r="GM46" s="1344"/>
      <c r="GN46" s="1344"/>
      <c r="GO46" s="1344"/>
      <c r="GP46" s="1344"/>
      <c r="GQ46" s="1344"/>
      <c r="GR46" s="1344"/>
      <c r="GS46" s="1344"/>
      <c r="GT46" s="1344"/>
      <c r="GU46" s="1344"/>
      <c r="GV46" s="1344"/>
      <c r="GW46" s="1344"/>
      <c r="GX46" s="1344"/>
      <c r="GY46" s="1344"/>
      <c r="GZ46" s="1344"/>
      <c r="HA46" s="1344"/>
      <c r="HB46" s="1344"/>
      <c r="HC46" s="1344"/>
      <c r="HD46" s="1344"/>
      <c r="HE46" s="1344"/>
      <c r="HF46" s="1344"/>
      <c r="HG46" s="1344"/>
      <c r="HH46" s="1344"/>
      <c r="HI46" s="1344"/>
      <c r="HJ46" s="1344"/>
      <c r="HK46" s="1344"/>
      <c r="HL46" s="1344"/>
      <c r="HM46" s="1344"/>
      <c r="HN46" s="1344"/>
    </row>
    <row r="47" spans="1:222" s="242" customFormat="1" ht="30" customHeight="1" thickBot="1" x14ac:dyDescent="0.25">
      <c r="A47" s="1205" t="s">
        <v>1563</v>
      </c>
      <c r="B47" s="741" t="s">
        <v>1034</v>
      </c>
      <c r="C47" s="1033" t="s">
        <v>1113</v>
      </c>
      <c r="D47" s="1673"/>
      <c r="E47" s="1678"/>
      <c r="F47" s="1778" t="s">
        <v>2234</v>
      </c>
    </row>
    <row r="48" spans="1:222" s="242" customFormat="1" ht="30" customHeight="1" thickBot="1" x14ac:dyDescent="0.25">
      <c r="A48" s="1346" t="s">
        <v>1564</v>
      </c>
      <c r="B48" s="741" t="s">
        <v>1397</v>
      </c>
      <c r="C48" s="1033" t="s">
        <v>1112</v>
      </c>
      <c r="D48" s="1673"/>
      <c r="E48" s="1678"/>
      <c r="F48" s="1778" t="s">
        <v>1471</v>
      </c>
    </row>
    <row r="49" spans="1:222" s="242" customFormat="1" ht="30" customHeight="1" thickBot="1" x14ac:dyDescent="0.25">
      <c r="A49" s="1206" t="s">
        <v>1565</v>
      </c>
      <c r="B49" s="767" t="s">
        <v>1398</v>
      </c>
      <c r="C49" s="998" t="s">
        <v>1112</v>
      </c>
      <c r="D49" s="1674"/>
      <c r="E49" s="1677"/>
      <c r="F49" s="1778" t="s">
        <v>1469</v>
      </c>
    </row>
    <row r="50" spans="1:222" s="242" customFormat="1" ht="30" customHeight="1" thickBot="1" x14ac:dyDescent="0.25">
      <c r="A50" s="1346" t="s">
        <v>1566</v>
      </c>
      <c r="B50" s="741" t="s">
        <v>1399</v>
      </c>
      <c r="C50" s="1033" t="s">
        <v>1112</v>
      </c>
      <c r="D50" s="1673"/>
      <c r="E50" s="1678"/>
      <c r="F50" s="1778" t="s">
        <v>1470</v>
      </c>
    </row>
    <row r="51" spans="1:222" ht="30" customHeight="1" thickBot="1" x14ac:dyDescent="0.25">
      <c r="A51" s="1205" t="s">
        <v>1567</v>
      </c>
      <c r="B51" s="741" t="s">
        <v>1027</v>
      </c>
      <c r="C51" s="1033" t="s">
        <v>1460</v>
      </c>
      <c r="D51" s="1673"/>
      <c r="E51" s="1678"/>
      <c r="F51" s="1779" t="s">
        <v>1468</v>
      </c>
      <c r="G51" s="1344"/>
      <c r="H51" s="1344"/>
      <c r="I51" s="1344"/>
      <c r="J51" s="1344"/>
      <c r="K51" s="1344"/>
      <c r="L51" s="1344"/>
      <c r="M51" s="1344"/>
      <c r="N51" s="1344"/>
      <c r="O51" s="1344"/>
      <c r="P51" s="1344"/>
      <c r="Q51" s="1344"/>
      <c r="R51" s="1344"/>
      <c r="S51" s="1344"/>
      <c r="T51" s="1344"/>
      <c r="U51" s="1344"/>
      <c r="V51" s="1344"/>
      <c r="W51" s="1344"/>
      <c r="X51" s="1344"/>
      <c r="Y51" s="1344"/>
      <c r="Z51" s="1344"/>
      <c r="AA51" s="1344"/>
      <c r="AB51" s="1344"/>
      <c r="AC51" s="1344"/>
      <c r="AD51" s="1344"/>
      <c r="AE51" s="1344"/>
      <c r="AF51" s="1344"/>
      <c r="AG51" s="1344"/>
      <c r="AH51" s="1344"/>
      <c r="AI51" s="1344"/>
      <c r="AJ51" s="1344"/>
      <c r="AK51" s="1344"/>
      <c r="AL51" s="1344"/>
      <c r="AM51" s="1344"/>
      <c r="AN51" s="1344"/>
      <c r="AO51" s="1344"/>
      <c r="AP51" s="1344"/>
      <c r="AQ51" s="1344"/>
      <c r="AR51" s="1344"/>
      <c r="AS51" s="1344"/>
      <c r="AT51" s="1344"/>
      <c r="AU51" s="1344"/>
      <c r="AV51" s="1344"/>
      <c r="AW51" s="1344"/>
      <c r="AX51" s="1344"/>
      <c r="AY51" s="1344"/>
      <c r="AZ51" s="1344"/>
      <c r="BA51" s="1344"/>
      <c r="BB51" s="1344"/>
      <c r="BC51" s="1344"/>
      <c r="BD51" s="1344"/>
      <c r="BE51" s="1344"/>
      <c r="BF51" s="1344"/>
      <c r="BG51" s="1344"/>
      <c r="BH51" s="1344"/>
      <c r="BI51" s="1344"/>
      <c r="BJ51" s="1344"/>
      <c r="BK51" s="1344"/>
      <c r="BL51" s="1344"/>
      <c r="BM51" s="1344"/>
      <c r="BN51" s="1344"/>
      <c r="BO51" s="1344"/>
      <c r="BP51" s="1344"/>
      <c r="BQ51" s="1344"/>
      <c r="BR51" s="1344"/>
      <c r="BS51" s="1344"/>
      <c r="BT51" s="1344"/>
      <c r="BU51" s="1344"/>
      <c r="BV51" s="1344"/>
      <c r="BW51" s="1344"/>
      <c r="BX51" s="1344"/>
      <c r="BY51" s="1344"/>
      <c r="BZ51" s="1344"/>
      <c r="CA51" s="1344"/>
      <c r="CB51" s="1344"/>
      <c r="CC51" s="1344"/>
      <c r="CD51" s="1344"/>
      <c r="CE51" s="1344"/>
      <c r="CF51" s="1344"/>
      <c r="CG51" s="1344"/>
      <c r="CH51" s="1344"/>
      <c r="CI51" s="1344"/>
      <c r="CJ51" s="1344"/>
      <c r="CK51" s="1344"/>
      <c r="CL51" s="1344"/>
      <c r="CM51" s="1344"/>
      <c r="CN51" s="1344"/>
      <c r="CO51" s="1344"/>
      <c r="CP51" s="1344"/>
      <c r="CQ51" s="1344"/>
      <c r="CR51" s="1344"/>
      <c r="CS51" s="1344"/>
      <c r="CT51" s="1344"/>
      <c r="CU51" s="1344"/>
      <c r="CV51" s="1344"/>
      <c r="CW51" s="1344"/>
      <c r="CX51" s="1344"/>
      <c r="CY51" s="1344"/>
      <c r="CZ51" s="1344"/>
      <c r="DA51" s="1344"/>
      <c r="DB51" s="1344"/>
      <c r="DC51" s="1344"/>
      <c r="DD51" s="1344"/>
      <c r="DE51" s="1344"/>
      <c r="DF51" s="1344"/>
      <c r="DG51" s="1344"/>
      <c r="DH51" s="1344"/>
      <c r="DI51" s="1344"/>
      <c r="DJ51" s="1344"/>
      <c r="DK51" s="1344"/>
      <c r="DL51" s="1344"/>
      <c r="DM51" s="1344"/>
      <c r="DN51" s="1344"/>
      <c r="DO51" s="1344"/>
      <c r="DP51" s="1344"/>
      <c r="DQ51" s="1344"/>
      <c r="DR51" s="1344"/>
      <c r="DS51" s="1344"/>
      <c r="DT51" s="1344"/>
      <c r="DU51" s="1344"/>
      <c r="DV51" s="1344"/>
      <c r="DW51" s="1344"/>
      <c r="DX51" s="1344"/>
      <c r="DY51" s="1344"/>
      <c r="DZ51" s="1344"/>
      <c r="EA51" s="1344"/>
      <c r="EB51" s="1344"/>
      <c r="EC51" s="1344"/>
      <c r="ED51" s="1344"/>
      <c r="EE51" s="1344"/>
      <c r="EF51" s="1344"/>
      <c r="EG51" s="1344"/>
      <c r="EH51" s="1344"/>
      <c r="EI51" s="1344"/>
      <c r="EJ51" s="1344"/>
      <c r="EK51" s="1344"/>
      <c r="EL51" s="1344"/>
      <c r="EM51" s="1344"/>
      <c r="EN51" s="1344"/>
      <c r="EO51" s="1344"/>
      <c r="EP51" s="1344"/>
      <c r="EQ51" s="1344"/>
      <c r="ER51" s="1344"/>
      <c r="ES51" s="1344"/>
      <c r="ET51" s="1344"/>
      <c r="EU51" s="1344"/>
      <c r="EV51" s="1344"/>
      <c r="EW51" s="1344"/>
      <c r="EX51" s="1344"/>
      <c r="EY51" s="1344"/>
      <c r="EZ51" s="1344"/>
      <c r="FA51" s="1344"/>
      <c r="FB51" s="1344"/>
      <c r="FC51" s="1344"/>
      <c r="FD51" s="1344"/>
      <c r="FE51" s="1344"/>
      <c r="FF51" s="1344"/>
      <c r="FG51" s="1344"/>
      <c r="FH51" s="1344"/>
      <c r="FI51" s="1344"/>
      <c r="FJ51" s="1344"/>
      <c r="FK51" s="1344"/>
      <c r="FL51" s="1344"/>
      <c r="FM51" s="1344"/>
      <c r="FN51" s="1344"/>
      <c r="FO51" s="1344"/>
      <c r="FP51" s="1344"/>
      <c r="FQ51" s="1344"/>
      <c r="FR51" s="1344"/>
      <c r="FS51" s="1344"/>
      <c r="FT51" s="1344"/>
      <c r="FU51" s="1344"/>
      <c r="FV51" s="1344"/>
      <c r="FW51" s="1344"/>
      <c r="FX51" s="1344"/>
      <c r="FY51" s="1344"/>
      <c r="FZ51" s="1344"/>
      <c r="GA51" s="1344"/>
      <c r="GB51" s="1344"/>
      <c r="GC51" s="1344"/>
      <c r="GD51" s="1344"/>
      <c r="GE51" s="1344"/>
      <c r="GF51" s="1344"/>
      <c r="GG51" s="1344"/>
      <c r="GH51" s="1344"/>
      <c r="GI51" s="1344"/>
      <c r="GJ51" s="1344"/>
      <c r="GK51" s="1344"/>
      <c r="GL51" s="1344"/>
      <c r="GM51" s="1344"/>
      <c r="GN51" s="1344"/>
      <c r="GO51" s="1344"/>
      <c r="GP51" s="1344"/>
      <c r="GQ51" s="1344"/>
      <c r="GR51" s="1344"/>
      <c r="GS51" s="1344"/>
      <c r="GT51" s="1344"/>
      <c r="GU51" s="1344"/>
      <c r="GV51" s="1344"/>
      <c r="GW51" s="1344"/>
      <c r="GX51" s="1344"/>
      <c r="GY51" s="1344"/>
      <c r="GZ51" s="1344"/>
      <c r="HA51" s="1344"/>
      <c r="HB51" s="1344"/>
      <c r="HC51" s="1344"/>
      <c r="HD51" s="1344"/>
      <c r="HE51" s="1344"/>
      <c r="HF51" s="1344"/>
      <c r="HG51" s="1344"/>
      <c r="HH51" s="1344"/>
      <c r="HI51" s="1344"/>
      <c r="HJ51" s="1344"/>
      <c r="HK51" s="1344"/>
      <c r="HL51" s="1344"/>
      <c r="HM51" s="1344"/>
      <c r="HN51" s="1344"/>
    </row>
    <row r="52" spans="1:222" ht="30" customHeight="1" thickBot="1" x14ac:dyDescent="0.25">
      <c r="A52" s="1342" t="s">
        <v>1568</v>
      </c>
      <c r="B52" s="767" t="s">
        <v>1066</v>
      </c>
      <c r="C52" s="998" t="s">
        <v>1020</v>
      </c>
      <c r="D52" s="1674"/>
      <c r="E52" s="1677"/>
      <c r="F52" s="1779"/>
      <c r="G52" s="1344"/>
      <c r="H52" s="1344"/>
      <c r="I52" s="1344"/>
      <c r="J52" s="1344"/>
      <c r="K52" s="1344"/>
      <c r="L52" s="1344"/>
      <c r="M52" s="1344"/>
      <c r="N52" s="1344"/>
      <c r="O52" s="1344"/>
      <c r="P52" s="1344"/>
      <c r="Q52" s="1344"/>
      <c r="R52" s="1344"/>
      <c r="S52" s="1344"/>
      <c r="T52" s="1344"/>
      <c r="U52" s="1344"/>
      <c r="V52" s="1344"/>
      <c r="W52" s="1344"/>
      <c r="X52" s="1344"/>
      <c r="Y52" s="1344"/>
      <c r="Z52" s="1344"/>
      <c r="AA52" s="1344"/>
      <c r="AB52" s="1344"/>
      <c r="AC52" s="1344"/>
      <c r="AD52" s="1344"/>
      <c r="AE52" s="1344"/>
      <c r="AF52" s="1344"/>
      <c r="AG52" s="1344"/>
      <c r="AH52" s="1344"/>
      <c r="AI52" s="1344"/>
      <c r="AJ52" s="1344"/>
      <c r="AK52" s="1344"/>
      <c r="AL52" s="1344"/>
      <c r="AM52" s="1344"/>
      <c r="AN52" s="1344"/>
      <c r="AO52" s="1344"/>
      <c r="AP52" s="1344"/>
      <c r="AQ52" s="1344"/>
      <c r="AR52" s="1344"/>
      <c r="AS52" s="1344"/>
      <c r="AT52" s="1344"/>
      <c r="AU52" s="1344"/>
      <c r="AV52" s="1344"/>
      <c r="AW52" s="1344"/>
      <c r="AX52" s="1344"/>
      <c r="AY52" s="1344"/>
      <c r="AZ52" s="1344"/>
      <c r="BA52" s="1344"/>
      <c r="BB52" s="1344"/>
      <c r="BC52" s="1344"/>
      <c r="BD52" s="1344"/>
      <c r="BE52" s="1344"/>
      <c r="BF52" s="1344"/>
      <c r="BG52" s="1344"/>
      <c r="BH52" s="1344"/>
      <c r="BI52" s="1344"/>
      <c r="BJ52" s="1344"/>
      <c r="BK52" s="1344"/>
      <c r="BL52" s="1344"/>
      <c r="BM52" s="1344"/>
      <c r="BN52" s="1344"/>
      <c r="BO52" s="1344"/>
      <c r="BP52" s="1344"/>
      <c r="BQ52" s="1344"/>
      <c r="BR52" s="1344"/>
      <c r="BS52" s="1344"/>
      <c r="BT52" s="1344"/>
      <c r="BU52" s="1344"/>
      <c r="BV52" s="1344"/>
      <c r="BW52" s="1344"/>
      <c r="BX52" s="1344"/>
      <c r="BY52" s="1344"/>
      <c r="BZ52" s="1344"/>
      <c r="CA52" s="1344"/>
      <c r="CB52" s="1344"/>
      <c r="CC52" s="1344"/>
      <c r="CD52" s="1344"/>
      <c r="CE52" s="1344"/>
      <c r="CF52" s="1344"/>
      <c r="CG52" s="1344"/>
      <c r="CH52" s="1344"/>
      <c r="CI52" s="1344"/>
      <c r="CJ52" s="1344"/>
      <c r="CK52" s="1344"/>
      <c r="CL52" s="1344"/>
      <c r="CM52" s="1344"/>
      <c r="CN52" s="1344"/>
      <c r="CO52" s="1344"/>
      <c r="CP52" s="1344"/>
      <c r="CQ52" s="1344"/>
      <c r="CR52" s="1344"/>
      <c r="CS52" s="1344"/>
      <c r="CT52" s="1344"/>
      <c r="CU52" s="1344"/>
      <c r="CV52" s="1344"/>
      <c r="CW52" s="1344"/>
      <c r="CX52" s="1344"/>
      <c r="CY52" s="1344"/>
      <c r="CZ52" s="1344"/>
      <c r="DA52" s="1344"/>
      <c r="DB52" s="1344"/>
      <c r="DC52" s="1344"/>
      <c r="DD52" s="1344"/>
      <c r="DE52" s="1344"/>
      <c r="DF52" s="1344"/>
      <c r="DG52" s="1344"/>
      <c r="DH52" s="1344"/>
      <c r="DI52" s="1344"/>
      <c r="DJ52" s="1344"/>
      <c r="DK52" s="1344"/>
      <c r="DL52" s="1344"/>
      <c r="DM52" s="1344"/>
      <c r="DN52" s="1344"/>
      <c r="DO52" s="1344"/>
      <c r="DP52" s="1344"/>
      <c r="DQ52" s="1344"/>
      <c r="DR52" s="1344"/>
      <c r="DS52" s="1344"/>
      <c r="DT52" s="1344"/>
      <c r="DU52" s="1344"/>
      <c r="DV52" s="1344"/>
      <c r="DW52" s="1344"/>
      <c r="DX52" s="1344"/>
      <c r="DY52" s="1344"/>
      <c r="DZ52" s="1344"/>
      <c r="EA52" s="1344"/>
      <c r="EB52" s="1344"/>
      <c r="EC52" s="1344"/>
      <c r="ED52" s="1344"/>
      <c r="EE52" s="1344"/>
      <c r="EF52" s="1344"/>
      <c r="EG52" s="1344"/>
      <c r="EH52" s="1344"/>
      <c r="EI52" s="1344"/>
      <c r="EJ52" s="1344"/>
      <c r="EK52" s="1344"/>
      <c r="EL52" s="1344"/>
      <c r="EM52" s="1344"/>
      <c r="EN52" s="1344"/>
      <c r="EO52" s="1344"/>
      <c r="EP52" s="1344"/>
      <c r="EQ52" s="1344"/>
      <c r="ER52" s="1344"/>
      <c r="ES52" s="1344"/>
      <c r="ET52" s="1344"/>
      <c r="EU52" s="1344"/>
      <c r="EV52" s="1344"/>
      <c r="EW52" s="1344"/>
      <c r="EX52" s="1344"/>
      <c r="EY52" s="1344"/>
      <c r="EZ52" s="1344"/>
      <c r="FA52" s="1344"/>
      <c r="FB52" s="1344"/>
      <c r="FC52" s="1344"/>
      <c r="FD52" s="1344"/>
      <c r="FE52" s="1344"/>
      <c r="FF52" s="1344"/>
      <c r="FG52" s="1344"/>
      <c r="FH52" s="1344"/>
      <c r="FI52" s="1344"/>
      <c r="FJ52" s="1344"/>
      <c r="FK52" s="1344"/>
      <c r="FL52" s="1344"/>
      <c r="FM52" s="1344"/>
      <c r="FN52" s="1344"/>
      <c r="FO52" s="1344"/>
      <c r="FP52" s="1344"/>
      <c r="FQ52" s="1344"/>
      <c r="FR52" s="1344"/>
      <c r="FS52" s="1344"/>
      <c r="FT52" s="1344"/>
      <c r="FU52" s="1344"/>
      <c r="FV52" s="1344"/>
      <c r="FW52" s="1344"/>
      <c r="FX52" s="1344"/>
      <c r="FY52" s="1344"/>
      <c r="FZ52" s="1344"/>
      <c r="GA52" s="1344"/>
      <c r="GB52" s="1344"/>
      <c r="GC52" s="1344"/>
      <c r="GD52" s="1344"/>
      <c r="GE52" s="1344"/>
      <c r="GF52" s="1344"/>
      <c r="GG52" s="1344"/>
      <c r="GH52" s="1344"/>
      <c r="GI52" s="1344"/>
      <c r="GJ52" s="1344"/>
      <c r="GK52" s="1344"/>
      <c r="GL52" s="1344"/>
      <c r="GM52" s="1344"/>
      <c r="GN52" s="1344"/>
      <c r="GO52" s="1344"/>
      <c r="GP52" s="1344"/>
      <c r="GQ52" s="1344"/>
      <c r="GR52" s="1344"/>
      <c r="GS52" s="1344"/>
      <c r="GT52" s="1344"/>
      <c r="GU52" s="1344"/>
      <c r="GV52" s="1344"/>
      <c r="GW52" s="1344"/>
      <c r="GX52" s="1344"/>
      <c r="GY52" s="1344"/>
      <c r="GZ52" s="1344"/>
      <c r="HA52" s="1344"/>
      <c r="HB52" s="1344"/>
      <c r="HC52" s="1344"/>
      <c r="HD52" s="1344"/>
      <c r="HE52" s="1344"/>
      <c r="HF52" s="1344"/>
      <c r="HG52" s="1344"/>
      <c r="HH52" s="1344"/>
      <c r="HI52" s="1344"/>
      <c r="HJ52" s="1344"/>
      <c r="HK52" s="1344"/>
      <c r="HL52" s="1344"/>
      <c r="HM52" s="1344"/>
      <c r="HN52" s="1344"/>
    </row>
    <row r="53" spans="1:222" s="242" customFormat="1" ht="30" customHeight="1" thickBot="1" x14ac:dyDescent="0.25">
      <c r="A53" s="1205" t="s">
        <v>1569</v>
      </c>
      <c r="B53" s="741" t="s">
        <v>1288</v>
      </c>
      <c r="C53" s="741" t="s">
        <v>1464</v>
      </c>
      <c r="D53" s="1673"/>
      <c r="E53" s="1678"/>
      <c r="F53" s="1779" t="s">
        <v>2303</v>
      </c>
    </row>
    <row r="54" spans="1:222" ht="30" customHeight="1" thickBot="1" x14ac:dyDescent="0.25">
      <c r="A54" s="1342" t="s">
        <v>1570</v>
      </c>
      <c r="B54" s="767" t="s">
        <v>1075</v>
      </c>
      <c r="C54" s="998" t="s">
        <v>1056</v>
      </c>
      <c r="D54" s="1674"/>
      <c r="E54" s="1677"/>
      <c r="F54" s="1779" t="s">
        <v>1452</v>
      </c>
      <c r="G54" s="1344"/>
      <c r="H54" s="1344"/>
      <c r="I54" s="1344"/>
      <c r="J54" s="1344"/>
      <c r="K54" s="1344"/>
      <c r="L54" s="1344"/>
      <c r="M54" s="1344"/>
      <c r="N54" s="1344"/>
      <c r="O54" s="1344"/>
      <c r="P54" s="1344"/>
      <c r="Q54" s="1344"/>
      <c r="R54" s="1344"/>
      <c r="S54" s="1344"/>
      <c r="T54" s="1344"/>
      <c r="U54" s="1344"/>
      <c r="V54" s="1344"/>
      <c r="W54" s="1344"/>
      <c r="X54" s="1344"/>
      <c r="Y54" s="1344"/>
      <c r="Z54" s="1344"/>
      <c r="AA54" s="1344"/>
      <c r="AB54" s="1344"/>
      <c r="AC54" s="1344"/>
      <c r="AD54" s="1344"/>
      <c r="AE54" s="1344"/>
      <c r="AF54" s="1344"/>
      <c r="AG54" s="1344"/>
      <c r="AH54" s="1344"/>
      <c r="AI54" s="1344"/>
      <c r="AJ54" s="1344"/>
      <c r="AK54" s="1344"/>
      <c r="AL54" s="1344"/>
      <c r="AM54" s="1344"/>
      <c r="AN54" s="1344"/>
      <c r="AO54" s="1344"/>
      <c r="AP54" s="1344"/>
      <c r="AQ54" s="1344"/>
      <c r="AR54" s="1344"/>
      <c r="AS54" s="1344"/>
      <c r="AT54" s="1344"/>
      <c r="AU54" s="1344"/>
      <c r="AV54" s="1344"/>
      <c r="AW54" s="1344"/>
      <c r="AX54" s="1344"/>
      <c r="AY54" s="1344"/>
      <c r="AZ54" s="1344"/>
      <c r="BA54" s="1344"/>
      <c r="BB54" s="1344"/>
      <c r="BC54" s="1344"/>
      <c r="BD54" s="1344"/>
      <c r="BE54" s="1344"/>
      <c r="BF54" s="1344"/>
      <c r="BG54" s="1344"/>
      <c r="BH54" s="1344"/>
      <c r="BI54" s="1344"/>
      <c r="BJ54" s="1344"/>
      <c r="BK54" s="1344"/>
      <c r="BL54" s="1344"/>
      <c r="BM54" s="1344"/>
      <c r="BN54" s="1344"/>
      <c r="BO54" s="1344"/>
      <c r="BP54" s="1344"/>
      <c r="BQ54" s="1344"/>
      <c r="BR54" s="1344"/>
      <c r="BS54" s="1344"/>
      <c r="BT54" s="1344"/>
      <c r="BU54" s="1344"/>
      <c r="BV54" s="1344"/>
      <c r="BW54" s="1344"/>
      <c r="BX54" s="1344"/>
      <c r="BY54" s="1344"/>
      <c r="BZ54" s="1344"/>
      <c r="CA54" s="1344"/>
      <c r="CB54" s="1344"/>
      <c r="CC54" s="1344"/>
      <c r="CD54" s="1344"/>
      <c r="CE54" s="1344"/>
      <c r="CF54" s="1344"/>
      <c r="CG54" s="1344"/>
      <c r="CH54" s="1344"/>
      <c r="CI54" s="1344"/>
      <c r="CJ54" s="1344"/>
      <c r="CK54" s="1344"/>
      <c r="CL54" s="1344"/>
      <c r="CM54" s="1344"/>
      <c r="CN54" s="1344"/>
      <c r="CO54" s="1344"/>
      <c r="CP54" s="1344"/>
      <c r="CQ54" s="1344"/>
      <c r="CR54" s="1344"/>
      <c r="CS54" s="1344"/>
      <c r="CT54" s="1344"/>
      <c r="CU54" s="1344"/>
      <c r="CV54" s="1344"/>
      <c r="CW54" s="1344"/>
      <c r="CX54" s="1344"/>
      <c r="CY54" s="1344"/>
      <c r="CZ54" s="1344"/>
      <c r="DA54" s="1344"/>
      <c r="DB54" s="1344"/>
      <c r="DC54" s="1344"/>
      <c r="DD54" s="1344"/>
      <c r="DE54" s="1344"/>
      <c r="DF54" s="1344"/>
      <c r="DG54" s="1344"/>
      <c r="DH54" s="1344"/>
      <c r="DI54" s="1344"/>
      <c r="DJ54" s="1344"/>
      <c r="DK54" s="1344"/>
      <c r="DL54" s="1344"/>
      <c r="DM54" s="1344"/>
      <c r="DN54" s="1344"/>
      <c r="DO54" s="1344"/>
      <c r="DP54" s="1344"/>
      <c r="DQ54" s="1344"/>
      <c r="DR54" s="1344"/>
      <c r="DS54" s="1344"/>
      <c r="DT54" s="1344"/>
      <c r="DU54" s="1344"/>
      <c r="DV54" s="1344"/>
      <c r="DW54" s="1344"/>
      <c r="DX54" s="1344"/>
      <c r="DY54" s="1344"/>
      <c r="DZ54" s="1344"/>
      <c r="EA54" s="1344"/>
      <c r="EB54" s="1344"/>
      <c r="EC54" s="1344"/>
      <c r="ED54" s="1344"/>
      <c r="EE54" s="1344"/>
      <c r="EF54" s="1344"/>
      <c r="EG54" s="1344"/>
      <c r="EH54" s="1344"/>
      <c r="EI54" s="1344"/>
      <c r="EJ54" s="1344"/>
      <c r="EK54" s="1344"/>
      <c r="EL54" s="1344"/>
      <c r="EM54" s="1344"/>
      <c r="EN54" s="1344"/>
      <c r="EO54" s="1344"/>
      <c r="EP54" s="1344"/>
      <c r="EQ54" s="1344"/>
      <c r="ER54" s="1344"/>
      <c r="ES54" s="1344"/>
      <c r="ET54" s="1344"/>
      <c r="EU54" s="1344"/>
      <c r="EV54" s="1344"/>
      <c r="EW54" s="1344"/>
      <c r="EX54" s="1344"/>
      <c r="EY54" s="1344"/>
      <c r="EZ54" s="1344"/>
      <c r="FA54" s="1344"/>
      <c r="FB54" s="1344"/>
      <c r="FC54" s="1344"/>
      <c r="FD54" s="1344"/>
      <c r="FE54" s="1344"/>
      <c r="FF54" s="1344"/>
      <c r="FG54" s="1344"/>
      <c r="FH54" s="1344"/>
      <c r="FI54" s="1344"/>
      <c r="FJ54" s="1344"/>
      <c r="FK54" s="1344"/>
      <c r="FL54" s="1344"/>
      <c r="FM54" s="1344"/>
      <c r="FN54" s="1344"/>
      <c r="FO54" s="1344"/>
      <c r="FP54" s="1344"/>
      <c r="FQ54" s="1344"/>
      <c r="FR54" s="1344"/>
      <c r="FS54" s="1344"/>
      <c r="FT54" s="1344"/>
      <c r="FU54" s="1344"/>
      <c r="FV54" s="1344"/>
      <c r="FW54" s="1344"/>
      <c r="FX54" s="1344"/>
      <c r="FY54" s="1344"/>
      <c r="FZ54" s="1344"/>
      <c r="GA54" s="1344"/>
      <c r="GB54" s="1344"/>
      <c r="GC54" s="1344"/>
      <c r="GD54" s="1344"/>
      <c r="GE54" s="1344"/>
      <c r="GF54" s="1344"/>
      <c r="GG54" s="1344"/>
      <c r="GH54" s="1344"/>
      <c r="GI54" s="1344"/>
      <c r="GJ54" s="1344"/>
      <c r="GK54" s="1344"/>
      <c r="GL54" s="1344"/>
      <c r="GM54" s="1344"/>
      <c r="GN54" s="1344"/>
      <c r="GO54" s="1344"/>
      <c r="GP54" s="1344"/>
      <c r="GQ54" s="1344"/>
      <c r="GR54" s="1344"/>
      <c r="GS54" s="1344"/>
      <c r="GT54" s="1344"/>
      <c r="GU54" s="1344"/>
      <c r="GV54" s="1344"/>
      <c r="GW54" s="1344"/>
      <c r="GX54" s="1344"/>
      <c r="GY54" s="1344"/>
      <c r="GZ54" s="1344"/>
      <c r="HA54" s="1344"/>
      <c r="HB54" s="1344"/>
      <c r="HC54" s="1344"/>
      <c r="HD54" s="1344"/>
      <c r="HE54" s="1344"/>
      <c r="HF54" s="1344"/>
      <c r="HG54" s="1344"/>
      <c r="HH54" s="1344"/>
      <c r="HI54" s="1344"/>
      <c r="HJ54" s="1344"/>
      <c r="HK54" s="1344"/>
      <c r="HL54" s="1344"/>
      <c r="HM54" s="1344"/>
      <c r="HN54" s="1344"/>
    </row>
    <row r="55" spans="1:222" ht="30" customHeight="1" thickBot="1" x14ac:dyDescent="0.25">
      <c r="A55" s="1205" t="s">
        <v>1571</v>
      </c>
      <c r="B55" s="741" t="s">
        <v>1071</v>
      </c>
      <c r="C55" s="1033" t="s">
        <v>1050</v>
      </c>
      <c r="D55" s="1673"/>
      <c r="E55" s="1678"/>
      <c r="F55" s="1779" t="s">
        <v>1475</v>
      </c>
      <c r="G55" s="1344"/>
      <c r="H55" s="1344"/>
      <c r="I55" s="1344"/>
      <c r="J55" s="1344"/>
      <c r="K55" s="1344"/>
      <c r="L55" s="1344"/>
      <c r="M55" s="1344"/>
      <c r="N55" s="1344"/>
      <c r="O55" s="1344"/>
      <c r="P55" s="1344"/>
      <c r="Q55" s="1344"/>
      <c r="R55" s="1344"/>
      <c r="S55" s="1344"/>
      <c r="T55" s="1344"/>
      <c r="U55" s="1344"/>
      <c r="V55" s="1344"/>
      <c r="W55" s="1344"/>
      <c r="X55" s="1344"/>
      <c r="Y55" s="1344"/>
      <c r="Z55" s="1344"/>
      <c r="AA55" s="1344"/>
      <c r="AB55" s="1344"/>
      <c r="AC55" s="1344"/>
      <c r="AD55" s="1344"/>
      <c r="AE55" s="1344"/>
      <c r="AF55" s="1344"/>
      <c r="AG55" s="1344"/>
      <c r="AH55" s="1344"/>
      <c r="AI55" s="1344"/>
      <c r="AJ55" s="1344"/>
      <c r="AK55" s="1344"/>
      <c r="AL55" s="1344"/>
      <c r="AM55" s="1344"/>
      <c r="AN55" s="1344"/>
      <c r="AO55" s="1344"/>
      <c r="AP55" s="1344"/>
      <c r="AQ55" s="1344"/>
      <c r="AR55" s="1344"/>
      <c r="AS55" s="1344"/>
      <c r="AT55" s="1344"/>
      <c r="AU55" s="1344"/>
      <c r="AV55" s="1344"/>
      <c r="AW55" s="1344"/>
      <c r="AX55" s="1344"/>
      <c r="AY55" s="1344"/>
      <c r="AZ55" s="1344"/>
      <c r="BA55" s="1344"/>
      <c r="BB55" s="1344"/>
      <c r="BC55" s="1344"/>
      <c r="BD55" s="1344"/>
      <c r="BE55" s="1344"/>
      <c r="BF55" s="1344"/>
      <c r="BG55" s="1344"/>
      <c r="BH55" s="1344"/>
      <c r="BI55" s="1344"/>
      <c r="BJ55" s="1344"/>
      <c r="BK55" s="1344"/>
      <c r="BL55" s="1344"/>
      <c r="BM55" s="1344"/>
      <c r="BN55" s="1344"/>
      <c r="BO55" s="1344"/>
      <c r="BP55" s="1344"/>
      <c r="BQ55" s="1344"/>
      <c r="BR55" s="1344"/>
      <c r="BS55" s="1344"/>
      <c r="BT55" s="1344"/>
      <c r="BU55" s="1344"/>
      <c r="BV55" s="1344"/>
      <c r="BW55" s="1344"/>
      <c r="BX55" s="1344"/>
      <c r="BY55" s="1344"/>
      <c r="BZ55" s="1344"/>
      <c r="CA55" s="1344"/>
      <c r="CB55" s="1344"/>
      <c r="CC55" s="1344"/>
      <c r="CD55" s="1344"/>
      <c r="CE55" s="1344"/>
      <c r="CF55" s="1344"/>
      <c r="CG55" s="1344"/>
      <c r="CH55" s="1344"/>
      <c r="CI55" s="1344"/>
      <c r="CJ55" s="1344"/>
      <c r="CK55" s="1344"/>
      <c r="CL55" s="1344"/>
      <c r="CM55" s="1344"/>
      <c r="CN55" s="1344"/>
      <c r="CO55" s="1344"/>
      <c r="CP55" s="1344"/>
      <c r="CQ55" s="1344"/>
      <c r="CR55" s="1344"/>
      <c r="CS55" s="1344"/>
      <c r="CT55" s="1344"/>
      <c r="CU55" s="1344"/>
      <c r="CV55" s="1344"/>
      <c r="CW55" s="1344"/>
      <c r="CX55" s="1344"/>
      <c r="CY55" s="1344"/>
      <c r="CZ55" s="1344"/>
      <c r="DA55" s="1344"/>
      <c r="DB55" s="1344"/>
      <c r="DC55" s="1344"/>
      <c r="DD55" s="1344"/>
      <c r="DE55" s="1344"/>
      <c r="DF55" s="1344"/>
      <c r="DG55" s="1344"/>
      <c r="DH55" s="1344"/>
      <c r="DI55" s="1344"/>
      <c r="DJ55" s="1344"/>
      <c r="DK55" s="1344"/>
      <c r="DL55" s="1344"/>
      <c r="DM55" s="1344"/>
      <c r="DN55" s="1344"/>
      <c r="DO55" s="1344"/>
      <c r="DP55" s="1344"/>
      <c r="DQ55" s="1344"/>
      <c r="DR55" s="1344"/>
      <c r="DS55" s="1344"/>
      <c r="DT55" s="1344"/>
      <c r="DU55" s="1344"/>
      <c r="DV55" s="1344"/>
      <c r="DW55" s="1344"/>
      <c r="DX55" s="1344"/>
      <c r="DY55" s="1344"/>
      <c r="DZ55" s="1344"/>
      <c r="EA55" s="1344"/>
      <c r="EB55" s="1344"/>
      <c r="EC55" s="1344"/>
      <c r="ED55" s="1344"/>
      <c r="EE55" s="1344"/>
      <c r="EF55" s="1344"/>
      <c r="EG55" s="1344"/>
      <c r="EH55" s="1344"/>
      <c r="EI55" s="1344"/>
      <c r="EJ55" s="1344"/>
      <c r="EK55" s="1344"/>
      <c r="EL55" s="1344"/>
      <c r="EM55" s="1344"/>
      <c r="EN55" s="1344"/>
      <c r="EO55" s="1344"/>
      <c r="EP55" s="1344"/>
      <c r="EQ55" s="1344"/>
      <c r="ER55" s="1344"/>
      <c r="ES55" s="1344"/>
      <c r="ET55" s="1344"/>
      <c r="EU55" s="1344"/>
      <c r="EV55" s="1344"/>
      <c r="EW55" s="1344"/>
      <c r="EX55" s="1344"/>
      <c r="EY55" s="1344"/>
      <c r="EZ55" s="1344"/>
      <c r="FA55" s="1344"/>
      <c r="FB55" s="1344"/>
      <c r="FC55" s="1344"/>
      <c r="FD55" s="1344"/>
      <c r="FE55" s="1344"/>
      <c r="FF55" s="1344"/>
      <c r="FG55" s="1344"/>
      <c r="FH55" s="1344"/>
      <c r="FI55" s="1344"/>
      <c r="FJ55" s="1344"/>
      <c r="FK55" s="1344"/>
      <c r="FL55" s="1344"/>
      <c r="FM55" s="1344"/>
      <c r="FN55" s="1344"/>
      <c r="FO55" s="1344"/>
      <c r="FP55" s="1344"/>
      <c r="FQ55" s="1344"/>
      <c r="FR55" s="1344"/>
      <c r="FS55" s="1344"/>
      <c r="FT55" s="1344"/>
      <c r="FU55" s="1344"/>
      <c r="FV55" s="1344"/>
      <c r="FW55" s="1344"/>
      <c r="FX55" s="1344"/>
      <c r="FY55" s="1344"/>
      <c r="FZ55" s="1344"/>
      <c r="GA55" s="1344"/>
      <c r="GB55" s="1344"/>
      <c r="GC55" s="1344"/>
      <c r="GD55" s="1344"/>
      <c r="GE55" s="1344"/>
      <c r="GF55" s="1344"/>
      <c r="GG55" s="1344"/>
      <c r="GH55" s="1344"/>
      <c r="GI55" s="1344"/>
      <c r="GJ55" s="1344"/>
      <c r="GK55" s="1344"/>
      <c r="GL55" s="1344"/>
      <c r="GM55" s="1344"/>
      <c r="GN55" s="1344"/>
      <c r="GO55" s="1344"/>
      <c r="GP55" s="1344"/>
      <c r="GQ55" s="1344"/>
      <c r="GR55" s="1344"/>
      <c r="GS55" s="1344"/>
      <c r="GT55" s="1344"/>
      <c r="GU55" s="1344"/>
      <c r="GV55" s="1344"/>
      <c r="GW55" s="1344"/>
      <c r="GX55" s="1344"/>
      <c r="GY55" s="1344"/>
      <c r="GZ55" s="1344"/>
      <c r="HA55" s="1344"/>
      <c r="HB55" s="1344"/>
      <c r="HC55" s="1344"/>
      <c r="HD55" s="1344"/>
      <c r="HE55" s="1344"/>
      <c r="HF55" s="1344"/>
      <c r="HG55" s="1344"/>
      <c r="HH55" s="1344"/>
      <c r="HI55" s="1344"/>
      <c r="HJ55" s="1344"/>
      <c r="HK55" s="1344"/>
      <c r="HL55" s="1344"/>
      <c r="HM55" s="1344"/>
      <c r="HN55" s="1344"/>
    </row>
    <row r="56" spans="1:222" ht="30" customHeight="1" thickBot="1" x14ac:dyDescent="0.25">
      <c r="A56" s="1342" t="s">
        <v>1572</v>
      </c>
      <c r="B56" s="767" t="s">
        <v>1062</v>
      </c>
      <c r="C56" s="998" t="s">
        <v>1406</v>
      </c>
      <c r="D56" s="1674"/>
      <c r="E56" s="1677"/>
      <c r="F56" s="1779" t="s">
        <v>1456</v>
      </c>
      <c r="G56" s="1344"/>
      <c r="H56" s="1344"/>
      <c r="I56" s="1344"/>
      <c r="J56" s="1344"/>
      <c r="K56" s="1344"/>
      <c r="L56" s="1344"/>
      <c r="M56" s="1344"/>
      <c r="N56" s="1344"/>
      <c r="O56" s="1344"/>
      <c r="P56" s="1344"/>
      <c r="Q56" s="1344"/>
      <c r="R56" s="1344"/>
      <c r="S56" s="1344"/>
      <c r="T56" s="1344"/>
      <c r="U56" s="1344"/>
      <c r="V56" s="1344"/>
      <c r="W56" s="1344"/>
      <c r="X56" s="1344"/>
      <c r="Y56" s="1344"/>
      <c r="Z56" s="1344"/>
      <c r="AA56" s="1344"/>
      <c r="AB56" s="1344"/>
      <c r="AC56" s="1344"/>
      <c r="AD56" s="1344"/>
      <c r="AE56" s="1344"/>
      <c r="AF56" s="1344"/>
      <c r="AG56" s="1344"/>
      <c r="AH56" s="1344"/>
      <c r="AI56" s="1344"/>
      <c r="AJ56" s="1344"/>
      <c r="AK56" s="1344"/>
      <c r="AL56" s="1344"/>
      <c r="AM56" s="1344"/>
      <c r="AN56" s="1344"/>
      <c r="AO56" s="1344"/>
      <c r="AP56" s="1344"/>
      <c r="AQ56" s="1344"/>
      <c r="AR56" s="1344"/>
      <c r="AS56" s="1344"/>
      <c r="AT56" s="1344"/>
      <c r="AU56" s="1344"/>
      <c r="AV56" s="1344"/>
      <c r="AW56" s="1344"/>
      <c r="AX56" s="1344"/>
      <c r="AY56" s="1344"/>
      <c r="AZ56" s="1344"/>
      <c r="BA56" s="1344"/>
      <c r="BB56" s="1344"/>
      <c r="BC56" s="1344"/>
      <c r="BD56" s="1344"/>
      <c r="BE56" s="1344"/>
      <c r="BF56" s="1344"/>
      <c r="BG56" s="1344"/>
      <c r="BH56" s="1344"/>
      <c r="BI56" s="1344"/>
      <c r="BJ56" s="1344"/>
      <c r="BK56" s="1344"/>
      <c r="BL56" s="1344"/>
      <c r="BM56" s="1344"/>
      <c r="BN56" s="1344"/>
      <c r="BO56" s="1344"/>
      <c r="BP56" s="1344"/>
      <c r="BQ56" s="1344"/>
      <c r="BR56" s="1344"/>
      <c r="BS56" s="1344"/>
      <c r="BT56" s="1344"/>
      <c r="BU56" s="1344"/>
      <c r="BV56" s="1344"/>
      <c r="BW56" s="1344"/>
      <c r="BX56" s="1344"/>
      <c r="BY56" s="1344"/>
      <c r="BZ56" s="1344"/>
      <c r="CA56" s="1344"/>
      <c r="CB56" s="1344"/>
      <c r="CC56" s="1344"/>
      <c r="CD56" s="1344"/>
      <c r="CE56" s="1344"/>
      <c r="CF56" s="1344"/>
      <c r="CG56" s="1344"/>
      <c r="CH56" s="1344"/>
      <c r="CI56" s="1344"/>
      <c r="CJ56" s="1344"/>
      <c r="CK56" s="1344"/>
      <c r="CL56" s="1344"/>
      <c r="CM56" s="1344"/>
      <c r="CN56" s="1344"/>
      <c r="CO56" s="1344"/>
      <c r="CP56" s="1344"/>
      <c r="CQ56" s="1344"/>
      <c r="CR56" s="1344"/>
      <c r="CS56" s="1344"/>
      <c r="CT56" s="1344"/>
      <c r="CU56" s="1344"/>
      <c r="CV56" s="1344"/>
      <c r="CW56" s="1344"/>
      <c r="CX56" s="1344"/>
      <c r="CY56" s="1344"/>
      <c r="CZ56" s="1344"/>
      <c r="DA56" s="1344"/>
      <c r="DB56" s="1344"/>
      <c r="DC56" s="1344"/>
      <c r="DD56" s="1344"/>
      <c r="DE56" s="1344"/>
      <c r="DF56" s="1344"/>
      <c r="DG56" s="1344"/>
      <c r="DH56" s="1344"/>
      <c r="DI56" s="1344"/>
      <c r="DJ56" s="1344"/>
      <c r="DK56" s="1344"/>
      <c r="DL56" s="1344"/>
      <c r="DM56" s="1344"/>
      <c r="DN56" s="1344"/>
      <c r="DO56" s="1344"/>
      <c r="DP56" s="1344"/>
      <c r="DQ56" s="1344"/>
      <c r="DR56" s="1344"/>
      <c r="DS56" s="1344"/>
      <c r="DT56" s="1344"/>
      <c r="DU56" s="1344"/>
      <c r="DV56" s="1344"/>
      <c r="DW56" s="1344"/>
      <c r="DX56" s="1344"/>
      <c r="DY56" s="1344"/>
      <c r="DZ56" s="1344"/>
      <c r="EA56" s="1344"/>
      <c r="EB56" s="1344"/>
      <c r="EC56" s="1344"/>
      <c r="ED56" s="1344"/>
      <c r="EE56" s="1344"/>
      <c r="EF56" s="1344"/>
      <c r="EG56" s="1344"/>
      <c r="EH56" s="1344"/>
      <c r="EI56" s="1344"/>
      <c r="EJ56" s="1344"/>
      <c r="EK56" s="1344"/>
      <c r="EL56" s="1344"/>
      <c r="EM56" s="1344"/>
      <c r="EN56" s="1344"/>
      <c r="EO56" s="1344"/>
      <c r="EP56" s="1344"/>
      <c r="EQ56" s="1344"/>
      <c r="ER56" s="1344"/>
      <c r="ES56" s="1344"/>
      <c r="ET56" s="1344"/>
      <c r="EU56" s="1344"/>
      <c r="EV56" s="1344"/>
      <c r="EW56" s="1344"/>
      <c r="EX56" s="1344"/>
      <c r="EY56" s="1344"/>
      <c r="EZ56" s="1344"/>
      <c r="FA56" s="1344"/>
      <c r="FB56" s="1344"/>
      <c r="FC56" s="1344"/>
      <c r="FD56" s="1344"/>
      <c r="FE56" s="1344"/>
      <c r="FF56" s="1344"/>
      <c r="FG56" s="1344"/>
      <c r="FH56" s="1344"/>
      <c r="FI56" s="1344"/>
      <c r="FJ56" s="1344"/>
      <c r="FK56" s="1344"/>
      <c r="FL56" s="1344"/>
      <c r="FM56" s="1344"/>
      <c r="FN56" s="1344"/>
      <c r="FO56" s="1344"/>
      <c r="FP56" s="1344"/>
      <c r="FQ56" s="1344"/>
      <c r="FR56" s="1344"/>
      <c r="FS56" s="1344"/>
      <c r="FT56" s="1344"/>
      <c r="FU56" s="1344"/>
      <c r="FV56" s="1344"/>
      <c r="FW56" s="1344"/>
      <c r="FX56" s="1344"/>
      <c r="FY56" s="1344"/>
      <c r="FZ56" s="1344"/>
      <c r="GA56" s="1344"/>
      <c r="GB56" s="1344"/>
      <c r="GC56" s="1344"/>
      <c r="GD56" s="1344"/>
      <c r="GE56" s="1344"/>
      <c r="GF56" s="1344"/>
      <c r="GG56" s="1344"/>
      <c r="GH56" s="1344"/>
      <c r="GI56" s="1344"/>
      <c r="GJ56" s="1344"/>
      <c r="GK56" s="1344"/>
      <c r="GL56" s="1344"/>
      <c r="GM56" s="1344"/>
      <c r="GN56" s="1344"/>
      <c r="GO56" s="1344"/>
      <c r="GP56" s="1344"/>
      <c r="GQ56" s="1344"/>
      <c r="GR56" s="1344"/>
      <c r="GS56" s="1344"/>
      <c r="GT56" s="1344"/>
      <c r="GU56" s="1344"/>
      <c r="GV56" s="1344"/>
      <c r="GW56" s="1344"/>
      <c r="GX56" s="1344"/>
      <c r="GY56" s="1344"/>
      <c r="GZ56" s="1344"/>
      <c r="HA56" s="1344"/>
      <c r="HB56" s="1344"/>
      <c r="HC56" s="1344"/>
      <c r="HD56" s="1344"/>
      <c r="HE56" s="1344"/>
      <c r="HF56" s="1344"/>
      <c r="HG56" s="1344"/>
      <c r="HH56" s="1344"/>
      <c r="HI56" s="1344"/>
      <c r="HJ56" s="1344"/>
      <c r="HK56" s="1344"/>
      <c r="HL56" s="1344"/>
      <c r="HM56" s="1344"/>
      <c r="HN56" s="1344"/>
    </row>
    <row r="57" spans="1:222" ht="30" customHeight="1" thickBot="1" x14ac:dyDescent="0.25">
      <c r="A57" s="1205" t="s">
        <v>1573</v>
      </c>
      <c r="B57" s="741" t="s">
        <v>1253</v>
      </c>
      <c r="C57" s="741" t="s">
        <v>1463</v>
      </c>
      <c r="D57" s="1673"/>
      <c r="E57" s="1678"/>
      <c r="F57" s="1779" t="s">
        <v>2304</v>
      </c>
      <c r="G57" s="1344"/>
      <c r="H57" s="1344"/>
      <c r="I57" s="1344"/>
      <c r="J57" s="1344"/>
      <c r="K57" s="1344"/>
      <c r="L57" s="1344"/>
      <c r="M57" s="1344"/>
      <c r="N57" s="1344"/>
      <c r="O57" s="1344"/>
      <c r="P57" s="1344"/>
      <c r="Q57" s="1344"/>
      <c r="R57" s="1344"/>
      <c r="S57" s="1344"/>
      <c r="T57" s="1344"/>
      <c r="U57" s="1344"/>
      <c r="V57" s="1344"/>
      <c r="W57" s="1344"/>
      <c r="X57" s="1344"/>
      <c r="Y57" s="1344"/>
      <c r="Z57" s="1344"/>
      <c r="AA57" s="1344"/>
      <c r="AB57" s="1344"/>
      <c r="AC57" s="1344"/>
      <c r="AD57" s="1344"/>
      <c r="AE57" s="1344"/>
      <c r="AF57" s="1344"/>
      <c r="AG57" s="1344"/>
      <c r="AH57" s="1344"/>
      <c r="AI57" s="1344"/>
      <c r="AJ57" s="1344"/>
      <c r="AK57" s="1344"/>
      <c r="AL57" s="1344"/>
      <c r="AM57" s="1344"/>
      <c r="AN57" s="1344"/>
      <c r="AO57" s="1344"/>
      <c r="AP57" s="1344"/>
      <c r="AQ57" s="1344"/>
      <c r="AR57" s="1344"/>
      <c r="AS57" s="1344"/>
      <c r="AT57" s="1344"/>
      <c r="AU57" s="1344"/>
      <c r="AV57" s="1344"/>
      <c r="AW57" s="1344"/>
      <c r="AX57" s="1344"/>
      <c r="AY57" s="1344"/>
      <c r="AZ57" s="1344"/>
      <c r="BA57" s="1344"/>
      <c r="BB57" s="1344"/>
      <c r="BC57" s="1344"/>
      <c r="BD57" s="1344"/>
      <c r="BE57" s="1344"/>
      <c r="BF57" s="1344"/>
      <c r="BG57" s="1344"/>
      <c r="BH57" s="1344"/>
      <c r="BI57" s="1344"/>
      <c r="BJ57" s="1344"/>
      <c r="BK57" s="1344"/>
      <c r="BL57" s="1344"/>
      <c r="BM57" s="1344"/>
      <c r="BN57" s="1344"/>
      <c r="BO57" s="1344"/>
      <c r="BP57" s="1344"/>
      <c r="BQ57" s="1344"/>
      <c r="BR57" s="1344"/>
      <c r="BS57" s="1344"/>
      <c r="BT57" s="1344"/>
      <c r="BU57" s="1344"/>
      <c r="BV57" s="1344"/>
      <c r="BW57" s="1344"/>
      <c r="BX57" s="1344"/>
      <c r="BY57" s="1344"/>
      <c r="BZ57" s="1344"/>
      <c r="CA57" s="1344"/>
      <c r="CB57" s="1344"/>
      <c r="CC57" s="1344"/>
      <c r="CD57" s="1344"/>
      <c r="CE57" s="1344"/>
      <c r="CF57" s="1344"/>
      <c r="CG57" s="1344"/>
      <c r="CH57" s="1344"/>
      <c r="CI57" s="1344"/>
      <c r="CJ57" s="1344"/>
      <c r="CK57" s="1344"/>
      <c r="CL57" s="1344"/>
      <c r="CM57" s="1344"/>
      <c r="CN57" s="1344"/>
      <c r="CO57" s="1344"/>
      <c r="CP57" s="1344"/>
      <c r="CQ57" s="1344"/>
      <c r="CR57" s="1344"/>
      <c r="CS57" s="1344"/>
      <c r="CT57" s="1344"/>
      <c r="CU57" s="1344"/>
      <c r="CV57" s="1344"/>
      <c r="CW57" s="1344"/>
      <c r="CX57" s="1344"/>
      <c r="CY57" s="1344"/>
      <c r="CZ57" s="1344"/>
      <c r="DA57" s="1344"/>
      <c r="DB57" s="1344"/>
      <c r="DC57" s="1344"/>
      <c r="DD57" s="1344"/>
      <c r="DE57" s="1344"/>
      <c r="DF57" s="1344"/>
      <c r="DG57" s="1344"/>
      <c r="DH57" s="1344"/>
      <c r="DI57" s="1344"/>
      <c r="DJ57" s="1344"/>
      <c r="DK57" s="1344"/>
      <c r="DL57" s="1344"/>
      <c r="DM57" s="1344"/>
      <c r="DN57" s="1344"/>
      <c r="DO57" s="1344"/>
      <c r="DP57" s="1344"/>
      <c r="DQ57" s="1344"/>
      <c r="DR57" s="1344"/>
      <c r="DS57" s="1344"/>
      <c r="DT57" s="1344"/>
      <c r="DU57" s="1344"/>
      <c r="DV57" s="1344"/>
      <c r="DW57" s="1344"/>
      <c r="DX57" s="1344"/>
      <c r="DY57" s="1344"/>
      <c r="DZ57" s="1344"/>
      <c r="EA57" s="1344"/>
      <c r="EB57" s="1344"/>
      <c r="EC57" s="1344"/>
      <c r="ED57" s="1344"/>
      <c r="EE57" s="1344"/>
      <c r="EF57" s="1344"/>
      <c r="EG57" s="1344"/>
      <c r="EH57" s="1344"/>
      <c r="EI57" s="1344"/>
      <c r="EJ57" s="1344"/>
      <c r="EK57" s="1344"/>
      <c r="EL57" s="1344"/>
      <c r="EM57" s="1344"/>
      <c r="EN57" s="1344"/>
      <c r="EO57" s="1344"/>
      <c r="EP57" s="1344"/>
      <c r="EQ57" s="1344"/>
      <c r="ER57" s="1344"/>
      <c r="ES57" s="1344"/>
      <c r="ET57" s="1344"/>
      <c r="EU57" s="1344"/>
      <c r="EV57" s="1344"/>
      <c r="EW57" s="1344"/>
      <c r="EX57" s="1344"/>
      <c r="EY57" s="1344"/>
      <c r="EZ57" s="1344"/>
      <c r="FA57" s="1344"/>
      <c r="FB57" s="1344"/>
      <c r="FC57" s="1344"/>
      <c r="FD57" s="1344"/>
      <c r="FE57" s="1344"/>
      <c r="FF57" s="1344"/>
      <c r="FG57" s="1344"/>
      <c r="FH57" s="1344"/>
      <c r="FI57" s="1344"/>
      <c r="FJ57" s="1344"/>
      <c r="FK57" s="1344"/>
      <c r="FL57" s="1344"/>
      <c r="FM57" s="1344"/>
      <c r="FN57" s="1344"/>
      <c r="FO57" s="1344"/>
      <c r="FP57" s="1344"/>
      <c r="FQ57" s="1344"/>
      <c r="FR57" s="1344"/>
      <c r="FS57" s="1344"/>
      <c r="FT57" s="1344"/>
      <c r="FU57" s="1344"/>
      <c r="FV57" s="1344"/>
      <c r="FW57" s="1344"/>
      <c r="FX57" s="1344"/>
      <c r="FY57" s="1344"/>
      <c r="FZ57" s="1344"/>
      <c r="GA57" s="1344"/>
      <c r="GB57" s="1344"/>
      <c r="GC57" s="1344"/>
      <c r="GD57" s="1344"/>
      <c r="GE57" s="1344"/>
      <c r="GF57" s="1344"/>
      <c r="GG57" s="1344"/>
      <c r="GH57" s="1344"/>
      <c r="GI57" s="1344"/>
      <c r="GJ57" s="1344"/>
      <c r="GK57" s="1344"/>
      <c r="GL57" s="1344"/>
      <c r="GM57" s="1344"/>
      <c r="GN57" s="1344"/>
      <c r="GO57" s="1344"/>
      <c r="GP57" s="1344"/>
      <c r="GQ57" s="1344"/>
      <c r="GR57" s="1344"/>
      <c r="GS57" s="1344"/>
      <c r="GT57" s="1344"/>
      <c r="GU57" s="1344"/>
      <c r="GV57" s="1344"/>
      <c r="GW57" s="1344"/>
      <c r="GX57" s="1344"/>
      <c r="GY57" s="1344"/>
      <c r="GZ57" s="1344"/>
      <c r="HA57" s="1344"/>
      <c r="HB57" s="1344"/>
      <c r="HC57" s="1344"/>
      <c r="HD57" s="1344"/>
      <c r="HE57" s="1344"/>
      <c r="HF57" s="1344"/>
      <c r="HG57" s="1344"/>
      <c r="HH57" s="1344"/>
      <c r="HI57" s="1344"/>
      <c r="HJ57" s="1344"/>
      <c r="HK57" s="1344"/>
      <c r="HL57" s="1344"/>
      <c r="HM57" s="1344"/>
      <c r="HN57" s="1344"/>
    </row>
    <row r="58" spans="1:222" ht="30" customHeight="1" thickBot="1" x14ac:dyDescent="0.25">
      <c r="A58" s="1342" t="s">
        <v>1574</v>
      </c>
      <c r="B58" s="767" t="s">
        <v>1254</v>
      </c>
      <c r="C58" s="998" t="s">
        <v>1268</v>
      </c>
      <c r="D58" s="1674"/>
      <c r="E58" s="1677"/>
      <c r="F58" s="1779" t="s">
        <v>2294</v>
      </c>
      <c r="G58" s="1344"/>
      <c r="H58" s="1344"/>
      <c r="I58" s="1344"/>
      <c r="J58" s="1344"/>
      <c r="K58" s="1344"/>
      <c r="L58" s="1344"/>
      <c r="M58" s="1344"/>
      <c r="N58" s="1344"/>
      <c r="O58" s="1344"/>
      <c r="P58" s="1344"/>
      <c r="Q58" s="1344"/>
      <c r="R58" s="1344"/>
      <c r="S58" s="1344"/>
      <c r="T58" s="1344"/>
      <c r="U58" s="1344"/>
      <c r="V58" s="1344"/>
      <c r="W58" s="1344"/>
      <c r="X58" s="1344"/>
      <c r="Y58" s="1344"/>
      <c r="Z58" s="1344"/>
      <c r="AA58" s="1344"/>
      <c r="AB58" s="1344"/>
      <c r="AC58" s="1344"/>
      <c r="AD58" s="1344"/>
      <c r="AE58" s="1344"/>
      <c r="AF58" s="1344"/>
      <c r="AG58" s="1344"/>
      <c r="AH58" s="1344"/>
      <c r="AI58" s="1344"/>
      <c r="AJ58" s="1344"/>
      <c r="AK58" s="1344"/>
      <c r="AL58" s="1344"/>
      <c r="AM58" s="1344"/>
      <c r="AN58" s="1344"/>
      <c r="AO58" s="1344"/>
      <c r="AP58" s="1344"/>
      <c r="AQ58" s="1344"/>
      <c r="AR58" s="1344"/>
      <c r="AS58" s="1344"/>
      <c r="AT58" s="1344"/>
      <c r="AU58" s="1344"/>
      <c r="AV58" s="1344"/>
      <c r="AW58" s="1344"/>
      <c r="AX58" s="1344"/>
      <c r="AY58" s="1344"/>
      <c r="AZ58" s="1344"/>
      <c r="BA58" s="1344"/>
      <c r="BB58" s="1344"/>
      <c r="BC58" s="1344"/>
      <c r="BD58" s="1344"/>
      <c r="BE58" s="1344"/>
      <c r="BF58" s="1344"/>
      <c r="BG58" s="1344"/>
      <c r="BH58" s="1344"/>
      <c r="BI58" s="1344"/>
      <c r="BJ58" s="1344"/>
      <c r="BK58" s="1344"/>
      <c r="BL58" s="1344"/>
      <c r="BM58" s="1344"/>
      <c r="BN58" s="1344"/>
      <c r="BO58" s="1344"/>
      <c r="BP58" s="1344"/>
      <c r="BQ58" s="1344"/>
      <c r="BR58" s="1344"/>
      <c r="BS58" s="1344"/>
      <c r="BT58" s="1344"/>
      <c r="BU58" s="1344"/>
      <c r="BV58" s="1344"/>
      <c r="BW58" s="1344"/>
      <c r="BX58" s="1344"/>
      <c r="BY58" s="1344"/>
      <c r="BZ58" s="1344"/>
      <c r="CA58" s="1344"/>
      <c r="CB58" s="1344"/>
      <c r="CC58" s="1344"/>
      <c r="CD58" s="1344"/>
      <c r="CE58" s="1344"/>
      <c r="CF58" s="1344"/>
      <c r="CG58" s="1344"/>
      <c r="CH58" s="1344"/>
      <c r="CI58" s="1344"/>
      <c r="CJ58" s="1344"/>
      <c r="CK58" s="1344"/>
      <c r="CL58" s="1344"/>
      <c r="CM58" s="1344"/>
      <c r="CN58" s="1344"/>
      <c r="CO58" s="1344"/>
      <c r="CP58" s="1344"/>
      <c r="CQ58" s="1344"/>
      <c r="CR58" s="1344"/>
      <c r="CS58" s="1344"/>
      <c r="CT58" s="1344"/>
      <c r="CU58" s="1344"/>
      <c r="CV58" s="1344"/>
      <c r="CW58" s="1344"/>
      <c r="CX58" s="1344"/>
      <c r="CY58" s="1344"/>
      <c r="CZ58" s="1344"/>
      <c r="DA58" s="1344"/>
      <c r="DB58" s="1344"/>
      <c r="DC58" s="1344"/>
      <c r="DD58" s="1344"/>
      <c r="DE58" s="1344"/>
      <c r="DF58" s="1344"/>
      <c r="DG58" s="1344"/>
      <c r="DH58" s="1344"/>
      <c r="DI58" s="1344"/>
      <c r="DJ58" s="1344"/>
      <c r="DK58" s="1344"/>
      <c r="DL58" s="1344"/>
      <c r="DM58" s="1344"/>
      <c r="DN58" s="1344"/>
      <c r="DO58" s="1344"/>
      <c r="DP58" s="1344"/>
      <c r="DQ58" s="1344"/>
      <c r="DR58" s="1344"/>
      <c r="DS58" s="1344"/>
      <c r="DT58" s="1344"/>
      <c r="DU58" s="1344"/>
      <c r="DV58" s="1344"/>
      <c r="DW58" s="1344"/>
      <c r="DX58" s="1344"/>
      <c r="DY58" s="1344"/>
      <c r="DZ58" s="1344"/>
      <c r="EA58" s="1344"/>
      <c r="EB58" s="1344"/>
      <c r="EC58" s="1344"/>
      <c r="ED58" s="1344"/>
      <c r="EE58" s="1344"/>
      <c r="EF58" s="1344"/>
      <c r="EG58" s="1344"/>
      <c r="EH58" s="1344"/>
      <c r="EI58" s="1344"/>
      <c r="EJ58" s="1344"/>
      <c r="EK58" s="1344"/>
      <c r="EL58" s="1344"/>
      <c r="EM58" s="1344"/>
      <c r="EN58" s="1344"/>
      <c r="EO58" s="1344"/>
      <c r="EP58" s="1344"/>
      <c r="EQ58" s="1344"/>
      <c r="ER58" s="1344"/>
      <c r="ES58" s="1344"/>
      <c r="ET58" s="1344"/>
      <c r="EU58" s="1344"/>
      <c r="EV58" s="1344"/>
      <c r="EW58" s="1344"/>
      <c r="EX58" s="1344"/>
      <c r="EY58" s="1344"/>
      <c r="EZ58" s="1344"/>
      <c r="FA58" s="1344"/>
      <c r="FB58" s="1344"/>
      <c r="FC58" s="1344"/>
      <c r="FD58" s="1344"/>
      <c r="FE58" s="1344"/>
      <c r="FF58" s="1344"/>
      <c r="FG58" s="1344"/>
      <c r="FH58" s="1344"/>
      <c r="FI58" s="1344"/>
      <c r="FJ58" s="1344"/>
      <c r="FK58" s="1344"/>
      <c r="FL58" s="1344"/>
      <c r="FM58" s="1344"/>
      <c r="FN58" s="1344"/>
      <c r="FO58" s="1344"/>
      <c r="FP58" s="1344"/>
      <c r="FQ58" s="1344"/>
      <c r="FR58" s="1344"/>
      <c r="FS58" s="1344"/>
      <c r="FT58" s="1344"/>
      <c r="FU58" s="1344"/>
      <c r="FV58" s="1344"/>
      <c r="FW58" s="1344"/>
      <c r="FX58" s="1344"/>
      <c r="FY58" s="1344"/>
      <c r="FZ58" s="1344"/>
      <c r="GA58" s="1344"/>
      <c r="GB58" s="1344"/>
      <c r="GC58" s="1344"/>
      <c r="GD58" s="1344"/>
      <c r="GE58" s="1344"/>
      <c r="GF58" s="1344"/>
      <c r="GG58" s="1344"/>
      <c r="GH58" s="1344"/>
      <c r="GI58" s="1344"/>
      <c r="GJ58" s="1344"/>
      <c r="GK58" s="1344"/>
      <c r="GL58" s="1344"/>
      <c r="GM58" s="1344"/>
      <c r="GN58" s="1344"/>
      <c r="GO58" s="1344"/>
      <c r="GP58" s="1344"/>
      <c r="GQ58" s="1344"/>
      <c r="GR58" s="1344"/>
      <c r="GS58" s="1344"/>
      <c r="GT58" s="1344"/>
      <c r="GU58" s="1344"/>
      <c r="GV58" s="1344"/>
      <c r="GW58" s="1344"/>
      <c r="GX58" s="1344"/>
      <c r="GY58" s="1344"/>
      <c r="GZ58" s="1344"/>
      <c r="HA58" s="1344"/>
      <c r="HB58" s="1344"/>
      <c r="HC58" s="1344"/>
      <c r="HD58" s="1344"/>
      <c r="HE58" s="1344"/>
      <c r="HF58" s="1344"/>
      <c r="HG58" s="1344"/>
      <c r="HH58" s="1344"/>
      <c r="HI58" s="1344"/>
      <c r="HJ58" s="1344"/>
      <c r="HK58" s="1344"/>
      <c r="HL58" s="1344"/>
      <c r="HM58" s="1344"/>
      <c r="HN58" s="1344"/>
    </row>
    <row r="59" spans="1:222" ht="30" customHeight="1" thickBot="1" x14ac:dyDescent="0.25">
      <c r="A59" s="1205" t="s">
        <v>1575</v>
      </c>
      <c r="B59" s="741" t="s">
        <v>1255</v>
      </c>
      <c r="C59" s="1033" t="s">
        <v>1291</v>
      </c>
      <c r="D59" s="1673"/>
      <c r="E59" s="1678"/>
      <c r="F59" s="1779" t="s">
        <v>2294</v>
      </c>
      <c r="G59" s="1344"/>
      <c r="H59" s="1344"/>
      <c r="I59" s="1344"/>
      <c r="J59" s="1344"/>
      <c r="K59" s="1344"/>
      <c r="L59" s="1344"/>
      <c r="M59" s="1344"/>
      <c r="N59" s="1344"/>
      <c r="O59" s="1344"/>
      <c r="P59" s="1344"/>
      <c r="Q59" s="1344"/>
      <c r="R59" s="1344"/>
      <c r="S59" s="1344"/>
      <c r="T59" s="1344"/>
      <c r="U59" s="1344"/>
      <c r="V59" s="1344"/>
      <c r="W59" s="1344"/>
      <c r="X59" s="1344"/>
      <c r="Y59" s="1344"/>
      <c r="Z59" s="1344"/>
      <c r="AA59" s="1344"/>
      <c r="AB59" s="1344"/>
      <c r="AC59" s="1344"/>
      <c r="AD59" s="1344"/>
      <c r="AE59" s="1344"/>
      <c r="AF59" s="1344"/>
      <c r="AG59" s="1344"/>
      <c r="AH59" s="1344"/>
      <c r="AI59" s="1344"/>
      <c r="AJ59" s="1344"/>
      <c r="AK59" s="1344"/>
      <c r="AL59" s="1344"/>
      <c r="AM59" s="1344"/>
      <c r="AN59" s="1344"/>
      <c r="AO59" s="1344"/>
      <c r="AP59" s="1344"/>
      <c r="AQ59" s="1344"/>
      <c r="AR59" s="1344"/>
      <c r="AS59" s="1344"/>
      <c r="AT59" s="1344"/>
      <c r="AU59" s="1344"/>
      <c r="AV59" s="1344"/>
      <c r="AW59" s="1344"/>
      <c r="AX59" s="1344"/>
      <c r="AY59" s="1344"/>
      <c r="AZ59" s="1344"/>
      <c r="BA59" s="1344"/>
      <c r="BB59" s="1344"/>
      <c r="BC59" s="1344"/>
      <c r="BD59" s="1344"/>
      <c r="BE59" s="1344"/>
      <c r="BF59" s="1344"/>
      <c r="BG59" s="1344"/>
      <c r="BH59" s="1344"/>
      <c r="BI59" s="1344"/>
      <c r="BJ59" s="1344"/>
      <c r="BK59" s="1344"/>
      <c r="BL59" s="1344"/>
      <c r="BM59" s="1344"/>
      <c r="BN59" s="1344"/>
      <c r="BO59" s="1344"/>
      <c r="BP59" s="1344"/>
      <c r="BQ59" s="1344"/>
      <c r="BR59" s="1344"/>
      <c r="BS59" s="1344"/>
      <c r="BT59" s="1344"/>
      <c r="BU59" s="1344"/>
      <c r="BV59" s="1344"/>
      <c r="BW59" s="1344"/>
      <c r="BX59" s="1344"/>
      <c r="BY59" s="1344"/>
      <c r="BZ59" s="1344"/>
      <c r="CA59" s="1344"/>
      <c r="CB59" s="1344"/>
      <c r="CC59" s="1344"/>
      <c r="CD59" s="1344"/>
      <c r="CE59" s="1344"/>
      <c r="CF59" s="1344"/>
      <c r="CG59" s="1344"/>
      <c r="CH59" s="1344"/>
      <c r="CI59" s="1344"/>
      <c r="CJ59" s="1344"/>
      <c r="CK59" s="1344"/>
      <c r="CL59" s="1344"/>
      <c r="CM59" s="1344"/>
      <c r="CN59" s="1344"/>
      <c r="CO59" s="1344"/>
      <c r="CP59" s="1344"/>
      <c r="CQ59" s="1344"/>
      <c r="CR59" s="1344"/>
      <c r="CS59" s="1344"/>
      <c r="CT59" s="1344"/>
      <c r="CU59" s="1344"/>
      <c r="CV59" s="1344"/>
      <c r="CW59" s="1344"/>
      <c r="CX59" s="1344"/>
      <c r="CY59" s="1344"/>
      <c r="CZ59" s="1344"/>
      <c r="DA59" s="1344"/>
      <c r="DB59" s="1344"/>
      <c r="DC59" s="1344"/>
      <c r="DD59" s="1344"/>
      <c r="DE59" s="1344"/>
      <c r="DF59" s="1344"/>
      <c r="DG59" s="1344"/>
      <c r="DH59" s="1344"/>
      <c r="DI59" s="1344"/>
      <c r="DJ59" s="1344"/>
      <c r="DK59" s="1344"/>
      <c r="DL59" s="1344"/>
      <c r="DM59" s="1344"/>
      <c r="DN59" s="1344"/>
      <c r="DO59" s="1344"/>
      <c r="DP59" s="1344"/>
      <c r="DQ59" s="1344"/>
      <c r="DR59" s="1344"/>
      <c r="DS59" s="1344"/>
      <c r="DT59" s="1344"/>
      <c r="DU59" s="1344"/>
      <c r="DV59" s="1344"/>
      <c r="DW59" s="1344"/>
      <c r="DX59" s="1344"/>
      <c r="DY59" s="1344"/>
      <c r="DZ59" s="1344"/>
      <c r="EA59" s="1344"/>
      <c r="EB59" s="1344"/>
      <c r="EC59" s="1344"/>
      <c r="ED59" s="1344"/>
      <c r="EE59" s="1344"/>
      <c r="EF59" s="1344"/>
      <c r="EG59" s="1344"/>
      <c r="EH59" s="1344"/>
      <c r="EI59" s="1344"/>
      <c r="EJ59" s="1344"/>
      <c r="EK59" s="1344"/>
      <c r="EL59" s="1344"/>
      <c r="EM59" s="1344"/>
      <c r="EN59" s="1344"/>
      <c r="EO59" s="1344"/>
      <c r="EP59" s="1344"/>
      <c r="EQ59" s="1344"/>
      <c r="ER59" s="1344"/>
      <c r="ES59" s="1344"/>
      <c r="ET59" s="1344"/>
      <c r="EU59" s="1344"/>
      <c r="EV59" s="1344"/>
      <c r="EW59" s="1344"/>
      <c r="EX59" s="1344"/>
      <c r="EY59" s="1344"/>
      <c r="EZ59" s="1344"/>
      <c r="FA59" s="1344"/>
      <c r="FB59" s="1344"/>
      <c r="FC59" s="1344"/>
      <c r="FD59" s="1344"/>
      <c r="FE59" s="1344"/>
      <c r="FF59" s="1344"/>
      <c r="FG59" s="1344"/>
      <c r="FH59" s="1344"/>
      <c r="FI59" s="1344"/>
      <c r="FJ59" s="1344"/>
      <c r="FK59" s="1344"/>
      <c r="FL59" s="1344"/>
      <c r="FM59" s="1344"/>
      <c r="FN59" s="1344"/>
      <c r="FO59" s="1344"/>
      <c r="FP59" s="1344"/>
      <c r="FQ59" s="1344"/>
      <c r="FR59" s="1344"/>
      <c r="FS59" s="1344"/>
      <c r="FT59" s="1344"/>
      <c r="FU59" s="1344"/>
      <c r="FV59" s="1344"/>
      <c r="FW59" s="1344"/>
      <c r="FX59" s="1344"/>
      <c r="FY59" s="1344"/>
      <c r="FZ59" s="1344"/>
      <c r="GA59" s="1344"/>
      <c r="GB59" s="1344"/>
      <c r="GC59" s="1344"/>
      <c r="GD59" s="1344"/>
      <c r="GE59" s="1344"/>
      <c r="GF59" s="1344"/>
      <c r="GG59" s="1344"/>
      <c r="GH59" s="1344"/>
      <c r="GI59" s="1344"/>
      <c r="GJ59" s="1344"/>
      <c r="GK59" s="1344"/>
      <c r="GL59" s="1344"/>
      <c r="GM59" s="1344"/>
      <c r="GN59" s="1344"/>
      <c r="GO59" s="1344"/>
      <c r="GP59" s="1344"/>
      <c r="GQ59" s="1344"/>
      <c r="GR59" s="1344"/>
      <c r="GS59" s="1344"/>
      <c r="GT59" s="1344"/>
      <c r="GU59" s="1344"/>
      <c r="GV59" s="1344"/>
      <c r="GW59" s="1344"/>
      <c r="GX59" s="1344"/>
      <c r="GY59" s="1344"/>
      <c r="GZ59" s="1344"/>
      <c r="HA59" s="1344"/>
      <c r="HB59" s="1344"/>
      <c r="HC59" s="1344"/>
      <c r="HD59" s="1344"/>
      <c r="HE59" s="1344"/>
      <c r="HF59" s="1344"/>
      <c r="HG59" s="1344"/>
      <c r="HH59" s="1344"/>
      <c r="HI59" s="1344"/>
      <c r="HJ59" s="1344"/>
      <c r="HK59" s="1344"/>
      <c r="HL59" s="1344"/>
      <c r="HM59" s="1344"/>
      <c r="HN59" s="1344"/>
    </row>
    <row r="60" spans="1:222" s="242" customFormat="1" ht="30" customHeight="1" thickBot="1" x14ac:dyDescent="0.25">
      <c r="A60" s="1342" t="s">
        <v>1576</v>
      </c>
      <c r="B60" s="767" t="s">
        <v>1030</v>
      </c>
      <c r="C60" s="998" t="s">
        <v>1097</v>
      </c>
      <c r="D60" s="1674"/>
      <c r="E60" s="1677"/>
      <c r="F60" s="1779" t="s">
        <v>2305</v>
      </c>
    </row>
    <row r="61" spans="1:222" s="242" customFormat="1" ht="30" customHeight="1" thickBot="1" x14ac:dyDescent="0.25">
      <c r="A61" s="1205" t="s">
        <v>1577</v>
      </c>
      <c r="B61" s="741" t="s">
        <v>1026</v>
      </c>
      <c r="C61" s="1033" t="s">
        <v>1025</v>
      </c>
      <c r="D61" s="1673"/>
      <c r="E61" s="1678"/>
      <c r="F61" s="1779" t="s">
        <v>1910</v>
      </c>
    </row>
    <row r="62" spans="1:222" s="242" customFormat="1" ht="30" customHeight="1" thickBot="1" x14ac:dyDescent="0.25">
      <c r="A62" s="1342" t="s">
        <v>1578</v>
      </c>
      <c r="B62" s="767" t="s">
        <v>1072</v>
      </c>
      <c r="C62" s="998" t="s">
        <v>1053</v>
      </c>
      <c r="D62" s="1674"/>
      <c r="E62" s="1677"/>
      <c r="F62" s="1779" t="s">
        <v>1481</v>
      </c>
    </row>
    <row r="63" spans="1:222" s="242" customFormat="1" ht="30" customHeight="1" thickBot="1" x14ac:dyDescent="0.25">
      <c r="A63" s="1205" t="s">
        <v>1579</v>
      </c>
      <c r="B63" s="741" t="s">
        <v>1009</v>
      </c>
      <c r="C63" s="1033" t="s">
        <v>1409</v>
      </c>
      <c r="D63" s="1673"/>
      <c r="E63" s="1678"/>
      <c r="F63" s="1779" t="s">
        <v>2294</v>
      </c>
    </row>
    <row r="64" spans="1:222" s="242" customFormat="1" ht="30" customHeight="1" thickBot="1" x14ac:dyDescent="0.25">
      <c r="A64" s="1342" t="s">
        <v>1580</v>
      </c>
      <c r="B64" s="767" t="s">
        <v>1016</v>
      </c>
      <c r="C64" s="998" t="s">
        <v>1013</v>
      </c>
      <c r="D64" s="1674"/>
      <c r="E64" s="1677"/>
      <c r="F64" s="1779" t="s">
        <v>2294</v>
      </c>
    </row>
    <row r="65" spans="1:222" s="242" customFormat="1" ht="30" customHeight="1" thickBot="1" x14ac:dyDescent="0.25">
      <c r="A65" s="1205" t="s">
        <v>1581</v>
      </c>
      <c r="B65" s="741" t="s">
        <v>1017</v>
      </c>
      <c r="C65" s="1033" t="s">
        <v>1015</v>
      </c>
      <c r="D65" s="1673"/>
      <c r="E65" s="1678"/>
      <c r="F65" s="1779" t="s">
        <v>2294</v>
      </c>
    </row>
    <row r="66" spans="1:222" s="242" customFormat="1" ht="30" customHeight="1" thickBot="1" x14ac:dyDescent="0.25">
      <c r="A66" s="1342" t="s">
        <v>1582</v>
      </c>
      <c r="B66" s="767" t="s">
        <v>1101</v>
      </c>
      <c r="C66" s="998" t="s">
        <v>1014</v>
      </c>
      <c r="D66" s="1674"/>
      <c r="E66" s="1677"/>
      <c r="F66" s="1779" t="s">
        <v>2294</v>
      </c>
    </row>
    <row r="67" spans="1:222" s="242" customFormat="1" ht="30" customHeight="1" thickBot="1" x14ac:dyDescent="0.25">
      <c r="A67" s="1205" t="s">
        <v>1583</v>
      </c>
      <c r="B67" s="741" t="s">
        <v>1245</v>
      </c>
      <c r="C67" s="1033" t="s">
        <v>1407</v>
      </c>
      <c r="D67" s="1673"/>
      <c r="E67" s="1678"/>
      <c r="F67" s="1778" t="s">
        <v>2294</v>
      </c>
    </row>
    <row r="68" spans="1:222" ht="30" customHeight="1" thickBot="1" x14ac:dyDescent="0.25">
      <c r="A68" s="1342" t="s">
        <v>1584</v>
      </c>
      <c r="B68" s="767" t="s">
        <v>1012</v>
      </c>
      <c r="C68" s="998" t="s">
        <v>932</v>
      </c>
      <c r="D68" s="1674"/>
      <c r="E68" s="1677"/>
      <c r="F68" s="1779" t="s">
        <v>2294</v>
      </c>
      <c r="G68" s="1344"/>
      <c r="H68" s="1344"/>
      <c r="I68" s="1344"/>
      <c r="J68" s="1344"/>
      <c r="K68" s="1344"/>
      <c r="L68" s="1344"/>
      <c r="M68" s="1344"/>
      <c r="N68" s="1344"/>
      <c r="O68" s="1344"/>
      <c r="P68" s="1344"/>
      <c r="Q68" s="1344"/>
      <c r="R68" s="1344"/>
      <c r="S68" s="1344"/>
      <c r="T68" s="1344"/>
      <c r="U68" s="1344"/>
      <c r="V68" s="1344"/>
      <c r="W68" s="1344"/>
      <c r="X68" s="1344"/>
      <c r="Y68" s="1344"/>
      <c r="Z68" s="1344"/>
      <c r="AA68" s="1344"/>
      <c r="AB68" s="1344"/>
      <c r="AC68" s="1344"/>
      <c r="AD68" s="1344"/>
      <c r="AE68" s="1344"/>
      <c r="AF68" s="1344"/>
      <c r="AG68" s="1344"/>
      <c r="AH68" s="1344"/>
      <c r="AI68" s="1344"/>
      <c r="AJ68" s="1344"/>
      <c r="AK68" s="1344"/>
      <c r="AL68" s="1344"/>
      <c r="AM68" s="1344"/>
      <c r="AN68" s="1344"/>
      <c r="AO68" s="1344"/>
      <c r="AP68" s="1344"/>
      <c r="AQ68" s="1344"/>
      <c r="AR68" s="1344"/>
      <c r="AS68" s="1344"/>
      <c r="AT68" s="1344"/>
      <c r="AU68" s="1344"/>
      <c r="AV68" s="1344"/>
      <c r="AW68" s="1344"/>
      <c r="AX68" s="1344"/>
      <c r="AY68" s="1344"/>
      <c r="AZ68" s="1344"/>
      <c r="BA68" s="1344"/>
      <c r="BB68" s="1344"/>
      <c r="BC68" s="1344"/>
      <c r="BD68" s="1344"/>
      <c r="BE68" s="1344"/>
      <c r="BF68" s="1344"/>
      <c r="BG68" s="1344"/>
      <c r="BH68" s="1344"/>
      <c r="BI68" s="1344"/>
      <c r="BJ68" s="1344"/>
      <c r="BK68" s="1344"/>
      <c r="BL68" s="1344"/>
      <c r="BM68" s="1344"/>
      <c r="BN68" s="1344"/>
      <c r="BO68" s="1344"/>
      <c r="BP68" s="1344"/>
      <c r="BQ68" s="1344"/>
      <c r="BR68" s="1344"/>
      <c r="BS68" s="1344"/>
      <c r="BT68" s="1344"/>
      <c r="BU68" s="1344"/>
      <c r="BV68" s="1344"/>
      <c r="BW68" s="1344"/>
      <c r="BX68" s="1344"/>
      <c r="BY68" s="1344"/>
      <c r="BZ68" s="1344"/>
      <c r="CA68" s="1344"/>
      <c r="CB68" s="1344"/>
      <c r="CC68" s="1344"/>
      <c r="CD68" s="1344"/>
      <c r="CE68" s="1344"/>
      <c r="CF68" s="1344"/>
      <c r="CG68" s="1344"/>
      <c r="CH68" s="1344"/>
      <c r="CI68" s="1344"/>
      <c r="CJ68" s="1344"/>
      <c r="CK68" s="1344"/>
      <c r="CL68" s="1344"/>
      <c r="CM68" s="1344"/>
      <c r="CN68" s="1344"/>
      <c r="CO68" s="1344"/>
      <c r="CP68" s="1344"/>
      <c r="CQ68" s="1344"/>
      <c r="CR68" s="1344"/>
      <c r="CS68" s="1344"/>
      <c r="CT68" s="1344"/>
      <c r="CU68" s="1344"/>
      <c r="CV68" s="1344"/>
      <c r="CW68" s="1344"/>
      <c r="CX68" s="1344"/>
      <c r="CY68" s="1344"/>
      <c r="CZ68" s="1344"/>
      <c r="DA68" s="1344"/>
      <c r="DB68" s="1344"/>
      <c r="DC68" s="1344"/>
      <c r="DD68" s="1344"/>
      <c r="DE68" s="1344"/>
      <c r="DF68" s="1344"/>
      <c r="DG68" s="1344"/>
      <c r="DH68" s="1344"/>
      <c r="DI68" s="1344"/>
      <c r="DJ68" s="1344"/>
      <c r="DK68" s="1344"/>
      <c r="DL68" s="1344"/>
      <c r="DM68" s="1344"/>
      <c r="DN68" s="1344"/>
      <c r="DO68" s="1344"/>
      <c r="DP68" s="1344"/>
      <c r="DQ68" s="1344"/>
      <c r="DR68" s="1344"/>
      <c r="DS68" s="1344"/>
      <c r="DT68" s="1344"/>
      <c r="DU68" s="1344"/>
      <c r="DV68" s="1344"/>
      <c r="DW68" s="1344"/>
      <c r="DX68" s="1344"/>
      <c r="DY68" s="1344"/>
      <c r="DZ68" s="1344"/>
      <c r="EA68" s="1344"/>
      <c r="EB68" s="1344"/>
      <c r="EC68" s="1344"/>
      <c r="ED68" s="1344"/>
      <c r="EE68" s="1344"/>
      <c r="EF68" s="1344"/>
      <c r="EG68" s="1344"/>
      <c r="EH68" s="1344"/>
      <c r="EI68" s="1344"/>
      <c r="EJ68" s="1344"/>
      <c r="EK68" s="1344"/>
      <c r="EL68" s="1344"/>
      <c r="EM68" s="1344"/>
      <c r="EN68" s="1344"/>
      <c r="EO68" s="1344"/>
      <c r="EP68" s="1344"/>
      <c r="EQ68" s="1344"/>
      <c r="ER68" s="1344"/>
      <c r="ES68" s="1344"/>
      <c r="ET68" s="1344"/>
      <c r="EU68" s="1344"/>
      <c r="EV68" s="1344"/>
      <c r="EW68" s="1344"/>
      <c r="EX68" s="1344"/>
      <c r="EY68" s="1344"/>
      <c r="EZ68" s="1344"/>
      <c r="FA68" s="1344"/>
      <c r="FB68" s="1344"/>
      <c r="FC68" s="1344"/>
      <c r="FD68" s="1344"/>
      <c r="FE68" s="1344"/>
      <c r="FF68" s="1344"/>
      <c r="FG68" s="1344"/>
      <c r="FH68" s="1344"/>
      <c r="FI68" s="1344"/>
      <c r="FJ68" s="1344"/>
      <c r="FK68" s="1344"/>
      <c r="FL68" s="1344"/>
      <c r="FM68" s="1344"/>
      <c r="FN68" s="1344"/>
      <c r="FO68" s="1344"/>
      <c r="FP68" s="1344"/>
      <c r="FQ68" s="1344"/>
      <c r="FR68" s="1344"/>
      <c r="FS68" s="1344"/>
      <c r="FT68" s="1344"/>
      <c r="FU68" s="1344"/>
      <c r="FV68" s="1344"/>
      <c r="FW68" s="1344"/>
      <c r="FX68" s="1344"/>
      <c r="FY68" s="1344"/>
      <c r="FZ68" s="1344"/>
      <c r="GA68" s="1344"/>
      <c r="GB68" s="1344"/>
      <c r="GC68" s="1344"/>
      <c r="GD68" s="1344"/>
      <c r="GE68" s="1344"/>
      <c r="GF68" s="1344"/>
      <c r="GG68" s="1344"/>
      <c r="GH68" s="1344"/>
      <c r="GI68" s="1344"/>
      <c r="GJ68" s="1344"/>
      <c r="GK68" s="1344"/>
      <c r="GL68" s="1344"/>
      <c r="GM68" s="1344"/>
      <c r="GN68" s="1344"/>
      <c r="GO68" s="1344"/>
      <c r="GP68" s="1344"/>
      <c r="GQ68" s="1344"/>
      <c r="GR68" s="1344"/>
      <c r="GS68" s="1344"/>
      <c r="GT68" s="1344"/>
      <c r="GU68" s="1344"/>
      <c r="GV68" s="1344"/>
      <c r="GW68" s="1344"/>
      <c r="GX68" s="1344"/>
      <c r="GY68" s="1344"/>
      <c r="GZ68" s="1344"/>
      <c r="HA68" s="1344"/>
      <c r="HB68" s="1344"/>
      <c r="HC68" s="1344"/>
      <c r="HD68" s="1344"/>
      <c r="HE68" s="1344"/>
      <c r="HF68" s="1344"/>
      <c r="HG68" s="1344"/>
      <c r="HH68" s="1344"/>
      <c r="HI68" s="1344"/>
      <c r="HJ68" s="1344"/>
      <c r="HK68" s="1344"/>
      <c r="HL68" s="1344"/>
      <c r="HM68" s="1344"/>
      <c r="HN68" s="1344"/>
    </row>
    <row r="69" spans="1:222" s="1347" customFormat="1" ht="30" customHeight="1" thickBot="1" x14ac:dyDescent="0.25">
      <c r="A69" s="1205" t="s">
        <v>1585</v>
      </c>
      <c r="B69" s="741" t="s">
        <v>1011</v>
      </c>
      <c r="C69" s="1033" t="s">
        <v>1010</v>
      </c>
      <c r="D69" s="1673"/>
      <c r="E69" s="1678"/>
      <c r="F69" s="1779" t="s">
        <v>2289</v>
      </c>
    </row>
    <row r="70" spans="1:222" s="1347" customFormat="1" ht="30" customHeight="1" thickBot="1" x14ac:dyDescent="0.25">
      <c r="A70" s="1342" t="s">
        <v>1586</v>
      </c>
      <c r="B70" s="767" t="s">
        <v>1211</v>
      </c>
      <c r="C70" s="998" t="s">
        <v>1905</v>
      </c>
      <c r="D70" s="1674"/>
      <c r="E70" s="1677"/>
      <c r="F70" s="1779" t="s">
        <v>2306</v>
      </c>
    </row>
    <row r="71" spans="1:222" s="1347" customFormat="1" ht="30" customHeight="1" thickBot="1" x14ac:dyDescent="0.25">
      <c r="A71" s="1205" t="s">
        <v>1587</v>
      </c>
      <c r="B71" s="741" t="s">
        <v>1022</v>
      </c>
      <c r="C71" s="1033" t="s">
        <v>1462</v>
      </c>
      <c r="D71" s="1673"/>
      <c r="E71" s="1678"/>
      <c r="F71" s="1779" t="s">
        <v>2235</v>
      </c>
    </row>
    <row r="72" spans="1:222" ht="30" customHeight="1" thickBot="1" x14ac:dyDescent="0.25">
      <c r="A72" s="1342" t="s">
        <v>1588</v>
      </c>
      <c r="B72" s="767" t="s">
        <v>1021</v>
      </c>
      <c r="C72" s="998" t="s">
        <v>1461</v>
      </c>
      <c r="D72" s="1674"/>
      <c r="E72" s="1677"/>
      <c r="F72" s="1779" t="s">
        <v>2236</v>
      </c>
      <c r="G72" s="1344"/>
      <c r="H72" s="1344"/>
      <c r="I72" s="1344"/>
      <c r="J72" s="1344"/>
      <c r="K72" s="1344"/>
      <c r="L72" s="1344"/>
      <c r="M72" s="1344"/>
      <c r="N72" s="1344"/>
      <c r="O72" s="1344"/>
      <c r="P72" s="1344"/>
      <c r="Q72" s="1344"/>
      <c r="R72" s="1344"/>
      <c r="S72" s="1344"/>
      <c r="T72" s="1344"/>
      <c r="U72" s="1344"/>
      <c r="V72" s="1344"/>
      <c r="W72" s="1344"/>
      <c r="X72" s="1344"/>
      <c r="Y72" s="1344"/>
      <c r="Z72" s="1344"/>
      <c r="AA72" s="1344"/>
      <c r="AB72" s="1344"/>
      <c r="AC72" s="1344"/>
      <c r="AD72" s="1344"/>
      <c r="AE72" s="1344"/>
      <c r="AF72" s="1344"/>
      <c r="AG72" s="1344"/>
      <c r="AH72" s="1344"/>
      <c r="AI72" s="1344"/>
      <c r="AJ72" s="1344"/>
      <c r="AK72" s="1344"/>
      <c r="AL72" s="1344"/>
      <c r="AM72" s="1344"/>
      <c r="AN72" s="1344"/>
      <c r="AO72" s="1344"/>
      <c r="AP72" s="1344"/>
      <c r="AQ72" s="1344"/>
      <c r="AR72" s="1344"/>
      <c r="AS72" s="1344"/>
      <c r="AT72" s="1344"/>
      <c r="AU72" s="1344"/>
      <c r="AV72" s="1344"/>
      <c r="AW72" s="1344"/>
      <c r="AX72" s="1344"/>
      <c r="AY72" s="1344"/>
      <c r="AZ72" s="1344"/>
      <c r="BA72" s="1344"/>
      <c r="BB72" s="1344"/>
      <c r="BC72" s="1344"/>
      <c r="BD72" s="1344"/>
      <c r="BE72" s="1344"/>
      <c r="BF72" s="1344"/>
      <c r="BG72" s="1344"/>
      <c r="BH72" s="1344"/>
      <c r="BI72" s="1344"/>
      <c r="BJ72" s="1344"/>
      <c r="BK72" s="1344"/>
      <c r="BL72" s="1344"/>
      <c r="BM72" s="1344"/>
      <c r="BN72" s="1344"/>
      <c r="BO72" s="1344"/>
      <c r="BP72" s="1344"/>
      <c r="BQ72" s="1344"/>
      <c r="BR72" s="1344"/>
      <c r="BS72" s="1344"/>
      <c r="BT72" s="1344"/>
      <c r="BU72" s="1344"/>
      <c r="BV72" s="1344"/>
      <c r="BW72" s="1344"/>
      <c r="BX72" s="1344"/>
      <c r="BY72" s="1344"/>
      <c r="BZ72" s="1344"/>
      <c r="CA72" s="1344"/>
      <c r="CB72" s="1344"/>
      <c r="CC72" s="1344"/>
      <c r="CD72" s="1344"/>
      <c r="CE72" s="1344"/>
      <c r="CF72" s="1344"/>
      <c r="CG72" s="1344"/>
      <c r="CH72" s="1344"/>
      <c r="CI72" s="1344"/>
      <c r="CJ72" s="1344"/>
      <c r="CK72" s="1344"/>
      <c r="CL72" s="1344"/>
      <c r="CM72" s="1344"/>
      <c r="CN72" s="1344"/>
      <c r="CO72" s="1344"/>
      <c r="CP72" s="1344"/>
      <c r="CQ72" s="1344"/>
      <c r="CR72" s="1344"/>
      <c r="CS72" s="1344"/>
      <c r="CT72" s="1344"/>
      <c r="CU72" s="1344"/>
      <c r="CV72" s="1344"/>
      <c r="CW72" s="1344"/>
      <c r="CX72" s="1344"/>
      <c r="CY72" s="1344"/>
      <c r="CZ72" s="1344"/>
      <c r="DA72" s="1344"/>
      <c r="DB72" s="1344"/>
      <c r="DC72" s="1344"/>
      <c r="DD72" s="1344"/>
      <c r="DE72" s="1344"/>
      <c r="DF72" s="1344"/>
      <c r="DG72" s="1344"/>
      <c r="DH72" s="1344"/>
      <c r="DI72" s="1344"/>
      <c r="DJ72" s="1344"/>
      <c r="DK72" s="1344"/>
      <c r="DL72" s="1344"/>
      <c r="DM72" s="1344"/>
      <c r="DN72" s="1344"/>
      <c r="DO72" s="1344"/>
      <c r="DP72" s="1344"/>
      <c r="DQ72" s="1344"/>
      <c r="DR72" s="1344"/>
      <c r="DS72" s="1344"/>
      <c r="DT72" s="1344"/>
      <c r="DU72" s="1344"/>
      <c r="DV72" s="1344"/>
      <c r="DW72" s="1344"/>
      <c r="DX72" s="1344"/>
      <c r="DY72" s="1344"/>
      <c r="DZ72" s="1344"/>
      <c r="EA72" s="1344"/>
      <c r="EB72" s="1344"/>
      <c r="EC72" s="1344"/>
      <c r="ED72" s="1344"/>
      <c r="EE72" s="1344"/>
      <c r="EF72" s="1344"/>
      <c r="EG72" s="1344"/>
      <c r="EH72" s="1344"/>
      <c r="EI72" s="1344"/>
      <c r="EJ72" s="1344"/>
      <c r="EK72" s="1344"/>
      <c r="EL72" s="1344"/>
      <c r="EM72" s="1344"/>
      <c r="EN72" s="1344"/>
      <c r="EO72" s="1344"/>
      <c r="EP72" s="1344"/>
      <c r="EQ72" s="1344"/>
      <c r="ER72" s="1344"/>
      <c r="ES72" s="1344"/>
      <c r="ET72" s="1344"/>
      <c r="EU72" s="1344"/>
      <c r="EV72" s="1344"/>
      <c r="EW72" s="1344"/>
      <c r="EX72" s="1344"/>
      <c r="EY72" s="1344"/>
      <c r="EZ72" s="1344"/>
      <c r="FA72" s="1344"/>
      <c r="FB72" s="1344"/>
      <c r="FC72" s="1344"/>
      <c r="FD72" s="1344"/>
      <c r="FE72" s="1344"/>
      <c r="FF72" s="1344"/>
      <c r="FG72" s="1344"/>
      <c r="FH72" s="1344"/>
      <c r="FI72" s="1344"/>
      <c r="FJ72" s="1344"/>
      <c r="FK72" s="1344"/>
      <c r="FL72" s="1344"/>
      <c r="FM72" s="1344"/>
      <c r="FN72" s="1344"/>
      <c r="FO72" s="1344"/>
      <c r="FP72" s="1344"/>
      <c r="FQ72" s="1344"/>
      <c r="FR72" s="1344"/>
      <c r="FS72" s="1344"/>
      <c r="FT72" s="1344"/>
      <c r="FU72" s="1344"/>
      <c r="FV72" s="1344"/>
      <c r="FW72" s="1344"/>
      <c r="FX72" s="1344"/>
      <c r="FY72" s="1344"/>
      <c r="FZ72" s="1344"/>
      <c r="GA72" s="1344"/>
      <c r="GB72" s="1344"/>
      <c r="GC72" s="1344"/>
      <c r="GD72" s="1344"/>
      <c r="GE72" s="1344"/>
      <c r="GF72" s="1344"/>
      <c r="GG72" s="1344"/>
      <c r="GH72" s="1344"/>
      <c r="GI72" s="1344"/>
      <c r="GJ72" s="1344"/>
      <c r="GK72" s="1344"/>
      <c r="GL72" s="1344"/>
      <c r="GM72" s="1344"/>
      <c r="GN72" s="1344"/>
      <c r="GO72" s="1344"/>
      <c r="GP72" s="1344"/>
      <c r="GQ72" s="1344"/>
      <c r="GR72" s="1344"/>
      <c r="GS72" s="1344"/>
      <c r="GT72" s="1344"/>
      <c r="GU72" s="1344"/>
      <c r="GV72" s="1344"/>
      <c r="GW72" s="1344"/>
      <c r="GX72" s="1344"/>
      <c r="GY72" s="1344"/>
      <c r="GZ72" s="1344"/>
      <c r="HA72" s="1344"/>
      <c r="HB72" s="1344"/>
      <c r="HC72" s="1344"/>
      <c r="HD72" s="1344"/>
      <c r="HE72" s="1344"/>
      <c r="HF72" s="1344"/>
      <c r="HG72" s="1344"/>
      <c r="HH72" s="1344"/>
      <c r="HI72" s="1344"/>
      <c r="HJ72" s="1344"/>
      <c r="HK72" s="1344"/>
      <c r="HL72" s="1344"/>
      <c r="HM72" s="1344"/>
      <c r="HN72" s="1344"/>
    </row>
    <row r="73" spans="1:222" ht="30" customHeight="1" thickBot="1" x14ac:dyDescent="0.25">
      <c r="A73" s="1205" t="s">
        <v>1589</v>
      </c>
      <c r="B73" s="741" t="s">
        <v>1037</v>
      </c>
      <c r="C73" s="1033" t="s">
        <v>1036</v>
      </c>
      <c r="D73" s="1673"/>
      <c r="E73" s="1678"/>
      <c r="F73" s="1779" t="s">
        <v>2202</v>
      </c>
      <c r="G73" s="1344"/>
      <c r="H73" s="1344"/>
      <c r="I73" s="1344"/>
      <c r="J73" s="1344"/>
      <c r="K73" s="1344"/>
      <c r="L73" s="1344"/>
      <c r="M73" s="1344"/>
      <c r="N73" s="1344"/>
      <c r="O73" s="1344"/>
      <c r="P73" s="1344"/>
      <c r="Q73" s="1344"/>
      <c r="R73" s="1344"/>
      <c r="S73" s="1344"/>
      <c r="T73" s="1344"/>
      <c r="U73" s="1344"/>
      <c r="V73" s="1344"/>
      <c r="W73" s="1344"/>
      <c r="X73" s="1344"/>
      <c r="Y73" s="1344"/>
      <c r="Z73" s="1344"/>
      <c r="AA73" s="1344"/>
      <c r="AB73" s="1344"/>
      <c r="AC73" s="1344"/>
      <c r="AD73" s="1344"/>
      <c r="AE73" s="1344"/>
      <c r="AF73" s="1344"/>
      <c r="AG73" s="1344"/>
      <c r="AH73" s="1344"/>
      <c r="AI73" s="1344"/>
      <c r="AJ73" s="1344"/>
      <c r="AK73" s="1344"/>
      <c r="AL73" s="1344"/>
      <c r="AM73" s="1344"/>
      <c r="AN73" s="1344"/>
      <c r="AO73" s="1344"/>
      <c r="AP73" s="1344"/>
      <c r="AQ73" s="1344"/>
      <c r="AR73" s="1344"/>
      <c r="AS73" s="1344"/>
      <c r="AT73" s="1344"/>
      <c r="AU73" s="1344"/>
      <c r="AV73" s="1344"/>
      <c r="AW73" s="1344"/>
      <c r="AX73" s="1344"/>
      <c r="AY73" s="1344"/>
      <c r="AZ73" s="1344"/>
      <c r="BA73" s="1344"/>
      <c r="BB73" s="1344"/>
      <c r="BC73" s="1344"/>
      <c r="BD73" s="1344"/>
      <c r="BE73" s="1344"/>
      <c r="BF73" s="1344"/>
      <c r="BG73" s="1344"/>
      <c r="BH73" s="1344"/>
      <c r="BI73" s="1344"/>
      <c r="BJ73" s="1344"/>
      <c r="BK73" s="1344"/>
      <c r="BL73" s="1344"/>
      <c r="BM73" s="1344"/>
      <c r="BN73" s="1344"/>
      <c r="BO73" s="1344"/>
      <c r="BP73" s="1344"/>
      <c r="BQ73" s="1344"/>
      <c r="BR73" s="1344"/>
      <c r="BS73" s="1344"/>
      <c r="BT73" s="1344"/>
      <c r="BU73" s="1344"/>
      <c r="BV73" s="1344"/>
      <c r="BW73" s="1344"/>
      <c r="BX73" s="1344"/>
      <c r="BY73" s="1344"/>
      <c r="BZ73" s="1344"/>
      <c r="CA73" s="1344"/>
      <c r="CB73" s="1344"/>
      <c r="CC73" s="1344"/>
      <c r="CD73" s="1344"/>
      <c r="CE73" s="1344"/>
      <c r="CF73" s="1344"/>
      <c r="CG73" s="1344"/>
      <c r="CH73" s="1344"/>
      <c r="CI73" s="1344"/>
      <c r="CJ73" s="1344"/>
      <c r="CK73" s="1344"/>
      <c r="CL73" s="1344"/>
      <c r="CM73" s="1344"/>
      <c r="CN73" s="1344"/>
      <c r="CO73" s="1344"/>
      <c r="CP73" s="1344"/>
      <c r="CQ73" s="1344"/>
      <c r="CR73" s="1344"/>
      <c r="CS73" s="1344"/>
      <c r="CT73" s="1344"/>
      <c r="CU73" s="1344"/>
      <c r="CV73" s="1344"/>
      <c r="CW73" s="1344"/>
      <c r="CX73" s="1344"/>
      <c r="CY73" s="1344"/>
      <c r="CZ73" s="1344"/>
      <c r="DA73" s="1344"/>
      <c r="DB73" s="1344"/>
      <c r="DC73" s="1344"/>
      <c r="DD73" s="1344"/>
      <c r="DE73" s="1344"/>
      <c r="DF73" s="1344"/>
      <c r="DG73" s="1344"/>
      <c r="DH73" s="1344"/>
      <c r="DI73" s="1344"/>
      <c r="DJ73" s="1344"/>
      <c r="DK73" s="1344"/>
      <c r="DL73" s="1344"/>
      <c r="DM73" s="1344"/>
      <c r="DN73" s="1344"/>
      <c r="DO73" s="1344"/>
      <c r="DP73" s="1344"/>
      <c r="DQ73" s="1344"/>
      <c r="DR73" s="1344"/>
      <c r="DS73" s="1344"/>
      <c r="DT73" s="1344"/>
      <c r="DU73" s="1344"/>
      <c r="DV73" s="1344"/>
      <c r="DW73" s="1344"/>
      <c r="DX73" s="1344"/>
      <c r="DY73" s="1344"/>
      <c r="DZ73" s="1344"/>
      <c r="EA73" s="1344"/>
      <c r="EB73" s="1344"/>
      <c r="EC73" s="1344"/>
      <c r="ED73" s="1344"/>
      <c r="EE73" s="1344"/>
      <c r="EF73" s="1344"/>
      <c r="EG73" s="1344"/>
      <c r="EH73" s="1344"/>
      <c r="EI73" s="1344"/>
      <c r="EJ73" s="1344"/>
      <c r="EK73" s="1344"/>
      <c r="EL73" s="1344"/>
      <c r="EM73" s="1344"/>
      <c r="EN73" s="1344"/>
      <c r="EO73" s="1344"/>
      <c r="EP73" s="1344"/>
      <c r="EQ73" s="1344"/>
      <c r="ER73" s="1344"/>
      <c r="ES73" s="1344"/>
      <c r="ET73" s="1344"/>
      <c r="EU73" s="1344"/>
      <c r="EV73" s="1344"/>
      <c r="EW73" s="1344"/>
      <c r="EX73" s="1344"/>
      <c r="EY73" s="1344"/>
      <c r="EZ73" s="1344"/>
      <c r="FA73" s="1344"/>
      <c r="FB73" s="1344"/>
      <c r="FC73" s="1344"/>
      <c r="FD73" s="1344"/>
      <c r="FE73" s="1344"/>
      <c r="FF73" s="1344"/>
      <c r="FG73" s="1344"/>
      <c r="FH73" s="1344"/>
      <c r="FI73" s="1344"/>
      <c r="FJ73" s="1344"/>
      <c r="FK73" s="1344"/>
      <c r="FL73" s="1344"/>
      <c r="FM73" s="1344"/>
      <c r="FN73" s="1344"/>
      <c r="FO73" s="1344"/>
      <c r="FP73" s="1344"/>
      <c r="FQ73" s="1344"/>
      <c r="FR73" s="1344"/>
      <c r="FS73" s="1344"/>
      <c r="FT73" s="1344"/>
      <c r="FU73" s="1344"/>
      <c r="FV73" s="1344"/>
      <c r="FW73" s="1344"/>
      <c r="FX73" s="1344"/>
      <c r="FY73" s="1344"/>
      <c r="FZ73" s="1344"/>
      <c r="GA73" s="1344"/>
      <c r="GB73" s="1344"/>
      <c r="GC73" s="1344"/>
      <c r="GD73" s="1344"/>
      <c r="GE73" s="1344"/>
      <c r="GF73" s="1344"/>
      <c r="GG73" s="1344"/>
      <c r="GH73" s="1344"/>
      <c r="GI73" s="1344"/>
      <c r="GJ73" s="1344"/>
      <c r="GK73" s="1344"/>
      <c r="GL73" s="1344"/>
      <c r="GM73" s="1344"/>
      <c r="GN73" s="1344"/>
      <c r="GO73" s="1344"/>
      <c r="GP73" s="1344"/>
      <c r="GQ73" s="1344"/>
      <c r="GR73" s="1344"/>
      <c r="GS73" s="1344"/>
      <c r="GT73" s="1344"/>
      <c r="GU73" s="1344"/>
      <c r="GV73" s="1344"/>
      <c r="GW73" s="1344"/>
      <c r="GX73" s="1344"/>
      <c r="GY73" s="1344"/>
      <c r="GZ73" s="1344"/>
      <c r="HA73" s="1344"/>
      <c r="HB73" s="1344"/>
      <c r="HC73" s="1344"/>
      <c r="HD73" s="1344"/>
      <c r="HE73" s="1344"/>
      <c r="HF73" s="1344"/>
      <c r="HG73" s="1344"/>
      <c r="HH73" s="1344"/>
      <c r="HI73" s="1344"/>
      <c r="HJ73" s="1344"/>
      <c r="HK73" s="1344"/>
      <c r="HL73" s="1344"/>
      <c r="HM73" s="1344"/>
      <c r="HN73" s="1344"/>
    </row>
    <row r="74" spans="1:222" s="4" customFormat="1" ht="30" customHeight="1" thickBot="1" x14ac:dyDescent="0.25">
      <c r="A74" s="1681" t="s">
        <v>2286</v>
      </c>
      <c r="B74" s="1682" t="s">
        <v>2268</v>
      </c>
      <c r="C74" s="139" t="s">
        <v>2268</v>
      </c>
      <c r="D74" s="1679"/>
      <c r="E74" s="1680"/>
      <c r="F74" s="1780"/>
    </row>
  </sheetData>
  <sheetProtection password="C4B9" sheet="1" objects="1" scenarios="1"/>
  <sortState columnSort="1" ref="G1:HN74">
    <sortCondition ref="G1:HN1"/>
    <sortCondition sortBy="cellColor" ref="G2:HN2" dxfId="18"/>
  </sortState>
  <customSheetViews>
    <customSheetView guid="{B8E02330-2419-4DE6-AD01-7ACC7A5D18DD}" scale="90" topLeftCell="A227">
      <selection activeCell="C248" sqref="C248"/>
      <rowBreaks count="9" manualBreakCount="9">
        <brk id="17" max="4" man="1"/>
        <brk id="48" max="4" man="1"/>
        <brk id="76" max="4" man="1"/>
        <brk id="111" max="4" man="1"/>
        <brk id="130" max="4" man="1"/>
        <brk id="150" max="4" man="1"/>
        <brk id="169" max="4" man="1"/>
        <brk id="189" max="4" man="1"/>
        <brk id="215" max="4" man="1"/>
      </rowBreaks>
      <pageMargins left="0.25" right="0.25" top="0.75" bottom="0.75" header="0.3" footer="0.3"/>
      <printOptions headings="1"/>
      <pageSetup scale="75" orientation="landscape" r:id="rId1"/>
      <headerFooter alignWithMargins="0">
        <oddFooter>&amp;LWESPUS beta version 1, by Dr. Paul Adamus&amp;R&amp;P&amp;N</oddFooter>
      </headerFooter>
    </customSheetView>
  </customSheetViews>
  <phoneticPr fontId="5" type="noConversion"/>
  <printOptions headings="1"/>
  <pageMargins left="0.25" right="0.25" top="0.75" bottom="0.75" header="0.3" footer="0.3"/>
  <pageSetup scale="70" orientation="landscape" r:id="rId2"/>
  <headerFooter alignWithMargins="0">
    <oddHeader>&amp;L&amp;G&amp;R&amp;G</oddHeader>
    <oddFooter>&amp;L&amp;"Arial,Regular"&amp;8Version 1.0
Jun 1, 2015
Form OF Non-tidal&amp;C&amp;"Arial,Regular"&amp;8Alberta Wetland Rapid Evaluation Tool - Actual Forms
© 2015 Government of Alberta&amp;R&amp;"Arial,Regular"&amp;8&amp;P</oddFooter>
  </headerFooter>
  <rowBreaks count="1" manualBreakCount="1">
    <brk id="7" min="1" max="5" man="1"/>
  </rowBreaks>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FT56"/>
  <sheetViews>
    <sheetView zoomScaleNormal="100" workbookViewId="0">
      <selection activeCell="A68" sqref="A68"/>
    </sheetView>
  </sheetViews>
  <sheetFormatPr defaultColWidth="9.33203125" defaultRowHeight="12.75" x14ac:dyDescent="0.2"/>
  <cols>
    <col min="1" max="1" width="60.5" style="613" customWidth="1"/>
    <col min="2" max="2" width="9.83203125" style="613" customWidth="1"/>
    <col min="3" max="3" width="8.1640625" style="613" customWidth="1"/>
    <col min="4" max="4" width="8.1640625" style="615" customWidth="1"/>
    <col min="5" max="39" width="9.5" style="613" bestFit="1" customWidth="1"/>
    <col min="40" max="40" width="9.6640625" style="613" bestFit="1" customWidth="1"/>
    <col min="41" max="47" width="9.5" style="613" bestFit="1" customWidth="1"/>
    <col min="48" max="51" width="9.6640625" style="613" bestFit="1" customWidth="1"/>
    <col min="52" max="58" width="9.5" style="613" bestFit="1" customWidth="1"/>
    <col min="59" max="61" width="9.6640625" style="613" bestFit="1" customWidth="1"/>
    <col min="62" max="70" width="9.5" style="613" bestFit="1" customWidth="1"/>
    <col min="71" max="71" width="9.6640625" style="613" bestFit="1" customWidth="1"/>
    <col min="72" max="72" width="9.5" style="613" bestFit="1" customWidth="1"/>
    <col min="73" max="73" width="9.6640625" style="613" bestFit="1" customWidth="1"/>
    <col min="74" max="75" width="9.5" style="613" bestFit="1" customWidth="1"/>
    <col min="76" max="76" width="9.6640625" style="613" bestFit="1" customWidth="1"/>
    <col min="77" max="77" width="9.5" style="613" bestFit="1" customWidth="1"/>
    <col min="78" max="78" width="9.6640625" style="613" bestFit="1" customWidth="1"/>
    <col min="79" max="83" width="9.5" style="613" bestFit="1" customWidth="1"/>
    <col min="84" max="84" width="9.6640625" style="613" bestFit="1" customWidth="1"/>
    <col min="85" max="85" width="9.5" style="613" bestFit="1" customWidth="1"/>
    <col min="86" max="86" width="9.6640625" style="613" bestFit="1" customWidth="1"/>
    <col min="87" max="88" width="9.5" style="613" bestFit="1" customWidth="1"/>
    <col min="89" max="89" width="9.6640625" style="613" bestFit="1" customWidth="1"/>
    <col min="90" max="91" width="9.5" style="613" bestFit="1" customWidth="1"/>
    <col min="92" max="93" width="9.6640625" style="613" bestFit="1" customWidth="1"/>
    <col min="94" max="95" width="9.5" style="613" bestFit="1" customWidth="1"/>
    <col min="96" max="97" width="9.6640625" style="613" bestFit="1" customWidth="1"/>
    <col min="98" max="99" width="9.5" style="613" bestFit="1" customWidth="1"/>
    <col min="100" max="102" width="9.6640625" style="613" bestFit="1" customWidth="1"/>
    <col min="103" max="103" width="9.5" style="613" bestFit="1" customWidth="1"/>
    <col min="104" max="108" width="9.6640625" style="613" bestFit="1" customWidth="1"/>
    <col min="109" max="109" width="9.5" style="613" bestFit="1" customWidth="1"/>
    <col min="110" max="111" width="9.6640625" style="613" bestFit="1" customWidth="1"/>
    <col min="112" max="112" width="9.5" style="613" bestFit="1" customWidth="1"/>
    <col min="113" max="113" width="9.6640625" style="613" bestFit="1" customWidth="1"/>
    <col min="114" max="114" width="9.5" style="613" bestFit="1" customWidth="1"/>
    <col min="115" max="119" width="9.6640625" style="613" bestFit="1" customWidth="1"/>
    <col min="120" max="122" width="9.5" style="613" bestFit="1" customWidth="1"/>
    <col min="123" max="123" width="9.6640625" style="613" bestFit="1" customWidth="1"/>
    <col min="124" max="143" width="9.5" style="613" bestFit="1" customWidth="1"/>
    <col min="144" max="144" width="9.6640625" style="613" bestFit="1" customWidth="1"/>
    <col min="145" max="145" width="9.5" style="613" bestFit="1" customWidth="1"/>
    <col min="146" max="146" width="9.6640625" style="613" bestFit="1" customWidth="1"/>
    <col min="147" max="155" width="9.5" style="613" bestFit="1" customWidth="1"/>
    <col min="156" max="158" width="9.6640625" style="613" bestFit="1" customWidth="1"/>
    <col min="159" max="159" width="9.5" style="613" bestFit="1" customWidth="1"/>
    <col min="160" max="162" width="9.6640625" style="613" bestFit="1" customWidth="1"/>
    <col min="163" max="163" width="9.5" style="613" bestFit="1" customWidth="1"/>
    <col min="164" max="167" width="9.6640625" style="613" bestFit="1" customWidth="1"/>
    <col min="168" max="178" width="9.5" style="613" bestFit="1" customWidth="1"/>
    <col min="179" max="179" width="9.6640625" style="613" bestFit="1" customWidth="1"/>
    <col min="180" max="182" width="9.5" style="613" bestFit="1" customWidth="1"/>
    <col min="183" max="185" width="9.6640625" style="613" bestFit="1" customWidth="1"/>
    <col min="186" max="187" width="9.5" style="613" bestFit="1" customWidth="1"/>
    <col min="188" max="190" width="9.6640625" style="613" bestFit="1" customWidth="1"/>
    <col min="191" max="191" width="9.5" style="613" bestFit="1" customWidth="1"/>
    <col min="192" max="193" width="9.6640625" style="613" bestFit="1" customWidth="1"/>
    <col min="194" max="195" width="9.5" style="613" bestFit="1" customWidth="1"/>
    <col min="196" max="197" width="9.6640625" style="613" bestFit="1" customWidth="1"/>
    <col min="198" max="198" width="9.5" style="613" bestFit="1" customWidth="1"/>
    <col min="199" max="199" width="9.6640625" style="613" bestFit="1" customWidth="1"/>
    <col min="200" max="202" width="9.5" style="613" bestFit="1" customWidth="1"/>
    <col min="203" max="206" width="9.6640625" style="613" bestFit="1" customWidth="1"/>
    <col min="207" max="207" width="9.5" style="613" bestFit="1" customWidth="1"/>
    <col min="208" max="208" width="7.1640625" style="613" customWidth="1"/>
    <col min="209" max="16384" width="9.33203125" style="613"/>
  </cols>
  <sheetData>
    <row r="1" spans="1:176" s="614" customFormat="1" x14ac:dyDescent="0.2">
      <c r="A1" s="1498" t="s">
        <v>2022</v>
      </c>
      <c r="B1" s="1513"/>
      <c r="C1" s="1513"/>
      <c r="D1" s="1513"/>
      <c r="E1" s="1513"/>
      <c r="F1" s="1513"/>
      <c r="G1" s="1513"/>
      <c r="H1" s="1513"/>
      <c r="I1" s="1513"/>
      <c r="J1" s="1513"/>
      <c r="K1" s="1513"/>
      <c r="L1" s="1513"/>
      <c r="M1" s="1513"/>
      <c r="N1" s="1513"/>
      <c r="O1" s="1513"/>
      <c r="P1" s="1513"/>
      <c r="Q1" s="1513"/>
      <c r="R1" s="1513"/>
      <c r="S1" s="1513"/>
      <c r="T1" s="1513"/>
      <c r="U1" s="1513"/>
      <c r="V1" s="1513"/>
      <c r="W1" s="1513"/>
      <c r="X1" s="1513"/>
      <c r="Y1" s="1513"/>
      <c r="Z1" s="1513"/>
      <c r="AA1" s="1513"/>
      <c r="AB1" s="1513"/>
      <c r="AC1" s="1513"/>
      <c r="AD1" s="1513"/>
      <c r="AE1" s="1513"/>
      <c r="AF1" s="1513"/>
      <c r="AG1" s="1513"/>
      <c r="AH1" s="1513"/>
      <c r="AI1" s="1513"/>
      <c r="AJ1" s="1513"/>
      <c r="AK1" s="1513"/>
      <c r="AL1" s="1513"/>
      <c r="AM1" s="1513"/>
      <c r="AN1" s="1513"/>
      <c r="AO1" s="1513"/>
      <c r="AP1" s="1513"/>
      <c r="AQ1" s="1513"/>
      <c r="AR1" s="1513"/>
      <c r="AS1" s="1513"/>
      <c r="AT1" s="1513"/>
      <c r="AU1" s="1513"/>
      <c r="AV1" s="1513"/>
      <c r="AW1" s="1513"/>
      <c r="AX1" s="1513"/>
      <c r="AY1" s="1513"/>
      <c r="AZ1" s="1513"/>
      <c r="BA1" s="1513"/>
      <c r="BB1" s="1513"/>
      <c r="BC1" s="1513"/>
      <c r="BD1" s="1513"/>
      <c r="BE1" s="1513"/>
      <c r="BF1" s="1513"/>
      <c r="BG1" s="1513"/>
      <c r="BH1" s="1513"/>
      <c r="BI1" s="1513"/>
      <c r="BJ1" s="1513"/>
      <c r="BK1" s="1513"/>
      <c r="BL1" s="1513"/>
      <c r="BM1" s="1513"/>
      <c r="BN1" s="1513"/>
      <c r="BO1" s="1513"/>
      <c r="BP1" s="1513"/>
      <c r="BQ1" s="1513"/>
      <c r="BR1" s="1513"/>
      <c r="BS1" s="1513"/>
      <c r="BT1" s="1513"/>
      <c r="BU1" s="1513"/>
      <c r="BV1" s="1513"/>
      <c r="BW1" s="1513"/>
      <c r="BX1" s="1513"/>
      <c r="BY1" s="1513"/>
      <c r="BZ1" s="1513"/>
      <c r="CA1" s="1513"/>
      <c r="CB1" s="1513"/>
      <c r="CC1" s="1513"/>
      <c r="CD1" s="1513"/>
      <c r="CE1" s="1513"/>
      <c r="CF1" s="1513"/>
      <c r="CG1" s="1513"/>
      <c r="CH1" s="1513"/>
      <c r="CI1" s="1513"/>
      <c r="CJ1" s="1513"/>
      <c r="CK1" s="1513"/>
      <c r="CL1" s="1513"/>
      <c r="CM1" s="1513"/>
      <c r="CN1" s="1513"/>
      <c r="CO1" s="1513"/>
      <c r="CP1" s="1513"/>
      <c r="CQ1" s="1513"/>
      <c r="CR1" s="1513"/>
      <c r="CS1" s="1513"/>
      <c r="CT1" s="1513"/>
      <c r="CU1" s="1513"/>
      <c r="CV1" s="1513"/>
      <c r="CW1" s="1513"/>
      <c r="CX1" s="1513"/>
      <c r="CY1" s="1513"/>
      <c r="CZ1" s="1513"/>
      <c r="DA1" s="1513"/>
      <c r="DB1" s="1513"/>
      <c r="DC1" s="1513"/>
      <c r="DD1" s="1513"/>
      <c r="DE1" s="1513"/>
      <c r="DF1" s="1513"/>
      <c r="DG1" s="1513"/>
      <c r="DH1" s="1513"/>
      <c r="DI1" s="1513"/>
      <c r="DJ1" s="1513"/>
      <c r="DK1" s="1513"/>
      <c r="DL1" s="1513"/>
      <c r="DM1" s="1513"/>
      <c r="DN1" s="1513"/>
      <c r="DO1" s="1513"/>
      <c r="DP1" s="1513"/>
      <c r="DQ1" s="1513"/>
      <c r="DR1" s="1513"/>
      <c r="DS1" s="1513"/>
      <c r="DT1" s="1513"/>
      <c r="DU1" s="1513"/>
      <c r="DV1" s="1513"/>
      <c r="DW1" s="1513"/>
      <c r="DX1" s="1513"/>
      <c r="DY1" s="1513"/>
      <c r="DZ1" s="1513"/>
      <c r="EA1" s="1513"/>
      <c r="EB1" s="1513"/>
      <c r="EC1" s="1513"/>
      <c r="ED1" s="1513"/>
      <c r="EE1" s="1513"/>
      <c r="EF1" s="1513"/>
      <c r="EG1" s="1513"/>
      <c r="EH1" s="1513"/>
      <c r="EI1" s="1513"/>
      <c r="EJ1" s="1513"/>
      <c r="EK1" s="1513"/>
      <c r="EL1" s="1513"/>
      <c r="EM1" s="1513"/>
      <c r="EN1" s="1513"/>
      <c r="EO1" s="1513"/>
      <c r="EP1" s="1513"/>
      <c r="EQ1" s="1513"/>
      <c r="ER1" s="1513"/>
      <c r="ES1" s="1513"/>
      <c r="ET1" s="1513"/>
      <c r="EU1" s="1513"/>
      <c r="EV1" s="1513"/>
      <c r="EW1" s="1513"/>
      <c r="EX1" s="1513"/>
      <c r="EY1" s="1513"/>
      <c r="EZ1" s="1513"/>
      <c r="FA1" s="1513"/>
      <c r="FB1" s="1513"/>
      <c r="FC1" s="1513"/>
      <c r="FD1" s="1513"/>
      <c r="FE1" s="1513"/>
      <c r="FF1" s="1513"/>
      <c r="FG1" s="1513"/>
      <c r="FH1" s="1513"/>
      <c r="FI1" s="1513"/>
      <c r="FJ1" s="1513"/>
      <c r="FK1" s="1513"/>
      <c r="FL1" s="1513"/>
      <c r="FM1" s="1513"/>
      <c r="FN1" s="1513"/>
      <c r="FO1" s="1513"/>
      <c r="FP1" s="1513"/>
      <c r="FQ1" s="1513"/>
      <c r="FR1" s="1513"/>
      <c r="FS1" s="1513"/>
      <c r="FT1" s="1513"/>
    </row>
    <row r="2" spans="1:176" x14ac:dyDescent="0.2">
      <c r="A2" s="1485" t="s">
        <v>321</v>
      </c>
      <c r="D2" s="613"/>
    </row>
    <row r="3" spans="1:176" x14ac:dyDescent="0.2">
      <c r="A3" s="1485" t="s">
        <v>320</v>
      </c>
      <c r="D3" s="613"/>
    </row>
    <row r="4" spans="1:176" x14ac:dyDescent="0.2">
      <c r="A4" s="1485" t="s">
        <v>319</v>
      </c>
      <c r="D4" s="613"/>
    </row>
    <row r="5" spans="1:176" x14ac:dyDescent="0.2">
      <c r="A5" s="1485" t="s">
        <v>9</v>
      </c>
      <c r="D5" s="613"/>
    </row>
    <row r="6" spans="1:176" x14ac:dyDescent="0.2">
      <c r="A6" s="1485" t="s">
        <v>315</v>
      </c>
      <c r="D6" s="613"/>
    </row>
    <row r="7" spans="1:176" x14ac:dyDescent="0.2">
      <c r="A7" s="1485" t="s">
        <v>70</v>
      </c>
      <c r="D7" s="613"/>
    </row>
    <row r="8" spans="1:176" x14ac:dyDescent="0.2">
      <c r="A8" s="1485" t="s">
        <v>280</v>
      </c>
      <c r="D8" s="613"/>
    </row>
    <row r="9" spans="1:176" x14ac:dyDescent="0.2">
      <c r="A9" s="1485" t="s">
        <v>1105</v>
      </c>
      <c r="D9" s="613"/>
    </row>
    <row r="10" spans="1:176" x14ac:dyDescent="0.2">
      <c r="A10" s="1485" t="s">
        <v>18</v>
      </c>
      <c r="D10" s="613"/>
    </row>
    <row r="11" spans="1:176" x14ac:dyDescent="0.2">
      <c r="A11" s="1485" t="s">
        <v>90</v>
      </c>
      <c r="D11" s="613"/>
    </row>
    <row r="12" spans="1:176" x14ac:dyDescent="0.2">
      <c r="A12" s="1485" t="s">
        <v>923</v>
      </c>
      <c r="D12" s="613"/>
    </row>
    <row r="13" spans="1:176" x14ac:dyDescent="0.2">
      <c r="A13" s="1485" t="s">
        <v>194</v>
      </c>
      <c r="D13" s="613"/>
    </row>
    <row r="14" spans="1:176" x14ac:dyDescent="0.2">
      <c r="A14" s="1485" t="s">
        <v>1281</v>
      </c>
      <c r="D14" s="613"/>
    </row>
    <row r="15" spans="1:176" x14ac:dyDescent="0.2">
      <c r="A15" s="1485" t="s">
        <v>1006</v>
      </c>
      <c r="D15" s="613"/>
    </row>
    <row r="16" spans="1:176" x14ac:dyDescent="0.2">
      <c r="A16" s="1499"/>
      <c r="D16" s="613"/>
    </row>
    <row r="17" spans="1:176" s="1794" customFormat="1" hidden="1" x14ac:dyDescent="0.2">
      <c r="A17" s="1793"/>
    </row>
    <row r="18" spans="1:176" s="1794" customFormat="1" hidden="1" x14ac:dyDescent="0.2">
      <c r="A18" s="1801" t="s">
        <v>2023</v>
      </c>
      <c r="B18" s="1795"/>
      <c r="C18" s="1795"/>
      <c r="D18" s="1795"/>
      <c r="E18" s="1795"/>
      <c r="F18" s="1795"/>
      <c r="G18" s="1795"/>
      <c r="H18" s="1795"/>
      <c r="I18" s="1795"/>
      <c r="J18" s="1795"/>
      <c r="K18" s="1795"/>
      <c r="L18" s="1795"/>
      <c r="M18" s="1795"/>
      <c r="N18" s="1795"/>
      <c r="O18" s="1795"/>
      <c r="P18" s="1795"/>
      <c r="Q18" s="1795"/>
      <c r="R18" s="1795"/>
      <c r="S18" s="1795"/>
      <c r="T18" s="1795"/>
      <c r="U18" s="1795"/>
      <c r="V18" s="1795"/>
      <c r="W18" s="1795"/>
      <c r="X18" s="1795"/>
      <c r="Y18" s="1795"/>
      <c r="Z18" s="1795"/>
      <c r="AA18" s="1795"/>
      <c r="AB18" s="1795"/>
      <c r="AC18" s="1795"/>
      <c r="AD18" s="1795"/>
      <c r="AE18" s="1795"/>
      <c r="AF18" s="1795"/>
      <c r="AG18" s="1795"/>
      <c r="AH18" s="1795"/>
      <c r="AI18" s="1795"/>
      <c r="AJ18" s="1795"/>
      <c r="AK18" s="1795"/>
      <c r="AL18" s="1795"/>
      <c r="AM18" s="1795"/>
      <c r="AN18" s="1795"/>
      <c r="AO18" s="1795"/>
      <c r="AP18" s="1795"/>
      <c r="AQ18" s="1795"/>
      <c r="AR18" s="1795"/>
      <c r="AS18" s="1795"/>
      <c r="AT18" s="1795"/>
      <c r="AU18" s="1795"/>
      <c r="AV18" s="1795"/>
      <c r="AW18" s="1795"/>
      <c r="AX18" s="1795"/>
      <c r="AY18" s="1795"/>
      <c r="AZ18" s="1795"/>
      <c r="BA18" s="1795"/>
      <c r="BB18" s="1795"/>
      <c r="BC18" s="1795"/>
      <c r="BD18" s="1795"/>
      <c r="BE18" s="1795"/>
      <c r="BF18" s="1795"/>
      <c r="BG18" s="1795"/>
      <c r="BH18" s="1795"/>
      <c r="BI18" s="1795"/>
      <c r="BJ18" s="1795"/>
      <c r="BK18" s="1795"/>
      <c r="BL18" s="1795"/>
      <c r="BM18" s="1795"/>
      <c r="BN18" s="1795"/>
      <c r="BO18" s="1795"/>
      <c r="BP18" s="1795"/>
      <c r="BQ18" s="1795"/>
      <c r="BR18" s="1795"/>
      <c r="BS18" s="1795"/>
      <c r="BT18" s="1795"/>
      <c r="BU18" s="1795"/>
      <c r="BV18" s="1795"/>
      <c r="BW18" s="1795"/>
      <c r="BX18" s="1795"/>
      <c r="BY18" s="1795"/>
      <c r="BZ18" s="1795"/>
      <c r="CA18" s="1795"/>
      <c r="CB18" s="1795"/>
      <c r="CC18" s="1795"/>
      <c r="CD18" s="1795"/>
      <c r="CE18" s="1795"/>
      <c r="CF18" s="1795"/>
      <c r="CG18" s="1795"/>
      <c r="CH18" s="1795"/>
      <c r="CI18" s="1795"/>
      <c r="CJ18" s="1795"/>
      <c r="CK18" s="1795"/>
      <c r="CL18" s="1795"/>
      <c r="CM18" s="1795"/>
      <c r="CN18" s="1795"/>
      <c r="CO18" s="1795"/>
      <c r="CP18" s="1795"/>
      <c r="CQ18" s="1795"/>
      <c r="CR18" s="1795"/>
      <c r="CS18" s="1795"/>
      <c r="CT18" s="1795"/>
      <c r="CU18" s="1795"/>
      <c r="CV18" s="1795"/>
      <c r="CW18" s="1795"/>
      <c r="CX18" s="1795"/>
      <c r="CY18" s="1795"/>
      <c r="CZ18" s="1795"/>
      <c r="DA18" s="1795"/>
      <c r="DB18" s="1795"/>
      <c r="DC18" s="1795"/>
      <c r="DD18" s="1795"/>
      <c r="DE18" s="1795"/>
      <c r="DF18" s="1795"/>
      <c r="DG18" s="1795"/>
      <c r="DH18" s="1795"/>
      <c r="DI18" s="1795"/>
      <c r="DJ18" s="1795"/>
      <c r="DK18" s="1795"/>
      <c r="DL18" s="1795"/>
      <c r="DM18" s="1795"/>
      <c r="DN18" s="1795"/>
      <c r="DO18" s="1795"/>
      <c r="DP18" s="1795"/>
      <c r="DQ18" s="1795"/>
      <c r="DR18" s="1795"/>
      <c r="DS18" s="1795"/>
      <c r="DT18" s="1795"/>
      <c r="DU18" s="1795"/>
      <c r="DV18" s="1795"/>
      <c r="DW18" s="1795"/>
      <c r="DX18" s="1795"/>
      <c r="DY18" s="1795"/>
      <c r="DZ18" s="1795"/>
      <c r="EA18" s="1795"/>
      <c r="EB18" s="1795"/>
      <c r="EC18" s="1795"/>
      <c r="ED18" s="1795"/>
      <c r="EE18" s="1795"/>
      <c r="EF18" s="1795"/>
      <c r="EG18" s="1795"/>
      <c r="EH18" s="1795"/>
      <c r="EI18" s="1795"/>
      <c r="EJ18" s="1795"/>
      <c r="EK18" s="1795"/>
      <c r="EL18" s="1795"/>
      <c r="EM18" s="1795"/>
      <c r="EN18" s="1795"/>
      <c r="EO18" s="1795"/>
      <c r="EP18" s="1795"/>
      <c r="EQ18" s="1795"/>
      <c r="ER18" s="1795"/>
      <c r="ES18" s="1795"/>
      <c r="ET18" s="1795"/>
      <c r="EU18" s="1795"/>
      <c r="EV18" s="1795"/>
      <c r="EW18" s="1795"/>
      <c r="EX18" s="1795"/>
      <c r="EY18" s="1795"/>
      <c r="EZ18" s="1795"/>
      <c r="FA18" s="1795"/>
      <c r="FB18" s="1795"/>
      <c r="FC18" s="1795"/>
      <c r="FD18" s="1795"/>
      <c r="FE18" s="1795"/>
      <c r="FF18" s="1795"/>
      <c r="FG18" s="1795"/>
      <c r="FH18" s="1795"/>
      <c r="FI18" s="1795"/>
      <c r="FJ18" s="1795"/>
      <c r="FK18" s="1795"/>
      <c r="FL18" s="1795"/>
      <c r="FM18" s="1795"/>
      <c r="FN18" s="1795"/>
      <c r="FO18" s="1795"/>
      <c r="FP18" s="1795"/>
      <c r="FQ18" s="1795"/>
      <c r="FR18" s="1795"/>
      <c r="FS18" s="1795"/>
      <c r="FT18" s="1795"/>
    </row>
    <row r="19" spans="1:176" s="1794" customFormat="1" hidden="1" x14ac:dyDescent="0.2">
      <c r="A19" s="1796" t="s">
        <v>321</v>
      </c>
    </row>
    <row r="20" spans="1:176" s="1794" customFormat="1" hidden="1" x14ac:dyDescent="0.2">
      <c r="A20" s="1796" t="s">
        <v>320</v>
      </c>
    </row>
    <row r="21" spans="1:176" s="1794" customFormat="1" hidden="1" x14ac:dyDescent="0.2">
      <c r="A21" s="1796" t="s">
        <v>319</v>
      </c>
    </row>
    <row r="22" spans="1:176" s="1794" customFormat="1" hidden="1" x14ac:dyDescent="0.2">
      <c r="A22" s="1796" t="s">
        <v>9</v>
      </c>
    </row>
    <row r="23" spans="1:176" s="1794" customFormat="1" hidden="1" x14ac:dyDescent="0.2">
      <c r="A23" s="1796" t="s">
        <v>315</v>
      </c>
    </row>
    <row r="24" spans="1:176" s="1794" customFormat="1" hidden="1" x14ac:dyDescent="0.2">
      <c r="A24" s="1796" t="s">
        <v>70</v>
      </c>
    </row>
    <row r="25" spans="1:176" s="1794" customFormat="1" hidden="1" x14ac:dyDescent="0.2">
      <c r="A25" s="1796" t="s">
        <v>280</v>
      </c>
    </row>
    <row r="26" spans="1:176" s="1794" customFormat="1" hidden="1" x14ac:dyDescent="0.2">
      <c r="A26" s="1796" t="s">
        <v>1105</v>
      </c>
    </row>
    <row r="27" spans="1:176" s="1794" customFormat="1" hidden="1" x14ac:dyDescent="0.2">
      <c r="A27" s="1796" t="s">
        <v>18</v>
      </c>
    </row>
    <row r="28" spans="1:176" s="1794" customFormat="1" hidden="1" x14ac:dyDescent="0.2">
      <c r="A28" s="1796" t="s">
        <v>90</v>
      </c>
    </row>
    <row r="29" spans="1:176" s="1794" customFormat="1" hidden="1" x14ac:dyDescent="0.2">
      <c r="A29" s="1796" t="s">
        <v>923</v>
      </c>
    </row>
    <row r="30" spans="1:176" s="1794" customFormat="1" hidden="1" x14ac:dyDescent="0.2">
      <c r="A30" s="1796" t="s">
        <v>194</v>
      </c>
    </row>
    <row r="31" spans="1:176" s="1794" customFormat="1" hidden="1" x14ac:dyDescent="0.2">
      <c r="A31" s="1796" t="s">
        <v>1281</v>
      </c>
    </row>
    <row r="32" spans="1:176" s="1794" customFormat="1" hidden="1" x14ac:dyDescent="0.2">
      <c r="A32" s="1796" t="s">
        <v>1006</v>
      </c>
    </row>
    <row r="33" spans="1:176" s="1794" customFormat="1" hidden="1" x14ac:dyDescent="0.2">
      <c r="A33" s="1797"/>
    </row>
    <row r="34" spans="1:176" s="1794" customFormat="1" hidden="1" x14ac:dyDescent="0.2">
      <c r="A34" s="1793"/>
    </row>
    <row r="35" spans="1:176" s="1794" customFormat="1" hidden="1" x14ac:dyDescent="0.2">
      <c r="A35" s="1798" t="s">
        <v>2313</v>
      </c>
    </row>
    <row r="36" spans="1:176" s="1794" customFormat="1" hidden="1" x14ac:dyDescent="0.2">
      <c r="A36" s="1799" t="s">
        <v>2368</v>
      </c>
    </row>
    <row r="37" spans="1:176" s="1794" customFormat="1" hidden="1" x14ac:dyDescent="0.2">
      <c r="A37" s="1799" t="s">
        <v>2276</v>
      </c>
    </row>
    <row r="38" spans="1:176" s="1794" customFormat="1" hidden="1" x14ac:dyDescent="0.2">
      <c r="A38" s="1799" t="s">
        <v>2277</v>
      </c>
    </row>
    <row r="39" spans="1:176" s="1794" customFormat="1" hidden="1" x14ac:dyDescent="0.2">
      <c r="A39" s="1799" t="s">
        <v>2278</v>
      </c>
    </row>
    <row r="40" spans="1:176" s="1794" customFormat="1" hidden="1" x14ac:dyDescent="0.2">
      <c r="A40" s="1799" t="s">
        <v>2369</v>
      </c>
      <c r="B40" s="1800"/>
      <c r="C40" s="1800"/>
      <c r="D40" s="1800"/>
      <c r="E40" s="1800"/>
      <c r="F40" s="1800"/>
      <c r="G40" s="1800"/>
      <c r="H40" s="1800"/>
      <c r="I40" s="1800"/>
      <c r="J40" s="1800"/>
      <c r="K40" s="1800"/>
      <c r="L40" s="1800"/>
      <c r="M40" s="1800"/>
      <c r="N40" s="1800"/>
      <c r="O40" s="1800"/>
      <c r="P40" s="1800"/>
      <c r="Q40" s="1800"/>
      <c r="R40" s="1800"/>
      <c r="S40" s="1800"/>
      <c r="T40" s="1800"/>
      <c r="U40" s="1800"/>
      <c r="V40" s="1800"/>
      <c r="W40" s="1800"/>
      <c r="X40" s="1800"/>
      <c r="Y40" s="1800"/>
      <c r="Z40" s="1800"/>
      <c r="AA40" s="1800"/>
      <c r="AB40" s="1800"/>
      <c r="AC40" s="1800"/>
      <c r="AD40" s="1800"/>
      <c r="AE40" s="1800"/>
      <c r="AF40" s="1800"/>
      <c r="AG40" s="1800"/>
      <c r="AH40" s="1800"/>
      <c r="AI40" s="1800"/>
      <c r="AJ40" s="1800"/>
      <c r="AK40" s="1800"/>
      <c r="AL40" s="1800"/>
      <c r="AM40" s="1800"/>
      <c r="AN40" s="1800"/>
      <c r="AO40" s="1800"/>
      <c r="AP40" s="1800"/>
      <c r="AQ40" s="1800"/>
      <c r="AR40" s="1800"/>
      <c r="AS40" s="1800"/>
      <c r="AT40" s="1800"/>
      <c r="AU40" s="1800"/>
      <c r="AV40" s="1800"/>
      <c r="AW40" s="1800"/>
      <c r="AX40" s="1800"/>
      <c r="AY40" s="1800"/>
      <c r="AZ40" s="1800"/>
      <c r="BA40" s="1800"/>
      <c r="BB40" s="1800"/>
      <c r="BC40" s="1800"/>
      <c r="BD40" s="1800"/>
      <c r="BE40" s="1800"/>
      <c r="BF40" s="1800"/>
      <c r="BG40" s="1800"/>
      <c r="BH40" s="1800"/>
      <c r="BI40" s="1800"/>
      <c r="BJ40" s="1800"/>
      <c r="BK40" s="1800"/>
      <c r="BL40" s="1800"/>
      <c r="BM40" s="1800"/>
      <c r="BN40" s="1800"/>
      <c r="BO40" s="1800"/>
      <c r="BP40" s="1800"/>
      <c r="BQ40" s="1800"/>
      <c r="BR40" s="1800"/>
      <c r="BS40" s="1800"/>
      <c r="BT40" s="1800"/>
      <c r="BU40" s="1800"/>
      <c r="BV40" s="1800"/>
      <c r="BW40" s="1800"/>
      <c r="BX40" s="1800"/>
      <c r="BY40" s="1800"/>
      <c r="BZ40" s="1800"/>
      <c r="CA40" s="1800"/>
      <c r="CB40" s="1800"/>
      <c r="CC40" s="1800"/>
      <c r="CD40" s="1800"/>
      <c r="CE40" s="1800"/>
      <c r="CF40" s="1800"/>
      <c r="CG40" s="1800"/>
      <c r="CH40" s="1800"/>
      <c r="CI40" s="1800"/>
      <c r="CJ40" s="1800"/>
      <c r="CK40" s="1800"/>
      <c r="CL40" s="1800"/>
      <c r="CM40" s="1800"/>
      <c r="CN40" s="1800"/>
      <c r="CO40" s="1800"/>
      <c r="CP40" s="1800"/>
      <c r="CQ40" s="1800"/>
      <c r="CR40" s="1800"/>
      <c r="CS40" s="1800"/>
      <c r="CT40" s="1800"/>
      <c r="CU40" s="1800"/>
      <c r="CV40" s="1800"/>
      <c r="CW40" s="1800"/>
      <c r="CX40" s="1800"/>
      <c r="CY40" s="1800"/>
      <c r="CZ40" s="1800"/>
      <c r="DA40" s="1800"/>
      <c r="DB40" s="1800"/>
      <c r="DC40" s="1800"/>
      <c r="DD40" s="1800"/>
      <c r="DE40" s="1800"/>
      <c r="DF40" s="1800"/>
      <c r="DG40" s="1800"/>
      <c r="DH40" s="1800"/>
      <c r="DI40" s="1800"/>
      <c r="DJ40" s="1800"/>
      <c r="DK40" s="1800"/>
      <c r="DL40" s="1800"/>
      <c r="DM40" s="1800"/>
      <c r="DN40" s="1800"/>
      <c r="DO40" s="1800"/>
      <c r="DP40" s="1800"/>
      <c r="DQ40" s="1800"/>
      <c r="DR40" s="1800"/>
      <c r="DS40" s="1800"/>
      <c r="DT40" s="1800"/>
      <c r="DU40" s="1800"/>
      <c r="DV40" s="1800"/>
      <c r="DW40" s="1800"/>
      <c r="DX40" s="1800"/>
      <c r="DY40" s="1800"/>
      <c r="DZ40" s="1800"/>
      <c r="EA40" s="1800"/>
      <c r="EB40" s="1800"/>
      <c r="EC40" s="1800"/>
      <c r="ED40" s="1800"/>
      <c r="EE40" s="1800"/>
      <c r="EF40" s="1800"/>
      <c r="EG40" s="1800"/>
      <c r="EH40" s="1800"/>
      <c r="EI40" s="1800"/>
      <c r="EJ40" s="1800"/>
      <c r="EK40" s="1800"/>
      <c r="EL40" s="1800"/>
      <c r="EM40" s="1800"/>
      <c r="EN40" s="1800"/>
      <c r="EO40" s="1800"/>
      <c r="EP40" s="1800"/>
      <c r="EQ40" s="1800"/>
      <c r="ER40" s="1800"/>
      <c r="ES40" s="1800"/>
      <c r="ET40" s="1800"/>
      <c r="EU40" s="1800"/>
      <c r="EV40" s="1800"/>
      <c r="EW40" s="1800"/>
      <c r="EX40" s="1800"/>
      <c r="EY40" s="1800"/>
      <c r="EZ40" s="1800"/>
      <c r="FA40" s="1800"/>
      <c r="FB40" s="1800"/>
      <c r="FC40" s="1800"/>
      <c r="FD40" s="1800"/>
      <c r="FE40" s="1800"/>
      <c r="FF40" s="1800"/>
      <c r="FG40" s="1800"/>
      <c r="FH40" s="1800"/>
      <c r="FI40" s="1800"/>
      <c r="FJ40" s="1800"/>
      <c r="FK40" s="1800"/>
      <c r="FL40" s="1800"/>
      <c r="FM40" s="1800"/>
      <c r="FN40" s="1800"/>
      <c r="FO40" s="1800"/>
      <c r="FP40" s="1800"/>
      <c r="FQ40" s="1800"/>
      <c r="FR40" s="1800"/>
      <c r="FS40" s="1800"/>
      <c r="FT40" s="1800"/>
    </row>
    <row r="41" spans="1:176" s="1794" customFormat="1" hidden="1" x14ac:dyDescent="0.2">
      <c r="A41" s="1799" t="s">
        <v>2269</v>
      </c>
    </row>
    <row r="42" spans="1:176" s="1794" customFormat="1" hidden="1" x14ac:dyDescent="0.2">
      <c r="A42" s="1799" t="s">
        <v>2270</v>
      </c>
    </row>
    <row r="43" spans="1:176" s="1794" customFormat="1" hidden="1" x14ac:dyDescent="0.2">
      <c r="A43" s="1799" t="s">
        <v>2271</v>
      </c>
      <c r="B43" s="1800"/>
      <c r="C43" s="1800"/>
      <c r="D43" s="1800"/>
      <c r="E43" s="1800"/>
      <c r="F43" s="1800"/>
      <c r="G43" s="1800"/>
      <c r="H43" s="1800"/>
      <c r="I43" s="1800"/>
      <c r="J43" s="1800"/>
      <c r="K43" s="1800"/>
      <c r="L43" s="1800"/>
      <c r="M43" s="1800"/>
      <c r="N43" s="1800"/>
      <c r="O43" s="1800"/>
      <c r="P43" s="1800"/>
      <c r="Q43" s="1800"/>
      <c r="R43" s="1800"/>
      <c r="S43" s="1800"/>
      <c r="T43" s="1800"/>
      <c r="U43" s="1800"/>
      <c r="V43" s="1800"/>
      <c r="W43" s="1800"/>
      <c r="X43" s="1800"/>
      <c r="Y43" s="1800"/>
      <c r="Z43" s="1800"/>
      <c r="AA43" s="1800"/>
      <c r="AB43" s="1800"/>
      <c r="AC43" s="1800"/>
      <c r="AD43" s="1800"/>
      <c r="AE43" s="1800"/>
      <c r="AF43" s="1800"/>
      <c r="AG43" s="1800"/>
      <c r="AH43" s="1800"/>
      <c r="AI43" s="1800"/>
      <c r="AJ43" s="1800"/>
      <c r="AK43" s="1800"/>
      <c r="AL43" s="1800"/>
      <c r="AM43" s="1800"/>
      <c r="AN43" s="1800"/>
      <c r="AO43" s="1800"/>
      <c r="AP43" s="1800"/>
      <c r="AQ43" s="1800"/>
      <c r="AR43" s="1800"/>
      <c r="AS43" s="1800"/>
      <c r="AT43" s="1800"/>
      <c r="AU43" s="1800"/>
      <c r="AV43" s="1800"/>
      <c r="AW43" s="1800"/>
      <c r="AX43" s="1800"/>
      <c r="AY43" s="1800"/>
      <c r="AZ43" s="1800"/>
      <c r="BA43" s="1800"/>
      <c r="BB43" s="1800"/>
      <c r="BC43" s="1800"/>
      <c r="BD43" s="1800"/>
      <c r="BE43" s="1800"/>
      <c r="BF43" s="1800"/>
      <c r="BG43" s="1800"/>
      <c r="BH43" s="1800"/>
      <c r="BI43" s="1800"/>
      <c r="BJ43" s="1800"/>
      <c r="BK43" s="1800"/>
      <c r="BL43" s="1800"/>
      <c r="BM43" s="1800"/>
      <c r="BN43" s="1800"/>
      <c r="BO43" s="1800"/>
      <c r="BP43" s="1800"/>
      <c r="BQ43" s="1800"/>
      <c r="BR43" s="1800"/>
      <c r="BS43" s="1800"/>
      <c r="BT43" s="1800"/>
      <c r="BU43" s="1800"/>
      <c r="BV43" s="1800"/>
      <c r="BW43" s="1800"/>
      <c r="BX43" s="1800"/>
      <c r="BY43" s="1800"/>
      <c r="BZ43" s="1800"/>
      <c r="CA43" s="1800"/>
      <c r="CB43" s="1800"/>
      <c r="CC43" s="1800"/>
      <c r="CD43" s="1800"/>
      <c r="CE43" s="1800"/>
      <c r="CF43" s="1800"/>
      <c r="CG43" s="1800"/>
      <c r="CH43" s="1800"/>
      <c r="CI43" s="1800"/>
      <c r="CJ43" s="1800"/>
      <c r="CK43" s="1800"/>
      <c r="CL43" s="1800"/>
      <c r="CM43" s="1800"/>
      <c r="CN43" s="1800"/>
      <c r="CO43" s="1800"/>
      <c r="CP43" s="1800"/>
      <c r="CQ43" s="1800"/>
      <c r="CR43" s="1800"/>
      <c r="CS43" s="1800"/>
      <c r="CT43" s="1800"/>
      <c r="CU43" s="1800"/>
      <c r="CV43" s="1800"/>
      <c r="CW43" s="1800"/>
      <c r="CX43" s="1800"/>
      <c r="CY43" s="1800"/>
      <c r="CZ43" s="1800"/>
      <c r="DA43" s="1800"/>
      <c r="DB43" s="1800"/>
      <c r="DC43" s="1800"/>
      <c r="DD43" s="1800"/>
      <c r="DE43" s="1800"/>
      <c r="DF43" s="1800"/>
      <c r="DG43" s="1800"/>
      <c r="DH43" s="1800"/>
      <c r="DI43" s="1800"/>
      <c r="DJ43" s="1800"/>
      <c r="DK43" s="1800"/>
      <c r="DL43" s="1800"/>
      <c r="DM43" s="1800"/>
      <c r="DN43" s="1800"/>
      <c r="DO43" s="1800"/>
      <c r="DP43" s="1800"/>
      <c r="DQ43" s="1800"/>
      <c r="DR43" s="1800"/>
      <c r="DS43" s="1800"/>
      <c r="DT43" s="1800"/>
      <c r="DU43" s="1800"/>
      <c r="DV43" s="1800"/>
      <c r="DW43" s="1800"/>
      <c r="DX43" s="1800"/>
      <c r="DY43" s="1800"/>
      <c r="DZ43" s="1800"/>
      <c r="EA43" s="1800"/>
      <c r="EB43" s="1800"/>
      <c r="EC43" s="1800"/>
      <c r="ED43" s="1800"/>
      <c r="EE43" s="1800"/>
      <c r="EF43" s="1800"/>
      <c r="EG43" s="1800"/>
      <c r="EH43" s="1800"/>
      <c r="EI43" s="1800"/>
      <c r="EJ43" s="1800"/>
      <c r="EK43" s="1800"/>
      <c r="EL43" s="1800"/>
      <c r="EM43" s="1800"/>
      <c r="EN43" s="1800"/>
      <c r="EO43" s="1800"/>
      <c r="EP43" s="1800"/>
      <c r="EQ43" s="1800"/>
      <c r="ER43" s="1800"/>
      <c r="ES43" s="1800"/>
      <c r="ET43" s="1800"/>
      <c r="EU43" s="1800"/>
      <c r="EV43" s="1800"/>
      <c r="EW43" s="1800"/>
      <c r="EX43" s="1800"/>
      <c r="EY43" s="1800"/>
      <c r="EZ43" s="1800"/>
      <c r="FA43" s="1800"/>
      <c r="FB43" s="1800"/>
      <c r="FC43" s="1800"/>
      <c r="FD43" s="1800"/>
      <c r="FE43" s="1800"/>
      <c r="FF43" s="1800"/>
      <c r="FG43" s="1800"/>
      <c r="FH43" s="1800"/>
      <c r="FI43" s="1800"/>
      <c r="FJ43" s="1800"/>
      <c r="FK43" s="1800"/>
      <c r="FL43" s="1800"/>
      <c r="FM43" s="1800"/>
      <c r="FN43" s="1800"/>
      <c r="FO43" s="1800"/>
      <c r="FP43" s="1800"/>
      <c r="FQ43" s="1800"/>
      <c r="FR43" s="1800"/>
      <c r="FS43" s="1800"/>
      <c r="FT43" s="1800"/>
    </row>
    <row r="44" spans="1:176" s="1794" customFormat="1" hidden="1" x14ac:dyDescent="0.2">
      <c r="A44" s="1799" t="s">
        <v>2272</v>
      </c>
    </row>
    <row r="45" spans="1:176" s="1794" customFormat="1" hidden="1" x14ac:dyDescent="0.2"/>
    <row r="46" spans="1:176" s="1794" customFormat="1" hidden="1" x14ac:dyDescent="0.2"/>
    <row r="47" spans="1:176" ht="17.25" customHeight="1" x14ac:dyDescent="0.2">
      <c r="A47" s="1497" t="s">
        <v>2318</v>
      </c>
      <c r="D47" s="613"/>
    </row>
    <row r="48" spans="1:176" x14ac:dyDescent="0.2">
      <c r="A48" s="1486" t="s">
        <v>2368</v>
      </c>
      <c r="D48" s="613"/>
    </row>
    <row r="49" spans="1:176" x14ac:dyDescent="0.2">
      <c r="A49" s="1486" t="s">
        <v>2276</v>
      </c>
      <c r="D49" s="613"/>
    </row>
    <row r="50" spans="1:176" x14ac:dyDescent="0.2">
      <c r="A50" s="1486" t="s">
        <v>2277</v>
      </c>
      <c r="D50" s="613"/>
    </row>
    <row r="51" spans="1:176" x14ac:dyDescent="0.2">
      <c r="A51" s="1486" t="s">
        <v>2278</v>
      </c>
      <c r="D51" s="613"/>
    </row>
    <row r="52" spans="1:176" x14ac:dyDescent="0.2">
      <c r="A52" s="1486" t="s">
        <v>2369</v>
      </c>
      <c r="B52" s="615"/>
      <c r="C52" s="615"/>
      <c r="E52" s="615"/>
      <c r="F52" s="615"/>
      <c r="G52" s="615"/>
      <c r="H52" s="615"/>
      <c r="I52" s="615"/>
      <c r="J52" s="615"/>
      <c r="K52" s="615"/>
      <c r="L52" s="615"/>
      <c r="M52" s="615"/>
      <c r="N52" s="615"/>
      <c r="O52" s="615"/>
      <c r="P52" s="615"/>
      <c r="Q52" s="615"/>
      <c r="R52" s="615"/>
      <c r="S52" s="615"/>
      <c r="T52" s="615"/>
      <c r="U52" s="615"/>
      <c r="V52" s="615"/>
      <c r="W52" s="615"/>
      <c r="X52" s="615"/>
      <c r="Y52" s="615"/>
      <c r="Z52" s="615"/>
      <c r="AA52" s="615"/>
      <c r="AB52" s="615"/>
      <c r="AC52" s="615"/>
      <c r="AD52" s="615"/>
      <c r="AE52" s="615"/>
      <c r="AF52" s="615"/>
      <c r="AG52" s="615"/>
      <c r="AH52" s="615"/>
      <c r="AI52" s="615"/>
      <c r="AJ52" s="615"/>
      <c r="AK52" s="615"/>
      <c r="AL52" s="615"/>
      <c r="AM52" s="615"/>
      <c r="AN52" s="615"/>
      <c r="AO52" s="615"/>
      <c r="AP52" s="615"/>
      <c r="AQ52" s="615"/>
      <c r="AR52" s="615"/>
      <c r="AS52" s="615"/>
      <c r="AT52" s="615"/>
      <c r="AU52" s="615"/>
      <c r="AV52" s="615"/>
      <c r="AW52" s="615"/>
      <c r="AX52" s="615"/>
      <c r="AY52" s="615"/>
      <c r="AZ52" s="615"/>
      <c r="BA52" s="615"/>
      <c r="BB52" s="615"/>
      <c r="BC52" s="615"/>
      <c r="BD52" s="615"/>
      <c r="BE52" s="615"/>
      <c r="BF52" s="615"/>
      <c r="BG52" s="615"/>
      <c r="BH52" s="615"/>
      <c r="BI52" s="615"/>
      <c r="BJ52" s="615"/>
      <c r="BK52" s="615"/>
      <c r="BL52" s="615"/>
      <c r="BM52" s="615"/>
      <c r="BN52" s="615"/>
      <c r="BO52" s="615"/>
      <c r="BP52" s="615"/>
      <c r="BQ52" s="615"/>
      <c r="BR52" s="615"/>
      <c r="BS52" s="615"/>
      <c r="BT52" s="615"/>
      <c r="BU52" s="615"/>
      <c r="BV52" s="615"/>
      <c r="BW52" s="615"/>
      <c r="BX52" s="615"/>
      <c r="BY52" s="615"/>
      <c r="BZ52" s="615"/>
      <c r="CA52" s="615"/>
      <c r="CB52" s="615"/>
      <c r="CC52" s="615"/>
      <c r="CD52" s="615"/>
      <c r="CE52" s="615"/>
      <c r="CF52" s="615"/>
      <c r="CG52" s="615"/>
      <c r="CH52" s="615"/>
      <c r="CI52" s="615"/>
      <c r="CJ52" s="615"/>
      <c r="CK52" s="615"/>
      <c r="CL52" s="615"/>
      <c r="CM52" s="615"/>
      <c r="CN52" s="615"/>
      <c r="CO52" s="615"/>
      <c r="CP52" s="615"/>
      <c r="CQ52" s="615"/>
      <c r="CR52" s="615"/>
      <c r="CS52" s="615"/>
      <c r="CT52" s="615"/>
      <c r="CU52" s="615"/>
      <c r="CV52" s="615"/>
      <c r="CW52" s="615"/>
      <c r="CX52" s="615"/>
      <c r="CY52" s="615"/>
      <c r="CZ52" s="615"/>
      <c r="DA52" s="615"/>
      <c r="DB52" s="615"/>
      <c r="DC52" s="615"/>
      <c r="DD52" s="615"/>
      <c r="DE52" s="615"/>
      <c r="DF52" s="615"/>
      <c r="DG52" s="615"/>
      <c r="DH52" s="615"/>
      <c r="DI52" s="615"/>
      <c r="DJ52" s="615"/>
      <c r="DK52" s="615"/>
      <c r="DL52" s="615"/>
      <c r="DM52" s="615"/>
      <c r="DN52" s="615"/>
      <c r="DO52" s="615"/>
      <c r="DP52" s="615"/>
      <c r="DQ52" s="615"/>
      <c r="DR52" s="615"/>
      <c r="DS52" s="615"/>
      <c r="DT52" s="615"/>
      <c r="DU52" s="615"/>
      <c r="DV52" s="615"/>
      <c r="DW52" s="615"/>
      <c r="DX52" s="615"/>
      <c r="DY52" s="615"/>
      <c r="DZ52" s="615"/>
      <c r="EA52" s="615"/>
      <c r="EB52" s="615"/>
      <c r="EC52" s="615"/>
      <c r="ED52" s="615"/>
      <c r="EE52" s="615"/>
      <c r="EF52" s="615"/>
      <c r="EG52" s="615"/>
      <c r="EH52" s="615"/>
      <c r="EI52" s="615"/>
      <c r="EJ52" s="615"/>
      <c r="EK52" s="615"/>
      <c r="EL52" s="615"/>
      <c r="EM52" s="615"/>
      <c r="EN52" s="615"/>
      <c r="EO52" s="615"/>
      <c r="EP52" s="615"/>
      <c r="EQ52" s="615"/>
      <c r="ER52" s="615"/>
      <c r="ES52" s="615"/>
      <c r="ET52" s="615"/>
      <c r="EU52" s="615"/>
      <c r="EV52" s="615"/>
      <c r="EW52" s="615"/>
      <c r="EX52" s="615"/>
      <c r="EY52" s="615"/>
      <c r="EZ52" s="615"/>
      <c r="FA52" s="615"/>
      <c r="FB52" s="615"/>
      <c r="FC52" s="615"/>
      <c r="FD52" s="615"/>
      <c r="FE52" s="615"/>
      <c r="FF52" s="615"/>
      <c r="FG52" s="615"/>
      <c r="FH52" s="615"/>
      <c r="FI52" s="615"/>
      <c r="FJ52" s="615"/>
      <c r="FK52" s="615"/>
      <c r="FL52" s="615"/>
      <c r="FM52" s="615"/>
      <c r="FN52" s="615"/>
      <c r="FO52" s="615"/>
      <c r="FP52" s="615"/>
      <c r="FQ52" s="615"/>
      <c r="FR52" s="615"/>
      <c r="FS52" s="615"/>
      <c r="FT52" s="615"/>
    </row>
    <row r="53" spans="1:176" x14ac:dyDescent="0.2">
      <c r="A53" s="1486" t="s">
        <v>2269</v>
      </c>
      <c r="D53" s="613"/>
    </row>
    <row r="54" spans="1:176" s="1771" customFormat="1" x14ac:dyDescent="0.2">
      <c r="A54" s="1773" t="s">
        <v>2270</v>
      </c>
    </row>
    <row r="55" spans="1:176" s="1771" customFormat="1" x14ac:dyDescent="0.2">
      <c r="A55" s="1773" t="s">
        <v>2271</v>
      </c>
      <c r="B55" s="1772"/>
      <c r="C55" s="1772"/>
      <c r="D55" s="1772"/>
      <c r="E55" s="1772"/>
      <c r="F55" s="1772"/>
      <c r="G55" s="1772"/>
      <c r="H55" s="1772"/>
      <c r="I55" s="1772"/>
      <c r="J55" s="1772"/>
      <c r="K55" s="1772"/>
      <c r="L55" s="1772"/>
      <c r="M55" s="1772"/>
      <c r="N55" s="1772"/>
      <c r="O55" s="1772"/>
      <c r="P55" s="1772"/>
      <c r="Q55" s="1772"/>
      <c r="R55" s="1772"/>
      <c r="S55" s="1772"/>
      <c r="T55" s="1772"/>
      <c r="U55" s="1772"/>
      <c r="V55" s="1772"/>
      <c r="W55" s="1772"/>
      <c r="X55" s="1772"/>
      <c r="Y55" s="1772"/>
      <c r="Z55" s="1772"/>
      <c r="AA55" s="1772"/>
      <c r="AB55" s="1772"/>
      <c r="AC55" s="1772"/>
      <c r="AD55" s="1772"/>
      <c r="AE55" s="1772"/>
      <c r="AF55" s="1772"/>
      <c r="AG55" s="1772"/>
      <c r="AH55" s="1772"/>
      <c r="AI55" s="1772"/>
      <c r="AJ55" s="1772"/>
      <c r="AK55" s="1772"/>
      <c r="AL55" s="1772"/>
      <c r="AM55" s="1772"/>
      <c r="AN55" s="1772"/>
      <c r="AO55" s="1772"/>
      <c r="AP55" s="1772"/>
      <c r="AQ55" s="1772"/>
      <c r="AR55" s="1772"/>
      <c r="AS55" s="1772"/>
      <c r="AT55" s="1772"/>
      <c r="AU55" s="1772"/>
      <c r="AV55" s="1772"/>
      <c r="AW55" s="1772"/>
      <c r="AX55" s="1772"/>
      <c r="AY55" s="1772"/>
      <c r="AZ55" s="1772"/>
      <c r="BA55" s="1772"/>
      <c r="BB55" s="1772"/>
      <c r="BC55" s="1772"/>
      <c r="BD55" s="1772"/>
      <c r="BE55" s="1772"/>
      <c r="BF55" s="1772"/>
      <c r="BG55" s="1772"/>
      <c r="BH55" s="1772"/>
      <c r="BI55" s="1772"/>
      <c r="BJ55" s="1772"/>
      <c r="BK55" s="1772"/>
      <c r="BL55" s="1772"/>
      <c r="BM55" s="1772"/>
      <c r="BN55" s="1772"/>
      <c r="BO55" s="1772"/>
      <c r="BP55" s="1772"/>
      <c r="BQ55" s="1772"/>
      <c r="BR55" s="1772"/>
      <c r="BS55" s="1772"/>
      <c r="BT55" s="1772"/>
      <c r="BU55" s="1772"/>
      <c r="BV55" s="1772"/>
      <c r="BW55" s="1772"/>
      <c r="BX55" s="1772"/>
      <c r="BY55" s="1772"/>
      <c r="BZ55" s="1772"/>
      <c r="CA55" s="1772"/>
      <c r="CB55" s="1772"/>
      <c r="CC55" s="1772"/>
      <c r="CD55" s="1772"/>
      <c r="CE55" s="1772"/>
      <c r="CF55" s="1772"/>
      <c r="CG55" s="1772"/>
      <c r="CH55" s="1772"/>
      <c r="CI55" s="1772"/>
      <c r="CJ55" s="1772"/>
      <c r="CK55" s="1772"/>
      <c r="CL55" s="1772"/>
      <c r="CM55" s="1772"/>
      <c r="CN55" s="1772"/>
      <c r="CO55" s="1772"/>
      <c r="CP55" s="1772"/>
      <c r="CQ55" s="1772"/>
      <c r="CR55" s="1772"/>
      <c r="CS55" s="1772"/>
      <c r="CT55" s="1772"/>
      <c r="CU55" s="1772"/>
      <c r="CV55" s="1772"/>
      <c r="CW55" s="1772"/>
      <c r="CX55" s="1772"/>
      <c r="CY55" s="1772"/>
      <c r="CZ55" s="1772"/>
      <c r="DA55" s="1772"/>
      <c r="DB55" s="1772"/>
      <c r="DC55" s="1772"/>
      <c r="DD55" s="1772"/>
      <c r="DE55" s="1772"/>
      <c r="DF55" s="1772"/>
      <c r="DG55" s="1772"/>
      <c r="DH55" s="1772"/>
      <c r="DI55" s="1772"/>
      <c r="DJ55" s="1772"/>
      <c r="DK55" s="1772"/>
      <c r="DL55" s="1772"/>
      <c r="DM55" s="1772"/>
      <c r="DN55" s="1772"/>
      <c r="DO55" s="1772"/>
      <c r="DP55" s="1772"/>
      <c r="DQ55" s="1772"/>
      <c r="DR55" s="1772"/>
      <c r="DS55" s="1772"/>
      <c r="DT55" s="1772"/>
      <c r="DU55" s="1772"/>
      <c r="DV55" s="1772"/>
      <c r="DW55" s="1772"/>
      <c r="DX55" s="1772"/>
      <c r="DY55" s="1772"/>
      <c r="DZ55" s="1772"/>
      <c r="EA55" s="1772"/>
      <c r="EB55" s="1772"/>
      <c r="EC55" s="1772"/>
      <c r="ED55" s="1772"/>
      <c r="EE55" s="1772"/>
      <c r="EF55" s="1772"/>
      <c r="EG55" s="1772"/>
      <c r="EH55" s="1772"/>
      <c r="EI55" s="1772"/>
      <c r="EJ55" s="1772"/>
      <c r="EK55" s="1772"/>
      <c r="EL55" s="1772"/>
      <c r="EM55" s="1772"/>
      <c r="EN55" s="1772"/>
      <c r="EO55" s="1772"/>
      <c r="EP55" s="1772"/>
      <c r="EQ55" s="1772"/>
      <c r="ER55" s="1772"/>
      <c r="ES55" s="1772"/>
      <c r="ET55" s="1772"/>
      <c r="EU55" s="1772"/>
      <c r="EV55" s="1772"/>
      <c r="EW55" s="1772"/>
      <c r="EX55" s="1772"/>
      <c r="EY55" s="1772"/>
      <c r="EZ55" s="1772"/>
      <c r="FA55" s="1772"/>
      <c r="FB55" s="1772"/>
      <c r="FC55" s="1772"/>
      <c r="FD55" s="1772"/>
      <c r="FE55" s="1772"/>
      <c r="FF55" s="1772"/>
      <c r="FG55" s="1772"/>
      <c r="FH55" s="1772"/>
      <c r="FI55" s="1772"/>
      <c r="FJ55" s="1772"/>
      <c r="FK55" s="1772"/>
      <c r="FL55" s="1772"/>
      <c r="FM55" s="1772"/>
      <c r="FN55" s="1772"/>
      <c r="FO55" s="1772"/>
      <c r="FP55" s="1772"/>
      <c r="FQ55" s="1772"/>
      <c r="FR55" s="1772"/>
      <c r="FS55" s="1772"/>
      <c r="FT55" s="1772"/>
    </row>
    <row r="56" spans="1:176" s="1771" customFormat="1" x14ac:dyDescent="0.2">
      <c r="A56" s="1773" t="s">
        <v>2272</v>
      </c>
    </row>
  </sheetData>
  <sheetProtection password="C4B9" sheet="1" objects="1" scenarios="1"/>
  <pageMargins left="0.7" right="0.7" top="0.75" bottom="0.75" header="0.3" footer="0.3"/>
  <pageSetup orientation="portrait" r:id="rId1"/>
  <headerFooter>
    <oddHeader>&amp;L&amp;G&amp;R&amp;G</oddHeader>
    <oddFooter>&amp;L&amp;"Arial,Regular"&amp;8Version 1.0
Jun 1, 2015&amp;C&amp;"Arial,Regular"&amp;8Alberta Wetland Rapid Evaluation Tool - Actual Forms
© 2015 Government of Alberta&amp;R&amp;"Arial,Regular"&amp;8Page 1 of 1</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FF00"/>
  </sheetPr>
  <dimension ref="A1:FU199"/>
  <sheetViews>
    <sheetView topLeftCell="EZ1" workbookViewId="0">
      <selection activeCell="FU189" sqref="FU189:FU199"/>
    </sheetView>
  </sheetViews>
  <sheetFormatPr defaultColWidth="9.33203125" defaultRowHeight="12.75" x14ac:dyDescent="0.2"/>
  <cols>
    <col min="1" max="1" width="14.83203125" style="1508" customWidth="1"/>
    <col min="2" max="2" width="21.33203125" style="1510" bestFit="1" customWidth="1"/>
    <col min="3" max="16384" width="9.33203125" style="1508"/>
  </cols>
  <sheetData>
    <row r="1" spans="1:177" x14ac:dyDescent="0.2">
      <c r="A1" s="1511" t="s">
        <v>2308</v>
      </c>
      <c r="B1" s="1512" t="s">
        <v>109</v>
      </c>
      <c r="C1" s="1508" t="s">
        <v>1858</v>
      </c>
      <c r="D1" s="1508" t="s">
        <v>1861</v>
      </c>
      <c r="E1" s="1508" t="s">
        <v>1862</v>
      </c>
      <c r="F1" s="1508" t="s">
        <v>1864</v>
      </c>
      <c r="G1" s="1508" t="s">
        <v>1880</v>
      </c>
      <c r="H1" s="1508" t="s">
        <v>1881</v>
      </c>
      <c r="I1" s="1508" t="s">
        <v>1868</v>
      </c>
      <c r="J1" s="1508" t="s">
        <v>1869</v>
      </c>
      <c r="K1" s="1508" t="s">
        <v>1871</v>
      </c>
      <c r="L1" s="1508" t="s">
        <v>1872</v>
      </c>
      <c r="M1" s="1508" t="s">
        <v>1876</v>
      </c>
      <c r="N1" s="1508" t="s">
        <v>1870</v>
      </c>
      <c r="O1" s="1508" t="s">
        <v>1877</v>
      </c>
      <c r="P1" s="1508" t="s">
        <v>1878</v>
      </c>
      <c r="Q1" s="1508" t="s">
        <v>1867</v>
      </c>
      <c r="R1" s="1508" t="s">
        <v>1879</v>
      </c>
      <c r="S1" s="1508" t="s">
        <v>1888</v>
      </c>
      <c r="T1" s="1508" t="s">
        <v>1889</v>
      </c>
      <c r="U1" s="1508" t="s">
        <v>1890</v>
      </c>
      <c r="V1" s="1508" t="s">
        <v>1891</v>
      </c>
      <c r="W1" s="1508" t="s">
        <v>1892</v>
      </c>
      <c r="X1" s="1508" t="s">
        <v>1893</v>
      </c>
      <c r="Y1" s="1508" t="s">
        <v>1894</v>
      </c>
      <c r="Z1" s="1508" t="s">
        <v>1895</v>
      </c>
      <c r="AA1" s="1508" t="s">
        <v>1863</v>
      </c>
      <c r="AB1" s="1508" t="s">
        <v>1873</v>
      </c>
      <c r="AC1" s="1508" t="s">
        <v>1874</v>
      </c>
      <c r="AD1" s="1508" t="s">
        <v>1866</v>
      </c>
      <c r="AE1" s="1508" t="s">
        <v>1859</v>
      </c>
      <c r="AF1" s="1508">
        <v>189590</v>
      </c>
      <c r="AG1" s="1508">
        <v>5257</v>
      </c>
      <c r="AH1" s="1508">
        <v>3042</v>
      </c>
      <c r="AI1" s="1508">
        <v>3185</v>
      </c>
      <c r="AJ1" s="1508">
        <v>5321</v>
      </c>
      <c r="AK1" s="1508">
        <v>11912</v>
      </c>
      <c r="AL1" s="1508">
        <v>6919</v>
      </c>
      <c r="AM1" s="1508">
        <v>7111</v>
      </c>
      <c r="AN1" s="1508">
        <v>305377</v>
      </c>
      <c r="AO1" s="1508">
        <v>209695</v>
      </c>
      <c r="AP1" s="1508">
        <v>753655</v>
      </c>
      <c r="AQ1" s="1508">
        <v>2803</v>
      </c>
      <c r="AR1" s="1508">
        <v>1039</v>
      </c>
      <c r="AS1" s="1508">
        <v>1232</v>
      </c>
      <c r="AT1" s="1508">
        <v>37882</v>
      </c>
      <c r="AU1" s="1508">
        <v>92831</v>
      </c>
      <c r="AV1" s="1508">
        <v>148287</v>
      </c>
      <c r="AW1" s="1508">
        <v>196557</v>
      </c>
      <c r="AX1" s="1508" t="s">
        <v>1896</v>
      </c>
      <c r="AY1" s="1508">
        <v>20031</v>
      </c>
      <c r="AZ1" s="1508">
        <v>23420</v>
      </c>
      <c r="BA1" s="1508">
        <v>23467</v>
      </c>
      <c r="BB1" s="1508">
        <v>23669</v>
      </c>
      <c r="BC1" s="1508">
        <v>12</v>
      </c>
      <c r="BD1" s="1508">
        <v>52</v>
      </c>
      <c r="BE1" s="1508">
        <v>19555</v>
      </c>
      <c r="BF1" s="1508">
        <v>25411</v>
      </c>
      <c r="BG1" s="1508">
        <v>644242</v>
      </c>
      <c r="BH1" s="1508">
        <v>5062</v>
      </c>
      <c r="BI1" s="1508">
        <v>282535</v>
      </c>
      <c r="BJ1" s="1508">
        <v>4507</v>
      </c>
      <c r="BK1" s="1508">
        <v>4647</v>
      </c>
      <c r="BL1" s="1508">
        <v>272004</v>
      </c>
      <c r="BM1" s="1508">
        <v>6926</v>
      </c>
      <c r="BN1" s="1508">
        <v>436864</v>
      </c>
      <c r="BO1" s="1508">
        <v>15082</v>
      </c>
      <c r="BP1" s="1508">
        <v>15434</v>
      </c>
      <c r="BQ1" s="1508">
        <v>15186</v>
      </c>
      <c r="BR1" s="1508">
        <v>17152</v>
      </c>
      <c r="BS1" s="1508">
        <v>6174</v>
      </c>
      <c r="BT1" s="1508">
        <v>228332</v>
      </c>
      <c r="BU1" s="1508">
        <v>17902</v>
      </c>
      <c r="BV1" s="1508">
        <v>588706</v>
      </c>
      <c r="BW1" s="1508">
        <v>11568</v>
      </c>
      <c r="BX1" s="1508">
        <v>11491</v>
      </c>
      <c r="BY1" s="1508">
        <v>421060</v>
      </c>
      <c r="BZ1" s="1508">
        <v>11488</v>
      </c>
      <c r="CA1" s="1508">
        <v>11698</v>
      </c>
      <c r="CB1" s="1508">
        <v>421953</v>
      </c>
      <c r="CC1" s="1508">
        <v>423143</v>
      </c>
      <c r="CD1" s="1508">
        <v>10763</v>
      </c>
      <c r="CE1" s="1508">
        <v>11808</v>
      </c>
      <c r="CF1" s="1508">
        <v>368499</v>
      </c>
      <c r="CG1" s="1508">
        <v>3410</v>
      </c>
      <c r="CH1" s="1508">
        <v>286841</v>
      </c>
      <c r="CI1" s="1508">
        <v>495717</v>
      </c>
      <c r="CJ1" s="1508">
        <v>22720</v>
      </c>
      <c r="CK1" s="1508">
        <v>715354</v>
      </c>
      <c r="CL1" s="1508">
        <v>715420</v>
      </c>
      <c r="CM1" s="1508">
        <v>728347</v>
      </c>
      <c r="CN1" s="1508">
        <v>8245</v>
      </c>
      <c r="CO1" s="1508">
        <v>321809</v>
      </c>
      <c r="CP1" s="1508">
        <v>359454</v>
      </c>
      <c r="CQ1" s="1508">
        <v>2882</v>
      </c>
      <c r="CR1" s="1508">
        <v>205184</v>
      </c>
      <c r="CS1" s="1508">
        <v>18237</v>
      </c>
      <c r="CT1" s="1508">
        <v>488834</v>
      </c>
      <c r="CU1" s="1508">
        <v>586891</v>
      </c>
      <c r="CV1" s="1508">
        <v>692585</v>
      </c>
      <c r="CW1" s="1508">
        <v>693500</v>
      </c>
      <c r="CX1" s="1508">
        <v>708592</v>
      </c>
      <c r="CY1" s="1508">
        <v>22645</v>
      </c>
      <c r="CZ1" s="1508">
        <v>2939</v>
      </c>
      <c r="DA1" s="1508">
        <v>2966</v>
      </c>
      <c r="DB1" s="1508">
        <v>872</v>
      </c>
      <c r="DC1" s="1508">
        <v>3350</v>
      </c>
      <c r="DD1" s="1508">
        <v>2137</v>
      </c>
      <c r="DE1" s="1508">
        <v>5824</v>
      </c>
      <c r="DF1" s="1508">
        <v>16930</v>
      </c>
      <c r="DG1" s="1508">
        <v>6846</v>
      </c>
      <c r="DH1" s="1508">
        <v>6786</v>
      </c>
      <c r="DI1" s="1508">
        <v>25368</v>
      </c>
      <c r="DJ1" s="1508">
        <v>40430</v>
      </c>
      <c r="DK1" s="1508">
        <v>2658</v>
      </c>
      <c r="DL1" s="1508">
        <v>57</v>
      </c>
      <c r="DM1" s="1508">
        <v>4104</v>
      </c>
      <c r="DN1" s="1508">
        <v>14076</v>
      </c>
      <c r="DO1" s="1508">
        <v>841</v>
      </c>
      <c r="DP1" s="1508">
        <v>3014</v>
      </c>
      <c r="DQ1" s="1508">
        <v>2944</v>
      </c>
      <c r="DR1" s="1508">
        <v>2953</v>
      </c>
      <c r="DS1" s="1508">
        <v>1828</v>
      </c>
      <c r="DT1" s="1508">
        <v>177552</v>
      </c>
      <c r="DU1" s="1508" t="s">
        <v>1897</v>
      </c>
      <c r="DV1" s="1508" t="s">
        <v>1875</v>
      </c>
      <c r="DW1" s="1508">
        <v>6497</v>
      </c>
      <c r="DX1" s="1508">
        <v>1340</v>
      </c>
      <c r="DY1" s="1508">
        <v>23929</v>
      </c>
      <c r="DZ1" s="1508">
        <v>25577</v>
      </c>
      <c r="EA1" s="1508">
        <v>662856</v>
      </c>
      <c r="EB1" s="1508">
        <v>444845</v>
      </c>
      <c r="EC1" s="1508">
        <v>505036</v>
      </c>
      <c r="ED1" s="1508">
        <v>13871</v>
      </c>
      <c r="EE1" s="1508">
        <v>421244</v>
      </c>
      <c r="EF1" s="1508">
        <v>636534</v>
      </c>
      <c r="EG1" s="1508">
        <v>421050</v>
      </c>
      <c r="EH1" s="1508">
        <v>20957</v>
      </c>
      <c r="EI1" s="1508">
        <v>309237</v>
      </c>
      <c r="EJ1" s="1508">
        <v>368504</v>
      </c>
      <c r="EK1" s="1508">
        <v>206100</v>
      </c>
      <c r="EL1" s="1508">
        <v>1094</v>
      </c>
      <c r="EM1" s="1508">
        <v>10576</v>
      </c>
      <c r="EN1" s="1508">
        <v>7544</v>
      </c>
      <c r="EO1" s="1508">
        <v>34259</v>
      </c>
      <c r="EP1" s="1508">
        <v>99916</v>
      </c>
      <c r="EQ1" s="1508">
        <v>166</v>
      </c>
      <c r="ER1" s="1508">
        <v>840</v>
      </c>
      <c r="ES1" s="1508">
        <v>842</v>
      </c>
      <c r="ET1" s="1508">
        <v>107527</v>
      </c>
      <c r="EU1" s="1508">
        <v>25701</v>
      </c>
      <c r="EV1" s="1508" t="s">
        <v>1865</v>
      </c>
      <c r="EW1" s="1508">
        <v>25256</v>
      </c>
      <c r="EX1" s="1508">
        <v>752362</v>
      </c>
      <c r="EY1" s="1508">
        <v>753469</v>
      </c>
      <c r="EZ1" s="1508">
        <v>421057</v>
      </c>
      <c r="FA1" s="1508" t="s">
        <v>1860</v>
      </c>
      <c r="FB1" s="1508">
        <v>148810</v>
      </c>
      <c r="FC1" s="1508">
        <v>23981</v>
      </c>
      <c r="FD1" s="1508">
        <v>738519</v>
      </c>
      <c r="FE1" s="1508">
        <v>752536</v>
      </c>
      <c r="FF1" s="1508">
        <v>2778</v>
      </c>
      <c r="FG1" s="1508">
        <v>11537</v>
      </c>
      <c r="FH1" s="1508">
        <v>191518</v>
      </c>
      <c r="FI1" s="1508">
        <v>186633</v>
      </c>
      <c r="FJ1" s="1508">
        <v>21071</v>
      </c>
      <c r="FK1" s="1508">
        <v>421059</v>
      </c>
      <c r="FL1" s="1508">
        <v>6920</v>
      </c>
      <c r="FM1" s="1508" t="s">
        <v>1898</v>
      </c>
      <c r="FN1" s="1508">
        <v>15949</v>
      </c>
      <c r="FO1" s="1508">
        <v>212872</v>
      </c>
      <c r="FP1" s="1508">
        <v>208930</v>
      </c>
      <c r="FQ1" s="1508">
        <v>842121</v>
      </c>
      <c r="FR1" s="1508">
        <v>735360</v>
      </c>
      <c r="FS1" s="1508" t="s">
        <v>1882</v>
      </c>
      <c r="FT1" s="1508">
        <v>7374</v>
      </c>
      <c r="FU1" s="1508">
        <v>3934</v>
      </c>
    </row>
    <row r="2" spans="1:177" s="1509" customFormat="1" x14ac:dyDescent="0.2">
      <c r="A2" s="1512" t="s">
        <v>658</v>
      </c>
      <c r="B2" s="1512" t="s">
        <v>1297</v>
      </c>
      <c r="C2" s="1509">
        <v>0.83934680399999995</v>
      </c>
      <c r="D2" s="1509">
        <v>0.83934680399999995</v>
      </c>
      <c r="E2" s="1509">
        <v>0.63442174500000004</v>
      </c>
      <c r="F2" s="1509">
        <v>0.73991115299999999</v>
      </c>
      <c r="G2" s="1509">
        <v>0.63442174500000004</v>
      </c>
      <c r="H2" s="1509">
        <v>0.63442174500000004</v>
      </c>
      <c r="I2" s="1509">
        <v>0.83934680399999995</v>
      </c>
      <c r="J2" s="1509">
        <v>0.83934680399999995</v>
      </c>
      <c r="K2" s="1509">
        <v>0.83934680399999995</v>
      </c>
      <c r="L2" s="1509">
        <v>0.83934680399999995</v>
      </c>
      <c r="M2" s="1509">
        <v>0.83934680399999995</v>
      </c>
      <c r="N2" s="1509">
        <v>0.83934680399999995</v>
      </c>
      <c r="O2" s="1509">
        <v>0.83934680399999995</v>
      </c>
      <c r="P2" s="1509">
        <v>0.83934680399999995</v>
      </c>
      <c r="Q2" s="1509" t="s">
        <v>2372</v>
      </c>
      <c r="R2" s="1509" t="s">
        <v>2372</v>
      </c>
      <c r="S2" s="1509">
        <v>0.99260645000000003</v>
      </c>
      <c r="T2" s="1509">
        <v>0.99260645000000003</v>
      </c>
      <c r="U2" s="1509">
        <v>0.63442174500000004</v>
      </c>
      <c r="V2" s="1509">
        <v>0.63442174500000004</v>
      </c>
      <c r="W2" s="1509">
        <v>0.63442174500000004</v>
      </c>
      <c r="X2" s="1509">
        <v>0.83934680399999995</v>
      </c>
      <c r="Y2" s="1509">
        <v>0.63442174500000004</v>
      </c>
      <c r="Z2" s="1509">
        <v>0.63442174500000004</v>
      </c>
      <c r="AA2" s="1509">
        <v>0.83934680399999995</v>
      </c>
      <c r="AB2" s="1509">
        <v>0.83934680399999995</v>
      </c>
      <c r="AC2" s="1509">
        <v>0.83934680399999995</v>
      </c>
      <c r="AD2" s="1509">
        <v>0.83934680399999995</v>
      </c>
      <c r="AE2" s="1509" t="s">
        <v>2372</v>
      </c>
      <c r="AF2" s="1509">
        <v>0.99260645000000003</v>
      </c>
      <c r="AG2" s="1509">
        <v>0.83934680399999995</v>
      </c>
      <c r="AH2" s="1509">
        <v>0.63442174500000004</v>
      </c>
      <c r="AI2" s="1509">
        <v>0.63442174500000004</v>
      </c>
      <c r="AJ2" s="1509">
        <v>0.83934680399999995</v>
      </c>
      <c r="AK2" s="1509" t="s">
        <v>2372</v>
      </c>
      <c r="AL2" s="1509" t="s">
        <v>2372</v>
      </c>
      <c r="AM2" s="1509" t="s">
        <v>2372</v>
      </c>
      <c r="AN2" s="1509" t="s">
        <v>2372</v>
      </c>
      <c r="AO2" s="1509" t="s">
        <v>2372</v>
      </c>
      <c r="AP2" s="1509" t="s">
        <v>2372</v>
      </c>
      <c r="AQ2" s="1509">
        <v>0.95322387099999994</v>
      </c>
      <c r="AR2" s="1509" t="s">
        <v>2372</v>
      </c>
      <c r="AS2" s="1509" t="s">
        <v>2372</v>
      </c>
      <c r="AT2" s="1509" t="s">
        <v>2372</v>
      </c>
      <c r="AU2" s="1509" t="s">
        <v>2372</v>
      </c>
      <c r="AV2" s="1509">
        <v>1</v>
      </c>
      <c r="AW2" s="1509">
        <v>0.95322387099999994</v>
      </c>
      <c r="AX2" s="1509" t="s">
        <v>2372</v>
      </c>
      <c r="AY2" s="1509">
        <v>0.73991115299999999</v>
      </c>
      <c r="AZ2" s="1509">
        <v>0.89951613200000002</v>
      </c>
      <c r="BA2" s="1509">
        <v>0.89951613200000002</v>
      </c>
      <c r="BB2" s="1509">
        <v>0.97112754000000001</v>
      </c>
      <c r="BC2" s="1509" t="s">
        <v>2372</v>
      </c>
      <c r="BD2" s="1509" t="s">
        <v>2372</v>
      </c>
      <c r="BE2" s="1509">
        <v>0.95796263000000004</v>
      </c>
      <c r="BF2" s="1509" t="s">
        <v>2372</v>
      </c>
      <c r="BG2" s="1509">
        <v>0.68385450400000003</v>
      </c>
      <c r="BH2" s="1509">
        <v>0.99260645000000003</v>
      </c>
      <c r="BI2" s="1509">
        <v>0.95322387099999994</v>
      </c>
      <c r="BJ2" s="1509">
        <v>0.63442174500000004</v>
      </c>
      <c r="BK2" s="1509">
        <v>1</v>
      </c>
      <c r="BL2" s="1509">
        <v>0.63442174500000004</v>
      </c>
      <c r="BM2" s="1509" t="s">
        <v>2372</v>
      </c>
      <c r="BN2" s="1509">
        <v>0.63442174500000004</v>
      </c>
      <c r="BO2" s="1509">
        <v>0.99260645000000003</v>
      </c>
      <c r="BP2" s="1509">
        <v>0.63442174500000004</v>
      </c>
      <c r="BQ2" s="1509">
        <v>0.99260645000000003</v>
      </c>
      <c r="BR2" s="1509">
        <v>0.99260645000000003</v>
      </c>
      <c r="BS2" s="1509">
        <v>0.83934680399999995</v>
      </c>
      <c r="BT2" s="1509">
        <v>0.73991115299999999</v>
      </c>
      <c r="BU2" s="1509">
        <v>0.73991115299999999</v>
      </c>
      <c r="BV2" s="1509">
        <v>0.73991115299999999</v>
      </c>
      <c r="BW2" s="1509" t="s">
        <v>2372</v>
      </c>
      <c r="BX2" s="1509" t="s">
        <v>2372</v>
      </c>
      <c r="BY2" s="1509" t="s">
        <v>2372</v>
      </c>
      <c r="BZ2" s="1509" t="s">
        <v>2372</v>
      </c>
      <c r="CA2" s="1509" t="s">
        <v>2372</v>
      </c>
      <c r="CB2" s="1509" t="s">
        <v>2372</v>
      </c>
      <c r="CC2" s="1509" t="s">
        <v>2372</v>
      </c>
      <c r="CD2" s="1509" t="s">
        <v>2372</v>
      </c>
      <c r="CE2" s="1509" t="s">
        <v>2372</v>
      </c>
      <c r="CF2" s="1509" t="s">
        <v>2372</v>
      </c>
      <c r="CG2" s="1509">
        <v>0.83934680399999995</v>
      </c>
      <c r="CH2" s="1509">
        <v>0.99260645000000003</v>
      </c>
      <c r="CI2" s="1509">
        <v>0.63442174500000004</v>
      </c>
      <c r="CJ2" s="1509">
        <v>0.97112754000000001</v>
      </c>
      <c r="CK2" s="1509">
        <v>0.99859078199999995</v>
      </c>
      <c r="CL2" s="1509">
        <v>0.99859078199999995</v>
      </c>
      <c r="CM2" s="1509" t="s">
        <v>2372</v>
      </c>
      <c r="CN2" s="1509" t="s">
        <v>2372</v>
      </c>
      <c r="CO2" s="1509" t="s">
        <v>2372</v>
      </c>
      <c r="CP2" s="1509" t="s">
        <v>2372</v>
      </c>
      <c r="CQ2" s="1509">
        <v>0.95322387099999994</v>
      </c>
      <c r="CR2" s="1509">
        <v>0.83934680399999995</v>
      </c>
      <c r="CS2" s="1509">
        <v>0.63442174500000004</v>
      </c>
      <c r="CT2" s="1509">
        <v>0.63442174500000004</v>
      </c>
      <c r="CU2" s="1509">
        <v>0.63442174500000004</v>
      </c>
      <c r="CV2" s="1509">
        <v>0.73991115299999999</v>
      </c>
      <c r="CW2" s="1509">
        <v>0.73991115299999999</v>
      </c>
      <c r="CX2" s="1509">
        <v>0.73991115299999999</v>
      </c>
      <c r="CY2" s="1509">
        <v>0.99859078199999995</v>
      </c>
      <c r="CZ2" s="1509" t="s">
        <v>2372</v>
      </c>
      <c r="DA2" s="1509" t="s">
        <v>2372</v>
      </c>
      <c r="DB2" s="1509" t="s">
        <v>2372</v>
      </c>
      <c r="DC2" s="1509" t="s">
        <v>2372</v>
      </c>
      <c r="DD2" s="1509" t="s">
        <v>2372</v>
      </c>
      <c r="DE2" s="1509" t="s">
        <v>2372</v>
      </c>
      <c r="DF2" s="1509" t="s">
        <v>2372</v>
      </c>
      <c r="DG2" s="1509" t="s">
        <v>2372</v>
      </c>
      <c r="DH2" s="1509" t="s">
        <v>2372</v>
      </c>
      <c r="DI2" s="1509" t="s">
        <v>2372</v>
      </c>
      <c r="DJ2" s="1509" t="s">
        <v>2372</v>
      </c>
      <c r="DK2" s="1509" t="s">
        <v>2372</v>
      </c>
      <c r="DL2" s="1509" t="s">
        <v>2372</v>
      </c>
      <c r="DM2" s="1509" t="s">
        <v>2372</v>
      </c>
      <c r="DN2" s="1509" t="s">
        <v>2372</v>
      </c>
      <c r="DO2" s="1509">
        <v>0.73991115299999999</v>
      </c>
      <c r="DP2" s="1509" t="s">
        <v>2372</v>
      </c>
      <c r="DQ2" s="1509" t="s">
        <v>2372</v>
      </c>
      <c r="DR2" s="1509" t="s">
        <v>2372</v>
      </c>
      <c r="DS2" s="1509" t="s">
        <v>2372</v>
      </c>
      <c r="DT2" s="1509" t="s">
        <v>2372</v>
      </c>
      <c r="DU2" s="1509">
        <v>0.63442174500000004</v>
      </c>
      <c r="DV2" s="1509">
        <v>0.83934680399999995</v>
      </c>
      <c r="DW2" s="1509" t="s">
        <v>2372</v>
      </c>
      <c r="DX2" s="1509" t="s">
        <v>2372</v>
      </c>
      <c r="DY2" s="1509">
        <v>0.73991115299999999</v>
      </c>
      <c r="DZ2" s="1509" t="s">
        <v>2372</v>
      </c>
      <c r="EA2" s="1509">
        <v>0.99859078199999995</v>
      </c>
      <c r="EB2" s="1509">
        <v>0.95322387099999994</v>
      </c>
      <c r="EC2" s="1509">
        <v>0.83934680399999995</v>
      </c>
      <c r="ED2" s="1509">
        <v>0.63442174500000004</v>
      </c>
      <c r="EE2" s="1509" t="s">
        <v>2372</v>
      </c>
      <c r="EF2" s="1509">
        <v>0.73991115299999999</v>
      </c>
      <c r="EG2" s="1509" t="s">
        <v>2372</v>
      </c>
      <c r="EH2" s="1509">
        <v>0.73991115299999999</v>
      </c>
      <c r="EI2" s="1509" t="s">
        <v>2372</v>
      </c>
      <c r="EJ2" s="1509" t="s">
        <v>2372</v>
      </c>
      <c r="EK2" s="1509">
        <v>1</v>
      </c>
      <c r="EL2" s="1509" t="s">
        <v>2372</v>
      </c>
      <c r="EM2" s="1509" t="s">
        <v>2372</v>
      </c>
      <c r="EN2" s="1509" t="s">
        <v>2372</v>
      </c>
      <c r="EO2" s="1509" t="s">
        <v>2372</v>
      </c>
      <c r="EP2" s="1509" t="s">
        <v>2372</v>
      </c>
      <c r="EQ2" s="1509" t="s">
        <v>2372</v>
      </c>
      <c r="ER2" s="1509">
        <v>0.73991115299999999</v>
      </c>
      <c r="ES2" s="1509">
        <v>0.73991115299999999</v>
      </c>
      <c r="ET2" s="1509" t="s">
        <v>2372</v>
      </c>
      <c r="EU2" s="1509" t="s">
        <v>2372</v>
      </c>
      <c r="EV2" s="1509">
        <v>0.83934680399999995</v>
      </c>
      <c r="EW2" s="1509" t="s">
        <v>2372</v>
      </c>
      <c r="EX2" s="1509">
        <v>0.89951613200000002</v>
      </c>
      <c r="EY2" s="1509">
        <v>0.99859078199999995</v>
      </c>
      <c r="EZ2" s="1509" t="s">
        <v>2372</v>
      </c>
      <c r="FA2" s="1509" t="s">
        <v>2372</v>
      </c>
      <c r="FB2" s="1509" t="s">
        <v>2372</v>
      </c>
      <c r="FC2" s="1509">
        <v>0.89951613200000002</v>
      </c>
      <c r="FD2" s="1509">
        <v>0.89951613200000002</v>
      </c>
      <c r="FE2" s="1509">
        <v>0.97112754000000001</v>
      </c>
      <c r="FF2" s="1509" t="s">
        <v>2372</v>
      </c>
      <c r="FG2" s="1509" t="s">
        <v>2372</v>
      </c>
      <c r="FH2" s="1509" t="s">
        <v>2372</v>
      </c>
      <c r="FI2" s="1509" t="s">
        <v>2372</v>
      </c>
      <c r="FJ2" s="1509">
        <v>0.89951613200000002</v>
      </c>
      <c r="FK2" s="1509" t="s">
        <v>2372</v>
      </c>
      <c r="FL2" s="1509" t="s">
        <v>2372</v>
      </c>
      <c r="FM2" s="1509">
        <v>0.63442174500000004</v>
      </c>
      <c r="FN2" s="1509">
        <v>0.63442174500000004</v>
      </c>
      <c r="FO2" s="1509" t="s">
        <v>2372</v>
      </c>
      <c r="FP2" s="1509" t="s">
        <v>2372</v>
      </c>
      <c r="FQ2" s="1509" t="s">
        <v>2372</v>
      </c>
      <c r="FR2" s="1509">
        <v>0.97112754000000001</v>
      </c>
      <c r="FS2" s="1509" t="s">
        <v>2372</v>
      </c>
      <c r="FT2" s="1509" t="s">
        <v>2372</v>
      </c>
      <c r="FU2" s="1509">
        <v>0.83934680399999995</v>
      </c>
    </row>
    <row r="3" spans="1:177" s="1509" customFormat="1" x14ac:dyDescent="0.2">
      <c r="A3" s="1512" t="s">
        <v>658</v>
      </c>
      <c r="B3" s="1512" t="s">
        <v>1330</v>
      </c>
      <c r="C3" s="1509">
        <v>1</v>
      </c>
      <c r="D3" s="1509">
        <v>1</v>
      </c>
      <c r="E3" s="1509">
        <v>1</v>
      </c>
      <c r="F3" s="1509">
        <v>1</v>
      </c>
      <c r="G3" s="1509">
        <v>1</v>
      </c>
      <c r="H3" s="1509">
        <v>1</v>
      </c>
      <c r="I3" s="1509">
        <v>1</v>
      </c>
      <c r="J3" s="1509">
        <v>1</v>
      </c>
      <c r="K3" s="1509">
        <v>0</v>
      </c>
      <c r="L3" s="1509">
        <v>1</v>
      </c>
      <c r="M3" s="1509">
        <v>1</v>
      </c>
      <c r="N3" s="1509">
        <v>0</v>
      </c>
      <c r="O3" s="1509">
        <v>1</v>
      </c>
      <c r="P3" s="1509">
        <v>0</v>
      </c>
      <c r="Q3" s="1509">
        <v>1</v>
      </c>
      <c r="R3" s="1509">
        <v>1</v>
      </c>
      <c r="S3" s="1509">
        <v>1</v>
      </c>
      <c r="T3" s="1509">
        <v>1</v>
      </c>
      <c r="U3" s="1509">
        <v>1</v>
      </c>
      <c r="V3" s="1509">
        <v>1</v>
      </c>
      <c r="W3" s="1509">
        <v>1</v>
      </c>
      <c r="X3" s="1509">
        <v>1</v>
      </c>
      <c r="Y3" s="1509">
        <v>1</v>
      </c>
      <c r="Z3" s="1509">
        <v>1</v>
      </c>
      <c r="AA3" s="1509">
        <v>0</v>
      </c>
      <c r="AB3" s="1509">
        <v>1</v>
      </c>
      <c r="AC3" s="1509">
        <v>1</v>
      </c>
      <c r="AD3" s="1509">
        <v>1</v>
      </c>
      <c r="AE3" s="1509">
        <v>0</v>
      </c>
      <c r="AF3" s="1509">
        <v>1</v>
      </c>
      <c r="AG3" s="1509">
        <v>0</v>
      </c>
      <c r="AH3" s="1509">
        <v>1</v>
      </c>
      <c r="AI3" s="1509">
        <v>1</v>
      </c>
      <c r="AJ3" s="1509">
        <v>1</v>
      </c>
      <c r="AK3" s="1509">
        <v>1</v>
      </c>
      <c r="AL3" s="1509">
        <v>0</v>
      </c>
      <c r="AM3" s="1509">
        <v>0</v>
      </c>
      <c r="AN3" s="1509">
        <v>1</v>
      </c>
      <c r="AO3" s="1509">
        <v>1</v>
      </c>
      <c r="AP3" s="1509">
        <v>1</v>
      </c>
      <c r="AQ3" s="1509">
        <v>1</v>
      </c>
      <c r="AR3" s="1509">
        <v>0</v>
      </c>
      <c r="AS3" s="1509">
        <v>1</v>
      </c>
      <c r="AT3" s="1509">
        <v>1</v>
      </c>
      <c r="AU3" s="1509">
        <v>1</v>
      </c>
      <c r="AV3" s="1509">
        <v>0</v>
      </c>
      <c r="AW3" s="1509">
        <v>1</v>
      </c>
      <c r="AX3" s="1509">
        <v>1</v>
      </c>
      <c r="AY3" s="1509">
        <v>0</v>
      </c>
      <c r="AZ3" s="1509">
        <v>0</v>
      </c>
      <c r="BA3" s="1509">
        <v>0</v>
      </c>
      <c r="BB3" s="1509">
        <v>0</v>
      </c>
      <c r="BC3" s="1509">
        <v>1</v>
      </c>
      <c r="BD3" s="1509">
        <v>0</v>
      </c>
      <c r="BE3" s="1509">
        <v>0</v>
      </c>
      <c r="BF3" s="1509">
        <v>1</v>
      </c>
      <c r="BG3" s="1509">
        <v>1</v>
      </c>
      <c r="BH3" s="1509">
        <v>1</v>
      </c>
      <c r="BI3" s="1509">
        <v>1</v>
      </c>
      <c r="BJ3" s="1509">
        <v>1</v>
      </c>
      <c r="BK3" s="1509">
        <v>0</v>
      </c>
      <c r="BL3" s="1509">
        <v>0</v>
      </c>
      <c r="BM3" s="1509">
        <v>0</v>
      </c>
      <c r="BN3" s="1509">
        <v>1</v>
      </c>
      <c r="BO3" s="1509">
        <v>0</v>
      </c>
      <c r="BP3" s="1509">
        <v>0</v>
      </c>
      <c r="BQ3" s="1509">
        <v>1</v>
      </c>
      <c r="BR3" s="1509">
        <v>1</v>
      </c>
      <c r="BS3" s="1509">
        <v>1</v>
      </c>
      <c r="BT3" s="1509">
        <v>1</v>
      </c>
      <c r="BU3" s="1509">
        <v>1</v>
      </c>
      <c r="BV3" s="1509">
        <v>1</v>
      </c>
      <c r="BW3" s="1509">
        <v>1</v>
      </c>
      <c r="BX3" s="1509">
        <v>0</v>
      </c>
      <c r="BY3" s="1509">
        <v>1</v>
      </c>
      <c r="BZ3" s="1509">
        <v>0</v>
      </c>
      <c r="CA3" s="1509">
        <v>0</v>
      </c>
      <c r="CB3" s="1509">
        <v>0</v>
      </c>
      <c r="CC3" s="1509">
        <v>0</v>
      </c>
      <c r="CD3" s="1509">
        <v>0</v>
      </c>
      <c r="CE3" s="1509">
        <v>1</v>
      </c>
      <c r="CF3" s="1509">
        <v>1</v>
      </c>
      <c r="CG3" s="1509">
        <v>1</v>
      </c>
      <c r="CH3" s="1509">
        <v>0</v>
      </c>
      <c r="CI3" s="1509">
        <v>1</v>
      </c>
      <c r="CJ3" s="1509">
        <v>0</v>
      </c>
      <c r="CK3" s="1509">
        <v>1</v>
      </c>
      <c r="CL3" s="1509">
        <v>1</v>
      </c>
      <c r="CM3" s="1509">
        <v>1</v>
      </c>
      <c r="CN3" s="1509">
        <v>1</v>
      </c>
      <c r="CO3" s="1509">
        <v>1</v>
      </c>
      <c r="CP3" s="1509">
        <v>0</v>
      </c>
      <c r="CQ3" s="1509">
        <v>0</v>
      </c>
      <c r="CR3" s="1509">
        <v>0</v>
      </c>
      <c r="CS3" s="1509">
        <v>1</v>
      </c>
      <c r="CT3" s="1509">
        <v>1</v>
      </c>
      <c r="CU3" s="1509">
        <v>1</v>
      </c>
      <c r="CV3" s="1509">
        <v>1</v>
      </c>
      <c r="CW3" s="1509">
        <v>1</v>
      </c>
      <c r="CX3" s="1509">
        <v>0</v>
      </c>
      <c r="CY3" s="1509">
        <v>0</v>
      </c>
      <c r="CZ3" s="1509">
        <v>0</v>
      </c>
      <c r="DA3" s="1509">
        <v>0</v>
      </c>
      <c r="DB3" s="1509">
        <v>0</v>
      </c>
      <c r="DC3" s="1509">
        <v>0</v>
      </c>
      <c r="DD3" s="1509">
        <v>0</v>
      </c>
      <c r="DE3" s="1509">
        <v>1</v>
      </c>
      <c r="DF3" s="1509">
        <v>0</v>
      </c>
      <c r="DG3" s="1509">
        <v>0</v>
      </c>
      <c r="DH3" s="1509">
        <v>1</v>
      </c>
      <c r="DI3" s="1509">
        <v>0</v>
      </c>
      <c r="DJ3" s="1509">
        <v>0</v>
      </c>
      <c r="DK3" s="1509">
        <v>0</v>
      </c>
      <c r="DL3" s="1509">
        <v>0</v>
      </c>
      <c r="DM3" s="1509">
        <v>0</v>
      </c>
      <c r="DN3" s="1509">
        <v>1</v>
      </c>
      <c r="DO3" s="1509">
        <v>1</v>
      </c>
      <c r="DP3" s="1509">
        <v>1</v>
      </c>
      <c r="DQ3" s="1509">
        <v>0</v>
      </c>
      <c r="DR3" s="1509">
        <v>0</v>
      </c>
      <c r="DS3" s="1509">
        <v>0</v>
      </c>
      <c r="DT3" s="1509">
        <v>0</v>
      </c>
      <c r="DU3" s="1509">
        <v>1</v>
      </c>
      <c r="DV3" s="1509">
        <v>1</v>
      </c>
      <c r="DW3" s="1509">
        <v>1</v>
      </c>
      <c r="DX3" s="1509">
        <v>1</v>
      </c>
      <c r="DY3" s="1509">
        <v>1</v>
      </c>
      <c r="DZ3" s="1509">
        <v>1</v>
      </c>
      <c r="EA3" s="1509">
        <v>1</v>
      </c>
      <c r="EB3" s="1509">
        <v>0</v>
      </c>
      <c r="EC3" s="1509">
        <v>1</v>
      </c>
      <c r="ED3" s="1509">
        <v>0</v>
      </c>
      <c r="EE3" s="1509">
        <v>1</v>
      </c>
      <c r="EF3" s="1509">
        <v>0</v>
      </c>
      <c r="EG3" s="1509">
        <v>1</v>
      </c>
      <c r="EH3" s="1509">
        <v>0</v>
      </c>
      <c r="EI3" s="1509">
        <v>1</v>
      </c>
      <c r="EJ3" s="1509">
        <v>1</v>
      </c>
      <c r="EK3" s="1509">
        <v>1</v>
      </c>
      <c r="EL3" s="1509">
        <v>0</v>
      </c>
      <c r="EM3" s="1509">
        <v>0</v>
      </c>
      <c r="EN3" s="1509">
        <v>0</v>
      </c>
      <c r="EO3" s="1509">
        <v>1</v>
      </c>
      <c r="EP3" s="1509">
        <v>1</v>
      </c>
      <c r="EQ3" s="1509">
        <v>0</v>
      </c>
      <c r="ER3" s="1509">
        <v>1</v>
      </c>
      <c r="ES3" s="1509">
        <v>1</v>
      </c>
      <c r="ET3" s="1509">
        <v>1</v>
      </c>
      <c r="EU3" s="1509">
        <v>0</v>
      </c>
      <c r="EV3" s="1509">
        <v>1</v>
      </c>
      <c r="EW3" s="1509">
        <v>1</v>
      </c>
      <c r="EX3" s="1509">
        <v>1</v>
      </c>
      <c r="EY3" s="1509">
        <v>1</v>
      </c>
      <c r="EZ3" s="1509">
        <v>1</v>
      </c>
      <c r="FA3" s="1509">
        <v>0</v>
      </c>
      <c r="FB3" s="1509">
        <v>1</v>
      </c>
      <c r="FC3" s="1509">
        <v>1</v>
      </c>
      <c r="FD3" s="1509">
        <v>0</v>
      </c>
      <c r="FE3" s="1509">
        <v>0</v>
      </c>
      <c r="FF3" s="1509">
        <v>1</v>
      </c>
      <c r="FG3" s="1509">
        <v>1</v>
      </c>
      <c r="FH3" s="1509">
        <v>1</v>
      </c>
      <c r="FI3" s="1509">
        <v>1</v>
      </c>
      <c r="FJ3" s="1509">
        <v>0</v>
      </c>
      <c r="FK3" s="1509">
        <v>1</v>
      </c>
      <c r="FL3" s="1509">
        <v>0</v>
      </c>
      <c r="FM3" s="1509">
        <v>1</v>
      </c>
      <c r="FN3" s="1509">
        <v>1</v>
      </c>
      <c r="FO3" s="1509">
        <v>0</v>
      </c>
      <c r="FP3" s="1509">
        <v>1</v>
      </c>
      <c r="FQ3" s="1509">
        <v>1</v>
      </c>
      <c r="FR3" s="1509">
        <v>1</v>
      </c>
      <c r="FS3" s="1509">
        <v>1</v>
      </c>
      <c r="FT3" s="1509">
        <v>1</v>
      </c>
      <c r="FU3" s="1509">
        <v>1</v>
      </c>
    </row>
    <row r="4" spans="1:177" s="1509" customFormat="1" x14ac:dyDescent="0.2">
      <c r="A4" s="1512" t="s">
        <v>658</v>
      </c>
      <c r="B4" s="1512" t="s">
        <v>1287</v>
      </c>
      <c r="C4" s="1509">
        <v>1</v>
      </c>
      <c r="D4" s="1509">
        <v>1</v>
      </c>
      <c r="E4" s="1509">
        <v>1</v>
      </c>
      <c r="F4" s="1509">
        <v>1</v>
      </c>
      <c r="G4" s="1509">
        <v>1</v>
      </c>
      <c r="H4" s="1509">
        <v>1</v>
      </c>
      <c r="I4" s="1509">
        <v>1</v>
      </c>
      <c r="J4" s="1509">
        <v>1</v>
      </c>
      <c r="K4" s="1509">
        <v>1</v>
      </c>
      <c r="L4" s="1509">
        <v>1</v>
      </c>
      <c r="M4" s="1509">
        <v>1</v>
      </c>
      <c r="N4" s="1509">
        <v>1</v>
      </c>
      <c r="O4" s="1509">
        <v>1</v>
      </c>
      <c r="P4" s="1509">
        <v>1</v>
      </c>
      <c r="Q4" s="1509">
        <v>0</v>
      </c>
      <c r="R4" s="1509">
        <v>1</v>
      </c>
      <c r="S4" s="1509">
        <v>1</v>
      </c>
      <c r="T4" s="1509">
        <v>1</v>
      </c>
      <c r="U4" s="1509">
        <v>1</v>
      </c>
      <c r="V4" s="1509">
        <v>1</v>
      </c>
      <c r="W4" s="1509">
        <v>1</v>
      </c>
      <c r="X4" s="1509">
        <v>1</v>
      </c>
      <c r="Y4" s="1509">
        <v>1</v>
      </c>
      <c r="Z4" s="1509">
        <v>1</v>
      </c>
      <c r="AA4" s="1509">
        <v>5.7724839999999666E-3</v>
      </c>
      <c r="AB4" s="1509">
        <v>1</v>
      </c>
      <c r="AC4" s="1509">
        <v>1</v>
      </c>
      <c r="AD4" s="1509">
        <v>1</v>
      </c>
      <c r="AE4" s="1509">
        <v>1</v>
      </c>
      <c r="AF4" s="1509">
        <v>1</v>
      </c>
      <c r="AG4" s="1509">
        <v>1</v>
      </c>
      <c r="AH4" s="1509">
        <v>1</v>
      </c>
      <c r="AI4" s="1509">
        <v>1</v>
      </c>
      <c r="AJ4" s="1509">
        <v>1</v>
      </c>
      <c r="AK4" s="1509">
        <v>1</v>
      </c>
      <c r="AL4" s="1509">
        <v>6.9718692999999998E-2</v>
      </c>
      <c r="AM4" s="1509">
        <v>8.1273825000000022E-2</v>
      </c>
      <c r="AN4" s="1509">
        <v>0</v>
      </c>
      <c r="AO4" s="1509">
        <v>1</v>
      </c>
      <c r="AP4" s="1509">
        <v>1</v>
      </c>
      <c r="AQ4" s="1509">
        <v>0</v>
      </c>
      <c r="AR4" s="1509">
        <v>1</v>
      </c>
      <c r="AS4" s="1509">
        <v>1</v>
      </c>
      <c r="AT4" s="1509">
        <v>1</v>
      </c>
      <c r="AU4" s="1509">
        <v>1</v>
      </c>
      <c r="AV4" s="1509">
        <v>1</v>
      </c>
      <c r="AW4" s="1509">
        <v>1</v>
      </c>
      <c r="AX4" s="1509">
        <v>1</v>
      </c>
      <c r="AY4" s="1509">
        <v>1.355590799999995E-2</v>
      </c>
      <c r="AZ4" s="1509">
        <v>1</v>
      </c>
      <c r="BA4" s="1509">
        <v>1</v>
      </c>
      <c r="BB4" s="1509">
        <v>1</v>
      </c>
      <c r="BC4" s="1509">
        <v>1</v>
      </c>
      <c r="BD4" s="1509">
        <v>1</v>
      </c>
      <c r="BE4" s="1509">
        <v>1</v>
      </c>
      <c r="BF4" s="1509">
        <v>1</v>
      </c>
      <c r="BG4" s="1509">
        <v>1</v>
      </c>
      <c r="BH4" s="1509">
        <v>1</v>
      </c>
      <c r="BI4" s="1509">
        <v>1</v>
      </c>
      <c r="BJ4" s="1509">
        <v>1</v>
      </c>
      <c r="BK4" s="1509">
        <v>1</v>
      </c>
      <c r="BL4" s="1509">
        <v>1</v>
      </c>
      <c r="BM4" s="1509">
        <v>1</v>
      </c>
      <c r="BN4" s="1509">
        <v>1</v>
      </c>
      <c r="BO4" s="1509">
        <v>1</v>
      </c>
      <c r="BP4" s="1509">
        <v>1</v>
      </c>
      <c r="BQ4" s="1509">
        <v>1</v>
      </c>
      <c r="BR4" s="1509">
        <v>1</v>
      </c>
      <c r="BS4" s="1509">
        <v>1</v>
      </c>
      <c r="BT4" s="1509">
        <v>1</v>
      </c>
      <c r="BU4" s="1509">
        <v>1</v>
      </c>
      <c r="BV4" s="1509">
        <v>1</v>
      </c>
      <c r="BW4" s="1509">
        <v>1</v>
      </c>
      <c r="BX4" s="1509">
        <v>1</v>
      </c>
      <c r="BY4" s="1509">
        <v>1</v>
      </c>
      <c r="BZ4" s="1509">
        <v>1</v>
      </c>
      <c r="CA4" s="1509">
        <v>1</v>
      </c>
      <c r="CB4" s="1509">
        <v>1</v>
      </c>
      <c r="CC4" s="1509">
        <v>1</v>
      </c>
      <c r="CD4" s="1509">
        <v>1</v>
      </c>
      <c r="CE4" s="1509">
        <v>7.7581255000000016E-2</v>
      </c>
      <c r="CF4" s="1509">
        <v>1</v>
      </c>
      <c r="CG4" s="1509">
        <v>1</v>
      </c>
      <c r="CH4" s="1509">
        <v>1</v>
      </c>
      <c r="CI4" s="1509">
        <v>1</v>
      </c>
      <c r="CJ4" s="1509">
        <v>1</v>
      </c>
      <c r="CK4" s="1509">
        <v>1</v>
      </c>
      <c r="CL4" s="1509">
        <v>1</v>
      </c>
      <c r="CM4" s="1509">
        <v>1</v>
      </c>
      <c r="CN4" s="1509">
        <v>1</v>
      </c>
      <c r="CO4" s="1509">
        <v>1</v>
      </c>
      <c r="CP4" s="1509">
        <v>1</v>
      </c>
      <c r="CQ4" s="1509">
        <v>1</v>
      </c>
      <c r="CR4" s="1509">
        <v>3.9427300000000054E-3</v>
      </c>
      <c r="CS4" s="1509">
        <v>1</v>
      </c>
      <c r="CT4" s="1509">
        <v>1</v>
      </c>
      <c r="CU4" s="1509">
        <v>1</v>
      </c>
      <c r="CV4" s="1509">
        <v>1</v>
      </c>
      <c r="CW4" s="1509">
        <v>1</v>
      </c>
      <c r="CX4" s="1509">
        <v>1</v>
      </c>
      <c r="CY4" s="1509">
        <v>1</v>
      </c>
      <c r="CZ4" s="1509">
        <v>0.32771984600000004</v>
      </c>
      <c r="DA4" s="1509">
        <v>1</v>
      </c>
      <c r="DB4" s="1509">
        <v>1</v>
      </c>
      <c r="DC4" s="1509">
        <v>1</v>
      </c>
      <c r="DD4" s="1509">
        <v>1</v>
      </c>
      <c r="DE4" s="1509">
        <v>1</v>
      </c>
      <c r="DF4" s="1509">
        <v>1</v>
      </c>
      <c r="DG4" s="1509">
        <v>1</v>
      </c>
      <c r="DH4" s="1509">
        <v>1</v>
      </c>
      <c r="DI4" s="1509">
        <v>1</v>
      </c>
      <c r="DJ4" s="1509">
        <v>1</v>
      </c>
      <c r="DK4" s="1509">
        <v>1</v>
      </c>
      <c r="DL4" s="1509">
        <v>1</v>
      </c>
      <c r="DM4" s="1509">
        <v>1</v>
      </c>
      <c r="DN4" s="1509">
        <v>1</v>
      </c>
      <c r="DO4" s="1509">
        <v>1</v>
      </c>
      <c r="DP4" s="1509">
        <v>1</v>
      </c>
      <c r="DQ4" s="1509">
        <v>1</v>
      </c>
      <c r="DR4" s="1509">
        <v>1</v>
      </c>
      <c r="DS4" s="1509">
        <v>1</v>
      </c>
      <c r="DT4" s="1509">
        <v>1</v>
      </c>
      <c r="DU4" s="1509">
        <v>1</v>
      </c>
      <c r="DV4" s="1509">
        <v>1</v>
      </c>
      <c r="DW4" s="1509">
        <v>1</v>
      </c>
      <c r="DX4" s="1509">
        <v>1</v>
      </c>
      <c r="DY4" s="1509">
        <v>1</v>
      </c>
      <c r="DZ4" s="1509">
        <v>1</v>
      </c>
      <c r="EA4" s="1509">
        <v>1</v>
      </c>
      <c r="EB4" s="1509">
        <v>1</v>
      </c>
      <c r="EC4" s="1509">
        <v>1</v>
      </c>
      <c r="ED4" s="1509">
        <v>1</v>
      </c>
      <c r="EE4" s="1509">
        <v>5.1800406999999993E-2</v>
      </c>
      <c r="EF4" s="1509">
        <v>1.2933976000000014E-2</v>
      </c>
      <c r="EG4" s="1509">
        <v>1</v>
      </c>
      <c r="EH4" s="1509">
        <v>1</v>
      </c>
      <c r="EI4" s="1509">
        <v>5.1800406999999993E-2</v>
      </c>
      <c r="EJ4" s="1509">
        <v>1</v>
      </c>
      <c r="EK4" s="1509">
        <v>1</v>
      </c>
      <c r="EL4" s="1509">
        <v>1</v>
      </c>
      <c r="EM4" s="1509">
        <v>1</v>
      </c>
      <c r="EN4" s="1509">
        <v>1</v>
      </c>
      <c r="EO4" s="1509">
        <v>1</v>
      </c>
      <c r="EP4" s="1509">
        <v>1</v>
      </c>
      <c r="EQ4" s="1509">
        <v>1</v>
      </c>
      <c r="ER4" s="1509">
        <v>1</v>
      </c>
      <c r="ES4" s="1509">
        <v>1</v>
      </c>
      <c r="ET4" s="1509">
        <v>1</v>
      </c>
      <c r="EU4" s="1509">
        <v>1</v>
      </c>
      <c r="EV4" s="1509">
        <v>1</v>
      </c>
      <c r="EW4" s="1509">
        <v>1</v>
      </c>
      <c r="EX4" s="1509">
        <v>1</v>
      </c>
      <c r="EY4" s="1509">
        <v>1</v>
      </c>
      <c r="EZ4" s="1509">
        <v>1</v>
      </c>
      <c r="FA4" s="1509">
        <v>1</v>
      </c>
      <c r="FB4" s="1509">
        <v>1</v>
      </c>
      <c r="FC4" s="1509">
        <v>1</v>
      </c>
      <c r="FD4" s="1509">
        <v>1</v>
      </c>
      <c r="FE4" s="1509">
        <v>1</v>
      </c>
      <c r="FF4" s="1509">
        <v>1</v>
      </c>
      <c r="FG4" s="1509">
        <v>1</v>
      </c>
      <c r="FH4" s="1509">
        <v>1</v>
      </c>
      <c r="FI4" s="1509">
        <v>1</v>
      </c>
      <c r="FJ4" s="1509">
        <v>1</v>
      </c>
      <c r="FK4" s="1509">
        <v>1</v>
      </c>
      <c r="FL4" s="1509">
        <v>1</v>
      </c>
      <c r="FM4" s="1509">
        <v>1</v>
      </c>
      <c r="FN4" s="1509">
        <v>1</v>
      </c>
      <c r="FO4" s="1509">
        <v>1</v>
      </c>
      <c r="FP4" s="1509">
        <v>1</v>
      </c>
      <c r="FQ4" s="1509">
        <v>1</v>
      </c>
      <c r="FR4" s="1509">
        <v>1</v>
      </c>
      <c r="FS4" s="1509">
        <v>1</v>
      </c>
      <c r="FT4" s="1509">
        <v>1</v>
      </c>
      <c r="FU4" s="1509">
        <v>1</v>
      </c>
    </row>
    <row r="5" spans="1:177" s="1509" customFormat="1" x14ac:dyDescent="0.2">
      <c r="A5" s="1512" t="s">
        <v>658</v>
      </c>
      <c r="B5" s="1512" t="s">
        <v>1029</v>
      </c>
      <c r="C5" s="1509">
        <v>1</v>
      </c>
      <c r="D5" s="1509">
        <v>1</v>
      </c>
      <c r="E5" s="1509">
        <v>1</v>
      </c>
      <c r="F5" s="1509">
        <v>1</v>
      </c>
      <c r="G5" s="1509">
        <v>1</v>
      </c>
      <c r="H5" s="1509">
        <v>1</v>
      </c>
      <c r="I5" s="1509">
        <v>1</v>
      </c>
      <c r="J5" s="1509">
        <v>1</v>
      </c>
      <c r="K5" s="1509">
        <v>1</v>
      </c>
      <c r="L5" s="1509">
        <v>1</v>
      </c>
      <c r="M5" s="1509">
        <v>1</v>
      </c>
      <c r="N5" s="1509">
        <v>1</v>
      </c>
      <c r="O5" s="1509">
        <v>1</v>
      </c>
      <c r="P5" s="1509">
        <v>0</v>
      </c>
      <c r="Q5" s="1509">
        <v>1</v>
      </c>
      <c r="R5" s="1509">
        <v>1</v>
      </c>
      <c r="S5" s="1509">
        <v>0</v>
      </c>
      <c r="T5" s="1509">
        <v>0</v>
      </c>
      <c r="U5" s="1509">
        <v>0</v>
      </c>
      <c r="V5" s="1509">
        <v>1</v>
      </c>
      <c r="W5" s="1509">
        <v>0</v>
      </c>
      <c r="X5" s="1509">
        <v>0</v>
      </c>
      <c r="Y5" s="1509">
        <v>0</v>
      </c>
      <c r="Z5" s="1509">
        <v>0</v>
      </c>
      <c r="AA5" s="1509">
        <v>1</v>
      </c>
      <c r="AB5" s="1509">
        <v>1</v>
      </c>
      <c r="AC5" s="1509">
        <v>1</v>
      </c>
      <c r="AD5" s="1509">
        <v>1</v>
      </c>
      <c r="AE5" s="1509">
        <v>1</v>
      </c>
      <c r="AF5" s="1509">
        <v>0</v>
      </c>
      <c r="AG5" s="1509">
        <v>1</v>
      </c>
      <c r="AH5" s="1509">
        <v>0</v>
      </c>
      <c r="AI5" s="1509">
        <v>0</v>
      </c>
      <c r="AJ5" s="1509">
        <v>1</v>
      </c>
      <c r="AK5" s="1509">
        <v>1</v>
      </c>
      <c r="AL5" s="1509">
        <v>1</v>
      </c>
      <c r="AM5" s="1509">
        <v>1</v>
      </c>
      <c r="AN5" s="1509">
        <v>1</v>
      </c>
      <c r="AO5" s="1509">
        <v>0</v>
      </c>
      <c r="AP5" s="1509">
        <v>0</v>
      </c>
      <c r="AQ5" s="1509">
        <v>1</v>
      </c>
      <c r="AR5" s="1509">
        <v>0</v>
      </c>
      <c r="AS5" s="1509">
        <v>0</v>
      </c>
      <c r="AT5" s="1509">
        <v>1</v>
      </c>
      <c r="AU5" s="1509">
        <v>1</v>
      </c>
      <c r="AV5" s="1509">
        <v>0</v>
      </c>
      <c r="AW5" s="1509">
        <v>1</v>
      </c>
      <c r="AX5" s="1509">
        <v>0</v>
      </c>
      <c r="AY5" s="1509">
        <v>1</v>
      </c>
      <c r="AZ5" s="1509">
        <v>1</v>
      </c>
      <c r="BA5" s="1509">
        <v>1</v>
      </c>
      <c r="BB5" s="1509">
        <v>1</v>
      </c>
      <c r="BC5" s="1509">
        <v>1</v>
      </c>
      <c r="BD5" s="1509">
        <v>1</v>
      </c>
      <c r="BE5" s="1509">
        <v>0</v>
      </c>
      <c r="BF5" s="1509">
        <v>1</v>
      </c>
      <c r="BG5" s="1509">
        <v>1</v>
      </c>
      <c r="BH5" s="1509">
        <v>0</v>
      </c>
      <c r="BI5" s="1509">
        <v>0</v>
      </c>
      <c r="BJ5" s="1509">
        <v>1</v>
      </c>
      <c r="BK5" s="1509">
        <v>1</v>
      </c>
      <c r="BL5" s="1509">
        <v>1</v>
      </c>
      <c r="BM5" s="1509">
        <v>1</v>
      </c>
      <c r="BN5" s="1509">
        <v>0</v>
      </c>
      <c r="BO5" s="1509">
        <v>0</v>
      </c>
      <c r="BP5" s="1509">
        <v>0</v>
      </c>
      <c r="BQ5" s="1509">
        <v>0</v>
      </c>
      <c r="BR5" s="1509">
        <v>1</v>
      </c>
      <c r="BS5" s="1509">
        <v>0</v>
      </c>
      <c r="BT5" s="1509">
        <v>0</v>
      </c>
      <c r="BU5" s="1509">
        <v>1</v>
      </c>
      <c r="BV5" s="1509">
        <v>1</v>
      </c>
      <c r="BW5" s="1509">
        <v>0</v>
      </c>
      <c r="BX5" s="1509">
        <v>1</v>
      </c>
      <c r="BY5" s="1509">
        <v>1</v>
      </c>
      <c r="BZ5" s="1509">
        <v>1</v>
      </c>
      <c r="CA5" s="1509">
        <v>0</v>
      </c>
      <c r="CB5" s="1509">
        <v>0</v>
      </c>
      <c r="CC5" s="1509">
        <v>0</v>
      </c>
      <c r="CD5" s="1509">
        <v>0</v>
      </c>
      <c r="CE5" s="1509">
        <v>0</v>
      </c>
      <c r="CF5" s="1509">
        <v>0</v>
      </c>
      <c r="CG5" s="1509">
        <v>1</v>
      </c>
      <c r="CH5" s="1509">
        <v>0</v>
      </c>
      <c r="CI5" s="1509">
        <v>0</v>
      </c>
      <c r="CJ5" s="1509">
        <v>0</v>
      </c>
      <c r="CK5" s="1509">
        <v>0</v>
      </c>
      <c r="CL5" s="1509">
        <v>0</v>
      </c>
      <c r="CM5" s="1509">
        <v>1</v>
      </c>
      <c r="CN5" s="1509">
        <v>0</v>
      </c>
      <c r="CO5" s="1509">
        <v>1</v>
      </c>
      <c r="CP5" s="1509">
        <v>0</v>
      </c>
      <c r="CQ5" s="1509">
        <v>0</v>
      </c>
      <c r="CR5" s="1509">
        <v>0</v>
      </c>
      <c r="CS5" s="1509">
        <v>1</v>
      </c>
      <c r="CT5" s="1509">
        <v>1</v>
      </c>
      <c r="CU5" s="1509">
        <v>1</v>
      </c>
      <c r="CV5" s="1509">
        <v>0</v>
      </c>
      <c r="CW5" s="1509">
        <v>1</v>
      </c>
      <c r="CX5" s="1509">
        <v>1</v>
      </c>
      <c r="CY5" s="1509">
        <v>1</v>
      </c>
      <c r="CZ5" s="1509">
        <v>1</v>
      </c>
      <c r="DA5" s="1509">
        <v>1</v>
      </c>
      <c r="DB5" s="1509">
        <v>1</v>
      </c>
      <c r="DC5" s="1509">
        <v>1</v>
      </c>
      <c r="DD5" s="1509">
        <v>1</v>
      </c>
      <c r="DE5" s="1509">
        <v>1</v>
      </c>
      <c r="DF5" s="1509">
        <v>0</v>
      </c>
      <c r="DG5" s="1509">
        <v>1</v>
      </c>
      <c r="DH5" s="1509">
        <v>1</v>
      </c>
      <c r="DI5" s="1509">
        <v>1</v>
      </c>
      <c r="DJ5" s="1509">
        <v>0</v>
      </c>
      <c r="DK5" s="1509">
        <v>1</v>
      </c>
      <c r="DL5" s="1509">
        <v>0</v>
      </c>
      <c r="DM5" s="1509">
        <v>1</v>
      </c>
      <c r="DN5" s="1509">
        <v>1</v>
      </c>
      <c r="DO5" s="1509">
        <v>1</v>
      </c>
      <c r="DP5" s="1509">
        <v>1</v>
      </c>
      <c r="DQ5" s="1509">
        <v>1</v>
      </c>
      <c r="DR5" s="1509">
        <v>1</v>
      </c>
      <c r="DS5" s="1509">
        <v>0</v>
      </c>
      <c r="DT5" s="1509">
        <v>1</v>
      </c>
      <c r="DU5" s="1509">
        <v>0</v>
      </c>
      <c r="DV5" s="1509">
        <v>1</v>
      </c>
      <c r="DW5" s="1509">
        <v>0</v>
      </c>
      <c r="DX5" s="1509">
        <v>1</v>
      </c>
      <c r="DY5" s="1509">
        <v>1</v>
      </c>
      <c r="DZ5" s="1509">
        <v>1</v>
      </c>
      <c r="EA5" s="1509">
        <v>0</v>
      </c>
      <c r="EB5" s="1509">
        <v>0</v>
      </c>
      <c r="EC5" s="1509">
        <v>0</v>
      </c>
      <c r="ED5" s="1509">
        <v>0</v>
      </c>
      <c r="EE5" s="1509">
        <v>0</v>
      </c>
      <c r="EF5" s="1509">
        <v>1</v>
      </c>
      <c r="EG5" s="1509">
        <v>1</v>
      </c>
      <c r="EH5" s="1509">
        <v>0</v>
      </c>
      <c r="EI5" s="1509">
        <v>0</v>
      </c>
      <c r="EJ5" s="1509">
        <v>0</v>
      </c>
      <c r="EK5" s="1509">
        <v>1</v>
      </c>
      <c r="EL5" s="1509">
        <v>1</v>
      </c>
      <c r="EM5" s="1509">
        <v>0</v>
      </c>
      <c r="EN5" s="1509">
        <v>0</v>
      </c>
      <c r="EO5" s="1509">
        <v>0</v>
      </c>
      <c r="EP5" s="1509">
        <v>1</v>
      </c>
      <c r="EQ5" s="1509">
        <v>0</v>
      </c>
      <c r="ER5" s="1509">
        <v>1</v>
      </c>
      <c r="ES5" s="1509">
        <v>1</v>
      </c>
      <c r="ET5" s="1509">
        <v>0</v>
      </c>
      <c r="EU5" s="1509">
        <v>0</v>
      </c>
      <c r="EV5" s="1509">
        <v>1</v>
      </c>
      <c r="EW5" s="1509">
        <v>0</v>
      </c>
      <c r="EX5" s="1509">
        <v>1</v>
      </c>
      <c r="EY5" s="1509">
        <v>0</v>
      </c>
      <c r="EZ5" s="1509">
        <v>0</v>
      </c>
      <c r="FA5" s="1509">
        <v>0</v>
      </c>
      <c r="FB5" s="1509">
        <v>0</v>
      </c>
      <c r="FC5" s="1509">
        <v>0</v>
      </c>
      <c r="FD5" s="1509">
        <v>1</v>
      </c>
      <c r="FE5" s="1509">
        <v>0</v>
      </c>
      <c r="FF5" s="1509">
        <v>1</v>
      </c>
      <c r="FG5" s="1509">
        <v>0</v>
      </c>
      <c r="FH5" s="1509">
        <v>1</v>
      </c>
      <c r="FI5" s="1509">
        <v>0</v>
      </c>
      <c r="FJ5" s="1509">
        <v>0</v>
      </c>
      <c r="FK5" s="1509">
        <v>0</v>
      </c>
      <c r="FL5" s="1509">
        <v>1</v>
      </c>
      <c r="FM5" s="1509">
        <v>1</v>
      </c>
      <c r="FN5" s="1509">
        <v>0</v>
      </c>
      <c r="FO5" s="1509">
        <v>0</v>
      </c>
      <c r="FP5" s="1509">
        <v>0</v>
      </c>
      <c r="FQ5" s="1509">
        <v>1</v>
      </c>
      <c r="FR5" s="1509">
        <v>0</v>
      </c>
      <c r="FS5" s="1509">
        <v>0</v>
      </c>
      <c r="FT5" s="1509">
        <v>0</v>
      </c>
      <c r="FU5" s="1509">
        <v>0</v>
      </c>
    </row>
    <row r="6" spans="1:177" s="1509" customFormat="1" x14ac:dyDescent="0.2">
      <c r="A6" s="1512" t="s">
        <v>658</v>
      </c>
      <c r="B6" s="1512" t="s">
        <v>1024</v>
      </c>
      <c r="C6" s="1509" t="s">
        <v>2372</v>
      </c>
      <c r="D6" s="1509">
        <v>0.50900900900000001</v>
      </c>
      <c r="E6" s="1509" t="s">
        <v>2372</v>
      </c>
      <c r="F6" s="1509" t="s">
        <v>2372</v>
      </c>
      <c r="G6" s="1509">
        <v>0</v>
      </c>
      <c r="H6" s="1509" t="s">
        <v>2372</v>
      </c>
      <c r="I6" s="1509">
        <v>0.70720720699999995</v>
      </c>
      <c r="J6" s="1509">
        <v>0.61711711700000005</v>
      </c>
      <c r="K6" s="1509">
        <v>0.71171171200000005</v>
      </c>
      <c r="L6" s="1509">
        <v>0.78828828799999995</v>
      </c>
      <c r="M6" s="1509">
        <v>0.76126126100000002</v>
      </c>
      <c r="N6" s="1509">
        <v>0</v>
      </c>
      <c r="O6" s="1509">
        <v>0</v>
      </c>
      <c r="P6" s="1509">
        <v>0</v>
      </c>
      <c r="Q6" s="1509" t="s">
        <v>2372</v>
      </c>
      <c r="R6" s="1509">
        <v>0</v>
      </c>
      <c r="S6" s="1509">
        <v>0</v>
      </c>
      <c r="T6" s="1509" t="s">
        <v>2372</v>
      </c>
      <c r="U6" s="1509" t="s">
        <v>2372</v>
      </c>
      <c r="V6" s="1509" t="s">
        <v>2372</v>
      </c>
      <c r="W6" s="1509">
        <v>0</v>
      </c>
      <c r="X6" s="1509" t="s">
        <v>2372</v>
      </c>
      <c r="Y6" s="1509">
        <v>0.44144144099999999</v>
      </c>
      <c r="Z6" s="1509" t="s">
        <v>2372</v>
      </c>
      <c r="AA6" s="1509">
        <v>0.94594594600000004</v>
      </c>
      <c r="AB6" s="1509" t="s">
        <v>2372</v>
      </c>
      <c r="AC6" s="1509" t="s">
        <v>2372</v>
      </c>
      <c r="AD6" s="1509" t="s">
        <v>2372</v>
      </c>
      <c r="AE6" s="1509">
        <v>0</v>
      </c>
      <c r="AF6" s="1509">
        <v>0</v>
      </c>
      <c r="AG6" s="1509">
        <v>0.65315315299999999</v>
      </c>
      <c r="AH6" s="1509">
        <v>0</v>
      </c>
      <c r="AI6" s="1509" t="s">
        <v>2372</v>
      </c>
      <c r="AJ6" s="1509" t="s">
        <v>2372</v>
      </c>
      <c r="AK6" s="1509">
        <v>0</v>
      </c>
      <c r="AL6" s="1509" t="s">
        <v>2372</v>
      </c>
      <c r="AM6" s="1509">
        <v>0</v>
      </c>
      <c r="AN6" s="1509" t="s">
        <v>2372</v>
      </c>
      <c r="AO6" s="1509">
        <v>0.26645767999999997</v>
      </c>
      <c r="AP6" s="1509">
        <v>0</v>
      </c>
      <c r="AQ6" s="1509">
        <v>0.78828828799999995</v>
      </c>
      <c r="AR6" s="1509">
        <v>0.97169811299999997</v>
      </c>
      <c r="AS6" s="1509" t="s">
        <v>2372</v>
      </c>
      <c r="AT6" s="1509" t="s">
        <v>2372</v>
      </c>
      <c r="AU6" s="1509" t="s">
        <v>2372</v>
      </c>
      <c r="AV6" s="1509" t="s">
        <v>2372</v>
      </c>
      <c r="AW6" s="1509">
        <v>0</v>
      </c>
      <c r="AX6" s="1509">
        <v>0.58695652200000004</v>
      </c>
      <c r="AY6" s="1509">
        <v>0.92929292900000005</v>
      </c>
      <c r="AZ6" s="1509">
        <v>0.71380471400000001</v>
      </c>
      <c r="BA6" s="1509">
        <v>0</v>
      </c>
      <c r="BB6" s="1509">
        <v>0.91582491600000004</v>
      </c>
      <c r="BC6" s="1509" t="s">
        <v>2372</v>
      </c>
      <c r="BD6" s="1509">
        <v>0.92452830200000002</v>
      </c>
      <c r="BE6" s="1509">
        <v>0</v>
      </c>
      <c r="BF6" s="1509" t="s">
        <v>2372</v>
      </c>
      <c r="BG6" s="1509" t="s">
        <v>2372</v>
      </c>
      <c r="BH6" s="1509">
        <v>0</v>
      </c>
      <c r="BI6" s="1509" t="s">
        <v>2372</v>
      </c>
      <c r="BJ6" s="1509" t="s">
        <v>2372</v>
      </c>
      <c r="BK6" s="1509">
        <v>0</v>
      </c>
      <c r="BL6" s="1509">
        <v>0</v>
      </c>
      <c r="BM6" s="1509">
        <v>0</v>
      </c>
      <c r="BN6" s="1509">
        <v>0.80630630599999997</v>
      </c>
      <c r="BO6" s="1509">
        <v>0</v>
      </c>
      <c r="BP6" s="1509">
        <v>0.45045045</v>
      </c>
      <c r="BQ6" s="1509">
        <v>0</v>
      </c>
      <c r="BR6" s="1509" t="s">
        <v>2372</v>
      </c>
      <c r="BS6" s="1509">
        <v>0</v>
      </c>
      <c r="BT6" s="1509">
        <v>0</v>
      </c>
      <c r="BU6" s="1509" t="s">
        <v>2372</v>
      </c>
      <c r="BV6" s="1509">
        <v>0</v>
      </c>
      <c r="BW6" s="1509" t="s">
        <v>2372</v>
      </c>
      <c r="BX6" s="1509">
        <v>0.71875</v>
      </c>
      <c r="BY6" s="1509" t="s">
        <v>2372</v>
      </c>
      <c r="BZ6" s="1509">
        <v>0</v>
      </c>
      <c r="CA6" s="1509">
        <v>0</v>
      </c>
      <c r="CB6" s="1509" t="s">
        <v>2372</v>
      </c>
      <c r="CC6" s="1509">
        <v>0.99769053100000005</v>
      </c>
      <c r="CD6" s="1509">
        <v>0</v>
      </c>
      <c r="CE6" s="1509">
        <v>1</v>
      </c>
      <c r="CF6" s="1509" t="s">
        <v>2372</v>
      </c>
      <c r="CG6" s="1509">
        <v>0.68918918900000004</v>
      </c>
      <c r="CH6" s="1509">
        <v>0</v>
      </c>
      <c r="CI6" s="1509">
        <v>0.94594594600000004</v>
      </c>
      <c r="CJ6" s="1509">
        <v>0</v>
      </c>
      <c r="CK6" s="1509" t="s">
        <v>2372</v>
      </c>
      <c r="CL6" s="1509" t="s">
        <v>2372</v>
      </c>
      <c r="CM6" s="1509">
        <v>0.85054347799999996</v>
      </c>
      <c r="CN6" s="1509">
        <v>0.99769053100000005</v>
      </c>
      <c r="CO6" s="1509" t="s">
        <v>2372</v>
      </c>
      <c r="CP6" s="1509">
        <v>1</v>
      </c>
      <c r="CQ6" s="1509">
        <v>0</v>
      </c>
      <c r="CR6" s="1509">
        <v>0.72072072099999995</v>
      </c>
      <c r="CS6" s="1509">
        <v>0.44594594599999998</v>
      </c>
      <c r="CT6" s="1509" t="s">
        <v>2372</v>
      </c>
      <c r="CU6" s="1509" t="s">
        <v>2372</v>
      </c>
      <c r="CV6" s="1509">
        <v>0</v>
      </c>
      <c r="CW6" s="1509" t="s">
        <v>2372</v>
      </c>
      <c r="CX6" s="1509">
        <v>0.683501684</v>
      </c>
      <c r="CY6" s="1509">
        <v>0.58585858599999996</v>
      </c>
      <c r="CZ6" s="1509">
        <v>0</v>
      </c>
      <c r="DA6" s="1509">
        <v>0.70244565199999998</v>
      </c>
      <c r="DB6" s="1509">
        <v>0</v>
      </c>
      <c r="DC6" s="1509" t="s">
        <v>2372</v>
      </c>
      <c r="DD6" s="1509">
        <v>0</v>
      </c>
      <c r="DE6" s="1509">
        <v>0.75</v>
      </c>
      <c r="DF6" s="1509">
        <v>0.7</v>
      </c>
      <c r="DG6" s="1509">
        <v>0.65</v>
      </c>
      <c r="DH6" s="1509" t="s">
        <v>2372</v>
      </c>
      <c r="DI6" s="1509">
        <v>0.95</v>
      </c>
      <c r="DJ6" s="1509">
        <v>0.75407608699999995</v>
      </c>
      <c r="DK6" s="1509">
        <v>0</v>
      </c>
      <c r="DL6" s="1509" t="s">
        <v>2372</v>
      </c>
      <c r="DM6" s="1509">
        <v>0</v>
      </c>
      <c r="DN6" s="1509" t="s">
        <v>2372</v>
      </c>
      <c r="DO6" s="1509">
        <v>0.58922558899999999</v>
      </c>
      <c r="DP6" s="1509">
        <v>0.807065217</v>
      </c>
      <c r="DQ6" s="1509">
        <v>0</v>
      </c>
      <c r="DR6" s="1509">
        <v>0</v>
      </c>
      <c r="DS6" s="1509">
        <v>0</v>
      </c>
      <c r="DT6" s="1509">
        <v>0.92391304299999999</v>
      </c>
      <c r="DU6" s="1509" t="s">
        <v>2372</v>
      </c>
      <c r="DV6" s="1509" t="s">
        <v>2372</v>
      </c>
      <c r="DW6" s="1509" t="s">
        <v>2372</v>
      </c>
      <c r="DX6" s="1509">
        <v>0</v>
      </c>
      <c r="DY6" s="1509" t="s">
        <v>2372</v>
      </c>
      <c r="DZ6" s="1509" t="s">
        <v>2372</v>
      </c>
      <c r="EA6" s="1509">
        <v>0.74410774400000002</v>
      </c>
      <c r="EB6" s="1509" t="s">
        <v>2372</v>
      </c>
      <c r="EC6" s="1509" t="s">
        <v>2372</v>
      </c>
      <c r="ED6" s="1509">
        <v>0.986486486</v>
      </c>
      <c r="EE6" s="1509">
        <v>0.99769053100000005</v>
      </c>
      <c r="EF6" s="1509">
        <v>0.73063973100000001</v>
      </c>
      <c r="EG6" s="1509" t="s">
        <v>2372</v>
      </c>
      <c r="EH6" s="1509">
        <v>0.97643097599999995</v>
      </c>
      <c r="EI6" s="1509" t="s">
        <v>2372</v>
      </c>
      <c r="EJ6" s="1509" t="s">
        <v>2372</v>
      </c>
      <c r="EK6" s="1509">
        <v>0.99549549500000001</v>
      </c>
      <c r="EL6" s="1509">
        <v>0.5</v>
      </c>
      <c r="EM6" s="1509">
        <v>0.85</v>
      </c>
      <c r="EN6" s="1509">
        <v>0.5</v>
      </c>
      <c r="EO6" s="1509" t="s">
        <v>2372</v>
      </c>
      <c r="EP6" s="1509" t="s">
        <v>2372</v>
      </c>
      <c r="EQ6" s="1509">
        <v>0</v>
      </c>
      <c r="ER6" s="1509">
        <v>0</v>
      </c>
      <c r="ES6" s="1509">
        <v>0</v>
      </c>
      <c r="ET6" s="1509">
        <v>1</v>
      </c>
      <c r="EU6" s="1509" t="s">
        <v>2372</v>
      </c>
      <c r="EV6" s="1509" t="s">
        <v>2372</v>
      </c>
      <c r="EW6" s="1509">
        <v>0.75235109700000002</v>
      </c>
      <c r="EX6" s="1509" t="s">
        <v>2372</v>
      </c>
      <c r="EY6" s="1509">
        <v>0.88888888899999996</v>
      </c>
      <c r="EZ6" s="1509">
        <v>0.93478260899999999</v>
      </c>
      <c r="FA6" s="1509">
        <v>1</v>
      </c>
      <c r="FB6" s="1509">
        <v>0.80877742900000005</v>
      </c>
      <c r="FC6" s="1509" t="s">
        <v>2372</v>
      </c>
      <c r="FD6" s="1509">
        <v>0.93602693599999998</v>
      </c>
      <c r="FE6" s="1509">
        <v>0</v>
      </c>
      <c r="FF6" s="1509">
        <v>0.47335423199999999</v>
      </c>
      <c r="FG6" s="1509">
        <v>0.55000000000000004</v>
      </c>
      <c r="FH6" s="1509">
        <v>0.77038043499999997</v>
      </c>
      <c r="FI6" s="1509">
        <v>0.42006269600000001</v>
      </c>
      <c r="FJ6" s="1509">
        <v>0</v>
      </c>
      <c r="FK6" s="1509">
        <v>0.87228260899999999</v>
      </c>
      <c r="FL6" s="1509">
        <v>0.75</v>
      </c>
      <c r="FM6" s="1509" t="s">
        <v>2372</v>
      </c>
      <c r="FN6" s="1509">
        <v>0</v>
      </c>
      <c r="FO6" s="1509">
        <v>0.72282608699999995</v>
      </c>
      <c r="FP6" s="1509">
        <v>0.29467084599999999</v>
      </c>
      <c r="FQ6" s="1509">
        <v>0.87092391300000005</v>
      </c>
      <c r="FR6" s="1509" t="s">
        <v>2372</v>
      </c>
      <c r="FS6" s="1509">
        <v>0.78369906</v>
      </c>
      <c r="FT6" s="1509" t="s">
        <v>2372</v>
      </c>
      <c r="FU6" s="1509">
        <v>0</v>
      </c>
    </row>
    <row r="7" spans="1:177" s="1509" customFormat="1" x14ac:dyDescent="0.2">
      <c r="A7" s="1512" t="s">
        <v>658</v>
      </c>
      <c r="B7" s="1512" t="s">
        <v>1205</v>
      </c>
      <c r="C7" s="1509">
        <v>0.97806157800000004</v>
      </c>
      <c r="D7" s="1509">
        <v>0.95695418499999996</v>
      </c>
      <c r="E7" s="1509">
        <v>0</v>
      </c>
      <c r="F7" s="1509">
        <v>0</v>
      </c>
      <c r="G7" s="1509">
        <v>0</v>
      </c>
      <c r="H7" s="1509">
        <v>0</v>
      </c>
      <c r="I7" s="1509">
        <v>0.96194781299999998</v>
      </c>
      <c r="J7" s="1509">
        <v>0.964444627</v>
      </c>
      <c r="K7" s="1509">
        <v>0.96074785200000001</v>
      </c>
      <c r="L7" s="1509">
        <v>0.96848797399999997</v>
      </c>
      <c r="M7" s="1509">
        <v>0.95867214199999995</v>
      </c>
      <c r="N7" s="1509">
        <v>0.973198381</v>
      </c>
      <c r="O7" s="1509">
        <v>0.97073138000000003</v>
      </c>
      <c r="P7" s="1509">
        <v>0.97291516099999997</v>
      </c>
      <c r="Q7" s="1509">
        <v>0</v>
      </c>
      <c r="R7" s="1509">
        <v>0.95347533600000001</v>
      </c>
      <c r="S7" s="1509">
        <v>0</v>
      </c>
      <c r="T7" s="1509">
        <v>0.97662684200000005</v>
      </c>
      <c r="U7" s="1509">
        <v>0.97754730899999998</v>
      </c>
      <c r="V7" s="1509">
        <v>0.96413532000000002</v>
      </c>
      <c r="W7" s="1509">
        <v>0.96893143800000003</v>
      </c>
      <c r="X7" s="1509">
        <v>0</v>
      </c>
      <c r="Y7" s="1509">
        <v>0</v>
      </c>
      <c r="Z7" s="1509">
        <v>0</v>
      </c>
      <c r="AA7" s="1509">
        <v>0.97765165300000001</v>
      </c>
      <c r="AB7" s="1509">
        <v>0.950291047</v>
      </c>
      <c r="AC7" s="1509">
        <v>0</v>
      </c>
      <c r="AD7" s="1509">
        <v>0.96068077299999999</v>
      </c>
      <c r="AE7" s="1509">
        <v>0.95397359199999998</v>
      </c>
      <c r="AF7" s="1509">
        <v>0.98217945799999995</v>
      </c>
      <c r="AG7" s="1509">
        <v>0.95496791400000003</v>
      </c>
      <c r="AH7" s="1509">
        <v>0.97827026699999997</v>
      </c>
      <c r="AI7" s="1509">
        <v>0</v>
      </c>
      <c r="AJ7" s="1509">
        <v>0.97477472799999998</v>
      </c>
      <c r="AK7" s="1509">
        <v>0.953646612</v>
      </c>
      <c r="AL7" s="1509">
        <v>0.95373224999999995</v>
      </c>
      <c r="AM7" s="1509">
        <v>0.95397359199999998</v>
      </c>
      <c r="AN7" s="1509">
        <v>0</v>
      </c>
      <c r="AO7" s="1509">
        <v>0.96012088600000001</v>
      </c>
      <c r="AP7" s="1509">
        <v>1</v>
      </c>
      <c r="AQ7" s="1509">
        <v>0</v>
      </c>
      <c r="AR7" s="1509">
        <v>0.97820806500000002</v>
      </c>
      <c r="AS7" s="1509">
        <v>0.97819269099999995</v>
      </c>
      <c r="AT7" s="1509">
        <v>0.97495657000000002</v>
      </c>
      <c r="AU7" s="1509">
        <v>0.97877688399999996</v>
      </c>
      <c r="AV7" s="1509">
        <v>0.96134410599999998</v>
      </c>
      <c r="AW7" s="1509">
        <v>0.95225868499999999</v>
      </c>
      <c r="AX7" s="1509">
        <v>0.99057742599999998</v>
      </c>
      <c r="AY7" s="1509">
        <v>0.95853422300000002</v>
      </c>
      <c r="AZ7" s="1509">
        <v>0.97515025399999999</v>
      </c>
      <c r="BA7" s="1509">
        <v>0.98325187700000005</v>
      </c>
      <c r="BB7" s="1509">
        <v>0.96969596899999999</v>
      </c>
      <c r="BC7" s="1509">
        <v>0</v>
      </c>
      <c r="BD7" s="1509">
        <v>0.97045213500000005</v>
      </c>
      <c r="BE7" s="1509">
        <v>0.98314528199999995</v>
      </c>
      <c r="BF7" s="1509">
        <v>0</v>
      </c>
      <c r="BG7" s="1509">
        <v>0</v>
      </c>
      <c r="BH7" s="1509">
        <v>0.98099067600000001</v>
      </c>
      <c r="BI7" s="1509">
        <v>0.97983916000000004</v>
      </c>
      <c r="BJ7" s="1509">
        <v>0.96273784900000003</v>
      </c>
      <c r="BK7" s="1509">
        <v>0.982268896</v>
      </c>
      <c r="BL7" s="1509">
        <v>0.98244404500000004</v>
      </c>
      <c r="BM7" s="1509">
        <v>1</v>
      </c>
      <c r="BN7" s="1509">
        <v>0.974286545</v>
      </c>
      <c r="BO7" s="1509">
        <v>0.98224281000000002</v>
      </c>
      <c r="BP7" s="1509">
        <v>0.97640697300000001</v>
      </c>
      <c r="BQ7" s="1509">
        <v>0.96636754599999997</v>
      </c>
      <c r="BR7" s="1509">
        <v>0</v>
      </c>
      <c r="BS7" s="1509">
        <v>0.98244404500000004</v>
      </c>
      <c r="BT7" s="1509">
        <v>0.98427558699999995</v>
      </c>
      <c r="BU7" s="1509">
        <v>0.98382427400000005</v>
      </c>
      <c r="BV7" s="1509">
        <v>0.95878739800000001</v>
      </c>
      <c r="BW7" s="1509">
        <v>1</v>
      </c>
      <c r="BX7" s="1509">
        <v>0.99027153400000001</v>
      </c>
      <c r="BY7" s="1509">
        <v>0.995001939</v>
      </c>
      <c r="BZ7" s="1509">
        <v>0.995001939</v>
      </c>
      <c r="CA7" s="1509">
        <v>1</v>
      </c>
      <c r="CB7" s="1509">
        <v>1</v>
      </c>
      <c r="CC7" s="1509">
        <v>0.95376339099999996</v>
      </c>
      <c r="CD7" s="1509">
        <v>0.95370889400000003</v>
      </c>
      <c r="CE7" s="1509">
        <v>0.95394245099999997</v>
      </c>
      <c r="CF7" s="1509">
        <v>0</v>
      </c>
      <c r="CG7" s="1509">
        <v>0.98056957199999994</v>
      </c>
      <c r="CH7" s="1509">
        <v>0.97594115000000004</v>
      </c>
      <c r="CI7" s="1509">
        <v>0.95141647600000001</v>
      </c>
      <c r="CJ7" s="1509">
        <v>0.95756004699999997</v>
      </c>
      <c r="CK7" s="1509">
        <v>0</v>
      </c>
      <c r="CL7" s="1509">
        <v>0</v>
      </c>
      <c r="CM7" s="1509">
        <v>0</v>
      </c>
      <c r="CN7" s="1509">
        <v>0.95404365999999996</v>
      </c>
      <c r="CO7" s="1509">
        <v>0.95409037100000005</v>
      </c>
      <c r="CP7" s="1509">
        <v>0.95409037100000005</v>
      </c>
      <c r="CQ7" s="1509">
        <v>0.97930998499999999</v>
      </c>
      <c r="CR7" s="1509">
        <v>0.94801782800000001</v>
      </c>
      <c r="CS7" s="1509">
        <v>0.97537098200000005</v>
      </c>
      <c r="CT7" s="1509">
        <v>0.96529056199999996</v>
      </c>
      <c r="CU7" s="1509">
        <v>0</v>
      </c>
      <c r="CV7" s="1509">
        <v>0</v>
      </c>
      <c r="CW7" s="1509">
        <v>0</v>
      </c>
      <c r="CX7" s="1509">
        <v>0</v>
      </c>
      <c r="CY7" s="1509">
        <v>0.98595425199999998</v>
      </c>
      <c r="CZ7" s="1509">
        <v>0.98939755600000001</v>
      </c>
      <c r="DA7" s="1509">
        <v>0.98941394299999996</v>
      </c>
      <c r="DB7" s="1509">
        <v>0.92059345699999995</v>
      </c>
      <c r="DC7" s="1509">
        <v>0.89859178200000001</v>
      </c>
      <c r="DD7" s="1509">
        <v>0.93532869100000005</v>
      </c>
      <c r="DE7" s="1509">
        <v>0.91804560400000002</v>
      </c>
      <c r="DF7" s="1509">
        <v>0.89878494099999995</v>
      </c>
      <c r="DG7" s="1509">
        <v>0.90251014100000004</v>
      </c>
      <c r="DH7" s="1509">
        <v>0</v>
      </c>
      <c r="DI7" s="1509">
        <v>0.92716084600000004</v>
      </c>
      <c r="DJ7" s="1509">
        <v>0.99051734000000002</v>
      </c>
      <c r="DK7" s="1509">
        <v>0.99402417600000004</v>
      </c>
      <c r="DL7" s="1509">
        <v>0.95394245099999997</v>
      </c>
      <c r="DM7" s="1509">
        <v>0.95409037100000005</v>
      </c>
      <c r="DN7" s="1509">
        <v>0</v>
      </c>
      <c r="DO7" s="1509">
        <v>0.97387336800000002</v>
      </c>
      <c r="DP7" s="1509">
        <v>0.99229807000000003</v>
      </c>
      <c r="DQ7" s="1509">
        <v>0.99419351</v>
      </c>
      <c r="DR7" s="1509">
        <v>0.97961992899999994</v>
      </c>
      <c r="DS7" s="1509">
        <v>0.98626216099999997</v>
      </c>
      <c r="DT7" s="1509">
        <v>0.98028633700000001</v>
      </c>
      <c r="DU7" s="1509">
        <v>0.96081492999999996</v>
      </c>
      <c r="DV7" s="1509">
        <v>0</v>
      </c>
      <c r="DW7" s="1509">
        <v>0</v>
      </c>
      <c r="DX7" s="1509">
        <v>0.97840023399999998</v>
      </c>
      <c r="DY7" s="1509">
        <v>0.97065363400000004</v>
      </c>
      <c r="DZ7" s="1509">
        <v>0</v>
      </c>
      <c r="EA7" s="1509">
        <v>0</v>
      </c>
      <c r="EB7" s="1509">
        <v>0</v>
      </c>
      <c r="EC7" s="1509">
        <v>0</v>
      </c>
      <c r="ED7" s="1509">
        <v>0.970332635</v>
      </c>
      <c r="EE7" s="1509">
        <v>0</v>
      </c>
      <c r="EF7" s="1509">
        <v>0</v>
      </c>
      <c r="EG7" s="1509">
        <v>0</v>
      </c>
      <c r="EH7" s="1509">
        <v>0.94689364399999998</v>
      </c>
      <c r="EI7" s="1509">
        <v>0</v>
      </c>
      <c r="EJ7" s="1509">
        <v>0</v>
      </c>
      <c r="EK7" s="1509">
        <v>0</v>
      </c>
      <c r="EL7" s="1509">
        <v>0.91145061999999999</v>
      </c>
      <c r="EM7" s="1509">
        <v>0.89758919800000003</v>
      </c>
      <c r="EN7" s="1509">
        <v>0.90687920200000005</v>
      </c>
      <c r="EO7" s="1509">
        <v>0</v>
      </c>
      <c r="EP7" s="1509">
        <v>0</v>
      </c>
      <c r="EQ7" s="1509">
        <v>0.95321842300000004</v>
      </c>
      <c r="ER7" s="1509">
        <v>0.98542038200000004</v>
      </c>
      <c r="ES7" s="1509">
        <v>0.98341699100000002</v>
      </c>
      <c r="ET7" s="1509">
        <v>0</v>
      </c>
      <c r="EU7" s="1509">
        <v>0</v>
      </c>
      <c r="EV7" s="1509">
        <v>0.955739318</v>
      </c>
      <c r="EW7" s="1509">
        <v>0</v>
      </c>
      <c r="EX7" s="1509">
        <v>0</v>
      </c>
      <c r="EY7" s="1509">
        <v>0.95310745699999999</v>
      </c>
      <c r="EZ7" s="1509">
        <v>0</v>
      </c>
      <c r="FA7" s="1509">
        <v>0.95394245099999997</v>
      </c>
      <c r="FB7" s="1509">
        <v>0.96047127899999996</v>
      </c>
      <c r="FC7" s="1509">
        <v>0</v>
      </c>
      <c r="FD7" s="1509">
        <v>0</v>
      </c>
      <c r="FE7" s="1509">
        <v>0.95154437199999997</v>
      </c>
      <c r="FF7" s="1509">
        <v>0</v>
      </c>
      <c r="FG7" s="1509">
        <v>0</v>
      </c>
      <c r="FH7" s="1509">
        <v>0</v>
      </c>
      <c r="FI7" s="1509">
        <v>0</v>
      </c>
      <c r="FJ7" s="1509">
        <v>0.97090130600000002</v>
      </c>
      <c r="FK7" s="1509">
        <v>0.97533743699999997</v>
      </c>
      <c r="FL7" s="1509">
        <v>0</v>
      </c>
      <c r="FM7" s="1509">
        <v>0.96768675800000004</v>
      </c>
      <c r="FN7" s="1509">
        <v>0.97899695200000003</v>
      </c>
      <c r="FO7" s="1509">
        <v>0.97949975700000003</v>
      </c>
      <c r="FP7" s="1509">
        <v>0</v>
      </c>
      <c r="FQ7" s="1509">
        <v>0</v>
      </c>
      <c r="FR7" s="1509">
        <v>0</v>
      </c>
      <c r="FS7" s="1509">
        <v>0.96117206499999996</v>
      </c>
      <c r="FT7" s="1509">
        <v>0</v>
      </c>
      <c r="FU7" s="1509">
        <v>0.95070097099999995</v>
      </c>
    </row>
    <row r="8" spans="1:177" s="1509" customFormat="1" x14ac:dyDescent="0.2">
      <c r="A8" s="1512" t="s">
        <v>658</v>
      </c>
      <c r="B8" s="1512" t="s">
        <v>1019</v>
      </c>
      <c r="C8" s="1509">
        <v>0.14467358799999996</v>
      </c>
      <c r="D8" s="1509">
        <v>9.8944629999999978E-2</v>
      </c>
      <c r="E8" s="1509">
        <v>0.17081187399999997</v>
      </c>
      <c r="F8" s="1509">
        <v>0.51091957799999999</v>
      </c>
      <c r="G8" s="1509">
        <v>0.12230288199999995</v>
      </c>
      <c r="H8" s="1509">
        <v>0.12230288199999995</v>
      </c>
      <c r="I8" s="1509">
        <v>1.4406987999999954E-2</v>
      </c>
      <c r="J8" s="1509">
        <v>1.4406987999999954E-2</v>
      </c>
      <c r="K8" s="1509">
        <v>1.4406987999999954E-2</v>
      </c>
      <c r="L8" s="1509">
        <v>1.4406987999999954E-2</v>
      </c>
      <c r="M8" s="1509">
        <v>1.4406987999999954E-2</v>
      </c>
      <c r="N8" s="1509">
        <v>1.4406987999999954E-2</v>
      </c>
      <c r="O8" s="1509">
        <v>1.4406987999999954E-2</v>
      </c>
      <c r="P8" s="1509">
        <v>1.4406987999999954E-2</v>
      </c>
      <c r="Q8" s="1509">
        <v>0.22314308500000002</v>
      </c>
      <c r="R8" s="1509">
        <v>0.22314308500000002</v>
      </c>
      <c r="S8" s="1509">
        <v>0.29501531599999997</v>
      </c>
      <c r="T8" s="1509">
        <v>7.3864695000000036E-2</v>
      </c>
      <c r="U8" s="1509">
        <v>0.54981329800000001</v>
      </c>
      <c r="V8" s="1509">
        <v>0.46390427099999998</v>
      </c>
      <c r="W8" s="1509">
        <v>0.57121136500000003</v>
      </c>
      <c r="X8" s="1509">
        <v>0.792194289</v>
      </c>
      <c r="Y8" s="1509">
        <v>0.82549507700000002</v>
      </c>
      <c r="Z8" s="1509">
        <v>0.71437195799999997</v>
      </c>
      <c r="AA8" s="1509">
        <v>1.7034231999999982E-2</v>
      </c>
      <c r="AB8" s="1509">
        <v>2.2765723999999987E-2</v>
      </c>
      <c r="AC8" s="1509">
        <v>2.2765723999999987E-2</v>
      </c>
      <c r="AD8" s="1509">
        <v>2.2765723999999987E-2</v>
      </c>
      <c r="AE8" s="1509">
        <v>0.24259807700000002</v>
      </c>
      <c r="AF8" s="1509">
        <v>8.0751428999999986E-2</v>
      </c>
      <c r="AG8" s="1509">
        <v>2.2765723999999987E-2</v>
      </c>
      <c r="AH8" s="1509">
        <v>7.0473499999999967E-2</v>
      </c>
      <c r="AI8" s="1509">
        <v>3.6222433000000054E-2</v>
      </c>
      <c r="AJ8" s="1509">
        <v>2.0887524000000046E-2</v>
      </c>
      <c r="AK8" s="1509">
        <v>0.176236265</v>
      </c>
      <c r="AL8" s="1509">
        <v>0.37058476900000004</v>
      </c>
      <c r="AM8" s="1509">
        <v>0.68039506799999994</v>
      </c>
      <c r="AN8" s="1509">
        <v>0.42831566600000004</v>
      </c>
      <c r="AO8" s="1509">
        <v>0.42474809700000005</v>
      </c>
      <c r="AP8" s="1509">
        <v>0.87158284099999994</v>
      </c>
      <c r="AQ8" s="1509">
        <v>5.7389500000004645E-4</v>
      </c>
      <c r="AR8" s="1509">
        <v>0.11087367599999998</v>
      </c>
      <c r="AS8" s="1509">
        <v>7.6982796999999992E-2</v>
      </c>
      <c r="AT8" s="1509">
        <v>9.2118006999999946E-2</v>
      </c>
      <c r="AU8" s="1509">
        <v>0.104017095</v>
      </c>
      <c r="AV8" s="1509">
        <v>0.11429444499999997</v>
      </c>
      <c r="AW8" s="1509">
        <v>7.0473499999999967E-2</v>
      </c>
      <c r="AX8" s="1509">
        <v>0.97221296700000004</v>
      </c>
      <c r="AY8" s="1509">
        <v>0.89625850299999998</v>
      </c>
      <c r="AZ8" s="1509">
        <v>0.31827488299999995</v>
      </c>
      <c r="BA8" s="1509">
        <v>0.56211060499999999</v>
      </c>
      <c r="BB8" s="1509">
        <v>0.59180371199999993</v>
      </c>
      <c r="BC8" s="1509">
        <v>0.13458729800000002</v>
      </c>
      <c r="BD8" s="1509">
        <v>0.14551016999999999</v>
      </c>
      <c r="BE8" s="1509">
        <v>9.6010759000000001E-2</v>
      </c>
      <c r="BF8" s="1509">
        <v>0.13458729800000002</v>
      </c>
      <c r="BG8" s="1509">
        <v>0.45666678299999997</v>
      </c>
      <c r="BH8" s="1509">
        <v>0.16784923699999998</v>
      </c>
      <c r="BI8" s="1509">
        <v>0.16784923699999998</v>
      </c>
      <c r="BJ8" s="1509">
        <v>0.78913476100000002</v>
      </c>
      <c r="BK8" s="1509">
        <v>0.454912015</v>
      </c>
      <c r="BL8" s="1509">
        <v>0.84250322300000002</v>
      </c>
      <c r="BM8" s="1509">
        <v>0.26697649400000001</v>
      </c>
      <c r="BN8" s="1509">
        <v>0.77062852599999998</v>
      </c>
      <c r="BO8" s="1509">
        <v>0.74097979400000002</v>
      </c>
      <c r="BP8" s="1509">
        <v>0.42887434700000004</v>
      </c>
      <c r="BQ8" s="1509">
        <v>0.63553599500000002</v>
      </c>
      <c r="BR8" s="1509">
        <v>0.27170550999999998</v>
      </c>
      <c r="BS8" s="1509">
        <v>0.48500421100000002</v>
      </c>
      <c r="BT8" s="1509">
        <v>0.54337560299999998</v>
      </c>
      <c r="BU8" s="1509">
        <v>0.43258921699999997</v>
      </c>
      <c r="BV8" s="1509">
        <v>0.39370473100000003</v>
      </c>
      <c r="BW8" s="1509">
        <v>0.11863964299999996</v>
      </c>
      <c r="BX8" s="1509">
        <v>0.50265197699999997</v>
      </c>
      <c r="BY8" s="1509">
        <v>0.50265197699999997</v>
      </c>
      <c r="BZ8" s="1509">
        <v>0.50265197699999997</v>
      </c>
      <c r="CA8" s="1509">
        <v>0.29073575399999996</v>
      </c>
      <c r="CB8" s="1509">
        <v>0.114984372</v>
      </c>
      <c r="CC8" s="1509">
        <v>0.26697649400000001</v>
      </c>
      <c r="CD8" s="1509">
        <v>0.761243687</v>
      </c>
      <c r="CE8" s="1509">
        <v>0.918472544</v>
      </c>
      <c r="CF8" s="1509">
        <v>0.47456602999999997</v>
      </c>
      <c r="CG8" s="1509">
        <v>2.5206638999999975E-2</v>
      </c>
      <c r="CH8" s="1509">
        <v>1.3780920999999946E-2</v>
      </c>
      <c r="CI8" s="1509">
        <v>0.436353608</v>
      </c>
      <c r="CJ8" s="1509">
        <v>0.34483081299999996</v>
      </c>
      <c r="CK8" s="1509">
        <v>0.482618938</v>
      </c>
      <c r="CL8" s="1509">
        <v>0.482618938</v>
      </c>
      <c r="CM8" s="1509">
        <v>0.93386718800000001</v>
      </c>
      <c r="CN8" s="1509">
        <v>0.68456505999999995</v>
      </c>
      <c r="CO8" s="1509">
        <v>0.68456505999999995</v>
      </c>
      <c r="CP8" s="1509">
        <v>0.68456505999999995</v>
      </c>
      <c r="CQ8" s="1509">
        <v>1.1664220000000003E-2</v>
      </c>
      <c r="CR8" s="1509">
        <v>3.0856150000000415E-3</v>
      </c>
      <c r="CS8" s="1509">
        <v>0.12230288199999995</v>
      </c>
      <c r="CT8" s="1509">
        <v>0.24068912099999995</v>
      </c>
      <c r="CU8" s="1509">
        <v>0.12230288199999995</v>
      </c>
      <c r="CV8" s="1509">
        <v>0.36556920500000001</v>
      </c>
      <c r="CW8" s="1509">
        <v>0.36556920500000001</v>
      </c>
      <c r="CX8" s="1509">
        <v>0.89504766299999994</v>
      </c>
      <c r="CY8" s="1509">
        <v>0.90240076599999997</v>
      </c>
      <c r="CZ8" s="1509">
        <v>0.96109706100000003</v>
      </c>
      <c r="DA8" s="1509">
        <v>0.96893008700000005</v>
      </c>
      <c r="DB8" s="1509">
        <v>0.21556489700000003</v>
      </c>
      <c r="DC8" s="1509">
        <v>0.31657759900000004</v>
      </c>
      <c r="DD8" s="1509">
        <v>0.47779137000000005</v>
      </c>
      <c r="DE8" s="1509">
        <v>0.34323347299999996</v>
      </c>
      <c r="DF8" s="1509">
        <v>0.95010991599999994</v>
      </c>
      <c r="DG8" s="1509">
        <v>0.20425132700000004</v>
      </c>
      <c r="DH8" s="1509">
        <v>0.25717675799999995</v>
      </c>
      <c r="DI8" s="1509">
        <v>0.33615099500000001</v>
      </c>
      <c r="DJ8" s="1509">
        <v>0.75754761800000003</v>
      </c>
      <c r="DK8" s="1509">
        <v>0.93097759899999999</v>
      </c>
      <c r="DL8" s="1509">
        <v>2.922724600000004E-2</v>
      </c>
      <c r="DM8" s="1509">
        <v>7.4328810000000023E-2</v>
      </c>
      <c r="DN8" s="1509">
        <v>0.18011564099999999</v>
      </c>
      <c r="DO8" s="1509">
        <v>2.5058891000000028E-2</v>
      </c>
      <c r="DP8" s="1509">
        <v>0.97919386500000005</v>
      </c>
      <c r="DQ8" s="1509">
        <v>0.96109706100000003</v>
      </c>
      <c r="DR8" s="1509">
        <v>0.95937641699999998</v>
      </c>
      <c r="DS8" s="1509">
        <v>0.55711172199999992</v>
      </c>
      <c r="DT8" s="1509">
        <v>0.93292220000000003</v>
      </c>
      <c r="DU8" s="1509">
        <v>0.54981329800000001</v>
      </c>
      <c r="DV8" s="1509">
        <v>2.2765723999999987E-2</v>
      </c>
      <c r="DW8" s="1509">
        <v>0.57272224800000004</v>
      </c>
      <c r="DX8" s="1509">
        <v>9.2118006999999946E-2</v>
      </c>
      <c r="DY8" s="1509">
        <v>0.52311053899999993</v>
      </c>
      <c r="DZ8" s="1509">
        <v>0.14551016999999999</v>
      </c>
      <c r="EA8" s="1509">
        <v>0.95838562000000005</v>
      </c>
      <c r="EB8" s="1509">
        <v>0.77448927099999998</v>
      </c>
      <c r="EC8" s="1509">
        <v>0.65042744000000008</v>
      </c>
      <c r="ED8" s="1509">
        <v>0.44780541200000001</v>
      </c>
      <c r="EE8" s="1509">
        <v>9.4746108000000051E-2</v>
      </c>
      <c r="EF8" s="1509">
        <v>0.42149351700000004</v>
      </c>
      <c r="EG8" s="1509">
        <v>0.50265197699999997</v>
      </c>
      <c r="EH8" s="1509">
        <v>0.13695154399999998</v>
      </c>
      <c r="EI8" s="1509">
        <v>0.56821555700000004</v>
      </c>
      <c r="EJ8" s="1509">
        <v>0.47456602999999997</v>
      </c>
      <c r="EK8" s="1509">
        <v>3.0856150000000415E-3</v>
      </c>
      <c r="EL8" s="1509">
        <v>0.29532096500000005</v>
      </c>
      <c r="EM8" s="1509">
        <v>0.33469770700000001</v>
      </c>
      <c r="EN8" s="1509">
        <v>0.47343150700000003</v>
      </c>
      <c r="EO8" s="1509">
        <v>0.99727738499999996</v>
      </c>
      <c r="EP8" s="1509">
        <v>0.50265197699999997</v>
      </c>
      <c r="EQ8" s="1509">
        <v>4.6295121999999966E-2</v>
      </c>
      <c r="ER8" s="1509">
        <v>2.5058891000000028E-2</v>
      </c>
      <c r="ES8" s="1509">
        <v>2.5058891000000028E-2</v>
      </c>
      <c r="ET8" s="1509">
        <v>0.21792873000000001</v>
      </c>
      <c r="EU8" s="1509">
        <v>0.54239612000000004</v>
      </c>
      <c r="EV8" s="1509">
        <v>2.2765723999999987E-2</v>
      </c>
      <c r="EW8" s="1509">
        <v>0.17839377599999995</v>
      </c>
      <c r="EX8" s="1509">
        <v>9.0218612000000031E-2</v>
      </c>
      <c r="EY8" s="1509">
        <v>0.32438412299999997</v>
      </c>
      <c r="EZ8" s="1509">
        <v>0.50265197699999997</v>
      </c>
      <c r="FA8" s="1509">
        <v>0.80383877999999997</v>
      </c>
      <c r="FB8" s="1509">
        <v>0.92151694200000001</v>
      </c>
      <c r="FC8" s="1509">
        <v>0.77548268500000006</v>
      </c>
      <c r="FD8" s="1509">
        <v>0.59180371199999993</v>
      </c>
      <c r="FE8" s="1509">
        <v>9.0218612000000031E-2</v>
      </c>
      <c r="FF8" s="1509">
        <v>0.11026316899999999</v>
      </c>
      <c r="FG8" s="1509">
        <v>0.85438607799999999</v>
      </c>
      <c r="FH8" s="1509">
        <v>0.97919386500000005</v>
      </c>
      <c r="FI8" s="1509">
        <v>0.83404191999999999</v>
      </c>
      <c r="FJ8" s="1509">
        <v>4.9446316000000046E-2</v>
      </c>
      <c r="FK8" s="1509">
        <v>0.49535972399999995</v>
      </c>
      <c r="FL8" s="1509">
        <v>0.319024274</v>
      </c>
      <c r="FM8" s="1509">
        <v>0.57121136500000003</v>
      </c>
      <c r="FN8" s="1509">
        <v>0.69147207700000002</v>
      </c>
      <c r="FO8" s="1509">
        <v>0.75043016100000004</v>
      </c>
      <c r="FP8" s="1509">
        <v>0.39084222599999996</v>
      </c>
      <c r="FQ8" s="1509">
        <v>0.50265197699999997</v>
      </c>
      <c r="FR8" s="1509">
        <v>0.59180371199999993</v>
      </c>
      <c r="FS8" s="1509">
        <v>0.85485310999999997</v>
      </c>
      <c r="FT8" s="1509">
        <v>0.49409026899999997</v>
      </c>
      <c r="FU8" s="1509">
        <v>5.9547145000000024E-2</v>
      </c>
    </row>
    <row r="9" spans="1:177" s="1509" customFormat="1" x14ac:dyDescent="0.2">
      <c r="A9" s="1512" t="s">
        <v>658</v>
      </c>
      <c r="B9" s="1512" t="s">
        <v>1077</v>
      </c>
      <c r="C9" s="1509">
        <v>1</v>
      </c>
      <c r="D9" s="1509">
        <v>1</v>
      </c>
      <c r="E9" s="1509">
        <v>1</v>
      </c>
      <c r="F9" s="1509">
        <v>1</v>
      </c>
      <c r="G9" s="1509">
        <v>1</v>
      </c>
      <c r="H9" s="1509">
        <v>1</v>
      </c>
      <c r="I9" s="1509">
        <v>1</v>
      </c>
      <c r="J9" s="1509">
        <v>1</v>
      </c>
      <c r="K9" s="1509">
        <v>0</v>
      </c>
      <c r="L9" s="1509">
        <v>1</v>
      </c>
      <c r="M9" s="1509">
        <v>1</v>
      </c>
      <c r="N9" s="1509">
        <v>0</v>
      </c>
      <c r="O9" s="1509">
        <v>0</v>
      </c>
      <c r="P9" s="1509">
        <v>0</v>
      </c>
      <c r="Q9" s="1509">
        <v>1</v>
      </c>
      <c r="R9" s="1509">
        <v>1</v>
      </c>
      <c r="S9" s="1509">
        <v>1</v>
      </c>
      <c r="T9" s="1509">
        <v>1</v>
      </c>
      <c r="U9" s="1509">
        <v>1</v>
      </c>
      <c r="V9" s="1509">
        <v>1</v>
      </c>
      <c r="W9" s="1509">
        <v>1</v>
      </c>
      <c r="X9" s="1509">
        <v>1</v>
      </c>
      <c r="Y9" s="1509">
        <v>0</v>
      </c>
      <c r="Z9" s="1509">
        <v>1</v>
      </c>
      <c r="AA9" s="1509">
        <v>0</v>
      </c>
      <c r="AB9" s="1509">
        <v>0</v>
      </c>
      <c r="AC9" s="1509">
        <v>1</v>
      </c>
      <c r="AD9" s="1509">
        <v>1</v>
      </c>
      <c r="AE9" s="1509">
        <v>0</v>
      </c>
      <c r="AF9" s="1509">
        <v>1</v>
      </c>
      <c r="AG9" s="1509">
        <v>0</v>
      </c>
      <c r="AH9" s="1509">
        <v>0</v>
      </c>
      <c r="AI9" s="1509">
        <v>1</v>
      </c>
      <c r="AJ9" s="1509">
        <v>1</v>
      </c>
      <c r="AK9" s="1509">
        <v>1</v>
      </c>
      <c r="AL9" s="1509">
        <v>0</v>
      </c>
      <c r="AM9" s="1509">
        <v>0</v>
      </c>
      <c r="AN9" s="1509">
        <v>1</v>
      </c>
      <c r="AO9" s="1509">
        <v>0</v>
      </c>
      <c r="AP9" s="1509">
        <v>1</v>
      </c>
      <c r="AQ9" s="1509">
        <v>1</v>
      </c>
      <c r="AR9" s="1509">
        <v>0</v>
      </c>
      <c r="AS9" s="1509">
        <v>0</v>
      </c>
      <c r="AT9" s="1509">
        <v>1</v>
      </c>
      <c r="AU9" s="1509">
        <v>0</v>
      </c>
      <c r="AV9" s="1509">
        <v>0</v>
      </c>
      <c r="AW9" s="1509">
        <v>1</v>
      </c>
      <c r="AX9" s="1509">
        <v>0</v>
      </c>
      <c r="AY9" s="1509">
        <v>0</v>
      </c>
      <c r="AZ9" s="1509">
        <v>0</v>
      </c>
      <c r="BA9" s="1509">
        <v>0</v>
      </c>
      <c r="BB9" s="1509">
        <v>0</v>
      </c>
      <c r="BC9" s="1509">
        <v>1</v>
      </c>
      <c r="BD9" s="1509">
        <v>0</v>
      </c>
      <c r="BE9" s="1509">
        <v>0</v>
      </c>
      <c r="BF9" s="1509">
        <v>1</v>
      </c>
      <c r="BG9" s="1509">
        <v>1</v>
      </c>
      <c r="BH9" s="1509">
        <v>1</v>
      </c>
      <c r="BI9" s="1509">
        <v>1</v>
      </c>
      <c r="BJ9" s="1509">
        <v>1</v>
      </c>
      <c r="BK9" s="1509">
        <v>0</v>
      </c>
      <c r="BL9" s="1509">
        <v>0</v>
      </c>
      <c r="BM9" s="1509">
        <v>1</v>
      </c>
      <c r="BN9" s="1509">
        <v>1</v>
      </c>
      <c r="BO9" s="1509">
        <v>0</v>
      </c>
      <c r="BP9" s="1509">
        <v>0</v>
      </c>
      <c r="BQ9" s="1509">
        <v>1</v>
      </c>
      <c r="BR9" s="1509">
        <v>1</v>
      </c>
      <c r="BS9" s="1509">
        <v>0</v>
      </c>
      <c r="BT9" s="1509">
        <v>0</v>
      </c>
      <c r="BU9" s="1509">
        <v>1</v>
      </c>
      <c r="BV9" s="1509">
        <v>1</v>
      </c>
      <c r="BW9" s="1509">
        <v>1</v>
      </c>
      <c r="BX9" s="1509">
        <v>0</v>
      </c>
      <c r="BY9" s="1509">
        <v>1</v>
      </c>
      <c r="BZ9" s="1509">
        <v>0</v>
      </c>
      <c r="CA9" s="1509">
        <v>0</v>
      </c>
      <c r="CB9" s="1509">
        <v>0</v>
      </c>
      <c r="CC9" s="1509">
        <v>0</v>
      </c>
      <c r="CD9" s="1509">
        <v>0</v>
      </c>
      <c r="CE9" s="1509">
        <v>0</v>
      </c>
      <c r="CF9" s="1509">
        <v>1</v>
      </c>
      <c r="CG9" s="1509">
        <v>1</v>
      </c>
      <c r="CH9" s="1509">
        <v>0</v>
      </c>
      <c r="CI9" s="1509">
        <v>0</v>
      </c>
      <c r="CJ9" s="1509">
        <v>0</v>
      </c>
      <c r="CK9" s="1509">
        <v>1</v>
      </c>
      <c r="CL9" s="1509">
        <v>1</v>
      </c>
      <c r="CM9" s="1509">
        <v>1</v>
      </c>
      <c r="CN9" s="1509">
        <v>1</v>
      </c>
      <c r="CO9" s="1509">
        <v>1</v>
      </c>
      <c r="CP9" s="1509">
        <v>0</v>
      </c>
      <c r="CQ9" s="1509">
        <v>0</v>
      </c>
      <c r="CR9" s="1509">
        <v>0</v>
      </c>
      <c r="CS9" s="1509">
        <v>1</v>
      </c>
      <c r="CT9" s="1509">
        <v>1</v>
      </c>
      <c r="CU9" s="1509">
        <v>1</v>
      </c>
      <c r="CV9" s="1509">
        <v>1</v>
      </c>
      <c r="CW9" s="1509">
        <v>1</v>
      </c>
      <c r="CX9" s="1509">
        <v>0</v>
      </c>
      <c r="CY9" s="1509">
        <v>0</v>
      </c>
      <c r="CZ9" s="1509">
        <v>0</v>
      </c>
      <c r="DA9" s="1509">
        <v>0</v>
      </c>
      <c r="DB9" s="1509">
        <v>0</v>
      </c>
      <c r="DC9" s="1509">
        <v>0</v>
      </c>
      <c r="DD9" s="1509">
        <v>0</v>
      </c>
      <c r="DE9" s="1509">
        <v>1</v>
      </c>
      <c r="DF9" s="1509">
        <v>0</v>
      </c>
      <c r="DG9" s="1509">
        <v>0</v>
      </c>
      <c r="DH9" s="1509">
        <v>1</v>
      </c>
      <c r="DI9" s="1509">
        <v>0</v>
      </c>
      <c r="DJ9" s="1509">
        <v>0</v>
      </c>
      <c r="DK9" s="1509">
        <v>0</v>
      </c>
      <c r="DL9" s="1509">
        <v>0</v>
      </c>
      <c r="DM9" s="1509">
        <v>0</v>
      </c>
      <c r="DN9" s="1509">
        <v>1</v>
      </c>
      <c r="DO9" s="1509">
        <v>1</v>
      </c>
      <c r="DP9" s="1509">
        <v>0</v>
      </c>
      <c r="DQ9" s="1509">
        <v>0</v>
      </c>
      <c r="DR9" s="1509">
        <v>0</v>
      </c>
      <c r="DS9" s="1509">
        <v>0</v>
      </c>
      <c r="DT9" s="1509">
        <v>0</v>
      </c>
      <c r="DU9" s="1509">
        <v>1</v>
      </c>
      <c r="DV9" s="1509">
        <v>0</v>
      </c>
      <c r="DW9" s="1509">
        <v>1</v>
      </c>
      <c r="DX9" s="1509">
        <v>1</v>
      </c>
      <c r="DY9" s="1509">
        <v>0</v>
      </c>
      <c r="DZ9" s="1509">
        <v>1</v>
      </c>
      <c r="EA9" s="1509">
        <v>0</v>
      </c>
      <c r="EB9" s="1509">
        <v>0</v>
      </c>
      <c r="EC9" s="1509">
        <v>1</v>
      </c>
      <c r="ED9" s="1509">
        <v>0</v>
      </c>
      <c r="EE9" s="1509">
        <v>0</v>
      </c>
      <c r="EF9" s="1509">
        <v>0</v>
      </c>
      <c r="EG9" s="1509">
        <v>0</v>
      </c>
      <c r="EH9" s="1509">
        <v>0</v>
      </c>
      <c r="EI9" s="1509">
        <v>1</v>
      </c>
      <c r="EJ9" s="1509">
        <v>1</v>
      </c>
      <c r="EK9" s="1509">
        <v>1</v>
      </c>
      <c r="EL9" s="1509">
        <v>0</v>
      </c>
      <c r="EM9" s="1509">
        <v>0</v>
      </c>
      <c r="EN9" s="1509">
        <v>0</v>
      </c>
      <c r="EO9" s="1509">
        <v>0</v>
      </c>
      <c r="EP9" s="1509">
        <v>0</v>
      </c>
      <c r="EQ9" s="1509">
        <v>0</v>
      </c>
      <c r="ER9" s="1509">
        <v>1</v>
      </c>
      <c r="ES9" s="1509">
        <v>1</v>
      </c>
      <c r="ET9" s="1509">
        <v>1</v>
      </c>
      <c r="EU9" s="1509">
        <v>0</v>
      </c>
      <c r="EV9" s="1509">
        <v>1</v>
      </c>
      <c r="EW9" s="1509">
        <v>0</v>
      </c>
      <c r="EX9" s="1509">
        <v>1</v>
      </c>
      <c r="EY9" s="1509">
        <v>1</v>
      </c>
      <c r="EZ9" s="1509">
        <v>1</v>
      </c>
      <c r="FA9" s="1509">
        <v>0</v>
      </c>
      <c r="FB9" s="1509">
        <v>0</v>
      </c>
      <c r="FC9" s="1509">
        <v>1</v>
      </c>
      <c r="FD9" s="1509">
        <v>0</v>
      </c>
      <c r="FE9" s="1509">
        <v>0</v>
      </c>
      <c r="FF9" s="1509">
        <v>1</v>
      </c>
      <c r="FG9" s="1509">
        <v>1</v>
      </c>
      <c r="FH9" s="1509">
        <v>0</v>
      </c>
      <c r="FI9" s="1509">
        <v>1</v>
      </c>
      <c r="FJ9" s="1509">
        <v>0</v>
      </c>
      <c r="FK9" s="1509">
        <v>0</v>
      </c>
      <c r="FL9" s="1509">
        <v>0</v>
      </c>
      <c r="FM9" s="1509">
        <v>1</v>
      </c>
      <c r="FN9" s="1509">
        <v>1</v>
      </c>
      <c r="FO9" s="1509">
        <v>0</v>
      </c>
      <c r="FP9" s="1509">
        <v>1</v>
      </c>
      <c r="FQ9" s="1509">
        <v>0</v>
      </c>
      <c r="FR9" s="1509">
        <v>0</v>
      </c>
      <c r="FS9" s="1509">
        <v>1</v>
      </c>
      <c r="FT9" s="1509">
        <v>0</v>
      </c>
      <c r="FU9" s="1509">
        <v>1</v>
      </c>
    </row>
    <row r="10" spans="1:177" s="1509" customFormat="1" x14ac:dyDescent="0.2">
      <c r="A10" s="1512" t="s">
        <v>658</v>
      </c>
      <c r="B10" s="1512" t="s">
        <v>1397</v>
      </c>
      <c r="C10" s="1509">
        <v>0.3</v>
      </c>
      <c r="D10" s="1509">
        <v>0.3</v>
      </c>
      <c r="E10" s="1509">
        <v>0.3</v>
      </c>
      <c r="F10" s="1509">
        <v>0.3</v>
      </c>
      <c r="G10" s="1509">
        <v>0.3</v>
      </c>
      <c r="H10" s="1509">
        <v>0.3</v>
      </c>
      <c r="I10" s="1509">
        <v>0.3</v>
      </c>
      <c r="J10" s="1509">
        <v>0.3</v>
      </c>
      <c r="K10" s="1509">
        <v>0.3</v>
      </c>
      <c r="L10" s="1509">
        <v>0.3</v>
      </c>
      <c r="M10" s="1509">
        <v>0.3</v>
      </c>
      <c r="N10" s="1509">
        <v>0.3</v>
      </c>
      <c r="O10" s="1509">
        <v>0.3</v>
      </c>
      <c r="P10" s="1509">
        <v>0.3</v>
      </c>
      <c r="Q10" s="1509">
        <v>0.3</v>
      </c>
      <c r="R10" s="1509">
        <v>0.3</v>
      </c>
      <c r="S10" s="1509">
        <v>0.9</v>
      </c>
      <c r="T10" s="1509">
        <v>1</v>
      </c>
      <c r="U10" s="1509">
        <v>0.3</v>
      </c>
      <c r="V10" s="1509">
        <v>0.3</v>
      </c>
      <c r="W10" s="1509">
        <v>0.3</v>
      </c>
      <c r="X10" s="1509">
        <v>0.2</v>
      </c>
      <c r="Y10" s="1509">
        <v>0.3</v>
      </c>
      <c r="Z10" s="1509">
        <v>0.3</v>
      </c>
      <c r="AA10" s="1509">
        <v>0.3</v>
      </c>
      <c r="AB10" s="1509">
        <v>0.2</v>
      </c>
      <c r="AC10" s="1509">
        <v>0.2</v>
      </c>
      <c r="AD10" s="1509">
        <v>0.2</v>
      </c>
      <c r="AE10" s="1509">
        <v>0.3</v>
      </c>
      <c r="AF10" s="1509">
        <v>0.9</v>
      </c>
      <c r="AG10" s="1509">
        <v>0.3</v>
      </c>
      <c r="AH10" s="1509">
        <v>0.3</v>
      </c>
      <c r="AI10" s="1509">
        <v>0.2</v>
      </c>
      <c r="AJ10" s="1509">
        <v>0.3</v>
      </c>
      <c r="AK10" s="1509">
        <v>0.3</v>
      </c>
      <c r="AL10" s="1509">
        <v>0.3</v>
      </c>
      <c r="AM10" s="1509">
        <v>0.3</v>
      </c>
      <c r="AN10" s="1509">
        <v>0.3</v>
      </c>
      <c r="AO10" s="1509">
        <v>0.7</v>
      </c>
      <c r="AP10" s="1509">
        <v>0.7</v>
      </c>
      <c r="AQ10" s="1509" t="s">
        <v>2372</v>
      </c>
      <c r="AR10" s="1509">
        <v>0.3</v>
      </c>
      <c r="AS10" s="1509" t="s">
        <v>2372</v>
      </c>
      <c r="AT10" s="1509">
        <v>0.3</v>
      </c>
      <c r="AU10" s="1509">
        <v>0.1</v>
      </c>
      <c r="AV10" s="1509">
        <v>0.4</v>
      </c>
      <c r="AW10" s="1509">
        <v>0.3</v>
      </c>
      <c r="AX10" s="1509">
        <v>0.3</v>
      </c>
      <c r="AY10" s="1509">
        <v>0.3</v>
      </c>
      <c r="AZ10" s="1509">
        <v>0.3</v>
      </c>
      <c r="BA10" s="1509">
        <v>0.2</v>
      </c>
      <c r="BB10" s="1509">
        <v>0.2</v>
      </c>
      <c r="BC10" s="1509">
        <v>0.3</v>
      </c>
      <c r="BD10" s="1509">
        <v>0.3</v>
      </c>
      <c r="BE10" s="1509">
        <v>0.5</v>
      </c>
      <c r="BF10" s="1509">
        <v>0.3</v>
      </c>
      <c r="BG10" s="1509">
        <v>0.9</v>
      </c>
      <c r="BH10" s="1509">
        <v>0.3</v>
      </c>
      <c r="BI10" s="1509">
        <v>0.9</v>
      </c>
      <c r="BJ10" s="1509">
        <v>0.3</v>
      </c>
      <c r="BK10" s="1509">
        <v>0.3</v>
      </c>
      <c r="BL10" s="1509" t="s">
        <v>2372</v>
      </c>
      <c r="BM10" s="1509">
        <v>0.3</v>
      </c>
      <c r="BN10" s="1509">
        <v>0.3</v>
      </c>
      <c r="BO10" s="1509" t="s">
        <v>2372</v>
      </c>
      <c r="BP10" s="1509">
        <v>0.3</v>
      </c>
      <c r="BQ10" s="1509">
        <v>0.9</v>
      </c>
      <c r="BR10" s="1509">
        <v>0.3</v>
      </c>
      <c r="BS10" s="1509">
        <v>0.3</v>
      </c>
      <c r="BT10" s="1509">
        <v>0.3</v>
      </c>
      <c r="BU10" s="1509">
        <v>0.3</v>
      </c>
      <c r="BV10" s="1509">
        <v>0.3</v>
      </c>
      <c r="BW10" s="1509">
        <v>0.3</v>
      </c>
      <c r="BX10" s="1509">
        <v>0.3</v>
      </c>
      <c r="BY10" s="1509">
        <v>0.3</v>
      </c>
      <c r="BZ10" s="1509">
        <v>0.3</v>
      </c>
      <c r="CA10" s="1509">
        <v>0.3</v>
      </c>
      <c r="CB10" s="1509">
        <v>0.3</v>
      </c>
      <c r="CC10" s="1509">
        <v>1</v>
      </c>
      <c r="CD10" s="1509">
        <v>0.3</v>
      </c>
      <c r="CE10" s="1509">
        <v>0.3</v>
      </c>
      <c r="CF10" s="1509">
        <v>1</v>
      </c>
      <c r="CG10" s="1509">
        <v>0.3</v>
      </c>
      <c r="CH10" s="1509">
        <v>1</v>
      </c>
      <c r="CI10" s="1509">
        <v>0.3</v>
      </c>
      <c r="CJ10" s="1509" t="s">
        <v>2372</v>
      </c>
      <c r="CK10" s="1509">
        <v>1</v>
      </c>
      <c r="CL10" s="1509">
        <v>1</v>
      </c>
      <c r="CM10" s="1509">
        <v>0.3</v>
      </c>
      <c r="CN10" s="1509">
        <v>0.1</v>
      </c>
      <c r="CO10" s="1509">
        <v>0.3</v>
      </c>
      <c r="CP10" s="1509">
        <v>0.3</v>
      </c>
      <c r="CQ10" s="1509">
        <v>0.9</v>
      </c>
      <c r="CR10" s="1509">
        <v>0.5</v>
      </c>
      <c r="CS10" s="1509">
        <v>0.3</v>
      </c>
      <c r="CT10" s="1509">
        <v>0.3</v>
      </c>
      <c r="CU10" s="1509">
        <v>0.3</v>
      </c>
      <c r="CV10" s="1509">
        <v>0.3</v>
      </c>
      <c r="CW10" s="1509">
        <v>0.3</v>
      </c>
      <c r="CX10" s="1509">
        <v>0.3</v>
      </c>
      <c r="CY10" s="1509" t="s">
        <v>2372</v>
      </c>
      <c r="CZ10" s="1509">
        <v>0.3</v>
      </c>
      <c r="DA10" s="1509">
        <v>0.3</v>
      </c>
      <c r="DB10" s="1509">
        <v>0.3</v>
      </c>
      <c r="DC10" s="1509">
        <v>0.3</v>
      </c>
      <c r="DD10" s="1509">
        <v>0.1</v>
      </c>
      <c r="DE10" s="1509">
        <v>0.1</v>
      </c>
      <c r="DF10" s="1509">
        <v>0.1</v>
      </c>
      <c r="DG10" s="1509">
        <v>0.3</v>
      </c>
      <c r="DH10" s="1509">
        <v>0.1</v>
      </c>
      <c r="DI10" s="1509">
        <v>0.1</v>
      </c>
      <c r="DJ10" s="1509">
        <v>0.4</v>
      </c>
      <c r="DK10" s="1509">
        <v>0.3</v>
      </c>
      <c r="DL10" s="1509">
        <v>0.3</v>
      </c>
      <c r="DM10" s="1509">
        <v>0.1</v>
      </c>
      <c r="DN10" s="1509">
        <v>0.3</v>
      </c>
      <c r="DO10" s="1509">
        <v>0.3</v>
      </c>
      <c r="DP10" s="1509">
        <v>0.3</v>
      </c>
      <c r="DQ10" s="1509">
        <v>0.3</v>
      </c>
      <c r="DR10" s="1509">
        <v>0.3</v>
      </c>
      <c r="DS10" s="1509">
        <v>0.9</v>
      </c>
      <c r="DT10" s="1509">
        <v>0.3</v>
      </c>
      <c r="DU10" s="1509">
        <v>0.3</v>
      </c>
      <c r="DV10" s="1509">
        <v>0.2</v>
      </c>
      <c r="DW10" s="1509">
        <v>0.7</v>
      </c>
      <c r="DX10" s="1509">
        <v>0.3</v>
      </c>
      <c r="DY10" s="1509">
        <v>0.3</v>
      </c>
      <c r="DZ10" s="1509">
        <v>0.3</v>
      </c>
      <c r="EA10" s="1509" t="s">
        <v>2372</v>
      </c>
      <c r="EB10" s="1509" t="s">
        <v>2372</v>
      </c>
      <c r="EC10" s="1509">
        <v>0.3</v>
      </c>
      <c r="ED10" s="1509">
        <v>0.3</v>
      </c>
      <c r="EE10" s="1509">
        <v>0.3</v>
      </c>
      <c r="EF10" s="1509">
        <v>0.3</v>
      </c>
      <c r="EG10" s="1509">
        <v>0.3</v>
      </c>
      <c r="EH10" s="1509">
        <v>0.3</v>
      </c>
      <c r="EI10" s="1509">
        <v>1</v>
      </c>
      <c r="EJ10" s="1509">
        <v>1</v>
      </c>
      <c r="EK10" s="1509" t="s">
        <v>2372</v>
      </c>
      <c r="EL10" s="1509">
        <v>0.1</v>
      </c>
      <c r="EM10" s="1509">
        <v>0.1</v>
      </c>
      <c r="EN10" s="1509">
        <v>0.1</v>
      </c>
      <c r="EO10" s="1509" t="s">
        <v>2372</v>
      </c>
      <c r="EP10" s="1509">
        <v>0.3</v>
      </c>
      <c r="EQ10" s="1509">
        <v>0.4</v>
      </c>
      <c r="ER10" s="1509">
        <v>0.3</v>
      </c>
      <c r="ES10" s="1509">
        <v>0.3</v>
      </c>
      <c r="ET10" s="1509">
        <v>1</v>
      </c>
      <c r="EU10" s="1509">
        <v>0.3</v>
      </c>
      <c r="EV10" s="1509">
        <v>0.2</v>
      </c>
      <c r="EW10" s="1509">
        <v>0.1</v>
      </c>
      <c r="EX10" s="1509">
        <v>0.3</v>
      </c>
      <c r="EY10" s="1509">
        <v>1</v>
      </c>
      <c r="EZ10" s="1509">
        <v>0.3</v>
      </c>
      <c r="FA10" s="1509">
        <v>0.3</v>
      </c>
      <c r="FB10" s="1509">
        <v>0.3</v>
      </c>
      <c r="FC10" s="1509">
        <v>0.3</v>
      </c>
      <c r="FD10" s="1509">
        <v>0.2</v>
      </c>
      <c r="FE10" s="1509">
        <v>1</v>
      </c>
      <c r="FF10" s="1509">
        <v>0.3</v>
      </c>
      <c r="FG10" s="1509">
        <v>1</v>
      </c>
      <c r="FH10" s="1509">
        <v>0.3</v>
      </c>
      <c r="FI10" s="1509">
        <v>0.7</v>
      </c>
      <c r="FJ10" s="1509">
        <v>0.3</v>
      </c>
      <c r="FK10" s="1509">
        <v>0.3</v>
      </c>
      <c r="FL10" s="1509">
        <v>0.1</v>
      </c>
      <c r="FM10" s="1509">
        <v>0.3</v>
      </c>
      <c r="FN10" s="1509">
        <v>1</v>
      </c>
      <c r="FO10" s="1509">
        <v>1</v>
      </c>
      <c r="FP10" s="1509">
        <v>0.3</v>
      </c>
      <c r="FQ10" s="1509">
        <v>0.3</v>
      </c>
      <c r="FR10" s="1509" t="s">
        <v>2372</v>
      </c>
      <c r="FS10" s="1509">
        <v>0.1</v>
      </c>
      <c r="FT10" s="1509">
        <v>0.1</v>
      </c>
      <c r="FU10" s="1509">
        <v>0.9</v>
      </c>
    </row>
    <row r="11" spans="1:177" s="1509" customFormat="1" x14ac:dyDescent="0.2">
      <c r="A11" s="1512" t="s">
        <v>658</v>
      </c>
      <c r="B11" s="1512" t="s">
        <v>1066</v>
      </c>
      <c r="C11" s="1509">
        <v>0.77747426799999997</v>
      </c>
      <c r="D11" s="1509">
        <v>0.68159661900000001</v>
      </c>
      <c r="E11" s="1509">
        <v>3.6855952000000025E-2</v>
      </c>
      <c r="F11" s="1509">
        <v>0.72878827899999998</v>
      </c>
      <c r="G11" s="1509">
        <v>2.2944600999999953E-2</v>
      </c>
      <c r="H11" s="1509">
        <v>2.2944600999999953E-2</v>
      </c>
      <c r="I11" s="1509">
        <v>0.47500204999999995</v>
      </c>
      <c r="J11" s="1509">
        <v>0.47500204999999995</v>
      </c>
      <c r="K11" s="1509">
        <v>0.47369029100000004</v>
      </c>
      <c r="L11" s="1509">
        <v>0.47077609899999995</v>
      </c>
      <c r="M11" s="1509">
        <v>0.47275491700000005</v>
      </c>
      <c r="N11" s="1509">
        <v>0.47500204999999995</v>
      </c>
      <c r="O11" s="1509">
        <v>0.47500204999999995</v>
      </c>
      <c r="P11" s="1509">
        <v>0.46955377799999998</v>
      </c>
      <c r="Q11" s="1509">
        <v>0.72573534299999998</v>
      </c>
      <c r="R11" s="1509">
        <v>0.69196511799999993</v>
      </c>
      <c r="S11" s="1509">
        <v>0.64405124800000002</v>
      </c>
      <c r="T11" s="1509">
        <v>0.71066772999999994</v>
      </c>
      <c r="U11" s="1509">
        <v>0.59796826400000003</v>
      </c>
      <c r="V11" s="1509">
        <v>0.67848119200000001</v>
      </c>
      <c r="W11" s="1509">
        <v>0.68861378399999995</v>
      </c>
      <c r="X11" s="1509">
        <v>0.76664107700000006</v>
      </c>
      <c r="Y11" s="1509">
        <v>0.40796073700000002</v>
      </c>
      <c r="Z11" s="1509">
        <v>0.52313838300000004</v>
      </c>
      <c r="AA11" s="1509">
        <v>0.52032108300000002</v>
      </c>
      <c r="AB11" s="1509">
        <v>0.48957300800000003</v>
      </c>
      <c r="AC11" s="1509">
        <v>0.48957300800000003</v>
      </c>
      <c r="AD11" s="1509">
        <v>0.48957300800000003</v>
      </c>
      <c r="AE11" s="1509">
        <v>0.65354747700000004</v>
      </c>
      <c r="AF11" s="1509">
        <v>0.81998345399999994</v>
      </c>
      <c r="AG11" s="1509">
        <v>0.49434303999999996</v>
      </c>
      <c r="AH11" s="1509">
        <v>0.50324213099999993</v>
      </c>
      <c r="AI11" s="1509">
        <v>0.49520760799999997</v>
      </c>
      <c r="AJ11" s="1509">
        <v>0.51508522699999992</v>
      </c>
      <c r="AK11" s="1509">
        <v>0.93025892700000001</v>
      </c>
      <c r="AL11" s="1509">
        <v>0.63222009200000007</v>
      </c>
      <c r="AM11" s="1509">
        <v>0.72164740799999993</v>
      </c>
      <c r="AN11" s="1509">
        <v>0.64526717</v>
      </c>
      <c r="AO11" s="1509">
        <v>0.65341609599999995</v>
      </c>
      <c r="AP11" s="1509">
        <v>0.50554823300000007</v>
      </c>
      <c r="AQ11" s="1509">
        <v>0.86287647899999997</v>
      </c>
      <c r="AR11" s="1509">
        <v>0.88669731100000004</v>
      </c>
      <c r="AS11" s="1509">
        <v>0.96993712200000004</v>
      </c>
      <c r="AT11" s="1509">
        <v>0.902539702</v>
      </c>
      <c r="AU11" s="1509">
        <v>0.89518348300000006</v>
      </c>
      <c r="AV11" s="1509">
        <v>0.92430182400000005</v>
      </c>
      <c r="AW11" s="1509">
        <v>0.80721616399999996</v>
      </c>
      <c r="AX11" s="1509">
        <v>0.36853461200000004</v>
      </c>
      <c r="AY11" s="1509">
        <v>0.31605684300000003</v>
      </c>
      <c r="AZ11" s="1509">
        <v>7.1670738999999983E-2</v>
      </c>
      <c r="BA11" s="1509">
        <v>6.518723999999998E-2</v>
      </c>
      <c r="BB11" s="1509">
        <v>5.2842171999999965E-2</v>
      </c>
      <c r="BC11" s="1509">
        <v>0.91714452599999996</v>
      </c>
      <c r="BD11" s="1509">
        <v>0.91650652600000004</v>
      </c>
      <c r="BE11" s="1509">
        <v>4.3665069999999639E-3</v>
      </c>
      <c r="BF11" s="1509">
        <v>0.92314787799999998</v>
      </c>
      <c r="BG11" s="1509">
        <v>9.2377825000000025E-2</v>
      </c>
      <c r="BH11" s="1509">
        <v>0.64520276399999998</v>
      </c>
      <c r="BI11" s="1509">
        <v>0.64060042799999994</v>
      </c>
      <c r="BJ11" s="1509">
        <v>0.57837759300000002</v>
      </c>
      <c r="BK11" s="1509">
        <v>0.68676166999999999</v>
      </c>
      <c r="BL11" s="1509">
        <v>0.59078340299999998</v>
      </c>
      <c r="BM11" s="1509">
        <v>0.78720356899999999</v>
      </c>
      <c r="BN11" s="1509">
        <v>0.77876366699999999</v>
      </c>
      <c r="BO11" s="1509">
        <v>0.23786436700000002</v>
      </c>
      <c r="BP11" s="1509">
        <v>0.28527401600000002</v>
      </c>
      <c r="BQ11" s="1509">
        <v>0.13927003599999999</v>
      </c>
      <c r="BR11" s="1509">
        <v>5.2921271999999964E-2</v>
      </c>
      <c r="BS11" s="1509">
        <v>0.47551259199999996</v>
      </c>
      <c r="BT11" s="1509">
        <v>0.94007991499999999</v>
      </c>
      <c r="BU11" s="1509">
        <v>0.61855227499999998</v>
      </c>
      <c r="BV11" s="1509">
        <v>0.51369900700000004</v>
      </c>
      <c r="BW11" s="1509">
        <v>4.9032845000000047E-2</v>
      </c>
      <c r="BX11" s="1509">
        <v>0.969596495</v>
      </c>
      <c r="BY11" s="1509">
        <v>0.96785400200000005</v>
      </c>
      <c r="BZ11" s="1509">
        <v>0.96079116799999997</v>
      </c>
      <c r="CA11" s="1509">
        <v>2.1469120000000008E-2</v>
      </c>
      <c r="CB11" s="1509">
        <v>2.3565305999999953E-2</v>
      </c>
      <c r="CC11" s="1509">
        <v>1.087629499999998E-2</v>
      </c>
      <c r="CD11" s="1509">
        <v>0.49960836399999997</v>
      </c>
      <c r="CE11" s="1509">
        <v>3.1606902000000048E-2</v>
      </c>
      <c r="CF11" s="1509">
        <v>0.16277144099999996</v>
      </c>
      <c r="CG11" s="1509">
        <v>0.48414709600000005</v>
      </c>
      <c r="CH11" s="1509">
        <v>0.73137637799999999</v>
      </c>
      <c r="CI11" s="1509">
        <v>0.36023432799999999</v>
      </c>
      <c r="CJ11" s="1509">
        <v>0.42219250200000003</v>
      </c>
      <c r="CK11" s="1509">
        <v>0.42475177799999997</v>
      </c>
      <c r="CL11" s="1509">
        <v>0.42475177799999997</v>
      </c>
      <c r="CM11" s="1509">
        <v>0.73392290399999993</v>
      </c>
      <c r="CN11" s="1509">
        <v>0.89159511499999999</v>
      </c>
      <c r="CO11" s="1509">
        <v>0.71509776000000003</v>
      </c>
      <c r="CP11" s="1509">
        <v>0.86185314800000001</v>
      </c>
      <c r="CQ11" s="1509">
        <v>0.80573670900000005</v>
      </c>
      <c r="CR11" s="1509">
        <v>0.83974182200000003</v>
      </c>
      <c r="CS11" s="1509">
        <v>4.5315310000000331E-3</v>
      </c>
      <c r="CT11" s="1509">
        <v>0.183977909</v>
      </c>
      <c r="CU11" s="1509">
        <v>1.0181038000000031E-2</v>
      </c>
      <c r="CV11" s="1509">
        <v>0.30592981500000005</v>
      </c>
      <c r="CW11" s="1509">
        <v>0.30592981500000005</v>
      </c>
      <c r="CX11" s="1509">
        <v>0.23280056400000004</v>
      </c>
      <c r="CY11" s="1509">
        <v>0.21299782</v>
      </c>
      <c r="CZ11" s="1509">
        <v>0.53737620900000005</v>
      </c>
      <c r="DA11" s="1509">
        <v>0.53035161200000003</v>
      </c>
      <c r="DB11" s="1509">
        <v>0.63651247700000002</v>
      </c>
      <c r="DC11" s="1509">
        <v>0.58489316499999999</v>
      </c>
      <c r="DD11" s="1509">
        <v>0.64599563999999998</v>
      </c>
      <c r="DE11" s="1509">
        <v>0.78092145800000001</v>
      </c>
      <c r="DF11" s="1509">
        <v>0.40434514700000002</v>
      </c>
      <c r="DG11" s="1509">
        <v>0.82110762599999998</v>
      </c>
      <c r="DH11" s="1509">
        <v>0.81791591200000002</v>
      </c>
      <c r="DI11" s="1509">
        <v>0.80456037999999996</v>
      </c>
      <c r="DJ11" s="1509">
        <v>0.76730885800000004</v>
      </c>
      <c r="DK11" s="1509">
        <v>0.81876430499999997</v>
      </c>
      <c r="DL11" s="1509">
        <v>0.94615562500000006</v>
      </c>
      <c r="DM11" s="1509">
        <v>0.93994166499999998</v>
      </c>
      <c r="DN11" s="1509">
        <v>0.17567280299999999</v>
      </c>
      <c r="DO11" s="1509">
        <v>7.2870569999999857E-3</v>
      </c>
      <c r="DP11" s="1509">
        <v>0.43188161999999997</v>
      </c>
      <c r="DQ11" s="1509">
        <v>0.53210502999999998</v>
      </c>
      <c r="DR11" s="1509">
        <v>0.53349247</v>
      </c>
      <c r="DS11" s="1509">
        <v>0.99384938099999998</v>
      </c>
      <c r="DT11" s="1509">
        <v>0.76114731400000002</v>
      </c>
      <c r="DU11" s="1509">
        <v>0.58544320300000008</v>
      </c>
      <c r="DV11" s="1509">
        <v>0.48957300800000003</v>
      </c>
      <c r="DW11" s="1509">
        <v>0.208366991</v>
      </c>
      <c r="DX11" s="1509">
        <v>0.91294756099999996</v>
      </c>
      <c r="DY11" s="1509">
        <v>0.10788036899999998</v>
      </c>
      <c r="DZ11" s="1509">
        <v>0.899242086</v>
      </c>
      <c r="EA11" s="1509">
        <v>0.42116879100000004</v>
      </c>
      <c r="EB11" s="1509">
        <v>0.81575005</v>
      </c>
      <c r="EC11" s="1509">
        <v>0.60979272699999998</v>
      </c>
      <c r="ED11" s="1509">
        <v>0.32376966699999998</v>
      </c>
      <c r="EE11" s="1509">
        <v>2.5094551999999992E-2</v>
      </c>
      <c r="EF11" s="1509">
        <v>0.47108293199999995</v>
      </c>
      <c r="EG11" s="1509">
        <v>0.96613881999999995</v>
      </c>
      <c r="EH11" s="1509">
        <v>0.65016621500000005</v>
      </c>
      <c r="EI11" s="1509">
        <v>0.19074545099999995</v>
      </c>
      <c r="EJ11" s="1509">
        <v>0.16277144099999996</v>
      </c>
      <c r="EK11" s="1509">
        <v>0.85446557000000001</v>
      </c>
      <c r="EL11" s="1509">
        <v>0.65240666300000005</v>
      </c>
      <c r="EM11" s="1509">
        <v>0.52517039300000001</v>
      </c>
      <c r="EN11" s="1509">
        <v>0.73097618600000003</v>
      </c>
      <c r="EO11" s="1509">
        <v>0.45755571699999997</v>
      </c>
      <c r="EP11" s="1509">
        <v>0.961189921</v>
      </c>
      <c r="EQ11" s="1509">
        <v>0.95120586600000001</v>
      </c>
      <c r="ER11" s="1509">
        <v>6.797217000000022E-3</v>
      </c>
      <c r="ES11" s="1509">
        <v>6.797217000000022E-3</v>
      </c>
      <c r="ET11" s="1509">
        <v>0.12263060100000001</v>
      </c>
      <c r="EU11" s="1509">
        <v>0.98134603499999995</v>
      </c>
      <c r="EV11" s="1509">
        <v>0.48957300800000003</v>
      </c>
      <c r="EW11" s="1509">
        <v>0.52529654399999992</v>
      </c>
      <c r="EX11" s="1509">
        <v>5.0987384999999996E-2</v>
      </c>
      <c r="EY11" s="1509">
        <v>2.2345508000000014E-2</v>
      </c>
      <c r="EZ11" s="1509">
        <v>0.97086376299999999</v>
      </c>
      <c r="FA11" s="1509">
        <v>0.17320761200000001</v>
      </c>
      <c r="FB11" s="1509">
        <v>0.77277751800000005</v>
      </c>
      <c r="FC11" s="1509">
        <v>0.20332760900000002</v>
      </c>
      <c r="FD11" s="1509">
        <v>6.1389604000000042E-2</v>
      </c>
      <c r="FE11" s="1509">
        <v>4.5802786999999956E-2</v>
      </c>
      <c r="FF11" s="1509">
        <v>0.75730198500000001</v>
      </c>
      <c r="FG11" s="1509">
        <v>0.453904101</v>
      </c>
      <c r="FH11" s="1509">
        <v>0.43326905999999998</v>
      </c>
      <c r="FI11" s="1509">
        <v>0.41866842400000004</v>
      </c>
      <c r="FJ11" s="1509">
        <v>0.41926997300000002</v>
      </c>
      <c r="FK11" s="1509">
        <v>0.984421345</v>
      </c>
      <c r="FL11" s="1509">
        <v>0.81791591200000002</v>
      </c>
      <c r="FM11" s="1509">
        <v>0.65868928500000001</v>
      </c>
      <c r="FN11" s="1509">
        <v>4.5799762999999993E-2</v>
      </c>
      <c r="FO11" s="1509">
        <v>0.99877643100000002</v>
      </c>
      <c r="FP11" s="1509">
        <v>0.34834828500000004</v>
      </c>
      <c r="FQ11" s="1509">
        <v>0.96785400200000005</v>
      </c>
      <c r="FR11" s="1509">
        <v>2.3363714000000035E-2</v>
      </c>
      <c r="FS11" s="1509">
        <v>2.4021090000000411E-3</v>
      </c>
      <c r="FT11" s="1509">
        <v>0.73035991900000008</v>
      </c>
      <c r="FU11" s="1509">
        <v>0.53980368299999992</v>
      </c>
    </row>
    <row r="12" spans="1:177" s="1509" customFormat="1" x14ac:dyDescent="0.2">
      <c r="A12" s="1512" t="s">
        <v>658</v>
      </c>
      <c r="B12" s="1512" t="s">
        <v>1009</v>
      </c>
      <c r="C12" s="1509">
        <v>0.83229237300000003</v>
      </c>
      <c r="D12" s="1509">
        <v>0.98823888900000001</v>
      </c>
      <c r="E12" s="1509">
        <v>0.84593168399999996</v>
      </c>
      <c r="F12" s="1509">
        <v>0.64677035900000002</v>
      </c>
      <c r="G12" s="1509">
        <v>0.91128485299999995</v>
      </c>
      <c r="H12" s="1509">
        <v>0.688338016</v>
      </c>
      <c r="I12" s="1509">
        <v>0.92876254899999999</v>
      </c>
      <c r="J12" s="1509">
        <v>0.92459622399999997</v>
      </c>
      <c r="K12" s="1509">
        <v>0.94040813599999995</v>
      </c>
      <c r="L12" s="1509">
        <v>0.91646108299999995</v>
      </c>
      <c r="M12" s="1509">
        <v>0.93830261400000003</v>
      </c>
      <c r="N12" s="1509">
        <v>0.98738177400000005</v>
      </c>
      <c r="O12" s="1509">
        <v>0.96940098799999996</v>
      </c>
      <c r="P12" s="1509">
        <v>0.96018513699999997</v>
      </c>
      <c r="Q12" s="1509">
        <v>0.78108658500000006</v>
      </c>
      <c r="R12" s="1509">
        <v>0.96687131199999998</v>
      </c>
      <c r="S12" s="1509">
        <v>0.98213101199999997</v>
      </c>
      <c r="T12" s="1509">
        <v>0.66215873800000002</v>
      </c>
      <c r="U12" s="1509">
        <v>0.70434743700000002</v>
      </c>
      <c r="V12" s="1509">
        <v>0.76117044700000003</v>
      </c>
      <c r="W12" s="1509">
        <v>0.87350097999999998</v>
      </c>
      <c r="X12" s="1509">
        <v>0.61042252100000005</v>
      </c>
      <c r="Y12" s="1509">
        <v>0.94935194599999995</v>
      </c>
      <c r="Z12" s="1509">
        <v>0.71753583099999996</v>
      </c>
      <c r="AA12" s="1509">
        <v>0.97503186200000003</v>
      </c>
      <c r="AB12" s="1509">
        <v>0.81772141499999995</v>
      </c>
      <c r="AC12" s="1509">
        <v>0.76805345400000002</v>
      </c>
      <c r="AD12" s="1509">
        <v>0.631451655</v>
      </c>
      <c r="AE12" s="1509">
        <v>0.93988944699999999</v>
      </c>
      <c r="AF12" s="1509">
        <v>0.96713522299999999</v>
      </c>
      <c r="AG12" s="1509">
        <v>0.99993664800000004</v>
      </c>
      <c r="AH12" s="1509">
        <v>0.87982127300000001</v>
      </c>
      <c r="AI12" s="1509">
        <v>0.76203874199999999</v>
      </c>
      <c r="AJ12" s="1509">
        <v>0.84334543200000001</v>
      </c>
      <c r="AK12" s="1509">
        <v>0.93660716300000002</v>
      </c>
      <c r="AL12" s="1509">
        <v>0.70068554999999999</v>
      </c>
      <c r="AM12" s="1509">
        <v>0.99151827999999997</v>
      </c>
      <c r="AN12" s="1509">
        <v>0.74790567900000005</v>
      </c>
      <c r="AO12" s="1509">
        <v>0.60720207500000001</v>
      </c>
      <c r="AP12" s="1509">
        <v>0.98482207399999999</v>
      </c>
      <c r="AQ12" s="1509">
        <v>0.90834084900000001</v>
      </c>
      <c r="AR12" s="1509">
        <v>0.87875689899999998</v>
      </c>
      <c r="AS12" s="1509">
        <v>0.530216613</v>
      </c>
      <c r="AT12" s="1509">
        <v>2.2406875E-2</v>
      </c>
      <c r="AU12" s="1509">
        <v>0.66647193599999999</v>
      </c>
      <c r="AV12" s="1509">
        <v>0.77418741800000002</v>
      </c>
      <c r="AW12" s="1509">
        <v>0.928143936</v>
      </c>
      <c r="AX12" s="1509">
        <v>0.99389307999999998</v>
      </c>
      <c r="AY12" s="1509">
        <v>0.86784228299999999</v>
      </c>
      <c r="AZ12" s="1509">
        <v>0.90573608100000003</v>
      </c>
      <c r="BA12" s="1509">
        <v>0.93679963899999996</v>
      </c>
      <c r="BB12" s="1509">
        <v>0.95922770400000001</v>
      </c>
      <c r="BC12" s="1509">
        <v>4.2154135000000002E-2</v>
      </c>
      <c r="BD12" s="1509">
        <v>0.97830799300000004</v>
      </c>
      <c r="BE12" s="1509">
        <v>0.99979040799999996</v>
      </c>
      <c r="BF12" s="1509">
        <v>0.115847003</v>
      </c>
      <c r="BG12" s="1509">
        <v>0.23558179300000001</v>
      </c>
      <c r="BH12" s="1509">
        <v>0.90223669799999995</v>
      </c>
      <c r="BI12" s="1509">
        <v>0.81742701500000003</v>
      </c>
      <c r="BJ12" s="1509">
        <v>0.55852606000000005</v>
      </c>
      <c r="BK12" s="1509">
        <v>0.99864352199999995</v>
      </c>
      <c r="BL12" s="1509">
        <v>0.96717994200000001</v>
      </c>
      <c r="BM12" s="1509">
        <v>0.99952257700000002</v>
      </c>
      <c r="BN12" s="1509">
        <v>0.94067645</v>
      </c>
      <c r="BO12" s="1509">
        <v>0.99890438299999995</v>
      </c>
      <c r="BP12" s="1509">
        <v>0.99305736700000002</v>
      </c>
      <c r="BQ12" s="1509">
        <v>0.980114928</v>
      </c>
      <c r="BR12" s="1509">
        <v>0.39400839199999999</v>
      </c>
      <c r="BS12" s="1509">
        <v>0.95856034499999998</v>
      </c>
      <c r="BT12" s="1509">
        <v>0.94207229800000003</v>
      </c>
      <c r="BU12" s="1509">
        <v>0.74907535800000002</v>
      </c>
      <c r="BV12" s="1509">
        <v>0.915868613</v>
      </c>
      <c r="BW12" s="1509">
        <v>0.65351017899999997</v>
      </c>
      <c r="BX12" s="1509">
        <v>0.93755428200000002</v>
      </c>
      <c r="BY12" s="1509">
        <v>0.63980095199999998</v>
      </c>
      <c r="BZ12" s="1509">
        <v>0.999136947</v>
      </c>
      <c r="CA12" s="1509">
        <v>0.96645356699999996</v>
      </c>
      <c r="CB12" s="1509">
        <v>0.52152506799999998</v>
      </c>
      <c r="CC12" s="1509">
        <v>0.89275137400000004</v>
      </c>
      <c r="CD12" s="1509">
        <v>0.99728465600000005</v>
      </c>
      <c r="CE12" s="1509">
        <v>0.90291899499999995</v>
      </c>
      <c r="CF12" s="1509">
        <v>0.492566373</v>
      </c>
      <c r="CG12" s="1509">
        <v>0.92607567999999996</v>
      </c>
      <c r="CH12" s="1509">
        <v>0.98469117799999994</v>
      </c>
      <c r="CI12" s="1509">
        <v>0.98615945299999996</v>
      </c>
      <c r="CJ12" s="1509">
        <v>0.96819893000000001</v>
      </c>
      <c r="CK12" s="1509">
        <v>0.56065759599999998</v>
      </c>
      <c r="CL12" s="1509">
        <v>0.48370319000000001</v>
      </c>
      <c r="CM12" s="1509">
        <v>0.81213846000000001</v>
      </c>
      <c r="CN12" s="1509">
        <v>0.95347362599999996</v>
      </c>
      <c r="CO12" s="1509">
        <v>0.46369719399999998</v>
      </c>
      <c r="CP12" s="1509">
        <v>0.83421482499999999</v>
      </c>
      <c r="CQ12" s="1509">
        <v>0.99995155400000002</v>
      </c>
      <c r="CR12" s="1509">
        <v>0.99953417700000002</v>
      </c>
      <c r="CS12" s="1509">
        <v>0.87910576799999995</v>
      </c>
      <c r="CT12" s="1509">
        <v>0.42917620099999998</v>
      </c>
      <c r="CU12" s="1509">
        <v>0.53106856199999997</v>
      </c>
      <c r="CV12" s="1509">
        <v>0.87828302800000002</v>
      </c>
      <c r="CW12" s="1509">
        <v>0.67632036600000001</v>
      </c>
      <c r="CX12" s="1509">
        <v>0.98385179300000003</v>
      </c>
      <c r="CY12" s="1509">
        <v>0.99954868699999999</v>
      </c>
      <c r="CZ12" s="1509">
        <v>0.93755428200000002</v>
      </c>
      <c r="DA12" s="1509">
        <v>0.98056491700000004</v>
      </c>
      <c r="DB12" s="1509">
        <v>0.97159650099999995</v>
      </c>
      <c r="DC12" s="1509">
        <v>0.58195899500000003</v>
      </c>
      <c r="DD12" s="1509">
        <v>0.97276465000000001</v>
      </c>
      <c r="DE12" s="1509">
        <v>0.71969021099999997</v>
      </c>
      <c r="DF12" s="1509">
        <v>0.76719800599999999</v>
      </c>
      <c r="DG12" s="1509">
        <v>0.88427045900000001</v>
      </c>
      <c r="DH12" s="1509">
        <v>0.18645315000000001</v>
      </c>
      <c r="DI12" s="1509">
        <v>0.60466891700000003</v>
      </c>
      <c r="DJ12" s="1509">
        <v>0.936434498</v>
      </c>
      <c r="DK12" s="1509">
        <v>0.99833944200000002</v>
      </c>
      <c r="DL12" s="1509">
        <v>0.81622940200000005</v>
      </c>
      <c r="DM12" s="1509">
        <v>0.99850805300000001</v>
      </c>
      <c r="DN12" s="1509">
        <v>8.7666340999999995E-2</v>
      </c>
      <c r="DO12" s="1509">
        <v>0.96630561599999998</v>
      </c>
      <c r="DP12" s="1509">
        <v>0.97864216599999998</v>
      </c>
      <c r="DQ12" s="1509">
        <v>0.99925165599999999</v>
      </c>
      <c r="DR12" s="1509">
        <v>0.97169950500000002</v>
      </c>
      <c r="DS12" s="1509">
        <v>0.97136083799999995</v>
      </c>
      <c r="DT12" s="1509">
        <v>0.98925553499999996</v>
      </c>
      <c r="DU12" s="1509">
        <v>0.73268068399999997</v>
      </c>
      <c r="DV12" s="1509">
        <v>0.83032846100000002</v>
      </c>
      <c r="DW12" s="1509">
        <v>0.464733642</v>
      </c>
      <c r="DX12" s="1509">
        <v>0.82471904900000004</v>
      </c>
      <c r="DY12" s="1509">
        <v>0.64478347999999996</v>
      </c>
      <c r="DZ12" s="1509">
        <v>0.18021584399999999</v>
      </c>
      <c r="EA12" s="1509">
        <v>0.91509257399999999</v>
      </c>
      <c r="EB12" s="1509">
        <v>0.42289317399999998</v>
      </c>
      <c r="EC12" s="1509">
        <v>0.76814661900000003</v>
      </c>
      <c r="ED12" s="1509">
        <v>0.97562811599999999</v>
      </c>
      <c r="EE12" s="1509">
        <v>0.95985169999999997</v>
      </c>
      <c r="EF12" s="1509">
        <v>0.962546507</v>
      </c>
      <c r="EG12" s="1509">
        <v>0.23852494399999999</v>
      </c>
      <c r="EH12" s="1509">
        <v>0.99076459100000003</v>
      </c>
      <c r="EI12" s="1509">
        <v>0.72870431800000002</v>
      </c>
      <c r="EJ12" s="1509">
        <v>0.55967415899999995</v>
      </c>
      <c r="EK12" s="1509">
        <v>0.93850012299999996</v>
      </c>
      <c r="EL12" s="1509">
        <v>0.70980233400000003</v>
      </c>
      <c r="EM12" s="1509">
        <v>0.939716149</v>
      </c>
      <c r="EN12" s="1509">
        <v>0.963870161</v>
      </c>
      <c r="EO12" s="1509">
        <v>0.45045484200000002</v>
      </c>
      <c r="EP12" s="1509">
        <v>0.52207613399999997</v>
      </c>
      <c r="EQ12" s="1509">
        <v>0.96881084299999998</v>
      </c>
      <c r="ER12" s="1509">
        <v>0.99105078899999999</v>
      </c>
      <c r="ES12" s="1509">
        <v>0.98351606000000003</v>
      </c>
      <c r="ET12" s="1509">
        <v>0.90507485799999998</v>
      </c>
      <c r="EU12" s="1509">
        <v>0.42575831200000003</v>
      </c>
      <c r="EV12" s="1509">
        <v>0.70859947400000001</v>
      </c>
      <c r="EW12" s="1509">
        <v>0.97398069799999998</v>
      </c>
      <c r="EX12" s="1509">
        <v>0.29460295399999997</v>
      </c>
      <c r="EY12" s="1509">
        <v>0.93455958400000005</v>
      </c>
      <c r="EZ12" s="1509">
        <v>0.907352885</v>
      </c>
      <c r="FA12" s="1509">
        <v>0.90505247899999997</v>
      </c>
      <c r="FB12" s="1509">
        <v>0.78903958200000002</v>
      </c>
      <c r="FC12" s="1509">
        <v>0.82632146699999998</v>
      </c>
      <c r="FD12" s="1509">
        <v>0.88438126100000003</v>
      </c>
      <c r="FE12" s="1509">
        <v>0.98426457999999994</v>
      </c>
      <c r="FF12" s="1509">
        <v>0.64746396799999995</v>
      </c>
      <c r="FG12" s="1509">
        <v>0.74533430199999995</v>
      </c>
      <c r="FH12" s="1509">
        <v>0.848124498</v>
      </c>
      <c r="FI12" s="1509">
        <v>0.61264401999999996</v>
      </c>
      <c r="FJ12" s="1509">
        <v>0.99852497600000001</v>
      </c>
      <c r="FK12" s="1509">
        <v>0.964674908</v>
      </c>
      <c r="FL12" s="1509">
        <v>0.99519863099999994</v>
      </c>
      <c r="FM12" s="1509">
        <v>0.364244136</v>
      </c>
      <c r="FN12" s="1509">
        <v>0.98436696499999998</v>
      </c>
      <c r="FO12" s="1509">
        <v>0.99451578900000004</v>
      </c>
      <c r="FP12" s="1509">
        <v>0.56185961500000003</v>
      </c>
      <c r="FQ12" s="1509">
        <v>0.95298545400000001</v>
      </c>
      <c r="FR12" s="1509">
        <v>0.69246857299999998</v>
      </c>
      <c r="FS12" s="1509">
        <v>0.72103652100000004</v>
      </c>
      <c r="FT12" s="1509">
        <v>0.341301888</v>
      </c>
      <c r="FU12" s="1509">
        <v>0.96161614699999998</v>
      </c>
    </row>
    <row r="13" spans="1:177" s="1509" customFormat="1" x14ac:dyDescent="0.2">
      <c r="A13" s="1512" t="s">
        <v>658</v>
      </c>
      <c r="B13" s="1512" t="s">
        <v>1012</v>
      </c>
      <c r="C13" s="1509">
        <v>5.0182230000000001E-2</v>
      </c>
      <c r="D13" s="1509">
        <v>8.6121440000000004E-3</v>
      </c>
      <c r="E13" s="1509">
        <v>9.7450269000000006E-2</v>
      </c>
      <c r="F13" s="1509">
        <v>0.29248398399999997</v>
      </c>
      <c r="G13" s="1509">
        <v>3.9676979000000001E-2</v>
      </c>
      <c r="H13" s="1509">
        <v>0.27767550400000002</v>
      </c>
      <c r="I13" s="1509">
        <v>2.6522125000000001E-2</v>
      </c>
      <c r="J13" s="1509">
        <v>2.7178003999999999E-2</v>
      </c>
      <c r="K13" s="1509">
        <v>1.1925081000000001E-2</v>
      </c>
      <c r="L13" s="1509">
        <v>5.0260487999999999E-2</v>
      </c>
      <c r="M13" s="1509">
        <v>3.7418667000000003E-2</v>
      </c>
      <c r="N13" s="1509">
        <v>8.3512829999999993E-3</v>
      </c>
      <c r="O13" s="1509">
        <v>3.3464760000000001E-3</v>
      </c>
      <c r="P13" s="1509">
        <v>2.3183102000000001E-2</v>
      </c>
      <c r="Q13" s="1509">
        <v>0.36371435200000002</v>
      </c>
      <c r="R13" s="1509">
        <v>2.3826396999999999E-2</v>
      </c>
      <c r="S13" s="1509">
        <v>2.0347170000000001E-3</v>
      </c>
      <c r="T13" s="1509">
        <v>0.39512264200000002</v>
      </c>
      <c r="U13" s="1509">
        <v>0.172011836</v>
      </c>
      <c r="V13" s="1509">
        <v>0.106755558</v>
      </c>
      <c r="W13" s="1509">
        <v>3.5372770999999997E-2</v>
      </c>
      <c r="X13" s="1509">
        <v>0.36151254700000002</v>
      </c>
      <c r="Y13" s="1509">
        <v>6.6016501000000005E-2</v>
      </c>
      <c r="Z13" s="1509">
        <v>0.22481758399999999</v>
      </c>
      <c r="AA13" s="1509">
        <v>6.1824089999999998E-2</v>
      </c>
      <c r="AB13" s="1509">
        <v>8.0304238999999999E-2</v>
      </c>
      <c r="AC13" s="1509">
        <v>0.195768832</v>
      </c>
      <c r="AD13" s="1509">
        <v>0.26685722000000001</v>
      </c>
      <c r="AE13" s="1509">
        <v>2.3043125000000001E-2</v>
      </c>
      <c r="AF13" s="1509">
        <v>8.0494290000000003E-3</v>
      </c>
      <c r="AG13" s="1509">
        <v>1.1199999999999999E-5</v>
      </c>
      <c r="AH13" s="1509">
        <v>3.2495845000000002E-2</v>
      </c>
      <c r="AI13" s="1509">
        <v>0.12510527599999999</v>
      </c>
      <c r="AJ13" s="1509">
        <v>9.3183325999999997E-2</v>
      </c>
      <c r="AK13" s="1509">
        <v>2.5780847999999999E-2</v>
      </c>
      <c r="AL13" s="1509">
        <v>0.37221845100000001</v>
      </c>
      <c r="AM13" s="1509">
        <v>6.460131E-3</v>
      </c>
      <c r="AN13" s="1509">
        <v>0.30212677100000002</v>
      </c>
      <c r="AO13" s="1509">
        <v>0.233365928</v>
      </c>
      <c r="AP13" s="1509">
        <v>3.1886399999999997E-4</v>
      </c>
      <c r="AQ13" s="1509">
        <v>0.285922442</v>
      </c>
      <c r="AR13" s="1509">
        <v>4.3076545000000001E-2</v>
      </c>
      <c r="AS13" s="1509">
        <v>0.26013497899999999</v>
      </c>
      <c r="AT13" s="1509">
        <v>0.96829984499999999</v>
      </c>
      <c r="AU13" s="1509">
        <v>0.40743616199999999</v>
      </c>
      <c r="AV13" s="1509">
        <v>0.266130535</v>
      </c>
      <c r="AW13" s="1509">
        <v>2.7863696E-2</v>
      </c>
      <c r="AX13" s="1509">
        <v>3.2774200000000001E-4</v>
      </c>
      <c r="AY13" s="1509">
        <v>0.27163551499999999</v>
      </c>
      <c r="AZ13" s="1509">
        <v>4.4250709999999999E-2</v>
      </c>
      <c r="BA13" s="1509">
        <v>2.1745591000000002E-2</v>
      </c>
      <c r="BB13" s="1509">
        <v>1.7237962999999999E-2</v>
      </c>
      <c r="BC13" s="1509">
        <v>0.96726981999999995</v>
      </c>
      <c r="BD13" s="1509">
        <v>1.298292E-2</v>
      </c>
      <c r="BE13" s="1509">
        <v>6.9900000000000005E-5</v>
      </c>
      <c r="BF13" s="1509">
        <v>0.84491982700000001</v>
      </c>
      <c r="BG13" s="1509">
        <v>0.64002515100000001</v>
      </c>
      <c r="BH13" s="1509">
        <v>3.7802506E-2</v>
      </c>
      <c r="BI13" s="1509">
        <v>9.0761043999999999E-2</v>
      </c>
      <c r="BJ13" s="1509">
        <v>0.42946314800000002</v>
      </c>
      <c r="BK13" s="1509">
        <v>1.15524E-4</v>
      </c>
      <c r="BL13" s="1509">
        <v>4.1350217000000002E-2</v>
      </c>
      <c r="BM13" s="1509">
        <v>1.19356E-4</v>
      </c>
      <c r="BN13" s="1509">
        <v>9.3872743999999994E-2</v>
      </c>
      <c r="BO13" s="1509">
        <v>1.67696E-4</v>
      </c>
      <c r="BP13" s="1509">
        <v>1.1328829999999999E-3</v>
      </c>
      <c r="BQ13" s="1509">
        <v>3.1303339999999998E-3</v>
      </c>
      <c r="BR13" s="1509">
        <v>0.546865567</v>
      </c>
      <c r="BS13" s="1509">
        <v>8.5413390000000002E-3</v>
      </c>
      <c r="BT13" s="1509">
        <v>3.625366E-2</v>
      </c>
      <c r="BU13" s="1509">
        <v>0.19897408799999999</v>
      </c>
      <c r="BV13" s="1509">
        <v>2.4756180999999999E-2</v>
      </c>
      <c r="BW13" s="1509">
        <v>0.27515236500000001</v>
      </c>
      <c r="BX13" s="1509">
        <v>5.5983744000000002E-2</v>
      </c>
      <c r="BY13" s="1509">
        <v>0.196776114</v>
      </c>
      <c r="BZ13" s="1509">
        <v>2.40344E-4</v>
      </c>
      <c r="CA13" s="1509">
        <v>5.8484330000000001E-3</v>
      </c>
      <c r="CB13" s="1509">
        <v>0.44515229099999998</v>
      </c>
      <c r="CC13" s="1509">
        <v>0.19994330599999999</v>
      </c>
      <c r="CD13" s="1509">
        <v>2.0887299999999999E-4</v>
      </c>
      <c r="CE13" s="1509">
        <v>5.7342991000000003E-2</v>
      </c>
      <c r="CF13" s="1509">
        <v>0.48517377499999997</v>
      </c>
      <c r="CG13" s="1509">
        <v>2.5508493E-2</v>
      </c>
      <c r="CH13" s="1509">
        <v>1.2893990000000001E-3</v>
      </c>
      <c r="CI13" s="1509">
        <v>1.8483880000000001E-3</v>
      </c>
      <c r="CJ13" s="1509">
        <v>1.4320939E-2</v>
      </c>
      <c r="CK13" s="1509">
        <v>0.36194769199999999</v>
      </c>
      <c r="CL13" s="1509">
        <v>0.57709750599999998</v>
      </c>
      <c r="CM13" s="1509">
        <v>7.4741494000000006E-2</v>
      </c>
      <c r="CN13" s="1509">
        <v>1.2524897E-2</v>
      </c>
      <c r="CO13" s="1509">
        <v>0.56710405600000002</v>
      </c>
      <c r="CP13" s="1509">
        <v>0.20767159299999999</v>
      </c>
      <c r="CQ13" s="1509">
        <v>1.1199999999999999E-5</v>
      </c>
      <c r="CR13" s="1509">
        <v>5.0681599999999999E-4</v>
      </c>
      <c r="CS13" s="1509">
        <v>0.21870225300000001</v>
      </c>
      <c r="CT13" s="1509">
        <v>0.49090712600000003</v>
      </c>
      <c r="CU13" s="1509">
        <v>0.29416938100000001</v>
      </c>
      <c r="CV13" s="1509">
        <v>4.7107191999999999E-2</v>
      </c>
      <c r="CW13" s="1509">
        <v>0.22748937799999999</v>
      </c>
      <c r="CX13" s="1509">
        <v>2.317108E-3</v>
      </c>
      <c r="CY13" s="1509">
        <v>2.5317599999999998E-4</v>
      </c>
      <c r="CZ13" s="1509">
        <v>9.3406380000000001E-3</v>
      </c>
      <c r="DA13" s="1509">
        <v>1.9293061E-2</v>
      </c>
      <c r="DB13" s="1509">
        <v>2.3427368E-2</v>
      </c>
      <c r="DC13" s="1509">
        <v>0.45405127000000001</v>
      </c>
      <c r="DD13" s="1509">
        <v>1.5360700000000001E-3</v>
      </c>
      <c r="DE13" s="1509">
        <v>0.33960945199999998</v>
      </c>
      <c r="DF13" s="1509">
        <v>0.17389784699999999</v>
      </c>
      <c r="DG13" s="1509">
        <v>8.4125130000000006E-2</v>
      </c>
      <c r="DH13" s="1509">
        <v>0.78070990399999995</v>
      </c>
      <c r="DI13" s="1509">
        <v>0.81178082900000004</v>
      </c>
      <c r="DJ13" s="1509">
        <v>8.1875338000000006E-2</v>
      </c>
      <c r="DK13" s="1509">
        <v>2.5126899999999998E-4</v>
      </c>
      <c r="DL13" s="1509">
        <v>0.26549200699999997</v>
      </c>
      <c r="DM13" s="1509">
        <v>3.9536600000000002E-4</v>
      </c>
      <c r="DN13" s="1509">
        <v>0.92085795699999995</v>
      </c>
      <c r="DO13" s="1509">
        <v>3.7811241000000002E-2</v>
      </c>
      <c r="DP13" s="1509">
        <v>8.6796930000000005E-3</v>
      </c>
      <c r="DQ13" s="1509">
        <v>1.20172E-4</v>
      </c>
      <c r="DR13" s="1509">
        <v>2.4241960999999999E-2</v>
      </c>
      <c r="DS13" s="1509">
        <v>6.5766829999999998E-3</v>
      </c>
      <c r="DT13" s="1509">
        <v>2.0991856E-2</v>
      </c>
      <c r="DU13" s="1509">
        <v>0.215139635</v>
      </c>
      <c r="DV13" s="1509">
        <v>0.141394191</v>
      </c>
      <c r="DW13" s="1509">
        <v>0.63324263400000003</v>
      </c>
      <c r="DX13" s="1509">
        <v>7.5829784999999997E-2</v>
      </c>
      <c r="DY13" s="1509">
        <v>0.49393479099999998</v>
      </c>
      <c r="DZ13" s="1509">
        <v>0.72124771300000001</v>
      </c>
      <c r="EA13" s="1509">
        <v>0.43792792200000003</v>
      </c>
      <c r="EB13" s="1509">
        <v>0.767274597</v>
      </c>
      <c r="EC13" s="1509">
        <v>0.25123536400000002</v>
      </c>
      <c r="ED13" s="1509">
        <v>9.3354749000000001E-2</v>
      </c>
      <c r="EE13" s="1509">
        <v>3.6336373999999998E-2</v>
      </c>
      <c r="EF13" s="1509">
        <v>2.1894195000000002E-2</v>
      </c>
      <c r="EG13" s="1509">
        <v>0.99928443099999997</v>
      </c>
      <c r="EH13" s="1509">
        <v>2.7959399999999998E-3</v>
      </c>
      <c r="EI13" s="1509">
        <v>0.30757237799999998</v>
      </c>
      <c r="EJ13" s="1509">
        <v>0.35835080200000002</v>
      </c>
      <c r="EK13" s="1509">
        <v>1.6594495000000001E-2</v>
      </c>
      <c r="EL13" s="1509">
        <v>0.43120337800000003</v>
      </c>
      <c r="EM13" s="1509">
        <v>1.9398632999999998E-2</v>
      </c>
      <c r="EN13" s="1509">
        <v>1.8405247E-2</v>
      </c>
      <c r="EO13" s="1509">
        <v>0.92569836000000005</v>
      </c>
      <c r="EP13" s="1509">
        <v>0.47766167199999998</v>
      </c>
      <c r="EQ13" s="1509">
        <v>1.2920263E-2</v>
      </c>
      <c r="ER13" s="1509">
        <v>4.6122009999999998E-3</v>
      </c>
      <c r="ES13" s="1509">
        <v>3.4674060000000001E-3</v>
      </c>
      <c r="ET13" s="1509">
        <v>5.9401877999999998E-2</v>
      </c>
      <c r="EU13" s="1509">
        <v>0.99906047399999998</v>
      </c>
      <c r="EV13" s="1509">
        <v>0.14664868</v>
      </c>
      <c r="EW13" s="1509">
        <v>9.3108289999999996E-3</v>
      </c>
      <c r="EX13" s="1509">
        <v>0.910882152</v>
      </c>
      <c r="EY13" s="1509">
        <v>0.196557911</v>
      </c>
      <c r="EZ13" s="1509">
        <v>5.5153464999999999E-2</v>
      </c>
      <c r="FA13" s="1509">
        <v>3.7723884999999999E-2</v>
      </c>
      <c r="FB13" s="1509">
        <v>4.5427490000000001E-2</v>
      </c>
      <c r="FC13" s="1509">
        <v>0.11321357</v>
      </c>
      <c r="FD13" s="1509">
        <v>0.14127204300000001</v>
      </c>
      <c r="FE13" s="1509">
        <v>5.338705E-3</v>
      </c>
      <c r="FF13" s="1509">
        <v>0.233365928</v>
      </c>
      <c r="FG13" s="1509">
        <v>0.20905269500000001</v>
      </c>
      <c r="FH13" s="1509">
        <v>0.105035751</v>
      </c>
      <c r="FI13" s="1509">
        <v>0.34305514199999998</v>
      </c>
      <c r="FJ13" s="1509">
        <v>4.2379400000000002E-4</v>
      </c>
      <c r="FK13" s="1509">
        <v>2.2510392000000001E-2</v>
      </c>
      <c r="FL13" s="1509">
        <v>2.5754499999999997E-4</v>
      </c>
      <c r="FM13" s="1509">
        <v>0.89025944499999998</v>
      </c>
      <c r="FN13" s="1509">
        <v>1.855841E-3</v>
      </c>
      <c r="FO13" s="1509">
        <v>4.0530719999999996E-3</v>
      </c>
      <c r="FP13" s="1509">
        <v>0.34305514199999998</v>
      </c>
      <c r="FQ13" s="1509">
        <v>2.3641101000000001E-2</v>
      </c>
      <c r="FR13" s="1509">
        <v>0.68836272399999998</v>
      </c>
      <c r="FS13" s="1509">
        <v>0.233365928</v>
      </c>
      <c r="FT13" s="1509">
        <v>0.99925496000000003</v>
      </c>
      <c r="FU13" s="1509">
        <v>8.4928929999999996E-3</v>
      </c>
    </row>
    <row r="14" spans="1:177" s="1509" customFormat="1" x14ac:dyDescent="0.2">
      <c r="A14" s="1512" t="s">
        <v>658</v>
      </c>
      <c r="B14" s="1512" t="s">
        <v>1011</v>
      </c>
      <c r="C14" s="1509">
        <v>0.68050845599999998</v>
      </c>
      <c r="D14" s="1509">
        <v>0.98817553700000005</v>
      </c>
      <c r="E14" s="1509">
        <v>0.85599347100000001</v>
      </c>
      <c r="F14" s="1509">
        <v>0.65511965299999997</v>
      </c>
      <c r="G14" s="1509">
        <v>0.91849952700000004</v>
      </c>
      <c r="H14" s="1509">
        <v>0.70084444499999998</v>
      </c>
      <c r="I14" s="1509">
        <v>0.91948334600000003</v>
      </c>
      <c r="J14" s="1509">
        <v>0.90925758899999998</v>
      </c>
      <c r="K14" s="1509">
        <v>0.934482861</v>
      </c>
      <c r="L14" s="1509">
        <v>0.88882843499999997</v>
      </c>
      <c r="M14" s="1509">
        <v>0.93471018299999997</v>
      </c>
      <c r="N14" s="1509">
        <v>0.979142289</v>
      </c>
      <c r="O14" s="1509">
        <v>0.95608961699999995</v>
      </c>
      <c r="P14" s="1509">
        <v>0.93911128300000002</v>
      </c>
      <c r="Q14" s="1509">
        <v>0.79165703099999996</v>
      </c>
      <c r="R14" s="1509">
        <v>0.96203740299999996</v>
      </c>
      <c r="S14" s="1509">
        <v>0.98418063499999997</v>
      </c>
      <c r="T14" s="1509">
        <v>0.48846621099999998</v>
      </c>
      <c r="U14" s="1509">
        <v>0.50755751999999998</v>
      </c>
      <c r="V14" s="1509">
        <v>0.72068107100000001</v>
      </c>
      <c r="W14" s="1509">
        <v>0.83343643599999995</v>
      </c>
      <c r="X14" s="1509">
        <v>0.62348793700000005</v>
      </c>
      <c r="Y14" s="1509">
        <v>0.95408843899999995</v>
      </c>
      <c r="Z14" s="1509">
        <v>0.729636061</v>
      </c>
      <c r="AA14" s="1509">
        <v>0.94749237900000005</v>
      </c>
      <c r="AB14" s="1509">
        <v>0.82425412300000001</v>
      </c>
      <c r="AC14" s="1509">
        <v>0.77927793599999995</v>
      </c>
      <c r="AD14" s="1509">
        <v>0.59727139200000001</v>
      </c>
      <c r="AE14" s="1509">
        <v>0.88380715099999996</v>
      </c>
      <c r="AF14" s="1509">
        <v>0.75523026599999998</v>
      </c>
      <c r="AG14" s="1509">
        <v>0.99996273400000002</v>
      </c>
      <c r="AH14" s="1509">
        <v>0.75657183699999997</v>
      </c>
      <c r="AI14" s="1509">
        <v>0.77334148199999997</v>
      </c>
      <c r="AJ14" s="1509">
        <v>0.75228998800000002</v>
      </c>
      <c r="AK14" s="1509">
        <v>0.92289616799999996</v>
      </c>
      <c r="AL14" s="1509">
        <v>0.657075933</v>
      </c>
      <c r="AM14" s="1509">
        <v>0.97480101200000002</v>
      </c>
      <c r="AN14" s="1509">
        <v>0.76201949999999996</v>
      </c>
      <c r="AO14" s="1509">
        <v>0.61277156600000005</v>
      </c>
      <c r="AP14" s="1509">
        <v>0</v>
      </c>
      <c r="AQ14" s="1509">
        <v>0.91576048499999996</v>
      </c>
      <c r="AR14" s="1509">
        <v>0.55402247599999999</v>
      </c>
      <c r="AS14" s="1509">
        <v>0.154319185</v>
      </c>
      <c r="AT14" s="1509">
        <v>2.745707E-2</v>
      </c>
      <c r="AU14" s="1509">
        <v>2.1230802E-2</v>
      </c>
      <c r="AV14" s="1509">
        <v>0.74900313799999996</v>
      </c>
      <c r="AW14" s="1509">
        <v>0.930655656</v>
      </c>
      <c r="AX14" s="1509">
        <v>0.990451792</v>
      </c>
      <c r="AY14" s="1509">
        <v>0.86183211100000001</v>
      </c>
      <c r="AZ14" s="1509">
        <v>0.87591638599999999</v>
      </c>
      <c r="BA14" s="1509">
        <v>0.87709420299999996</v>
      </c>
      <c r="BB14" s="1509">
        <v>0.951748013</v>
      </c>
      <c r="BC14" s="1509">
        <v>6.1194212999999997E-2</v>
      </c>
      <c r="BD14" s="1509">
        <v>0.97893830599999998</v>
      </c>
      <c r="BE14" s="1509">
        <v>0.99975547600000003</v>
      </c>
      <c r="BF14" s="1509">
        <v>0.13354189999999999</v>
      </c>
      <c r="BG14" s="1509">
        <v>0.25124882100000001</v>
      </c>
      <c r="BH14" s="1509">
        <v>0.71104038899999999</v>
      </c>
      <c r="BI14" s="1509">
        <v>0.59664905199999996</v>
      </c>
      <c r="BJ14" s="1509">
        <v>0.51278592199999995</v>
      </c>
      <c r="BK14" s="1509">
        <v>0.97589643100000001</v>
      </c>
      <c r="BL14" s="1509">
        <v>1.7559681000000001E-2</v>
      </c>
      <c r="BM14" s="1509">
        <v>0</v>
      </c>
      <c r="BN14" s="1509">
        <v>0.89992994000000004</v>
      </c>
      <c r="BO14" s="1509">
        <v>0.982268896</v>
      </c>
      <c r="BP14" s="1509">
        <v>0.985324698</v>
      </c>
      <c r="BQ14" s="1509">
        <v>0.97512129999999997</v>
      </c>
      <c r="BR14" s="1509">
        <v>0.40784148599999998</v>
      </c>
      <c r="BS14" s="1509">
        <v>1.7559681000000001E-2</v>
      </c>
      <c r="BT14" s="1509">
        <v>0.87595491299999995</v>
      </c>
      <c r="BU14" s="1509">
        <v>0.56564956099999997</v>
      </c>
      <c r="BV14" s="1509">
        <v>0.91104176299999995</v>
      </c>
      <c r="BW14" s="1509">
        <v>0</v>
      </c>
      <c r="BX14" s="1509">
        <v>0.89766265499999998</v>
      </c>
      <c r="BY14" s="1509">
        <v>5.0035230000000002E-3</v>
      </c>
      <c r="BZ14" s="1509">
        <v>5.0035230000000002E-3</v>
      </c>
      <c r="CA14" s="1509">
        <v>0</v>
      </c>
      <c r="CB14" s="1509">
        <v>0</v>
      </c>
      <c r="CC14" s="1509">
        <v>0.85016374100000003</v>
      </c>
      <c r="CD14" s="1509">
        <v>0.99643424599999997</v>
      </c>
      <c r="CE14" s="1509">
        <v>0.83443115800000001</v>
      </c>
      <c r="CF14" s="1509">
        <v>0.52433738900000004</v>
      </c>
      <c r="CG14" s="1509">
        <v>0.78305669600000005</v>
      </c>
      <c r="CH14" s="1509">
        <v>0.970627036</v>
      </c>
      <c r="CI14" s="1509">
        <v>0.98713581900000003</v>
      </c>
      <c r="CJ14" s="1509">
        <v>0.96746141799999996</v>
      </c>
      <c r="CK14" s="1509">
        <v>0.56985998299999996</v>
      </c>
      <c r="CL14" s="1509">
        <v>0.493307355</v>
      </c>
      <c r="CM14" s="1509">
        <v>0.81393011500000001</v>
      </c>
      <c r="CN14" s="1509">
        <v>0.841010645</v>
      </c>
      <c r="CO14" s="1509">
        <v>4.3997522999999997E-2</v>
      </c>
      <c r="CP14" s="1509">
        <v>4.3997522999999997E-2</v>
      </c>
      <c r="CQ14" s="1509">
        <v>0.99986956900000001</v>
      </c>
      <c r="CR14" s="1509">
        <v>0.99967578700000004</v>
      </c>
      <c r="CS14" s="1509">
        <v>0.797154378</v>
      </c>
      <c r="CT14" s="1509">
        <v>0.38095788200000003</v>
      </c>
      <c r="CU14" s="1509">
        <v>0.544603528</v>
      </c>
      <c r="CV14" s="1509">
        <v>0.88224027500000002</v>
      </c>
      <c r="CW14" s="1509">
        <v>0.68419633199999996</v>
      </c>
      <c r="CX14" s="1509">
        <v>0.98521123700000002</v>
      </c>
      <c r="CY14" s="1509">
        <v>0.99706646399999999</v>
      </c>
      <c r="CZ14" s="1509">
        <v>0.90623310099999999</v>
      </c>
      <c r="DA14" s="1509">
        <v>0.97111503200000004</v>
      </c>
      <c r="DB14" s="1509">
        <v>0.96487274499999998</v>
      </c>
      <c r="DC14" s="1509">
        <v>0.57415907099999997</v>
      </c>
      <c r="DD14" s="1509">
        <v>0.92735400400000001</v>
      </c>
      <c r="DE14" s="1509">
        <v>0.687184393</v>
      </c>
      <c r="DF14" s="1509">
        <v>0.77595452499999995</v>
      </c>
      <c r="DG14" s="1509">
        <v>0.88606407300000001</v>
      </c>
      <c r="DH14" s="1509">
        <v>0.227264784</v>
      </c>
      <c r="DI14" s="1509">
        <v>0.47442489399999999</v>
      </c>
      <c r="DJ14" s="1509">
        <v>0.89071453199999995</v>
      </c>
      <c r="DK14" s="1509">
        <v>0.99383299400000003</v>
      </c>
      <c r="DL14" s="1509">
        <v>0.73173297100000001</v>
      </c>
      <c r="DM14" s="1509">
        <v>4.3997522999999997E-2</v>
      </c>
      <c r="DN14" s="1509">
        <v>0.123400366</v>
      </c>
      <c r="DO14" s="1509">
        <v>0.95677299999999998</v>
      </c>
      <c r="DP14" s="1509">
        <v>0.94785083400000003</v>
      </c>
      <c r="DQ14" s="1509">
        <v>0.99719780899999999</v>
      </c>
      <c r="DR14" s="1509">
        <v>0.97177597800000004</v>
      </c>
      <c r="DS14" s="1509">
        <v>0.96578376700000002</v>
      </c>
      <c r="DT14" s="1509">
        <v>0.98961605100000005</v>
      </c>
      <c r="DU14" s="1509">
        <v>0.70606912099999997</v>
      </c>
      <c r="DV14" s="1509">
        <v>0.84065110899999995</v>
      </c>
      <c r="DW14" s="1509">
        <v>0.48154840399999999</v>
      </c>
      <c r="DX14" s="1509">
        <v>0.33894722300000002</v>
      </c>
      <c r="DY14" s="1509">
        <v>0.58709794599999998</v>
      </c>
      <c r="DZ14" s="1509">
        <v>0.19649638</v>
      </c>
      <c r="EA14" s="1509">
        <v>0.91830130099999996</v>
      </c>
      <c r="EB14" s="1509">
        <v>0.43671881400000001</v>
      </c>
      <c r="EC14" s="1509">
        <v>0.77937482800000002</v>
      </c>
      <c r="ED14" s="1509">
        <v>0.96503342700000005</v>
      </c>
      <c r="EE14" s="1509">
        <v>0.96158981899999996</v>
      </c>
      <c r="EF14" s="1509">
        <v>0.96452788199999995</v>
      </c>
      <c r="EG14" s="1509">
        <v>0.24273096199999999</v>
      </c>
      <c r="EH14" s="1509">
        <v>0.99175527799999996</v>
      </c>
      <c r="EI14" s="1509">
        <v>0.74489194599999997</v>
      </c>
      <c r="EJ14" s="1509">
        <v>0.59021431800000002</v>
      </c>
      <c r="EK14" s="1509">
        <v>0.944097458</v>
      </c>
      <c r="EL14" s="1509">
        <v>0.68726717500000001</v>
      </c>
      <c r="EM14" s="1509">
        <v>0.94177650599999996</v>
      </c>
      <c r="EN14" s="1509">
        <v>0.96298715000000001</v>
      </c>
      <c r="EO14" s="1509">
        <v>0.47434211100000001</v>
      </c>
      <c r="EP14" s="1509">
        <v>0.52558843300000002</v>
      </c>
      <c r="EQ14" s="1509">
        <v>0.96916145099999995</v>
      </c>
      <c r="ER14" s="1509">
        <v>0.96977852600000003</v>
      </c>
      <c r="ES14" s="1509">
        <v>0.96507275999999997</v>
      </c>
      <c r="ET14" s="1509">
        <v>0.908886784</v>
      </c>
      <c r="EU14" s="1509">
        <v>0.42949456800000002</v>
      </c>
      <c r="EV14" s="1509">
        <v>0.69942834099999995</v>
      </c>
      <c r="EW14" s="1509">
        <v>0.97559627599999998</v>
      </c>
      <c r="EX14" s="1509">
        <v>0.30470246400000001</v>
      </c>
      <c r="EY14" s="1509">
        <v>0.93444400400000005</v>
      </c>
      <c r="EZ14" s="1509">
        <v>0.90874578699999997</v>
      </c>
      <c r="FA14" s="1509">
        <v>0.83555757799999997</v>
      </c>
      <c r="FB14" s="1509">
        <v>0.75145614599999999</v>
      </c>
      <c r="FC14" s="1509">
        <v>0.83149505800000001</v>
      </c>
      <c r="FD14" s="1509">
        <v>0.88831098799999997</v>
      </c>
      <c r="FE14" s="1509">
        <v>0.98503511399999999</v>
      </c>
      <c r="FF14" s="1509">
        <v>0.65896432999999999</v>
      </c>
      <c r="FG14" s="1509">
        <v>0.75501062399999996</v>
      </c>
      <c r="FH14" s="1509">
        <v>0.84968127100000002</v>
      </c>
      <c r="FI14" s="1509">
        <v>0.62522851899999998</v>
      </c>
      <c r="FJ14" s="1509">
        <v>0.99837086900000005</v>
      </c>
      <c r="FK14" s="1509">
        <v>0.96580015399999997</v>
      </c>
      <c r="FL14" s="1509">
        <v>0.99541938399999996</v>
      </c>
      <c r="FM14" s="1509">
        <v>0.29683016400000001</v>
      </c>
      <c r="FN14" s="1509">
        <v>0.96029320799999995</v>
      </c>
      <c r="FO14" s="1509">
        <v>0.99507294999999996</v>
      </c>
      <c r="FP14" s="1509">
        <v>0.57535819099999996</v>
      </c>
      <c r="FQ14" s="1509">
        <v>0.95438381800000005</v>
      </c>
      <c r="FR14" s="1509">
        <v>0.700162913</v>
      </c>
      <c r="FS14" s="1509">
        <v>0.37430381400000001</v>
      </c>
      <c r="FT14" s="1509">
        <v>0.37172895299999997</v>
      </c>
      <c r="FU14" s="1509">
        <v>0.96402724900000003</v>
      </c>
    </row>
    <row r="15" spans="1:177" s="1509" customFormat="1" x14ac:dyDescent="0.2">
      <c r="A15" s="1512" t="s">
        <v>658</v>
      </c>
      <c r="B15" s="1512" t="s">
        <v>1211</v>
      </c>
      <c r="C15" s="1509">
        <v>1</v>
      </c>
      <c r="D15" s="1509">
        <v>0.97853858100000002</v>
      </c>
      <c r="E15" s="1509" t="s">
        <v>2372</v>
      </c>
      <c r="F15" s="1509" t="s">
        <v>2372</v>
      </c>
      <c r="G15" s="1509" t="s">
        <v>2372</v>
      </c>
      <c r="H15" s="1509" t="s">
        <v>2372</v>
      </c>
      <c r="I15" s="1509">
        <v>0.971148758</v>
      </c>
      <c r="J15" s="1509">
        <v>0.97994350500000005</v>
      </c>
      <c r="K15" s="1509">
        <v>0.97736843299999998</v>
      </c>
      <c r="L15" s="1509">
        <v>0.973943699</v>
      </c>
      <c r="M15" s="1509">
        <v>1</v>
      </c>
      <c r="N15" s="1509">
        <v>0.97377972899999998</v>
      </c>
      <c r="O15" s="1509">
        <v>0.96852523999999995</v>
      </c>
      <c r="P15" s="1509">
        <v>0.96564458799999997</v>
      </c>
      <c r="Q15" s="1509">
        <v>0.73588804399999996</v>
      </c>
      <c r="R15" s="1509">
        <v>0.77062057500000003</v>
      </c>
      <c r="S15" s="1509" t="s">
        <v>2372</v>
      </c>
      <c r="T15" s="1509">
        <v>1</v>
      </c>
      <c r="U15" s="1509" t="s">
        <v>2372</v>
      </c>
      <c r="V15" s="1509" t="s">
        <v>2372</v>
      </c>
      <c r="W15" s="1509" t="s">
        <v>2372</v>
      </c>
      <c r="X15" s="1509" t="s">
        <v>2372</v>
      </c>
      <c r="Y15" s="1509" t="s">
        <v>2372</v>
      </c>
      <c r="Z15" s="1509" t="s">
        <v>2372</v>
      </c>
      <c r="AA15" s="1509" t="s">
        <v>2372</v>
      </c>
      <c r="AB15" s="1509" t="s">
        <v>2372</v>
      </c>
      <c r="AC15" s="1509" t="s">
        <v>2372</v>
      </c>
      <c r="AD15" s="1509" t="s">
        <v>2372</v>
      </c>
      <c r="AE15" s="1509">
        <v>0.736745914</v>
      </c>
      <c r="AF15" s="1509">
        <v>0.97616474499999994</v>
      </c>
      <c r="AG15" s="1509">
        <v>0.958251038</v>
      </c>
      <c r="AH15" s="1509" t="s">
        <v>2372</v>
      </c>
      <c r="AI15" s="1509" t="s">
        <v>2372</v>
      </c>
      <c r="AJ15" s="1509" t="s">
        <v>2372</v>
      </c>
      <c r="AK15" s="1509">
        <v>0.73545537999999999</v>
      </c>
      <c r="AL15" s="1509" t="s">
        <v>2372</v>
      </c>
      <c r="AM15" s="1509">
        <v>0.718827628</v>
      </c>
      <c r="AN15" s="1509">
        <v>0.78761385399999995</v>
      </c>
      <c r="AO15" s="1509">
        <v>1</v>
      </c>
      <c r="AP15" s="1509">
        <v>0.58809149299999997</v>
      </c>
      <c r="AQ15" s="1509">
        <v>0.98362164699999999</v>
      </c>
      <c r="AR15" s="1509" t="s">
        <v>2372</v>
      </c>
      <c r="AS15" s="1509" t="s">
        <v>2372</v>
      </c>
      <c r="AT15" s="1509">
        <v>1</v>
      </c>
      <c r="AU15" s="1509">
        <v>0.99192891299999997</v>
      </c>
      <c r="AV15" s="1509" t="s">
        <v>2372</v>
      </c>
      <c r="AW15" s="1509">
        <v>0.96818984699999999</v>
      </c>
      <c r="AX15" s="1509">
        <v>0.16333007399999999</v>
      </c>
      <c r="AY15" s="1509" t="s">
        <v>2372</v>
      </c>
      <c r="AZ15" s="1509" t="s">
        <v>2372</v>
      </c>
      <c r="BA15" s="1509" t="s">
        <v>2372</v>
      </c>
      <c r="BB15" s="1509">
        <v>0.93010699399999996</v>
      </c>
      <c r="BC15" s="1509" t="s">
        <v>2372</v>
      </c>
      <c r="BD15" s="1509">
        <v>0.99133703299999998</v>
      </c>
      <c r="BE15" s="1509" t="s">
        <v>2372</v>
      </c>
      <c r="BF15" s="1509" t="s">
        <v>2372</v>
      </c>
      <c r="BG15" s="1509" t="s">
        <v>2372</v>
      </c>
      <c r="BH15" s="1509" t="s">
        <v>2372</v>
      </c>
      <c r="BI15" s="1509" t="s">
        <v>2372</v>
      </c>
      <c r="BJ15" s="1509" t="s">
        <v>2372</v>
      </c>
      <c r="BK15" s="1509" t="s">
        <v>2372</v>
      </c>
      <c r="BL15" s="1509" t="s">
        <v>2372</v>
      </c>
      <c r="BM15" s="1509" t="s">
        <v>2372</v>
      </c>
      <c r="BN15" s="1509" t="s">
        <v>2372</v>
      </c>
      <c r="BO15" s="1509">
        <v>0.95423377600000003</v>
      </c>
      <c r="BP15" s="1509" t="s">
        <v>2372</v>
      </c>
      <c r="BQ15" s="1509" t="s">
        <v>2372</v>
      </c>
      <c r="BR15" s="1509" t="s">
        <v>2372</v>
      </c>
      <c r="BS15" s="1509" t="s">
        <v>2372</v>
      </c>
      <c r="BT15" s="1509" t="s">
        <v>2372</v>
      </c>
      <c r="BU15" s="1509" t="s">
        <v>2372</v>
      </c>
      <c r="BV15" s="1509" t="s">
        <v>2372</v>
      </c>
      <c r="BW15" s="1509">
        <v>1</v>
      </c>
      <c r="BX15" s="1509">
        <v>1</v>
      </c>
      <c r="BY15" s="1509">
        <v>1</v>
      </c>
      <c r="BZ15" s="1509">
        <v>0.148204795</v>
      </c>
      <c r="CA15" s="1509">
        <v>0.72008086400000004</v>
      </c>
      <c r="CB15" s="1509" t="s">
        <v>2372</v>
      </c>
      <c r="CC15" s="1509">
        <v>0.74857705500000005</v>
      </c>
      <c r="CD15" s="1509">
        <v>0.72599643400000002</v>
      </c>
      <c r="CE15" s="1509" t="s">
        <v>2372</v>
      </c>
      <c r="CF15" s="1509">
        <v>0.77959463799999995</v>
      </c>
      <c r="CG15" s="1509">
        <v>0.96210805600000004</v>
      </c>
      <c r="CH15" s="1509">
        <v>0.96819730000000004</v>
      </c>
      <c r="CI15" s="1509" t="s">
        <v>2372</v>
      </c>
      <c r="CJ15" s="1509" t="s">
        <v>2372</v>
      </c>
      <c r="CK15" s="1509" t="s">
        <v>2372</v>
      </c>
      <c r="CL15" s="1509" t="s">
        <v>2372</v>
      </c>
      <c r="CM15" s="1509" t="s">
        <v>2372</v>
      </c>
      <c r="CN15" s="1509" t="s">
        <v>2372</v>
      </c>
      <c r="CO15" s="1509" t="s">
        <v>2372</v>
      </c>
      <c r="CP15" s="1509" t="s">
        <v>2372</v>
      </c>
      <c r="CQ15" s="1509">
        <v>0.95407726000000004</v>
      </c>
      <c r="CR15" s="1509">
        <v>0.96547316500000002</v>
      </c>
      <c r="CS15" s="1509" t="s">
        <v>2372</v>
      </c>
      <c r="CT15" s="1509" t="s">
        <v>2372</v>
      </c>
      <c r="CU15" s="1509" t="s">
        <v>2372</v>
      </c>
      <c r="CV15" s="1509">
        <v>1</v>
      </c>
      <c r="CW15" s="1509" t="s">
        <v>2372</v>
      </c>
      <c r="CX15" s="1509" t="s">
        <v>2372</v>
      </c>
      <c r="CY15" s="1509">
        <v>0.92554432799999997</v>
      </c>
      <c r="CZ15" s="1509">
        <v>0.21782259300000001</v>
      </c>
      <c r="DA15" s="1509">
        <v>0.15250913599999999</v>
      </c>
      <c r="DB15" s="1509">
        <v>0.247472843</v>
      </c>
      <c r="DC15" s="1509">
        <v>1</v>
      </c>
      <c r="DD15" s="1509">
        <v>0.133031025</v>
      </c>
      <c r="DE15" s="1509">
        <v>1</v>
      </c>
      <c r="DF15" s="1509" t="s">
        <v>2372</v>
      </c>
      <c r="DG15" s="1509">
        <v>0.27909564999999997</v>
      </c>
      <c r="DH15" s="1509" t="s">
        <v>2372</v>
      </c>
      <c r="DI15" s="1509">
        <v>0.27840579799999998</v>
      </c>
      <c r="DJ15" s="1509">
        <v>1</v>
      </c>
      <c r="DK15" s="1509">
        <v>0.14392776600000001</v>
      </c>
      <c r="DL15" s="1509">
        <v>1</v>
      </c>
      <c r="DM15" s="1509">
        <v>0.72034195400000001</v>
      </c>
      <c r="DN15" s="1509">
        <v>1</v>
      </c>
      <c r="DO15" s="1509">
        <v>0.93698126500000001</v>
      </c>
      <c r="DP15" s="1509">
        <v>0.16543854599999999</v>
      </c>
      <c r="DQ15" s="1509">
        <v>0.15141666300000001</v>
      </c>
      <c r="DR15" s="1509">
        <v>0.151706169</v>
      </c>
      <c r="DS15" s="1509">
        <v>0.16414942799999999</v>
      </c>
      <c r="DT15" s="1509">
        <v>0.26877003999999999</v>
      </c>
      <c r="DU15" s="1509" t="s">
        <v>2372</v>
      </c>
      <c r="DV15" s="1509">
        <v>0.96682219000000003</v>
      </c>
      <c r="DW15" s="1509">
        <v>0.72841290800000003</v>
      </c>
      <c r="DX15" s="1509">
        <v>0.98941534600000003</v>
      </c>
      <c r="DY15" s="1509" t="s">
        <v>2372</v>
      </c>
      <c r="DZ15" s="1509" t="s">
        <v>2372</v>
      </c>
      <c r="EA15" s="1509" t="s">
        <v>2372</v>
      </c>
      <c r="EB15" s="1509" t="s">
        <v>2372</v>
      </c>
      <c r="EC15" s="1509" t="s">
        <v>2372</v>
      </c>
      <c r="ED15" s="1509" t="s">
        <v>2372</v>
      </c>
      <c r="EE15" s="1509">
        <v>0.78477915499999995</v>
      </c>
      <c r="EF15" s="1509" t="s">
        <v>2372</v>
      </c>
      <c r="EG15" s="1509" t="s">
        <v>2372</v>
      </c>
      <c r="EH15" s="1509" t="s">
        <v>2372</v>
      </c>
      <c r="EI15" s="1509">
        <v>0.78149687099999998</v>
      </c>
      <c r="EJ15" s="1509">
        <v>1</v>
      </c>
      <c r="EK15" s="1509">
        <v>0.98184033800000003</v>
      </c>
      <c r="EL15" s="1509">
        <v>0.199459156</v>
      </c>
      <c r="EM15" s="1509">
        <v>0.15085679599999999</v>
      </c>
      <c r="EN15" s="1509">
        <v>1</v>
      </c>
      <c r="EO15" s="1509" t="s">
        <v>2372</v>
      </c>
      <c r="EP15" s="1509">
        <v>1</v>
      </c>
      <c r="EQ15" s="1509">
        <v>0.723370607</v>
      </c>
      <c r="ER15" s="1509">
        <v>0.93932038799999995</v>
      </c>
      <c r="ES15" s="1509">
        <v>0.94318407000000004</v>
      </c>
      <c r="ET15" s="1509">
        <v>0.72927125800000003</v>
      </c>
      <c r="EU15" s="1509">
        <v>1</v>
      </c>
      <c r="EV15" s="1509" t="s">
        <v>2372</v>
      </c>
      <c r="EW15" s="1509">
        <v>0.76733557200000002</v>
      </c>
      <c r="EX15" s="1509">
        <v>1</v>
      </c>
      <c r="EY15" s="1509">
        <v>0.95636571800000003</v>
      </c>
      <c r="EZ15" s="1509">
        <v>0.30189926299999997</v>
      </c>
      <c r="FA15" s="1509" t="s">
        <v>2372</v>
      </c>
      <c r="FB15" s="1509" t="s">
        <v>2372</v>
      </c>
      <c r="FC15" s="1509" t="s">
        <v>2372</v>
      </c>
      <c r="FD15" s="1509" t="s">
        <v>2372</v>
      </c>
      <c r="FE15" s="1509">
        <v>1</v>
      </c>
      <c r="FF15" s="1509">
        <v>0.76508226700000004</v>
      </c>
      <c r="FG15" s="1509">
        <v>0.16152650399999999</v>
      </c>
      <c r="FH15" s="1509">
        <v>0.19312179400000001</v>
      </c>
      <c r="FI15" s="1509" t="s">
        <v>2372</v>
      </c>
      <c r="FJ15" s="1509">
        <v>0.93423485900000003</v>
      </c>
      <c r="FK15" s="1509">
        <v>1</v>
      </c>
      <c r="FL15" s="1509">
        <v>0.20273365300000001</v>
      </c>
      <c r="FM15" s="1509" t="s">
        <v>2372</v>
      </c>
      <c r="FN15" s="1509" t="s">
        <v>2372</v>
      </c>
      <c r="FO15" s="1509">
        <v>0.23085032599999999</v>
      </c>
      <c r="FP15" s="1509">
        <v>0.77694400699999999</v>
      </c>
      <c r="FQ15" s="1509">
        <v>1</v>
      </c>
      <c r="FR15" s="1509" t="s">
        <v>2372</v>
      </c>
      <c r="FS15" s="1509" t="s">
        <v>2372</v>
      </c>
      <c r="FT15" s="1509">
        <v>0.27896687799999997</v>
      </c>
      <c r="FU15" s="1509" t="s">
        <v>2372</v>
      </c>
    </row>
    <row r="16" spans="1:177" s="1509" customFormat="1" x14ac:dyDescent="0.2">
      <c r="A16" s="1512" t="s">
        <v>658</v>
      </c>
      <c r="B16" s="1512" t="s">
        <v>1022</v>
      </c>
      <c r="C16" s="1509">
        <v>0.28888135300000001</v>
      </c>
      <c r="D16" s="1509">
        <v>0.436282803</v>
      </c>
      <c r="E16" s="1509">
        <v>0.479142289</v>
      </c>
      <c r="F16" s="1509">
        <v>0.29863725400000002</v>
      </c>
      <c r="G16" s="1509">
        <v>0.77208189500000002</v>
      </c>
      <c r="H16" s="1509">
        <v>0.77208189500000002</v>
      </c>
      <c r="I16" s="1509">
        <v>0.41812314099999998</v>
      </c>
      <c r="J16" s="1509">
        <v>0.41812314099999998</v>
      </c>
      <c r="K16" s="1509">
        <v>0.41812314099999998</v>
      </c>
      <c r="L16" s="1509">
        <v>0.41812314099999998</v>
      </c>
      <c r="M16" s="1509">
        <v>0.41812314099999998</v>
      </c>
      <c r="N16" s="1509">
        <v>0.41812314099999998</v>
      </c>
      <c r="O16" s="1509">
        <v>0.41812314099999998</v>
      </c>
      <c r="P16" s="1509">
        <v>0.54137630299999995</v>
      </c>
      <c r="Q16" s="1509">
        <v>0.62505128600000004</v>
      </c>
      <c r="R16" s="1509">
        <v>0.18742586899999999</v>
      </c>
      <c r="S16" s="1509">
        <v>0.73358997100000001</v>
      </c>
      <c r="T16" s="1509">
        <v>3.9576361999999997E-2</v>
      </c>
      <c r="U16" s="1509">
        <v>0.53297657499999995</v>
      </c>
      <c r="V16" s="1509">
        <v>0.72725849799999998</v>
      </c>
      <c r="W16" s="1509">
        <v>0.59503916599999995</v>
      </c>
      <c r="X16" s="1509">
        <v>0.70336361800000002</v>
      </c>
      <c r="Y16" s="1509">
        <v>0.94460054699999996</v>
      </c>
      <c r="Z16" s="1509">
        <v>0.31893255599999998</v>
      </c>
      <c r="AA16" s="1509">
        <v>9.7010530999999997E-2</v>
      </c>
      <c r="AB16" s="1509">
        <v>0.45569087200000002</v>
      </c>
      <c r="AC16" s="1509">
        <v>0.45569087200000002</v>
      </c>
      <c r="AD16" s="1509">
        <v>0.45569087200000002</v>
      </c>
      <c r="AE16" s="1509">
        <v>0.87123003600000004</v>
      </c>
      <c r="AF16" s="1509">
        <v>0.40656326599999998</v>
      </c>
      <c r="AG16" s="1509">
        <v>0.34128090300000002</v>
      </c>
      <c r="AH16" s="1509">
        <v>0.36813469399999998</v>
      </c>
      <c r="AI16" s="1509">
        <v>0.15617756399999999</v>
      </c>
      <c r="AJ16" s="1509">
        <v>0.39159356299999998</v>
      </c>
      <c r="AK16" s="1509">
        <v>0.59856176299999997</v>
      </c>
      <c r="AL16" s="1509">
        <v>0.12524896899999999</v>
      </c>
      <c r="AM16" s="1509">
        <v>0.19005169599999999</v>
      </c>
      <c r="AN16" s="1509">
        <v>0.19005169599999999</v>
      </c>
      <c r="AO16" s="1509">
        <v>0.265486161</v>
      </c>
      <c r="AP16" s="1509">
        <v>0.78908209699999998</v>
      </c>
      <c r="AQ16" s="1509">
        <v>3.2421313E-2</v>
      </c>
      <c r="AR16" s="1509">
        <v>0.18135348300000001</v>
      </c>
      <c r="AS16" s="1509">
        <v>0.101857119</v>
      </c>
      <c r="AT16" s="1509">
        <v>0.19528956</v>
      </c>
      <c r="AU16" s="1509">
        <v>4.7296570000000003E-2</v>
      </c>
      <c r="AV16" s="1509">
        <v>0.95566105899999998</v>
      </c>
      <c r="AW16" s="1509">
        <v>0.85873996600000002</v>
      </c>
      <c r="AX16" s="1509">
        <v>0.84539878000000002</v>
      </c>
      <c r="AY16" s="1509">
        <v>0.97456684900000001</v>
      </c>
      <c r="AZ16" s="1509">
        <v>0.86598749500000005</v>
      </c>
      <c r="BA16" s="1509">
        <v>0.94983818799999997</v>
      </c>
      <c r="BB16" s="1509">
        <v>0.96011381900000003</v>
      </c>
      <c r="BC16" s="1509">
        <v>2.2622104000000001E-2</v>
      </c>
      <c r="BD16" s="1509">
        <v>0.115032207</v>
      </c>
      <c r="BE16" s="1509">
        <v>0.53379676499999995</v>
      </c>
      <c r="BF16" s="1509">
        <v>2.2622104000000001E-2</v>
      </c>
      <c r="BG16" s="1509">
        <v>0.39981485999999999</v>
      </c>
      <c r="BH16" s="1509">
        <v>0.83705867899999997</v>
      </c>
      <c r="BI16" s="1509">
        <v>0.83705867899999997</v>
      </c>
      <c r="BJ16" s="1509">
        <v>0.78231137900000003</v>
      </c>
      <c r="BK16" s="1509">
        <v>0.321671598</v>
      </c>
      <c r="BL16" s="1509">
        <v>0.465394906</v>
      </c>
      <c r="BM16" s="1509">
        <v>0.31125002800000001</v>
      </c>
      <c r="BN16" s="1509">
        <v>0.65577509300000003</v>
      </c>
      <c r="BO16" s="1509">
        <v>0.70473127599999996</v>
      </c>
      <c r="BP16" s="1509">
        <v>0.52693204900000001</v>
      </c>
      <c r="BQ16" s="1509">
        <v>0.84452676100000001</v>
      </c>
      <c r="BR16" s="1509">
        <v>0.62449411600000004</v>
      </c>
      <c r="BS16" s="1509">
        <v>0.221810227</v>
      </c>
      <c r="BT16" s="1509">
        <v>1.5377672E-2</v>
      </c>
      <c r="BU16" s="1509">
        <v>0.36047817199999999</v>
      </c>
      <c r="BV16" s="1509">
        <v>0.72076370999999995</v>
      </c>
      <c r="BW16" s="1509">
        <v>0.30948207100000003</v>
      </c>
      <c r="BX16" s="1509">
        <v>0.207569741</v>
      </c>
      <c r="BY16" s="1509">
        <v>0.461678802</v>
      </c>
      <c r="BZ16" s="1509">
        <v>0.422617454</v>
      </c>
      <c r="CA16" s="1509">
        <v>0.81581165700000002</v>
      </c>
      <c r="CB16" s="1509">
        <v>0.25175863300000001</v>
      </c>
      <c r="CC16" s="1509">
        <v>0.84106286299999999</v>
      </c>
      <c r="CD16" s="1509">
        <v>0.59689078200000001</v>
      </c>
      <c r="CE16" s="1509">
        <v>0.823860712</v>
      </c>
      <c r="CF16" s="1509">
        <v>0.59689078200000001</v>
      </c>
      <c r="CG16" s="1509">
        <v>0.53104620199999997</v>
      </c>
      <c r="CH16" s="1509">
        <v>0.15295779300000001</v>
      </c>
      <c r="CI16" s="1509">
        <v>0.51486908499999995</v>
      </c>
      <c r="CJ16" s="1509">
        <v>0.276572441</v>
      </c>
      <c r="CK16" s="1509">
        <v>0.115139907</v>
      </c>
      <c r="CL16" s="1509">
        <v>0.115139907</v>
      </c>
      <c r="CM16" s="1509">
        <v>0.99364181100000004</v>
      </c>
      <c r="CN16" s="1509">
        <v>0.18742586899999999</v>
      </c>
      <c r="CO16" s="1509">
        <v>0.30352174100000001</v>
      </c>
      <c r="CP16" s="1509">
        <v>8.7816012999999998E-2</v>
      </c>
      <c r="CQ16" s="1509">
        <v>8.6732602000000006E-2</v>
      </c>
      <c r="CR16" s="1509">
        <v>2.9581652999999999E-2</v>
      </c>
      <c r="CS16" s="1509">
        <v>0.71985004200000002</v>
      </c>
      <c r="CT16" s="1509">
        <v>0.18612442300000001</v>
      </c>
      <c r="CU16" s="1509">
        <v>0.73358997100000001</v>
      </c>
      <c r="CV16" s="1509">
        <v>0.35566783299999999</v>
      </c>
      <c r="CW16" s="1509">
        <v>0.30837901499999998</v>
      </c>
      <c r="CX16" s="1509">
        <v>0.80949078699999999</v>
      </c>
      <c r="CY16" s="1509">
        <v>0.432957973</v>
      </c>
      <c r="CZ16" s="1509">
        <v>0.99072490999999996</v>
      </c>
      <c r="DA16" s="1509">
        <v>0.65189461999999998</v>
      </c>
      <c r="DB16" s="1509">
        <v>1.5213532E-2</v>
      </c>
      <c r="DC16" s="1509">
        <v>0.79048740299999998</v>
      </c>
      <c r="DD16" s="1509">
        <v>9.4003809999999993E-3</v>
      </c>
      <c r="DE16" s="1509">
        <v>0.46497852299999998</v>
      </c>
      <c r="DF16" s="1509">
        <v>0.17808294799999999</v>
      </c>
      <c r="DG16" s="1509">
        <v>0.897377643</v>
      </c>
      <c r="DH16" s="1509">
        <v>0.79504042500000005</v>
      </c>
      <c r="DI16" s="1509">
        <v>0.90721033100000004</v>
      </c>
      <c r="DJ16" s="1509">
        <v>0.28568151200000003</v>
      </c>
      <c r="DK16" s="1509">
        <v>0.803622638</v>
      </c>
      <c r="DL16" s="1509">
        <v>0.99733687400000004</v>
      </c>
      <c r="DM16" s="1509">
        <v>0.79250744100000003</v>
      </c>
      <c r="DN16" s="1509">
        <v>0.117278177</v>
      </c>
      <c r="DO16" s="1509">
        <v>0.82248530500000006</v>
      </c>
      <c r="DP16" s="1509">
        <v>0.99072490999999996</v>
      </c>
      <c r="DQ16" s="1509">
        <v>0.98559028999999998</v>
      </c>
      <c r="DR16" s="1509">
        <v>0.55411834800000004</v>
      </c>
      <c r="DS16" s="1509">
        <v>0.461678802</v>
      </c>
      <c r="DT16" s="1509">
        <v>0.96451649900000003</v>
      </c>
      <c r="DU16" s="1509">
        <v>0.172205618</v>
      </c>
      <c r="DV16" s="1509">
        <v>0.45569087200000002</v>
      </c>
      <c r="DW16" s="1509">
        <v>0.359147145</v>
      </c>
      <c r="DX16" s="1509">
        <v>0.23382323599999999</v>
      </c>
      <c r="DY16" s="1509">
        <v>0.44751557600000003</v>
      </c>
      <c r="DZ16" s="1509">
        <v>0.345949852</v>
      </c>
      <c r="EA16" s="1509">
        <v>0.56719063000000003</v>
      </c>
      <c r="EB16" s="1509">
        <v>0.85961571400000003</v>
      </c>
      <c r="EC16" s="1509">
        <v>0.36236966300000001</v>
      </c>
      <c r="ED16" s="1509">
        <v>0.35956726900000002</v>
      </c>
      <c r="EE16" s="1509">
        <v>0.61490604500000001</v>
      </c>
      <c r="EF16" s="1509">
        <v>0.79518635900000001</v>
      </c>
      <c r="EG16" s="1509">
        <v>0.26535060199999999</v>
      </c>
      <c r="EH16" s="1509">
        <v>0.953355128</v>
      </c>
      <c r="EI16" s="1509">
        <v>0.742601807</v>
      </c>
      <c r="EJ16" s="1509">
        <v>0.59689078200000001</v>
      </c>
      <c r="EK16" s="1509">
        <v>6.9638745000000002E-2</v>
      </c>
      <c r="EL16" s="1509">
        <v>0.453205052</v>
      </c>
      <c r="EM16" s="1509">
        <v>7.1836570000000002E-2</v>
      </c>
      <c r="EN16" s="1509">
        <v>0.59561806100000003</v>
      </c>
      <c r="EO16" s="1509">
        <v>0.14934832000000001</v>
      </c>
      <c r="EP16" s="1509">
        <v>0.422617454</v>
      </c>
      <c r="EQ16" s="1509">
        <v>0.998463294</v>
      </c>
      <c r="ER16" s="1509">
        <v>0.78447592600000005</v>
      </c>
      <c r="ES16" s="1509">
        <v>0.78447592600000005</v>
      </c>
      <c r="ET16" s="1509">
        <v>0.65994793100000004</v>
      </c>
      <c r="EU16" s="1509">
        <v>0.32763244899999999</v>
      </c>
      <c r="EV16" s="1509">
        <v>0.45569087200000002</v>
      </c>
      <c r="EW16" s="1509">
        <v>0.81945920699999997</v>
      </c>
      <c r="EX16" s="1509">
        <v>0.86978513099999999</v>
      </c>
      <c r="EY16" s="1509">
        <v>0.97079122900000003</v>
      </c>
      <c r="EZ16" s="1509">
        <v>0.461678802</v>
      </c>
      <c r="FA16" s="1509">
        <v>0.93891222100000005</v>
      </c>
      <c r="FB16" s="1509">
        <v>0.32664427499999998</v>
      </c>
      <c r="FC16" s="1509">
        <v>0.90285758299999996</v>
      </c>
      <c r="FD16" s="1509">
        <v>0.79632565</v>
      </c>
      <c r="FE16" s="1509">
        <v>0.90434911799999995</v>
      </c>
      <c r="FF16" s="1509">
        <v>0.68298541700000004</v>
      </c>
      <c r="FG16" s="1509">
        <v>0.63894995399999999</v>
      </c>
      <c r="FH16" s="1509">
        <v>0.99072490999999996</v>
      </c>
      <c r="FI16" s="1509">
        <v>0.66198290900000001</v>
      </c>
      <c r="FJ16" s="1509">
        <v>0.74121040000000005</v>
      </c>
      <c r="FK16" s="1509">
        <v>0.51453807500000004</v>
      </c>
      <c r="FL16" s="1509">
        <v>0.79504042500000005</v>
      </c>
      <c r="FM16" s="1509">
        <v>0.66865790700000005</v>
      </c>
      <c r="FN16" s="1509">
        <v>0.861583353</v>
      </c>
      <c r="FO16" s="1509">
        <v>0.108400566</v>
      </c>
      <c r="FP16" s="1509">
        <v>0.85704264299999999</v>
      </c>
      <c r="FQ16" s="1509">
        <v>0.26535060199999999</v>
      </c>
      <c r="FR16" s="1509">
        <v>0.99824978499999995</v>
      </c>
      <c r="FS16" s="1509">
        <v>0.51254198399999995</v>
      </c>
      <c r="FT16" s="1509">
        <v>0.85784453500000002</v>
      </c>
      <c r="FU16" s="1509">
        <v>0.511548695</v>
      </c>
    </row>
    <row r="17" spans="1:177" s="1509" customFormat="1" x14ac:dyDescent="0.2">
      <c r="A17" s="1512" t="s">
        <v>675</v>
      </c>
      <c r="B17" s="1512" t="s">
        <v>1330</v>
      </c>
      <c r="C17" s="1509">
        <v>0</v>
      </c>
      <c r="D17" s="1509">
        <v>0</v>
      </c>
      <c r="E17" s="1509">
        <v>0</v>
      </c>
      <c r="F17" s="1509">
        <v>0</v>
      </c>
      <c r="G17" s="1509">
        <v>0</v>
      </c>
      <c r="H17" s="1509">
        <v>0</v>
      </c>
      <c r="I17" s="1509">
        <v>0</v>
      </c>
      <c r="J17" s="1509">
        <v>0</v>
      </c>
      <c r="K17" s="1509">
        <v>1</v>
      </c>
      <c r="L17" s="1509">
        <v>0</v>
      </c>
      <c r="M17" s="1509">
        <v>0</v>
      </c>
      <c r="N17" s="1509">
        <v>1</v>
      </c>
      <c r="O17" s="1509">
        <v>0</v>
      </c>
      <c r="P17" s="1509">
        <v>1</v>
      </c>
      <c r="Q17" s="1509">
        <v>0</v>
      </c>
      <c r="R17" s="1509">
        <v>0</v>
      </c>
      <c r="S17" s="1509">
        <v>0</v>
      </c>
      <c r="T17" s="1509">
        <v>0</v>
      </c>
      <c r="U17" s="1509">
        <v>0</v>
      </c>
      <c r="V17" s="1509">
        <v>0</v>
      </c>
      <c r="W17" s="1509">
        <v>0</v>
      </c>
      <c r="X17" s="1509">
        <v>0</v>
      </c>
      <c r="Y17" s="1509">
        <v>0</v>
      </c>
      <c r="Z17" s="1509">
        <v>0</v>
      </c>
      <c r="AA17" s="1509">
        <v>1</v>
      </c>
      <c r="AB17" s="1509">
        <v>0</v>
      </c>
      <c r="AC17" s="1509">
        <v>0</v>
      </c>
      <c r="AD17" s="1509">
        <v>0</v>
      </c>
      <c r="AE17" s="1509">
        <v>1</v>
      </c>
      <c r="AF17" s="1509">
        <v>0</v>
      </c>
      <c r="AG17" s="1509">
        <v>1</v>
      </c>
      <c r="AH17" s="1509">
        <v>0</v>
      </c>
      <c r="AI17" s="1509">
        <v>0</v>
      </c>
      <c r="AJ17" s="1509">
        <v>0</v>
      </c>
      <c r="AK17" s="1509">
        <v>0</v>
      </c>
      <c r="AL17" s="1509">
        <v>1</v>
      </c>
      <c r="AM17" s="1509">
        <v>1</v>
      </c>
      <c r="AN17" s="1509">
        <v>0</v>
      </c>
      <c r="AO17" s="1509">
        <v>0</v>
      </c>
      <c r="AP17" s="1509">
        <v>0</v>
      </c>
      <c r="AQ17" s="1509">
        <v>0</v>
      </c>
      <c r="AR17" s="1509">
        <v>1</v>
      </c>
      <c r="AS17" s="1509">
        <v>0</v>
      </c>
      <c r="AT17" s="1509">
        <v>0</v>
      </c>
      <c r="AU17" s="1509">
        <v>0</v>
      </c>
      <c r="AV17" s="1509">
        <v>1</v>
      </c>
      <c r="AW17" s="1509">
        <v>0</v>
      </c>
      <c r="AX17" s="1509">
        <v>0</v>
      </c>
      <c r="AY17" s="1509">
        <v>1</v>
      </c>
      <c r="AZ17" s="1509">
        <v>1</v>
      </c>
      <c r="BA17" s="1509">
        <v>1</v>
      </c>
      <c r="BB17" s="1509">
        <v>1</v>
      </c>
      <c r="BC17" s="1509">
        <v>0</v>
      </c>
      <c r="BD17" s="1509">
        <v>1</v>
      </c>
      <c r="BE17" s="1509">
        <v>1</v>
      </c>
      <c r="BF17" s="1509">
        <v>0</v>
      </c>
      <c r="BG17" s="1509">
        <v>0</v>
      </c>
      <c r="BH17" s="1509">
        <v>0</v>
      </c>
      <c r="BI17" s="1509">
        <v>0</v>
      </c>
      <c r="BJ17" s="1509">
        <v>0</v>
      </c>
      <c r="BK17" s="1509">
        <v>1</v>
      </c>
      <c r="BL17" s="1509">
        <v>1</v>
      </c>
      <c r="BM17" s="1509">
        <v>1</v>
      </c>
      <c r="BN17" s="1509">
        <v>0</v>
      </c>
      <c r="BO17" s="1509">
        <v>1</v>
      </c>
      <c r="BP17" s="1509">
        <v>1</v>
      </c>
      <c r="BQ17" s="1509">
        <v>0</v>
      </c>
      <c r="BR17" s="1509">
        <v>0</v>
      </c>
      <c r="BS17" s="1509">
        <v>0</v>
      </c>
      <c r="BT17" s="1509">
        <v>0</v>
      </c>
      <c r="BU17" s="1509">
        <v>0</v>
      </c>
      <c r="BV17" s="1509">
        <v>0</v>
      </c>
      <c r="BW17" s="1509">
        <v>0</v>
      </c>
      <c r="BX17" s="1509">
        <v>1</v>
      </c>
      <c r="BY17" s="1509">
        <v>0</v>
      </c>
      <c r="BZ17" s="1509">
        <v>1</v>
      </c>
      <c r="CA17" s="1509">
        <v>1</v>
      </c>
      <c r="CB17" s="1509">
        <v>1</v>
      </c>
      <c r="CC17" s="1509">
        <v>1</v>
      </c>
      <c r="CD17" s="1509">
        <v>1</v>
      </c>
      <c r="CE17" s="1509">
        <v>0</v>
      </c>
      <c r="CF17" s="1509">
        <v>0</v>
      </c>
      <c r="CG17" s="1509">
        <v>0</v>
      </c>
      <c r="CH17" s="1509">
        <v>1</v>
      </c>
      <c r="CI17" s="1509">
        <v>0</v>
      </c>
      <c r="CJ17" s="1509">
        <v>1</v>
      </c>
      <c r="CK17" s="1509">
        <v>0</v>
      </c>
      <c r="CL17" s="1509">
        <v>0</v>
      </c>
      <c r="CM17" s="1509">
        <v>0</v>
      </c>
      <c r="CN17" s="1509">
        <v>0</v>
      </c>
      <c r="CO17" s="1509">
        <v>0</v>
      </c>
      <c r="CP17" s="1509">
        <v>1</v>
      </c>
      <c r="CQ17" s="1509">
        <v>1</v>
      </c>
      <c r="CR17" s="1509">
        <v>1</v>
      </c>
      <c r="CS17" s="1509">
        <v>0</v>
      </c>
      <c r="CT17" s="1509">
        <v>0</v>
      </c>
      <c r="CU17" s="1509">
        <v>0</v>
      </c>
      <c r="CV17" s="1509">
        <v>0</v>
      </c>
      <c r="CW17" s="1509">
        <v>0</v>
      </c>
      <c r="CX17" s="1509">
        <v>1</v>
      </c>
      <c r="CY17" s="1509">
        <v>1</v>
      </c>
      <c r="CZ17" s="1509">
        <v>1</v>
      </c>
      <c r="DA17" s="1509">
        <v>1</v>
      </c>
      <c r="DB17" s="1509">
        <v>1</v>
      </c>
      <c r="DC17" s="1509">
        <v>1</v>
      </c>
      <c r="DD17" s="1509">
        <v>1</v>
      </c>
      <c r="DE17" s="1509">
        <v>0</v>
      </c>
      <c r="DF17" s="1509">
        <v>1</v>
      </c>
      <c r="DG17" s="1509">
        <v>1</v>
      </c>
      <c r="DH17" s="1509">
        <v>0</v>
      </c>
      <c r="DI17" s="1509">
        <v>1</v>
      </c>
      <c r="DJ17" s="1509">
        <v>1</v>
      </c>
      <c r="DK17" s="1509">
        <v>1</v>
      </c>
      <c r="DL17" s="1509">
        <v>1</v>
      </c>
      <c r="DM17" s="1509">
        <v>1</v>
      </c>
      <c r="DN17" s="1509">
        <v>0</v>
      </c>
      <c r="DO17" s="1509">
        <v>0</v>
      </c>
      <c r="DP17" s="1509">
        <v>0</v>
      </c>
      <c r="DQ17" s="1509">
        <v>1</v>
      </c>
      <c r="DR17" s="1509">
        <v>1</v>
      </c>
      <c r="DS17" s="1509">
        <v>1</v>
      </c>
      <c r="DT17" s="1509">
        <v>1</v>
      </c>
      <c r="DU17" s="1509">
        <v>0</v>
      </c>
      <c r="DV17" s="1509">
        <v>0</v>
      </c>
      <c r="DW17" s="1509">
        <v>0</v>
      </c>
      <c r="DX17" s="1509">
        <v>0</v>
      </c>
      <c r="DY17" s="1509">
        <v>0</v>
      </c>
      <c r="DZ17" s="1509">
        <v>0</v>
      </c>
      <c r="EA17" s="1509">
        <v>0</v>
      </c>
      <c r="EB17" s="1509">
        <v>1</v>
      </c>
      <c r="EC17" s="1509">
        <v>0</v>
      </c>
      <c r="ED17" s="1509">
        <v>1</v>
      </c>
      <c r="EE17" s="1509">
        <v>0</v>
      </c>
      <c r="EF17" s="1509">
        <v>1</v>
      </c>
      <c r="EG17" s="1509">
        <v>0</v>
      </c>
      <c r="EH17" s="1509">
        <v>1</v>
      </c>
      <c r="EI17" s="1509">
        <v>0</v>
      </c>
      <c r="EJ17" s="1509">
        <v>0</v>
      </c>
      <c r="EK17" s="1509">
        <v>0</v>
      </c>
      <c r="EL17" s="1509">
        <v>1</v>
      </c>
      <c r="EM17" s="1509">
        <v>1</v>
      </c>
      <c r="EN17" s="1509">
        <v>1</v>
      </c>
      <c r="EO17" s="1509">
        <v>0</v>
      </c>
      <c r="EP17" s="1509">
        <v>0</v>
      </c>
      <c r="EQ17" s="1509">
        <v>1</v>
      </c>
      <c r="ER17" s="1509">
        <v>0</v>
      </c>
      <c r="ES17" s="1509">
        <v>0</v>
      </c>
      <c r="ET17" s="1509">
        <v>0</v>
      </c>
      <c r="EU17" s="1509">
        <v>1</v>
      </c>
      <c r="EV17" s="1509">
        <v>0</v>
      </c>
      <c r="EW17" s="1509">
        <v>0</v>
      </c>
      <c r="EX17" s="1509">
        <v>0</v>
      </c>
      <c r="EY17" s="1509">
        <v>0</v>
      </c>
      <c r="EZ17" s="1509">
        <v>0</v>
      </c>
      <c r="FA17" s="1509">
        <v>1</v>
      </c>
      <c r="FB17" s="1509">
        <v>0</v>
      </c>
      <c r="FC17" s="1509">
        <v>0</v>
      </c>
      <c r="FD17" s="1509">
        <v>1</v>
      </c>
      <c r="FE17" s="1509">
        <v>1</v>
      </c>
      <c r="FF17" s="1509">
        <v>0</v>
      </c>
      <c r="FG17" s="1509">
        <v>0</v>
      </c>
      <c r="FH17" s="1509">
        <v>0</v>
      </c>
      <c r="FI17" s="1509">
        <v>0</v>
      </c>
      <c r="FJ17" s="1509">
        <v>1</v>
      </c>
      <c r="FK17" s="1509">
        <v>0</v>
      </c>
      <c r="FL17" s="1509">
        <v>1</v>
      </c>
      <c r="FM17" s="1509">
        <v>0</v>
      </c>
      <c r="FN17" s="1509">
        <v>0</v>
      </c>
      <c r="FO17" s="1509">
        <v>1</v>
      </c>
      <c r="FP17" s="1509">
        <v>0</v>
      </c>
      <c r="FQ17" s="1509">
        <v>0</v>
      </c>
      <c r="FR17" s="1509">
        <v>0</v>
      </c>
      <c r="FS17" s="1509">
        <v>0</v>
      </c>
      <c r="FT17" s="1509">
        <v>0</v>
      </c>
      <c r="FU17" s="1509">
        <v>0</v>
      </c>
    </row>
    <row r="18" spans="1:177" s="1509" customFormat="1" x14ac:dyDescent="0.2">
      <c r="A18" s="1512" t="s">
        <v>675</v>
      </c>
      <c r="B18" s="1512" t="s">
        <v>1035</v>
      </c>
      <c r="C18" s="1509">
        <v>0.38937624399999998</v>
      </c>
      <c r="D18" s="1509">
        <v>0.498028635</v>
      </c>
      <c r="E18" s="1509">
        <v>0.92904204300000004</v>
      </c>
      <c r="F18" s="1509">
        <v>0.896016335</v>
      </c>
      <c r="G18" s="1509">
        <v>0.84302121900000004</v>
      </c>
      <c r="H18" s="1509">
        <v>0.87361277800000003</v>
      </c>
      <c r="I18" s="1509">
        <v>0.91922621100000002</v>
      </c>
      <c r="J18" s="1509">
        <v>0.91588718899999999</v>
      </c>
      <c r="K18" s="1509">
        <v>0.95443501200000003</v>
      </c>
      <c r="L18" s="1509">
        <v>0.93812746400000002</v>
      </c>
      <c r="M18" s="1509">
        <v>0.89087433199999999</v>
      </c>
      <c r="N18" s="1509">
        <v>0.87678410399999995</v>
      </c>
      <c r="O18" s="1509">
        <v>0.85945174400000002</v>
      </c>
      <c r="P18" s="1509">
        <v>0.81980830400000004</v>
      </c>
      <c r="Q18" s="1509">
        <v>0.968109628</v>
      </c>
      <c r="R18" s="1509">
        <v>0.84396470099999998</v>
      </c>
      <c r="S18" s="1509">
        <v>5.8134770000000001E-3</v>
      </c>
      <c r="T18" s="1509">
        <v>0.106028874</v>
      </c>
      <c r="U18" s="1509">
        <v>4.1510460999999998E-2</v>
      </c>
      <c r="V18" s="1509">
        <v>0.33182655</v>
      </c>
      <c r="W18" s="1509">
        <v>0.36610743000000001</v>
      </c>
      <c r="X18" s="1509">
        <v>0.94616571400000005</v>
      </c>
      <c r="Y18" s="1509">
        <v>0.980446594</v>
      </c>
      <c r="Z18" s="1509">
        <v>0.33237435799999998</v>
      </c>
      <c r="AA18" s="1509">
        <v>5.4870277000000002E-2</v>
      </c>
      <c r="AB18" s="1509">
        <v>3.6054735999999997E-2</v>
      </c>
      <c r="AC18" s="1509">
        <v>3.6755335E-2</v>
      </c>
      <c r="AD18" s="1509">
        <v>3.6330504E-2</v>
      </c>
      <c r="AE18" s="1509">
        <v>0.60120250900000005</v>
      </c>
      <c r="AF18" s="1509">
        <v>0.40240066800000002</v>
      </c>
      <c r="AG18" s="1509">
        <v>2.7587929000000001E-2</v>
      </c>
      <c r="AH18" s="1509">
        <v>2.8064932000000001E-2</v>
      </c>
      <c r="AI18" s="1509">
        <v>1.9858985999999999E-2</v>
      </c>
      <c r="AJ18" s="1509">
        <v>4.3049540999999997E-2</v>
      </c>
      <c r="AK18" s="1509">
        <v>0.63626326899999996</v>
      </c>
      <c r="AL18" s="1509">
        <v>0.66549797499999996</v>
      </c>
      <c r="AM18" s="1509">
        <v>0.77691659300000004</v>
      </c>
      <c r="AN18" s="1509">
        <v>0.928647624</v>
      </c>
      <c r="AO18" s="1509">
        <v>0.158900557</v>
      </c>
      <c r="AP18" s="1509">
        <v>6.6387483999999997E-2</v>
      </c>
      <c r="AQ18" s="1509">
        <v>0.53995647300000005</v>
      </c>
      <c r="AR18" s="1509">
        <v>0.295102003</v>
      </c>
      <c r="AS18" s="1509">
        <v>2.15229E-4</v>
      </c>
      <c r="AT18" s="1509">
        <v>0.99390440800000002</v>
      </c>
      <c r="AU18" s="1509">
        <v>3.3206759999999998E-3</v>
      </c>
      <c r="AV18" s="1509">
        <v>0.76376415200000003</v>
      </c>
      <c r="AW18" s="1509">
        <v>0.97555731099999998</v>
      </c>
      <c r="AX18" s="1509">
        <v>1.0900000000000001E-5</v>
      </c>
      <c r="AY18" s="1509">
        <v>0.29355722899999998</v>
      </c>
      <c r="AZ18" s="1509">
        <v>0.16990841600000001</v>
      </c>
      <c r="BA18" s="1509">
        <v>0.210999934</v>
      </c>
      <c r="BB18" s="1509">
        <v>7.7939590000000003E-2</v>
      </c>
      <c r="BC18" s="1509">
        <v>0.99159838300000003</v>
      </c>
      <c r="BD18" s="1509">
        <v>1.2644703E-2</v>
      </c>
      <c r="BE18" s="1509">
        <v>5.4459077000000002E-2</v>
      </c>
      <c r="BF18" s="1509">
        <v>0.99392746799999998</v>
      </c>
      <c r="BG18" s="1509">
        <v>5.8284137E-2</v>
      </c>
      <c r="BH18" s="1509">
        <v>1.0434446E-2</v>
      </c>
      <c r="BI18" s="1509">
        <v>7.0507039999999997E-3</v>
      </c>
      <c r="BJ18" s="1509">
        <v>0.59016851599999998</v>
      </c>
      <c r="BK18" s="1509">
        <v>0.242746197</v>
      </c>
      <c r="BL18" s="1509">
        <v>0.35388422200000003</v>
      </c>
      <c r="BM18" s="1509">
        <v>0.658866269</v>
      </c>
      <c r="BN18" s="1509">
        <v>0.60637544600000004</v>
      </c>
      <c r="BO18" s="1509">
        <v>1.0307742E-2</v>
      </c>
      <c r="BP18" s="1509">
        <v>8.1064463000000003E-2</v>
      </c>
      <c r="BQ18" s="1509">
        <v>0.57750929799999995</v>
      </c>
      <c r="BR18" s="1509">
        <v>0.72563743300000005</v>
      </c>
      <c r="BS18" s="1509">
        <v>2.9045024999999999E-2</v>
      </c>
      <c r="BT18" s="1509">
        <v>0.65216960599999996</v>
      </c>
      <c r="BU18" s="1509">
        <v>0.87828853200000001</v>
      </c>
      <c r="BV18" s="1509">
        <v>0.87807938699999999</v>
      </c>
      <c r="BW18" s="1509">
        <v>0.93269080100000001</v>
      </c>
      <c r="BX18" s="1509">
        <v>0.96302527400000004</v>
      </c>
      <c r="BY18" s="1509">
        <v>0.98240027100000005</v>
      </c>
      <c r="BZ18" s="1509">
        <v>0.405323618</v>
      </c>
      <c r="CA18" s="1509">
        <v>7.0770516000000006E-2</v>
      </c>
      <c r="CB18" s="1509">
        <v>0.79176146700000005</v>
      </c>
      <c r="CC18" s="1509">
        <v>0.269990228</v>
      </c>
      <c r="CD18" s="1509">
        <v>0.19407249400000001</v>
      </c>
      <c r="CE18" s="1509">
        <v>0.45196302999999999</v>
      </c>
      <c r="CF18" s="1509">
        <v>0.204754836</v>
      </c>
      <c r="CG18" s="1509">
        <v>0.712378234</v>
      </c>
      <c r="CH18" s="1509">
        <v>8.9989639999999996E-2</v>
      </c>
      <c r="CI18" s="1509">
        <v>0.43708029300000001</v>
      </c>
      <c r="CJ18" s="1509">
        <v>9.5375690999999999E-2</v>
      </c>
      <c r="CK18" s="1509">
        <v>0.261970808</v>
      </c>
      <c r="CL18" s="1509">
        <v>0.298543689</v>
      </c>
      <c r="CM18" s="1509">
        <v>0.73771378300000001</v>
      </c>
      <c r="CN18" s="1509">
        <v>0.59293712200000004</v>
      </c>
      <c r="CO18" s="1509">
        <v>0.90456013700000004</v>
      </c>
      <c r="CP18" s="1509">
        <v>0.65644931500000003</v>
      </c>
      <c r="CQ18" s="1509">
        <v>0.165162367</v>
      </c>
      <c r="CR18" s="1509">
        <v>0.50479611800000002</v>
      </c>
      <c r="CS18" s="1509">
        <v>0.85712262699999997</v>
      </c>
      <c r="CT18" s="1509">
        <v>0.85530405200000004</v>
      </c>
      <c r="CU18" s="1509">
        <v>0.89435869199999996</v>
      </c>
      <c r="CV18" s="1509">
        <v>0.21126962099999999</v>
      </c>
      <c r="CW18" s="1509">
        <v>0.24808467100000001</v>
      </c>
      <c r="CX18" s="1509">
        <v>9.9564097000000004E-2</v>
      </c>
      <c r="CY18" s="1509">
        <v>1.6500000000000001E-5</v>
      </c>
      <c r="CZ18" s="1509">
        <v>0.20547765600000001</v>
      </c>
      <c r="DA18" s="1509">
        <v>6.7214359000000001E-2</v>
      </c>
      <c r="DB18" s="1509">
        <v>0.55772220100000003</v>
      </c>
      <c r="DC18" s="1509">
        <v>0.71566147599999996</v>
      </c>
      <c r="DD18" s="1509">
        <v>0.52918073200000004</v>
      </c>
      <c r="DE18" s="1509">
        <v>0.73641221899999998</v>
      </c>
      <c r="DF18" s="1509">
        <v>0.45246001200000002</v>
      </c>
      <c r="DG18" s="1509">
        <v>3.7104829999999998E-2</v>
      </c>
      <c r="DH18" s="1509">
        <v>6.3779100000000005E-2</v>
      </c>
      <c r="DI18" s="1509">
        <v>4.1942990000000003E-3</v>
      </c>
      <c r="DJ18" s="1509">
        <v>2.7677785999999999E-2</v>
      </c>
      <c r="DK18" s="1509">
        <v>5.8785935999999997E-2</v>
      </c>
      <c r="DL18" s="1509">
        <v>0.51914541299999994</v>
      </c>
      <c r="DM18" s="1509">
        <v>6.4996680000000001E-2</v>
      </c>
      <c r="DN18" s="1509">
        <v>0.73221801799999997</v>
      </c>
      <c r="DO18" s="1509">
        <v>0.76688571900000002</v>
      </c>
      <c r="DP18" s="1509">
        <v>1.8025789999999999E-3</v>
      </c>
      <c r="DQ18" s="1509">
        <v>0.10308568799999999</v>
      </c>
      <c r="DR18" s="1509">
        <v>7.3545236999999999E-2</v>
      </c>
      <c r="DS18" s="1509">
        <v>0.87330052300000005</v>
      </c>
      <c r="DT18" s="1509">
        <v>0.28637523100000001</v>
      </c>
      <c r="DU18" s="1509">
        <v>9.1804488000000004E-2</v>
      </c>
      <c r="DV18" s="1509">
        <v>3.5335505000000003E-2</v>
      </c>
      <c r="DW18" s="1509">
        <v>7.4571658999999998E-2</v>
      </c>
      <c r="DX18" s="1509">
        <v>0.95991360100000001</v>
      </c>
      <c r="DY18" s="1509">
        <v>0.41872509499999999</v>
      </c>
      <c r="DZ18" s="1509">
        <v>0.92293264900000005</v>
      </c>
      <c r="EA18" s="1509">
        <v>3.3298109999999998E-3</v>
      </c>
      <c r="EB18" s="1509">
        <v>4.7901557999999997E-2</v>
      </c>
      <c r="EC18" s="1509">
        <v>0.67448256299999998</v>
      </c>
      <c r="ED18" s="1509">
        <v>0.10150107</v>
      </c>
      <c r="EE18" s="1509">
        <v>0.67831380100000005</v>
      </c>
      <c r="EF18" s="1509">
        <v>0.76688571900000002</v>
      </c>
      <c r="EG18" s="1509">
        <v>0.964598434</v>
      </c>
      <c r="EH18" s="1509">
        <v>3.6000483999999999E-2</v>
      </c>
      <c r="EI18" s="1509">
        <v>5.2613518999999997E-2</v>
      </c>
      <c r="EJ18" s="1509">
        <v>0.199040678</v>
      </c>
      <c r="EK18" s="1509">
        <v>0.35129051700000002</v>
      </c>
      <c r="EL18" s="1509">
        <v>0.45701303399999998</v>
      </c>
      <c r="EM18" s="1509">
        <v>0.53228046600000001</v>
      </c>
      <c r="EN18" s="1509">
        <v>9.8630414E-2</v>
      </c>
      <c r="EO18" s="1509">
        <v>9.0600539999999997E-3</v>
      </c>
      <c r="EP18" s="1509">
        <v>0.47809866099999998</v>
      </c>
      <c r="EQ18" s="1509">
        <v>0.77934100699999997</v>
      </c>
      <c r="ER18" s="1509">
        <v>0.94218787800000003</v>
      </c>
      <c r="ES18" s="1509">
        <v>0.94218787800000003</v>
      </c>
      <c r="ET18" s="1509">
        <v>0.17273018900000001</v>
      </c>
      <c r="EU18" s="1509">
        <v>0.77297879000000003</v>
      </c>
      <c r="EV18" s="1509">
        <v>3.7075821000000002E-2</v>
      </c>
      <c r="EW18" s="1509">
        <v>0.54525743000000004</v>
      </c>
      <c r="EX18" s="1509">
        <v>0.21685599799999999</v>
      </c>
      <c r="EY18" s="1509">
        <v>2.7519097999999999E-2</v>
      </c>
      <c r="EZ18" s="1509">
        <v>0.97403739499999997</v>
      </c>
      <c r="FA18" s="1509">
        <v>0.93479444700000003</v>
      </c>
      <c r="FB18" s="1509">
        <v>0.101101144</v>
      </c>
      <c r="FC18" s="1509">
        <v>0.20080135599999999</v>
      </c>
      <c r="FD18" s="1509">
        <v>0.10854082700000001</v>
      </c>
      <c r="FE18" s="1509">
        <v>2.5378112000000001E-2</v>
      </c>
      <c r="FF18" s="1509">
        <v>0.61408953700000002</v>
      </c>
      <c r="FG18" s="1509">
        <v>0.42550979999999999</v>
      </c>
      <c r="FH18" s="1509">
        <v>8.1899999999999999E-5</v>
      </c>
      <c r="FI18" s="1509">
        <v>9.7423578999999996E-2</v>
      </c>
      <c r="FJ18" s="1509">
        <v>7.0118660000000003E-3</v>
      </c>
      <c r="FK18" s="1509">
        <v>0.88361346100000004</v>
      </c>
      <c r="FL18" s="1509">
        <v>6.1341623999999997E-2</v>
      </c>
      <c r="FM18" s="1509">
        <v>5.0853016000000001E-2</v>
      </c>
      <c r="FN18" s="1509">
        <v>0.21656319199999999</v>
      </c>
      <c r="FO18" s="1509">
        <v>0.55701339900000002</v>
      </c>
      <c r="FP18" s="1509">
        <v>0.65849666299999998</v>
      </c>
      <c r="FQ18" s="1509">
        <v>0.962222307</v>
      </c>
      <c r="FR18" s="1509">
        <v>1.2581732E-2</v>
      </c>
      <c r="FS18" s="1509">
        <v>0.52567918000000002</v>
      </c>
      <c r="FT18" s="1509">
        <v>9.4371729000000001E-2</v>
      </c>
      <c r="FU18" s="1509">
        <v>1.3710116E-2</v>
      </c>
    </row>
    <row r="19" spans="1:177" s="1509" customFormat="1" x14ac:dyDescent="0.2">
      <c r="A19" s="1512" t="s">
        <v>675</v>
      </c>
      <c r="B19" s="1512" t="s">
        <v>1287</v>
      </c>
      <c r="C19" s="1509">
        <v>0</v>
      </c>
      <c r="D19" s="1509">
        <v>0</v>
      </c>
      <c r="E19" s="1509">
        <v>0</v>
      </c>
      <c r="F19" s="1509">
        <v>0</v>
      </c>
      <c r="G19" s="1509">
        <v>0</v>
      </c>
      <c r="H19" s="1509">
        <v>0</v>
      </c>
      <c r="I19" s="1509">
        <v>0</v>
      </c>
      <c r="J19" s="1509">
        <v>0</v>
      </c>
      <c r="K19" s="1509">
        <v>0</v>
      </c>
      <c r="L19" s="1509">
        <v>0</v>
      </c>
      <c r="M19" s="1509">
        <v>0</v>
      </c>
      <c r="N19" s="1509">
        <v>0</v>
      </c>
      <c r="O19" s="1509">
        <v>0</v>
      </c>
      <c r="P19" s="1509">
        <v>0</v>
      </c>
      <c r="Q19" s="1509">
        <v>1</v>
      </c>
      <c r="R19" s="1509">
        <v>0</v>
      </c>
      <c r="S19" s="1509">
        <v>0</v>
      </c>
      <c r="T19" s="1509">
        <v>0</v>
      </c>
      <c r="U19" s="1509">
        <v>0</v>
      </c>
      <c r="V19" s="1509">
        <v>0</v>
      </c>
      <c r="W19" s="1509">
        <v>0</v>
      </c>
      <c r="X19" s="1509">
        <v>0</v>
      </c>
      <c r="Y19" s="1509">
        <v>0</v>
      </c>
      <c r="Z19" s="1509">
        <v>0</v>
      </c>
      <c r="AA19" s="1509">
        <v>0.99422751600000003</v>
      </c>
      <c r="AB19" s="1509">
        <v>0</v>
      </c>
      <c r="AC19" s="1509">
        <v>0</v>
      </c>
      <c r="AD19" s="1509">
        <v>0</v>
      </c>
      <c r="AE19" s="1509">
        <v>0</v>
      </c>
      <c r="AF19" s="1509">
        <v>0</v>
      </c>
      <c r="AG19" s="1509">
        <v>0</v>
      </c>
      <c r="AH19" s="1509">
        <v>0</v>
      </c>
      <c r="AI19" s="1509">
        <v>0</v>
      </c>
      <c r="AJ19" s="1509">
        <v>0</v>
      </c>
      <c r="AK19" s="1509">
        <v>0</v>
      </c>
      <c r="AL19" s="1509">
        <v>0.930281307</v>
      </c>
      <c r="AM19" s="1509">
        <v>0.91872617499999998</v>
      </c>
      <c r="AN19" s="1509">
        <v>1</v>
      </c>
      <c r="AO19" s="1509">
        <v>0</v>
      </c>
      <c r="AP19" s="1509">
        <v>0</v>
      </c>
      <c r="AQ19" s="1509">
        <v>1</v>
      </c>
      <c r="AR19" s="1509">
        <v>0</v>
      </c>
      <c r="AS19" s="1509">
        <v>0</v>
      </c>
      <c r="AT19" s="1509">
        <v>0</v>
      </c>
      <c r="AU19" s="1509">
        <v>0</v>
      </c>
      <c r="AV19" s="1509">
        <v>0</v>
      </c>
      <c r="AW19" s="1509">
        <v>0</v>
      </c>
      <c r="AX19" s="1509">
        <v>0</v>
      </c>
      <c r="AY19" s="1509">
        <v>0.98644409200000005</v>
      </c>
      <c r="AZ19" s="1509">
        <v>0</v>
      </c>
      <c r="BA19" s="1509">
        <v>0</v>
      </c>
      <c r="BB19" s="1509">
        <v>0</v>
      </c>
      <c r="BC19" s="1509">
        <v>0</v>
      </c>
      <c r="BD19" s="1509">
        <v>0</v>
      </c>
      <c r="BE19" s="1509">
        <v>0</v>
      </c>
      <c r="BF19" s="1509">
        <v>0</v>
      </c>
      <c r="BG19" s="1509">
        <v>0</v>
      </c>
      <c r="BH19" s="1509">
        <v>0</v>
      </c>
      <c r="BI19" s="1509">
        <v>0</v>
      </c>
      <c r="BJ19" s="1509">
        <v>0</v>
      </c>
      <c r="BK19" s="1509">
        <v>0</v>
      </c>
      <c r="BL19" s="1509">
        <v>0</v>
      </c>
      <c r="BM19" s="1509">
        <v>0</v>
      </c>
      <c r="BN19" s="1509">
        <v>0</v>
      </c>
      <c r="BO19" s="1509">
        <v>0</v>
      </c>
      <c r="BP19" s="1509">
        <v>0</v>
      </c>
      <c r="BQ19" s="1509">
        <v>0</v>
      </c>
      <c r="BR19" s="1509">
        <v>0</v>
      </c>
      <c r="BS19" s="1509">
        <v>0</v>
      </c>
      <c r="BT19" s="1509">
        <v>0</v>
      </c>
      <c r="BU19" s="1509">
        <v>0</v>
      </c>
      <c r="BV19" s="1509">
        <v>0</v>
      </c>
      <c r="BW19" s="1509">
        <v>0</v>
      </c>
      <c r="BX19" s="1509">
        <v>0</v>
      </c>
      <c r="BY19" s="1509">
        <v>0</v>
      </c>
      <c r="BZ19" s="1509">
        <v>0</v>
      </c>
      <c r="CA19" s="1509">
        <v>0</v>
      </c>
      <c r="CB19" s="1509">
        <v>0</v>
      </c>
      <c r="CC19" s="1509">
        <v>0</v>
      </c>
      <c r="CD19" s="1509">
        <v>0</v>
      </c>
      <c r="CE19" s="1509">
        <v>0.92241874499999998</v>
      </c>
      <c r="CF19" s="1509">
        <v>0</v>
      </c>
      <c r="CG19" s="1509">
        <v>0</v>
      </c>
      <c r="CH19" s="1509">
        <v>0</v>
      </c>
      <c r="CI19" s="1509">
        <v>0</v>
      </c>
      <c r="CJ19" s="1509">
        <v>0</v>
      </c>
      <c r="CK19" s="1509">
        <v>0</v>
      </c>
      <c r="CL19" s="1509">
        <v>0</v>
      </c>
      <c r="CM19" s="1509">
        <v>0</v>
      </c>
      <c r="CN19" s="1509">
        <v>0</v>
      </c>
      <c r="CO19" s="1509">
        <v>0</v>
      </c>
      <c r="CP19" s="1509">
        <v>0</v>
      </c>
      <c r="CQ19" s="1509">
        <v>0</v>
      </c>
      <c r="CR19" s="1509">
        <v>0.99605726999999999</v>
      </c>
      <c r="CS19" s="1509">
        <v>0</v>
      </c>
      <c r="CT19" s="1509">
        <v>0</v>
      </c>
      <c r="CU19" s="1509">
        <v>0</v>
      </c>
      <c r="CV19" s="1509">
        <v>0</v>
      </c>
      <c r="CW19" s="1509">
        <v>0</v>
      </c>
      <c r="CX19" s="1509">
        <v>0</v>
      </c>
      <c r="CY19" s="1509">
        <v>0</v>
      </c>
      <c r="CZ19" s="1509">
        <v>0.67228015399999996</v>
      </c>
      <c r="DA19" s="1509">
        <v>0</v>
      </c>
      <c r="DB19" s="1509">
        <v>0</v>
      </c>
      <c r="DC19" s="1509">
        <v>0</v>
      </c>
      <c r="DD19" s="1509">
        <v>0</v>
      </c>
      <c r="DE19" s="1509">
        <v>0</v>
      </c>
      <c r="DF19" s="1509">
        <v>0</v>
      </c>
      <c r="DG19" s="1509">
        <v>0</v>
      </c>
      <c r="DH19" s="1509">
        <v>0</v>
      </c>
      <c r="DI19" s="1509">
        <v>0</v>
      </c>
      <c r="DJ19" s="1509">
        <v>0</v>
      </c>
      <c r="DK19" s="1509">
        <v>0</v>
      </c>
      <c r="DL19" s="1509">
        <v>0</v>
      </c>
      <c r="DM19" s="1509">
        <v>0</v>
      </c>
      <c r="DN19" s="1509">
        <v>0</v>
      </c>
      <c r="DO19" s="1509">
        <v>0</v>
      </c>
      <c r="DP19" s="1509">
        <v>0</v>
      </c>
      <c r="DQ19" s="1509">
        <v>0</v>
      </c>
      <c r="DR19" s="1509">
        <v>0</v>
      </c>
      <c r="DS19" s="1509">
        <v>0</v>
      </c>
      <c r="DT19" s="1509">
        <v>0</v>
      </c>
      <c r="DU19" s="1509">
        <v>0</v>
      </c>
      <c r="DV19" s="1509">
        <v>0</v>
      </c>
      <c r="DW19" s="1509">
        <v>0</v>
      </c>
      <c r="DX19" s="1509">
        <v>0</v>
      </c>
      <c r="DY19" s="1509">
        <v>0</v>
      </c>
      <c r="DZ19" s="1509">
        <v>0</v>
      </c>
      <c r="EA19" s="1509">
        <v>0</v>
      </c>
      <c r="EB19" s="1509">
        <v>0</v>
      </c>
      <c r="EC19" s="1509">
        <v>0</v>
      </c>
      <c r="ED19" s="1509">
        <v>0</v>
      </c>
      <c r="EE19" s="1509">
        <v>0.94819959300000001</v>
      </c>
      <c r="EF19" s="1509">
        <v>0.98706602399999999</v>
      </c>
      <c r="EG19" s="1509">
        <v>0</v>
      </c>
      <c r="EH19" s="1509">
        <v>0</v>
      </c>
      <c r="EI19" s="1509">
        <v>0.94819959300000001</v>
      </c>
      <c r="EJ19" s="1509">
        <v>0</v>
      </c>
      <c r="EK19" s="1509">
        <v>0</v>
      </c>
      <c r="EL19" s="1509">
        <v>0</v>
      </c>
      <c r="EM19" s="1509">
        <v>0</v>
      </c>
      <c r="EN19" s="1509">
        <v>0</v>
      </c>
      <c r="EO19" s="1509">
        <v>0</v>
      </c>
      <c r="EP19" s="1509">
        <v>0</v>
      </c>
      <c r="EQ19" s="1509">
        <v>0</v>
      </c>
      <c r="ER19" s="1509">
        <v>0</v>
      </c>
      <c r="ES19" s="1509">
        <v>0</v>
      </c>
      <c r="ET19" s="1509">
        <v>0</v>
      </c>
      <c r="EU19" s="1509">
        <v>0</v>
      </c>
      <c r="EV19" s="1509">
        <v>0</v>
      </c>
      <c r="EW19" s="1509">
        <v>0</v>
      </c>
      <c r="EX19" s="1509">
        <v>0</v>
      </c>
      <c r="EY19" s="1509">
        <v>0</v>
      </c>
      <c r="EZ19" s="1509">
        <v>0</v>
      </c>
      <c r="FA19" s="1509">
        <v>0</v>
      </c>
      <c r="FB19" s="1509">
        <v>0</v>
      </c>
      <c r="FC19" s="1509">
        <v>0</v>
      </c>
      <c r="FD19" s="1509">
        <v>0</v>
      </c>
      <c r="FE19" s="1509">
        <v>0</v>
      </c>
      <c r="FF19" s="1509">
        <v>0</v>
      </c>
      <c r="FG19" s="1509">
        <v>0</v>
      </c>
      <c r="FH19" s="1509">
        <v>0</v>
      </c>
      <c r="FI19" s="1509">
        <v>0</v>
      </c>
      <c r="FJ19" s="1509">
        <v>0</v>
      </c>
      <c r="FK19" s="1509">
        <v>0</v>
      </c>
      <c r="FL19" s="1509">
        <v>0</v>
      </c>
      <c r="FM19" s="1509">
        <v>0</v>
      </c>
      <c r="FN19" s="1509">
        <v>0</v>
      </c>
      <c r="FO19" s="1509">
        <v>0</v>
      </c>
      <c r="FP19" s="1509">
        <v>0</v>
      </c>
      <c r="FQ19" s="1509">
        <v>0</v>
      </c>
      <c r="FR19" s="1509">
        <v>0</v>
      </c>
      <c r="FS19" s="1509">
        <v>0</v>
      </c>
      <c r="FT19" s="1509">
        <v>0</v>
      </c>
      <c r="FU19" s="1509">
        <v>0</v>
      </c>
    </row>
    <row r="20" spans="1:177" s="1509" customFormat="1" x14ac:dyDescent="0.2">
      <c r="A20" s="1512" t="s">
        <v>675</v>
      </c>
      <c r="B20" s="1512" t="s">
        <v>1029</v>
      </c>
      <c r="C20" s="1509">
        <v>0</v>
      </c>
      <c r="D20" s="1509">
        <v>0</v>
      </c>
      <c r="E20" s="1509">
        <v>0</v>
      </c>
      <c r="F20" s="1509">
        <v>0</v>
      </c>
      <c r="G20" s="1509">
        <v>0</v>
      </c>
      <c r="H20" s="1509">
        <v>0</v>
      </c>
      <c r="I20" s="1509">
        <v>0</v>
      </c>
      <c r="J20" s="1509">
        <v>0</v>
      </c>
      <c r="K20" s="1509">
        <v>0</v>
      </c>
      <c r="L20" s="1509">
        <v>0</v>
      </c>
      <c r="M20" s="1509">
        <v>0</v>
      </c>
      <c r="N20" s="1509">
        <v>0</v>
      </c>
      <c r="O20" s="1509">
        <v>0</v>
      </c>
      <c r="P20" s="1509">
        <v>1</v>
      </c>
      <c r="Q20" s="1509">
        <v>0</v>
      </c>
      <c r="R20" s="1509">
        <v>0</v>
      </c>
      <c r="S20" s="1509">
        <v>1</v>
      </c>
      <c r="T20" s="1509">
        <v>1</v>
      </c>
      <c r="U20" s="1509">
        <v>1</v>
      </c>
      <c r="V20" s="1509">
        <v>0</v>
      </c>
      <c r="W20" s="1509">
        <v>1</v>
      </c>
      <c r="X20" s="1509">
        <v>1</v>
      </c>
      <c r="Y20" s="1509">
        <v>1</v>
      </c>
      <c r="Z20" s="1509">
        <v>1</v>
      </c>
      <c r="AA20" s="1509">
        <v>0</v>
      </c>
      <c r="AB20" s="1509">
        <v>0</v>
      </c>
      <c r="AC20" s="1509">
        <v>0</v>
      </c>
      <c r="AD20" s="1509">
        <v>0</v>
      </c>
      <c r="AE20" s="1509">
        <v>0</v>
      </c>
      <c r="AF20" s="1509">
        <v>1</v>
      </c>
      <c r="AG20" s="1509">
        <v>0</v>
      </c>
      <c r="AH20" s="1509">
        <v>1</v>
      </c>
      <c r="AI20" s="1509">
        <v>1</v>
      </c>
      <c r="AJ20" s="1509">
        <v>0</v>
      </c>
      <c r="AK20" s="1509">
        <v>0</v>
      </c>
      <c r="AL20" s="1509">
        <v>0</v>
      </c>
      <c r="AM20" s="1509">
        <v>0</v>
      </c>
      <c r="AN20" s="1509">
        <v>0</v>
      </c>
      <c r="AO20" s="1509">
        <v>1</v>
      </c>
      <c r="AP20" s="1509">
        <v>1</v>
      </c>
      <c r="AQ20" s="1509">
        <v>0</v>
      </c>
      <c r="AR20" s="1509">
        <v>1</v>
      </c>
      <c r="AS20" s="1509">
        <v>1</v>
      </c>
      <c r="AT20" s="1509">
        <v>0</v>
      </c>
      <c r="AU20" s="1509">
        <v>0</v>
      </c>
      <c r="AV20" s="1509">
        <v>1</v>
      </c>
      <c r="AW20" s="1509">
        <v>0</v>
      </c>
      <c r="AX20" s="1509">
        <v>1</v>
      </c>
      <c r="AY20" s="1509">
        <v>0</v>
      </c>
      <c r="AZ20" s="1509">
        <v>0</v>
      </c>
      <c r="BA20" s="1509">
        <v>0</v>
      </c>
      <c r="BB20" s="1509">
        <v>0</v>
      </c>
      <c r="BC20" s="1509">
        <v>0</v>
      </c>
      <c r="BD20" s="1509">
        <v>0</v>
      </c>
      <c r="BE20" s="1509">
        <v>1</v>
      </c>
      <c r="BF20" s="1509">
        <v>0</v>
      </c>
      <c r="BG20" s="1509">
        <v>0</v>
      </c>
      <c r="BH20" s="1509">
        <v>1</v>
      </c>
      <c r="BI20" s="1509">
        <v>1</v>
      </c>
      <c r="BJ20" s="1509">
        <v>0</v>
      </c>
      <c r="BK20" s="1509">
        <v>0</v>
      </c>
      <c r="BL20" s="1509">
        <v>0</v>
      </c>
      <c r="BM20" s="1509">
        <v>0</v>
      </c>
      <c r="BN20" s="1509">
        <v>1</v>
      </c>
      <c r="BO20" s="1509">
        <v>1</v>
      </c>
      <c r="BP20" s="1509">
        <v>1</v>
      </c>
      <c r="BQ20" s="1509">
        <v>1</v>
      </c>
      <c r="BR20" s="1509">
        <v>0</v>
      </c>
      <c r="BS20" s="1509">
        <v>1</v>
      </c>
      <c r="BT20" s="1509">
        <v>1</v>
      </c>
      <c r="BU20" s="1509">
        <v>0</v>
      </c>
      <c r="BV20" s="1509">
        <v>0</v>
      </c>
      <c r="BW20" s="1509">
        <v>1</v>
      </c>
      <c r="BX20" s="1509">
        <v>0</v>
      </c>
      <c r="BY20" s="1509">
        <v>0</v>
      </c>
      <c r="BZ20" s="1509">
        <v>0</v>
      </c>
      <c r="CA20" s="1509">
        <v>1</v>
      </c>
      <c r="CB20" s="1509">
        <v>1</v>
      </c>
      <c r="CC20" s="1509">
        <v>1</v>
      </c>
      <c r="CD20" s="1509">
        <v>1</v>
      </c>
      <c r="CE20" s="1509">
        <v>1</v>
      </c>
      <c r="CF20" s="1509">
        <v>1</v>
      </c>
      <c r="CG20" s="1509">
        <v>0</v>
      </c>
      <c r="CH20" s="1509">
        <v>1</v>
      </c>
      <c r="CI20" s="1509">
        <v>1</v>
      </c>
      <c r="CJ20" s="1509">
        <v>1</v>
      </c>
      <c r="CK20" s="1509">
        <v>1</v>
      </c>
      <c r="CL20" s="1509">
        <v>1</v>
      </c>
      <c r="CM20" s="1509">
        <v>0</v>
      </c>
      <c r="CN20" s="1509">
        <v>1</v>
      </c>
      <c r="CO20" s="1509">
        <v>0</v>
      </c>
      <c r="CP20" s="1509">
        <v>1</v>
      </c>
      <c r="CQ20" s="1509">
        <v>1</v>
      </c>
      <c r="CR20" s="1509">
        <v>1</v>
      </c>
      <c r="CS20" s="1509">
        <v>0</v>
      </c>
      <c r="CT20" s="1509">
        <v>0</v>
      </c>
      <c r="CU20" s="1509">
        <v>0</v>
      </c>
      <c r="CV20" s="1509">
        <v>1</v>
      </c>
      <c r="CW20" s="1509">
        <v>0</v>
      </c>
      <c r="CX20" s="1509">
        <v>0</v>
      </c>
      <c r="CY20" s="1509">
        <v>0</v>
      </c>
      <c r="CZ20" s="1509">
        <v>0</v>
      </c>
      <c r="DA20" s="1509">
        <v>0</v>
      </c>
      <c r="DB20" s="1509">
        <v>0</v>
      </c>
      <c r="DC20" s="1509">
        <v>0</v>
      </c>
      <c r="DD20" s="1509">
        <v>0</v>
      </c>
      <c r="DE20" s="1509">
        <v>0</v>
      </c>
      <c r="DF20" s="1509">
        <v>1</v>
      </c>
      <c r="DG20" s="1509">
        <v>0</v>
      </c>
      <c r="DH20" s="1509">
        <v>0</v>
      </c>
      <c r="DI20" s="1509">
        <v>0</v>
      </c>
      <c r="DJ20" s="1509">
        <v>1</v>
      </c>
      <c r="DK20" s="1509">
        <v>0</v>
      </c>
      <c r="DL20" s="1509">
        <v>1</v>
      </c>
      <c r="DM20" s="1509">
        <v>0</v>
      </c>
      <c r="DN20" s="1509">
        <v>0</v>
      </c>
      <c r="DO20" s="1509">
        <v>0</v>
      </c>
      <c r="DP20" s="1509">
        <v>0</v>
      </c>
      <c r="DQ20" s="1509">
        <v>0</v>
      </c>
      <c r="DR20" s="1509">
        <v>0</v>
      </c>
      <c r="DS20" s="1509">
        <v>1</v>
      </c>
      <c r="DT20" s="1509">
        <v>0</v>
      </c>
      <c r="DU20" s="1509">
        <v>1</v>
      </c>
      <c r="DV20" s="1509">
        <v>0</v>
      </c>
      <c r="DW20" s="1509">
        <v>1</v>
      </c>
      <c r="DX20" s="1509">
        <v>0</v>
      </c>
      <c r="DY20" s="1509">
        <v>0</v>
      </c>
      <c r="DZ20" s="1509">
        <v>0</v>
      </c>
      <c r="EA20" s="1509">
        <v>1</v>
      </c>
      <c r="EB20" s="1509">
        <v>1</v>
      </c>
      <c r="EC20" s="1509">
        <v>1</v>
      </c>
      <c r="ED20" s="1509">
        <v>1</v>
      </c>
      <c r="EE20" s="1509">
        <v>1</v>
      </c>
      <c r="EF20" s="1509">
        <v>0</v>
      </c>
      <c r="EG20" s="1509">
        <v>0</v>
      </c>
      <c r="EH20" s="1509">
        <v>1</v>
      </c>
      <c r="EI20" s="1509">
        <v>1</v>
      </c>
      <c r="EJ20" s="1509">
        <v>1</v>
      </c>
      <c r="EK20" s="1509">
        <v>0</v>
      </c>
      <c r="EL20" s="1509">
        <v>0</v>
      </c>
      <c r="EM20" s="1509">
        <v>1</v>
      </c>
      <c r="EN20" s="1509">
        <v>1</v>
      </c>
      <c r="EO20" s="1509">
        <v>1</v>
      </c>
      <c r="EP20" s="1509">
        <v>0</v>
      </c>
      <c r="EQ20" s="1509">
        <v>1</v>
      </c>
      <c r="ER20" s="1509">
        <v>0</v>
      </c>
      <c r="ES20" s="1509">
        <v>0</v>
      </c>
      <c r="ET20" s="1509">
        <v>1</v>
      </c>
      <c r="EU20" s="1509">
        <v>1</v>
      </c>
      <c r="EV20" s="1509">
        <v>0</v>
      </c>
      <c r="EW20" s="1509">
        <v>1</v>
      </c>
      <c r="EX20" s="1509">
        <v>0</v>
      </c>
      <c r="EY20" s="1509">
        <v>1</v>
      </c>
      <c r="EZ20" s="1509">
        <v>1</v>
      </c>
      <c r="FA20" s="1509">
        <v>1</v>
      </c>
      <c r="FB20" s="1509">
        <v>1</v>
      </c>
      <c r="FC20" s="1509">
        <v>1</v>
      </c>
      <c r="FD20" s="1509">
        <v>0</v>
      </c>
      <c r="FE20" s="1509">
        <v>1</v>
      </c>
      <c r="FF20" s="1509">
        <v>0</v>
      </c>
      <c r="FG20" s="1509">
        <v>1</v>
      </c>
      <c r="FH20" s="1509">
        <v>0</v>
      </c>
      <c r="FI20" s="1509">
        <v>1</v>
      </c>
      <c r="FJ20" s="1509">
        <v>1</v>
      </c>
      <c r="FK20" s="1509">
        <v>1</v>
      </c>
      <c r="FL20" s="1509">
        <v>0</v>
      </c>
      <c r="FM20" s="1509">
        <v>0</v>
      </c>
      <c r="FN20" s="1509">
        <v>1</v>
      </c>
      <c r="FO20" s="1509">
        <v>1</v>
      </c>
      <c r="FP20" s="1509">
        <v>1</v>
      </c>
      <c r="FQ20" s="1509">
        <v>0</v>
      </c>
      <c r="FR20" s="1509">
        <v>1</v>
      </c>
      <c r="FS20" s="1509">
        <v>1</v>
      </c>
      <c r="FT20" s="1509">
        <v>1</v>
      </c>
      <c r="FU20" s="1509">
        <v>1</v>
      </c>
    </row>
    <row r="21" spans="1:177" s="1509" customFormat="1" x14ac:dyDescent="0.2">
      <c r="A21" s="1512" t="s">
        <v>675</v>
      </c>
      <c r="B21" s="1512" t="s">
        <v>1205</v>
      </c>
      <c r="C21" s="1509">
        <v>2.1938421999999957E-2</v>
      </c>
      <c r="D21" s="1509">
        <v>4.3045815000000043E-2</v>
      </c>
      <c r="E21" s="1509">
        <v>1</v>
      </c>
      <c r="F21" s="1509">
        <v>1</v>
      </c>
      <c r="G21" s="1509">
        <v>1</v>
      </c>
      <c r="H21" s="1509">
        <v>1</v>
      </c>
      <c r="I21" s="1509">
        <v>3.8052187000000015E-2</v>
      </c>
      <c r="J21" s="1509">
        <v>3.5555373000000001E-2</v>
      </c>
      <c r="K21" s="1509">
        <v>3.9252147999999987E-2</v>
      </c>
      <c r="L21" s="1509">
        <v>3.1512026000000026E-2</v>
      </c>
      <c r="M21" s="1509">
        <v>4.1327858000000051E-2</v>
      </c>
      <c r="N21" s="1509">
        <v>2.6801618999999999E-2</v>
      </c>
      <c r="O21" s="1509">
        <v>2.9268619999999967E-2</v>
      </c>
      <c r="P21" s="1509">
        <v>2.7084839000000027E-2</v>
      </c>
      <c r="Q21" s="1509">
        <v>1</v>
      </c>
      <c r="R21" s="1509">
        <v>4.6524663999999993E-2</v>
      </c>
      <c r="S21" s="1509">
        <v>1</v>
      </c>
      <c r="T21" s="1509">
        <v>2.3373157999999949E-2</v>
      </c>
      <c r="U21" s="1509">
        <v>2.2452691000000025E-2</v>
      </c>
      <c r="V21" s="1509">
        <v>3.5864679999999982E-2</v>
      </c>
      <c r="W21" s="1509">
        <v>3.1068561999999966E-2</v>
      </c>
      <c r="X21" s="1509">
        <v>1</v>
      </c>
      <c r="Y21" s="1509">
        <v>1</v>
      </c>
      <c r="Z21" s="1509">
        <v>1</v>
      </c>
      <c r="AA21" s="1509">
        <v>2.2348346999999991E-2</v>
      </c>
      <c r="AB21" s="1509">
        <v>4.9708953E-2</v>
      </c>
      <c r="AC21" s="1509">
        <v>1</v>
      </c>
      <c r="AD21" s="1509">
        <v>3.9319227000000012E-2</v>
      </c>
      <c r="AE21" s="1509">
        <v>4.6026408000000019E-2</v>
      </c>
      <c r="AF21" s="1509">
        <v>1.782054200000005E-2</v>
      </c>
      <c r="AG21" s="1509">
        <v>4.5032085999999971E-2</v>
      </c>
      <c r="AH21" s="1509">
        <v>2.1729733000000029E-2</v>
      </c>
      <c r="AI21" s="1509">
        <v>1</v>
      </c>
      <c r="AJ21" s="1509">
        <v>2.5225272000000021E-2</v>
      </c>
      <c r="AK21" s="1509">
        <v>4.6353387999999995E-2</v>
      </c>
      <c r="AL21" s="1509">
        <v>4.6267750000000052E-2</v>
      </c>
      <c r="AM21" s="1509">
        <v>4.6026408000000019E-2</v>
      </c>
      <c r="AN21" s="1509">
        <v>1</v>
      </c>
      <c r="AO21" s="1509">
        <v>3.9879113999999993E-2</v>
      </c>
      <c r="AP21" s="1509">
        <v>0</v>
      </c>
      <c r="AQ21" s="1509">
        <v>1</v>
      </c>
      <c r="AR21" s="1509">
        <v>2.1791934999999985E-2</v>
      </c>
      <c r="AS21" s="1509">
        <v>2.1807309000000052E-2</v>
      </c>
      <c r="AT21" s="1509">
        <v>2.5043429999999978E-2</v>
      </c>
      <c r="AU21" s="1509">
        <v>2.1223116000000042E-2</v>
      </c>
      <c r="AV21" s="1509">
        <v>3.8655894000000024E-2</v>
      </c>
      <c r="AW21" s="1509">
        <v>4.7741315000000006E-2</v>
      </c>
      <c r="AX21" s="1509">
        <v>9.4225740000000169E-3</v>
      </c>
      <c r="AY21" s="1509">
        <v>4.1465776999999981E-2</v>
      </c>
      <c r="AZ21" s="1509">
        <v>2.4849746000000006E-2</v>
      </c>
      <c r="BA21" s="1509">
        <v>1.6748122999999948E-2</v>
      </c>
      <c r="BB21" s="1509">
        <v>3.0304031000000009E-2</v>
      </c>
      <c r="BC21" s="1509">
        <v>1</v>
      </c>
      <c r="BD21" s="1509">
        <v>2.9547864999999951E-2</v>
      </c>
      <c r="BE21" s="1509">
        <v>1.6854718000000046E-2</v>
      </c>
      <c r="BF21" s="1509">
        <v>1</v>
      </c>
      <c r="BG21" s="1509">
        <v>1</v>
      </c>
      <c r="BH21" s="1509">
        <v>1.9009323999999994E-2</v>
      </c>
      <c r="BI21" s="1509">
        <v>2.0160839999999958E-2</v>
      </c>
      <c r="BJ21" s="1509">
        <v>3.7262150999999966E-2</v>
      </c>
      <c r="BK21" s="1509">
        <v>1.7731103999999998E-2</v>
      </c>
      <c r="BL21" s="1509">
        <v>1.7555954999999956E-2</v>
      </c>
      <c r="BM21" s="1509">
        <v>0</v>
      </c>
      <c r="BN21" s="1509">
        <v>2.5713454999999996E-2</v>
      </c>
      <c r="BO21" s="1509">
        <v>1.7757189999999978E-2</v>
      </c>
      <c r="BP21" s="1509">
        <v>2.3593026999999989E-2</v>
      </c>
      <c r="BQ21" s="1509">
        <v>3.3632454000000034E-2</v>
      </c>
      <c r="BR21" s="1509">
        <v>1</v>
      </c>
      <c r="BS21" s="1509">
        <v>1.7555954999999956E-2</v>
      </c>
      <c r="BT21" s="1509">
        <v>1.5724413000000048E-2</v>
      </c>
      <c r="BU21" s="1509">
        <v>1.6175725999999946E-2</v>
      </c>
      <c r="BV21" s="1509">
        <v>4.1212601999999987E-2</v>
      </c>
      <c r="BW21" s="1509">
        <v>0</v>
      </c>
      <c r="BX21" s="1509">
        <v>9.7284659999999912E-3</v>
      </c>
      <c r="BY21" s="1509">
        <v>4.9980609999999981E-3</v>
      </c>
      <c r="BZ21" s="1509">
        <v>4.9980609999999981E-3</v>
      </c>
      <c r="CA21" s="1509">
        <v>0</v>
      </c>
      <c r="CB21" s="1509">
        <v>0</v>
      </c>
      <c r="CC21" s="1509">
        <v>4.623660900000004E-2</v>
      </c>
      <c r="CD21" s="1509">
        <v>4.6291105999999971E-2</v>
      </c>
      <c r="CE21" s="1509">
        <v>4.6057549000000031E-2</v>
      </c>
      <c r="CF21" s="1509">
        <v>1</v>
      </c>
      <c r="CG21" s="1509">
        <v>1.9430428000000055E-2</v>
      </c>
      <c r="CH21" s="1509">
        <v>2.4058849999999965E-2</v>
      </c>
      <c r="CI21" s="1509">
        <v>4.8583523999999989E-2</v>
      </c>
      <c r="CJ21" s="1509">
        <v>4.243995300000003E-2</v>
      </c>
      <c r="CK21" s="1509">
        <v>1</v>
      </c>
      <c r="CL21" s="1509">
        <v>1</v>
      </c>
      <c r="CM21" s="1509">
        <v>1</v>
      </c>
      <c r="CN21" s="1509">
        <v>4.595634000000004E-2</v>
      </c>
      <c r="CO21" s="1509">
        <v>4.5909628999999952E-2</v>
      </c>
      <c r="CP21" s="1509">
        <v>4.5909628999999952E-2</v>
      </c>
      <c r="CQ21" s="1509">
        <v>2.0690015000000006E-2</v>
      </c>
      <c r="CR21" s="1509">
        <v>5.1982171999999993E-2</v>
      </c>
      <c r="CS21" s="1509">
        <v>2.4629017999999947E-2</v>
      </c>
      <c r="CT21" s="1509">
        <v>3.4709438000000037E-2</v>
      </c>
      <c r="CU21" s="1509">
        <v>1</v>
      </c>
      <c r="CV21" s="1509">
        <v>1</v>
      </c>
      <c r="CW21" s="1509">
        <v>1</v>
      </c>
      <c r="CX21" s="1509">
        <v>1</v>
      </c>
      <c r="CY21" s="1509">
        <v>1.4045748000000025E-2</v>
      </c>
      <c r="CZ21" s="1509">
        <v>1.0602443999999989E-2</v>
      </c>
      <c r="DA21" s="1509">
        <v>1.0586057000000038E-2</v>
      </c>
      <c r="DB21" s="1509">
        <v>7.9406543000000052E-2</v>
      </c>
      <c r="DC21" s="1509">
        <v>0.10140821799999999</v>
      </c>
      <c r="DD21" s="1509">
        <v>6.4671308999999955E-2</v>
      </c>
      <c r="DE21" s="1509">
        <v>8.1954395999999985E-2</v>
      </c>
      <c r="DF21" s="1509">
        <v>0.10121505900000005</v>
      </c>
      <c r="DG21" s="1509">
        <v>9.7489858999999957E-2</v>
      </c>
      <c r="DH21" s="1509">
        <v>1</v>
      </c>
      <c r="DI21" s="1509">
        <v>7.2839153999999962E-2</v>
      </c>
      <c r="DJ21" s="1509">
        <v>9.4826599999999761E-3</v>
      </c>
      <c r="DK21" s="1509">
        <v>5.9758239999999629E-3</v>
      </c>
      <c r="DL21" s="1509">
        <v>4.6057549000000031E-2</v>
      </c>
      <c r="DM21" s="1509">
        <v>4.5909628999999952E-2</v>
      </c>
      <c r="DN21" s="1509">
        <v>1</v>
      </c>
      <c r="DO21" s="1509">
        <v>2.6126631999999983E-2</v>
      </c>
      <c r="DP21" s="1509">
        <v>7.701929999999968E-3</v>
      </c>
      <c r="DQ21" s="1509">
        <v>5.8064899999999975E-3</v>
      </c>
      <c r="DR21" s="1509">
        <v>2.0380071000000055E-2</v>
      </c>
      <c r="DS21" s="1509">
        <v>1.3737839000000029E-2</v>
      </c>
      <c r="DT21" s="1509">
        <v>1.9713662999999992E-2</v>
      </c>
      <c r="DU21" s="1509">
        <v>3.9185070000000044E-2</v>
      </c>
      <c r="DV21" s="1509">
        <v>1</v>
      </c>
      <c r="DW21" s="1509">
        <v>1</v>
      </c>
      <c r="DX21" s="1509">
        <v>2.159976600000002E-2</v>
      </c>
      <c r="DY21" s="1509">
        <v>2.9346365999999957E-2</v>
      </c>
      <c r="DZ21" s="1509">
        <v>1</v>
      </c>
      <c r="EA21" s="1509">
        <v>1</v>
      </c>
      <c r="EB21" s="1509">
        <v>1</v>
      </c>
      <c r="EC21" s="1509">
        <v>1</v>
      </c>
      <c r="ED21" s="1509">
        <v>2.9667365000000001E-2</v>
      </c>
      <c r="EE21" s="1509">
        <v>1</v>
      </c>
      <c r="EF21" s="1509">
        <v>1</v>
      </c>
      <c r="EG21" s="1509">
        <v>1</v>
      </c>
      <c r="EH21" s="1509">
        <v>5.3106356000000021E-2</v>
      </c>
      <c r="EI21" s="1509">
        <v>1</v>
      </c>
      <c r="EJ21" s="1509">
        <v>1</v>
      </c>
      <c r="EK21" s="1509">
        <v>1</v>
      </c>
      <c r="EL21" s="1509">
        <v>8.8549380000000011E-2</v>
      </c>
      <c r="EM21" s="1509">
        <v>0.10241080199999997</v>
      </c>
      <c r="EN21" s="1509">
        <v>9.3120797999999949E-2</v>
      </c>
      <c r="EO21" s="1509">
        <v>1</v>
      </c>
      <c r="EP21" s="1509">
        <v>1</v>
      </c>
      <c r="EQ21" s="1509">
        <v>4.6781576999999963E-2</v>
      </c>
      <c r="ER21" s="1509">
        <v>1.4579617999999961E-2</v>
      </c>
      <c r="ES21" s="1509">
        <v>1.6583008999999982E-2</v>
      </c>
      <c r="ET21" s="1509">
        <v>1</v>
      </c>
      <c r="EU21" s="1509">
        <v>1</v>
      </c>
      <c r="EV21" s="1509">
        <v>4.4260681999999996E-2</v>
      </c>
      <c r="EW21" s="1509">
        <v>1</v>
      </c>
      <c r="EX21" s="1509">
        <v>1</v>
      </c>
      <c r="EY21" s="1509">
        <v>4.6892543000000009E-2</v>
      </c>
      <c r="EZ21" s="1509">
        <v>1</v>
      </c>
      <c r="FA21" s="1509">
        <v>4.6057549000000031E-2</v>
      </c>
      <c r="FB21" s="1509">
        <v>3.9528721000000044E-2</v>
      </c>
      <c r="FC21" s="1509">
        <v>1</v>
      </c>
      <c r="FD21" s="1509">
        <v>1</v>
      </c>
      <c r="FE21" s="1509">
        <v>4.8455628000000028E-2</v>
      </c>
      <c r="FF21" s="1509">
        <v>1</v>
      </c>
      <c r="FG21" s="1509">
        <v>1</v>
      </c>
      <c r="FH21" s="1509">
        <v>1</v>
      </c>
      <c r="FI21" s="1509">
        <v>1</v>
      </c>
      <c r="FJ21" s="1509">
        <v>2.9098693999999981E-2</v>
      </c>
      <c r="FK21" s="1509">
        <v>2.4662563000000026E-2</v>
      </c>
      <c r="FL21" s="1509">
        <v>1</v>
      </c>
      <c r="FM21" s="1509">
        <v>3.2313241999999964E-2</v>
      </c>
      <c r="FN21" s="1509">
        <v>2.1003047999999969E-2</v>
      </c>
      <c r="FO21" s="1509">
        <v>2.0500242999999974E-2</v>
      </c>
      <c r="FP21" s="1509">
        <v>1</v>
      </c>
      <c r="FQ21" s="1509">
        <v>1</v>
      </c>
      <c r="FR21" s="1509">
        <v>1</v>
      </c>
      <c r="FS21" s="1509">
        <v>3.8827935000000036E-2</v>
      </c>
      <c r="FT21" s="1509">
        <v>1</v>
      </c>
      <c r="FU21" s="1509">
        <v>4.929902900000005E-2</v>
      </c>
    </row>
    <row r="22" spans="1:177" s="1509" customFormat="1" x14ac:dyDescent="0.2">
      <c r="A22" s="1512" t="s">
        <v>675</v>
      </c>
      <c r="B22" s="1512" t="s">
        <v>1019</v>
      </c>
      <c r="C22" s="1509">
        <v>0.85532641200000004</v>
      </c>
      <c r="D22" s="1509">
        <v>0.90105537000000002</v>
      </c>
      <c r="E22" s="1509">
        <v>0.82918812600000003</v>
      </c>
      <c r="F22" s="1509">
        <v>0.48908042200000001</v>
      </c>
      <c r="G22" s="1509">
        <v>0.87769711800000005</v>
      </c>
      <c r="H22" s="1509">
        <v>0.87769711800000005</v>
      </c>
      <c r="I22" s="1509">
        <v>0.98559301200000005</v>
      </c>
      <c r="J22" s="1509">
        <v>0.98559301200000005</v>
      </c>
      <c r="K22" s="1509">
        <v>0.98559301200000005</v>
      </c>
      <c r="L22" s="1509">
        <v>0.98559301200000005</v>
      </c>
      <c r="M22" s="1509">
        <v>0.98559301200000005</v>
      </c>
      <c r="N22" s="1509">
        <v>0.98559301200000005</v>
      </c>
      <c r="O22" s="1509">
        <v>0.98559301200000005</v>
      </c>
      <c r="P22" s="1509">
        <v>0.98559301200000005</v>
      </c>
      <c r="Q22" s="1509">
        <v>0.77685691499999998</v>
      </c>
      <c r="R22" s="1509">
        <v>0.77685691499999998</v>
      </c>
      <c r="S22" s="1509">
        <v>0.70498468400000003</v>
      </c>
      <c r="T22" s="1509">
        <v>0.92613530499999996</v>
      </c>
      <c r="U22" s="1509">
        <v>0.45018670199999999</v>
      </c>
      <c r="V22" s="1509">
        <v>0.53609572900000002</v>
      </c>
      <c r="W22" s="1509">
        <v>0.42878863499999997</v>
      </c>
      <c r="X22" s="1509">
        <v>0.207805711</v>
      </c>
      <c r="Y22" s="1509">
        <v>0.17450492300000001</v>
      </c>
      <c r="Z22" s="1509">
        <v>0.28562804200000003</v>
      </c>
      <c r="AA22" s="1509">
        <v>0.98296576800000002</v>
      </c>
      <c r="AB22" s="1509">
        <v>0.97723427600000001</v>
      </c>
      <c r="AC22" s="1509">
        <v>0.97723427600000001</v>
      </c>
      <c r="AD22" s="1509">
        <v>0.97723427600000001</v>
      </c>
      <c r="AE22" s="1509">
        <v>0.75740192299999998</v>
      </c>
      <c r="AF22" s="1509">
        <v>0.91924857100000001</v>
      </c>
      <c r="AG22" s="1509">
        <v>0.97723427600000001</v>
      </c>
      <c r="AH22" s="1509">
        <v>0.92952650000000003</v>
      </c>
      <c r="AI22" s="1509">
        <v>0.96377756699999995</v>
      </c>
      <c r="AJ22" s="1509">
        <v>0.97911247599999995</v>
      </c>
      <c r="AK22" s="1509">
        <v>0.823763735</v>
      </c>
      <c r="AL22" s="1509">
        <v>0.62941523099999996</v>
      </c>
      <c r="AM22" s="1509">
        <v>0.31960493200000001</v>
      </c>
      <c r="AN22" s="1509">
        <v>0.57168433399999996</v>
      </c>
      <c r="AO22" s="1509">
        <v>0.57525190299999995</v>
      </c>
      <c r="AP22" s="1509">
        <v>0.128417159</v>
      </c>
      <c r="AQ22" s="1509">
        <v>0.99942610499999995</v>
      </c>
      <c r="AR22" s="1509">
        <v>0.88912632400000002</v>
      </c>
      <c r="AS22" s="1509">
        <v>0.92301720300000001</v>
      </c>
      <c r="AT22" s="1509">
        <v>0.90788199300000005</v>
      </c>
      <c r="AU22" s="1509">
        <v>0.895982905</v>
      </c>
      <c r="AV22" s="1509">
        <v>0.88570555500000003</v>
      </c>
      <c r="AW22" s="1509">
        <v>0.92952650000000003</v>
      </c>
      <c r="AX22" s="1509">
        <v>2.7787032999999999E-2</v>
      </c>
      <c r="AY22" s="1509">
        <v>0.103741497</v>
      </c>
      <c r="AZ22" s="1509">
        <v>0.68172511700000005</v>
      </c>
      <c r="BA22" s="1509">
        <v>0.43788939500000001</v>
      </c>
      <c r="BB22" s="1509">
        <v>0.40819628800000002</v>
      </c>
      <c r="BC22" s="1509">
        <v>0.86541270199999998</v>
      </c>
      <c r="BD22" s="1509">
        <v>0.85448983000000001</v>
      </c>
      <c r="BE22" s="1509">
        <v>0.903989241</v>
      </c>
      <c r="BF22" s="1509">
        <v>0.86541270199999998</v>
      </c>
      <c r="BG22" s="1509">
        <v>0.54333321700000003</v>
      </c>
      <c r="BH22" s="1509">
        <v>0.83215076300000002</v>
      </c>
      <c r="BI22" s="1509">
        <v>0.83215076300000002</v>
      </c>
      <c r="BJ22" s="1509">
        <v>0.21086523900000001</v>
      </c>
      <c r="BK22" s="1509">
        <v>0.545087985</v>
      </c>
      <c r="BL22" s="1509">
        <v>0.157496777</v>
      </c>
      <c r="BM22" s="1509">
        <v>0.73302350599999999</v>
      </c>
      <c r="BN22" s="1509">
        <v>0.22937147399999999</v>
      </c>
      <c r="BO22" s="1509">
        <v>0.25902020599999998</v>
      </c>
      <c r="BP22" s="1509">
        <v>0.57112565299999996</v>
      </c>
      <c r="BQ22" s="1509">
        <v>0.36446400499999998</v>
      </c>
      <c r="BR22" s="1509">
        <v>0.72829449000000002</v>
      </c>
      <c r="BS22" s="1509">
        <v>0.51499578899999998</v>
      </c>
      <c r="BT22" s="1509">
        <v>0.45662439700000002</v>
      </c>
      <c r="BU22" s="1509">
        <v>0.56741078300000003</v>
      </c>
      <c r="BV22" s="1509">
        <v>0.60629526899999997</v>
      </c>
      <c r="BW22" s="1509">
        <v>0.88136035700000004</v>
      </c>
      <c r="BX22" s="1509">
        <v>0.49734802299999997</v>
      </c>
      <c r="BY22" s="1509">
        <v>0.49734802299999997</v>
      </c>
      <c r="BZ22" s="1509">
        <v>0.49734802299999997</v>
      </c>
      <c r="CA22" s="1509">
        <v>0.70926424600000004</v>
      </c>
      <c r="CB22" s="1509">
        <v>0.885015628</v>
      </c>
      <c r="CC22" s="1509">
        <v>0.73302350599999999</v>
      </c>
      <c r="CD22" s="1509">
        <v>0.238756313</v>
      </c>
      <c r="CE22" s="1509">
        <v>8.1527455999999998E-2</v>
      </c>
      <c r="CF22" s="1509">
        <v>0.52543397000000003</v>
      </c>
      <c r="CG22" s="1509">
        <v>0.97479336100000002</v>
      </c>
      <c r="CH22" s="1509">
        <v>0.98621907900000005</v>
      </c>
      <c r="CI22" s="1509">
        <v>0.563646392</v>
      </c>
      <c r="CJ22" s="1509">
        <v>0.65516918700000004</v>
      </c>
      <c r="CK22" s="1509">
        <v>0.517381062</v>
      </c>
      <c r="CL22" s="1509">
        <v>0.517381062</v>
      </c>
      <c r="CM22" s="1509">
        <v>6.6132811999999999E-2</v>
      </c>
      <c r="CN22" s="1509">
        <v>0.31543494</v>
      </c>
      <c r="CO22" s="1509">
        <v>0.31543494</v>
      </c>
      <c r="CP22" s="1509">
        <v>0.31543494</v>
      </c>
      <c r="CQ22" s="1509">
        <v>0.98833578</v>
      </c>
      <c r="CR22" s="1509">
        <v>0.99691438499999996</v>
      </c>
      <c r="CS22" s="1509">
        <v>0.87769711800000005</v>
      </c>
      <c r="CT22" s="1509">
        <v>0.75931087900000005</v>
      </c>
      <c r="CU22" s="1509">
        <v>0.87769711800000005</v>
      </c>
      <c r="CV22" s="1509">
        <v>0.63443079499999999</v>
      </c>
      <c r="CW22" s="1509">
        <v>0.63443079499999999</v>
      </c>
      <c r="CX22" s="1509">
        <v>0.10495233700000001</v>
      </c>
      <c r="CY22" s="1509">
        <v>9.7599234000000007E-2</v>
      </c>
      <c r="CZ22" s="1509">
        <v>3.8902938999999997E-2</v>
      </c>
      <c r="DA22" s="1509">
        <v>3.1069913000000001E-2</v>
      </c>
      <c r="DB22" s="1509">
        <v>0.78443510299999997</v>
      </c>
      <c r="DC22" s="1509">
        <v>0.68342240099999996</v>
      </c>
      <c r="DD22" s="1509">
        <v>0.52220862999999995</v>
      </c>
      <c r="DE22" s="1509">
        <v>0.65676652700000004</v>
      </c>
      <c r="DF22" s="1509">
        <v>4.9890084000000001E-2</v>
      </c>
      <c r="DG22" s="1509">
        <v>0.79574867299999996</v>
      </c>
      <c r="DH22" s="1509">
        <v>0.74282324200000005</v>
      </c>
      <c r="DI22" s="1509">
        <v>0.66384900499999999</v>
      </c>
      <c r="DJ22" s="1509">
        <v>0.24245238199999999</v>
      </c>
      <c r="DK22" s="1509">
        <v>6.9022400999999997E-2</v>
      </c>
      <c r="DL22" s="1509">
        <v>0.97077275399999996</v>
      </c>
      <c r="DM22" s="1509">
        <v>0.92567118999999998</v>
      </c>
      <c r="DN22" s="1509">
        <v>0.81988435900000001</v>
      </c>
      <c r="DO22" s="1509">
        <v>0.97494110899999997</v>
      </c>
      <c r="DP22" s="1509">
        <v>2.0806135E-2</v>
      </c>
      <c r="DQ22" s="1509">
        <v>3.8902938999999997E-2</v>
      </c>
      <c r="DR22" s="1509">
        <v>4.0623582999999998E-2</v>
      </c>
      <c r="DS22" s="1509">
        <v>0.44288827800000002</v>
      </c>
      <c r="DT22" s="1509">
        <v>6.7077800000000007E-2</v>
      </c>
      <c r="DU22" s="1509">
        <v>0.45018670199999999</v>
      </c>
      <c r="DV22" s="1509">
        <v>0.97723427600000001</v>
      </c>
      <c r="DW22" s="1509">
        <v>0.42727775200000001</v>
      </c>
      <c r="DX22" s="1509">
        <v>0.90788199300000005</v>
      </c>
      <c r="DY22" s="1509">
        <v>0.47688946100000001</v>
      </c>
      <c r="DZ22" s="1509">
        <v>0.85448983000000001</v>
      </c>
      <c r="EA22" s="1509">
        <v>4.1614379999999999E-2</v>
      </c>
      <c r="EB22" s="1509">
        <v>0.22551072899999999</v>
      </c>
      <c r="EC22" s="1509">
        <v>0.34957255999999998</v>
      </c>
      <c r="ED22" s="1509">
        <v>0.55219458799999999</v>
      </c>
      <c r="EE22" s="1509">
        <v>0.90525389199999995</v>
      </c>
      <c r="EF22" s="1509">
        <v>0.57850648299999996</v>
      </c>
      <c r="EG22" s="1509">
        <v>0.49734802299999997</v>
      </c>
      <c r="EH22" s="1509">
        <v>0.86304845600000002</v>
      </c>
      <c r="EI22" s="1509">
        <v>0.43178444300000002</v>
      </c>
      <c r="EJ22" s="1509">
        <v>0.52543397000000003</v>
      </c>
      <c r="EK22" s="1509">
        <v>0.99691438499999996</v>
      </c>
      <c r="EL22" s="1509">
        <v>0.70467903499999995</v>
      </c>
      <c r="EM22" s="1509">
        <v>0.66530229299999999</v>
      </c>
      <c r="EN22" s="1509">
        <v>0.52656849299999997</v>
      </c>
      <c r="EO22" s="1509">
        <v>2.7226149999999998E-3</v>
      </c>
      <c r="EP22" s="1509">
        <v>0.49734802299999997</v>
      </c>
      <c r="EQ22" s="1509">
        <v>0.95370487800000003</v>
      </c>
      <c r="ER22" s="1509">
        <v>0.97494110899999997</v>
      </c>
      <c r="ES22" s="1509">
        <v>0.97494110899999997</v>
      </c>
      <c r="ET22" s="1509">
        <v>0.78207126999999999</v>
      </c>
      <c r="EU22" s="1509">
        <v>0.45760388000000002</v>
      </c>
      <c r="EV22" s="1509">
        <v>0.97723427600000001</v>
      </c>
      <c r="EW22" s="1509">
        <v>0.82160622400000005</v>
      </c>
      <c r="EX22" s="1509">
        <v>0.90978138799999997</v>
      </c>
      <c r="EY22" s="1509">
        <v>0.67561587700000003</v>
      </c>
      <c r="EZ22" s="1509">
        <v>0.49734802299999997</v>
      </c>
      <c r="FA22" s="1509">
        <v>0.19616122</v>
      </c>
      <c r="FB22" s="1509">
        <v>7.8483057999999994E-2</v>
      </c>
      <c r="FC22" s="1509">
        <v>0.224517315</v>
      </c>
      <c r="FD22" s="1509">
        <v>0.40819628800000002</v>
      </c>
      <c r="FE22" s="1509">
        <v>0.90978138799999997</v>
      </c>
      <c r="FF22" s="1509">
        <v>0.88973683100000001</v>
      </c>
      <c r="FG22" s="1509">
        <v>0.14561392200000001</v>
      </c>
      <c r="FH22" s="1509">
        <v>2.0806135E-2</v>
      </c>
      <c r="FI22" s="1509">
        <v>0.16595808000000001</v>
      </c>
      <c r="FJ22" s="1509">
        <v>0.95055368399999995</v>
      </c>
      <c r="FK22" s="1509">
        <v>0.50464027600000005</v>
      </c>
      <c r="FL22" s="1509">
        <v>0.680975726</v>
      </c>
      <c r="FM22" s="1509">
        <v>0.42878863499999997</v>
      </c>
      <c r="FN22" s="1509">
        <v>0.30852792299999998</v>
      </c>
      <c r="FO22" s="1509">
        <v>0.24956983899999999</v>
      </c>
      <c r="FP22" s="1509">
        <v>0.60915777400000004</v>
      </c>
      <c r="FQ22" s="1509">
        <v>0.49734802299999997</v>
      </c>
      <c r="FR22" s="1509">
        <v>0.40819628800000002</v>
      </c>
      <c r="FS22" s="1509">
        <v>0.14514689</v>
      </c>
      <c r="FT22" s="1509">
        <v>0.50590973100000003</v>
      </c>
      <c r="FU22" s="1509">
        <v>0.94045285499999998</v>
      </c>
    </row>
    <row r="23" spans="1:177" s="1509" customFormat="1" x14ac:dyDescent="0.2">
      <c r="A23" s="1512" t="s">
        <v>675</v>
      </c>
      <c r="B23" s="1512" t="s">
        <v>1077</v>
      </c>
      <c r="C23" s="1509">
        <v>0</v>
      </c>
      <c r="D23" s="1509">
        <v>0</v>
      </c>
      <c r="E23" s="1509">
        <v>0</v>
      </c>
      <c r="F23" s="1509">
        <v>0</v>
      </c>
      <c r="G23" s="1509">
        <v>0</v>
      </c>
      <c r="H23" s="1509">
        <v>0</v>
      </c>
      <c r="I23" s="1509">
        <v>0</v>
      </c>
      <c r="J23" s="1509">
        <v>0</v>
      </c>
      <c r="K23" s="1509">
        <v>1</v>
      </c>
      <c r="L23" s="1509">
        <v>0</v>
      </c>
      <c r="M23" s="1509">
        <v>0</v>
      </c>
      <c r="N23" s="1509">
        <v>1</v>
      </c>
      <c r="O23" s="1509">
        <v>1</v>
      </c>
      <c r="P23" s="1509">
        <v>1</v>
      </c>
      <c r="Q23" s="1509">
        <v>0</v>
      </c>
      <c r="R23" s="1509">
        <v>0</v>
      </c>
      <c r="S23" s="1509">
        <v>0</v>
      </c>
      <c r="T23" s="1509">
        <v>0</v>
      </c>
      <c r="U23" s="1509">
        <v>0</v>
      </c>
      <c r="V23" s="1509">
        <v>0</v>
      </c>
      <c r="W23" s="1509">
        <v>0</v>
      </c>
      <c r="X23" s="1509">
        <v>0</v>
      </c>
      <c r="Y23" s="1509">
        <v>1</v>
      </c>
      <c r="Z23" s="1509">
        <v>0</v>
      </c>
      <c r="AA23" s="1509">
        <v>1</v>
      </c>
      <c r="AB23" s="1509">
        <v>1</v>
      </c>
      <c r="AC23" s="1509">
        <v>0</v>
      </c>
      <c r="AD23" s="1509">
        <v>0</v>
      </c>
      <c r="AE23" s="1509">
        <v>1</v>
      </c>
      <c r="AF23" s="1509">
        <v>0</v>
      </c>
      <c r="AG23" s="1509">
        <v>1</v>
      </c>
      <c r="AH23" s="1509">
        <v>1</v>
      </c>
      <c r="AI23" s="1509">
        <v>0</v>
      </c>
      <c r="AJ23" s="1509">
        <v>0</v>
      </c>
      <c r="AK23" s="1509">
        <v>0</v>
      </c>
      <c r="AL23" s="1509">
        <v>1</v>
      </c>
      <c r="AM23" s="1509">
        <v>1</v>
      </c>
      <c r="AN23" s="1509">
        <v>0</v>
      </c>
      <c r="AO23" s="1509">
        <v>1</v>
      </c>
      <c r="AP23" s="1509">
        <v>0</v>
      </c>
      <c r="AQ23" s="1509">
        <v>0</v>
      </c>
      <c r="AR23" s="1509">
        <v>1</v>
      </c>
      <c r="AS23" s="1509">
        <v>1</v>
      </c>
      <c r="AT23" s="1509">
        <v>0</v>
      </c>
      <c r="AU23" s="1509">
        <v>1</v>
      </c>
      <c r="AV23" s="1509">
        <v>1</v>
      </c>
      <c r="AW23" s="1509">
        <v>0</v>
      </c>
      <c r="AX23" s="1509">
        <v>1</v>
      </c>
      <c r="AY23" s="1509">
        <v>1</v>
      </c>
      <c r="AZ23" s="1509">
        <v>1</v>
      </c>
      <c r="BA23" s="1509">
        <v>1</v>
      </c>
      <c r="BB23" s="1509">
        <v>1</v>
      </c>
      <c r="BC23" s="1509">
        <v>0</v>
      </c>
      <c r="BD23" s="1509">
        <v>1</v>
      </c>
      <c r="BE23" s="1509">
        <v>1</v>
      </c>
      <c r="BF23" s="1509">
        <v>0</v>
      </c>
      <c r="BG23" s="1509">
        <v>0</v>
      </c>
      <c r="BH23" s="1509">
        <v>0</v>
      </c>
      <c r="BI23" s="1509">
        <v>0</v>
      </c>
      <c r="BJ23" s="1509">
        <v>0</v>
      </c>
      <c r="BK23" s="1509">
        <v>1</v>
      </c>
      <c r="BL23" s="1509">
        <v>1</v>
      </c>
      <c r="BM23" s="1509">
        <v>0</v>
      </c>
      <c r="BN23" s="1509">
        <v>0</v>
      </c>
      <c r="BO23" s="1509">
        <v>1</v>
      </c>
      <c r="BP23" s="1509">
        <v>1</v>
      </c>
      <c r="BQ23" s="1509">
        <v>0</v>
      </c>
      <c r="BR23" s="1509">
        <v>0</v>
      </c>
      <c r="BS23" s="1509">
        <v>1</v>
      </c>
      <c r="BT23" s="1509">
        <v>1</v>
      </c>
      <c r="BU23" s="1509">
        <v>0</v>
      </c>
      <c r="BV23" s="1509">
        <v>0</v>
      </c>
      <c r="BW23" s="1509">
        <v>0</v>
      </c>
      <c r="BX23" s="1509">
        <v>1</v>
      </c>
      <c r="BY23" s="1509">
        <v>0</v>
      </c>
      <c r="BZ23" s="1509">
        <v>1</v>
      </c>
      <c r="CA23" s="1509">
        <v>1</v>
      </c>
      <c r="CB23" s="1509">
        <v>1</v>
      </c>
      <c r="CC23" s="1509">
        <v>1</v>
      </c>
      <c r="CD23" s="1509">
        <v>1</v>
      </c>
      <c r="CE23" s="1509">
        <v>1</v>
      </c>
      <c r="CF23" s="1509">
        <v>0</v>
      </c>
      <c r="CG23" s="1509">
        <v>0</v>
      </c>
      <c r="CH23" s="1509">
        <v>1</v>
      </c>
      <c r="CI23" s="1509">
        <v>1</v>
      </c>
      <c r="CJ23" s="1509">
        <v>1</v>
      </c>
      <c r="CK23" s="1509">
        <v>0</v>
      </c>
      <c r="CL23" s="1509">
        <v>0</v>
      </c>
      <c r="CM23" s="1509">
        <v>0</v>
      </c>
      <c r="CN23" s="1509">
        <v>0</v>
      </c>
      <c r="CO23" s="1509">
        <v>0</v>
      </c>
      <c r="CP23" s="1509">
        <v>1</v>
      </c>
      <c r="CQ23" s="1509">
        <v>1</v>
      </c>
      <c r="CR23" s="1509">
        <v>1</v>
      </c>
      <c r="CS23" s="1509">
        <v>0</v>
      </c>
      <c r="CT23" s="1509">
        <v>0</v>
      </c>
      <c r="CU23" s="1509">
        <v>0</v>
      </c>
      <c r="CV23" s="1509">
        <v>0</v>
      </c>
      <c r="CW23" s="1509">
        <v>0</v>
      </c>
      <c r="CX23" s="1509">
        <v>1</v>
      </c>
      <c r="CY23" s="1509">
        <v>1</v>
      </c>
      <c r="CZ23" s="1509">
        <v>1</v>
      </c>
      <c r="DA23" s="1509">
        <v>1</v>
      </c>
      <c r="DB23" s="1509">
        <v>1</v>
      </c>
      <c r="DC23" s="1509">
        <v>1</v>
      </c>
      <c r="DD23" s="1509">
        <v>1</v>
      </c>
      <c r="DE23" s="1509">
        <v>0</v>
      </c>
      <c r="DF23" s="1509">
        <v>1</v>
      </c>
      <c r="DG23" s="1509">
        <v>1</v>
      </c>
      <c r="DH23" s="1509">
        <v>0</v>
      </c>
      <c r="DI23" s="1509">
        <v>1</v>
      </c>
      <c r="DJ23" s="1509">
        <v>1</v>
      </c>
      <c r="DK23" s="1509">
        <v>1</v>
      </c>
      <c r="DL23" s="1509">
        <v>1</v>
      </c>
      <c r="DM23" s="1509">
        <v>1</v>
      </c>
      <c r="DN23" s="1509">
        <v>0</v>
      </c>
      <c r="DO23" s="1509">
        <v>0</v>
      </c>
      <c r="DP23" s="1509">
        <v>1</v>
      </c>
      <c r="DQ23" s="1509">
        <v>1</v>
      </c>
      <c r="DR23" s="1509">
        <v>1</v>
      </c>
      <c r="DS23" s="1509">
        <v>1</v>
      </c>
      <c r="DT23" s="1509">
        <v>1</v>
      </c>
      <c r="DU23" s="1509">
        <v>0</v>
      </c>
      <c r="DV23" s="1509">
        <v>1</v>
      </c>
      <c r="DW23" s="1509">
        <v>0</v>
      </c>
      <c r="DX23" s="1509">
        <v>0</v>
      </c>
      <c r="DY23" s="1509">
        <v>1</v>
      </c>
      <c r="DZ23" s="1509">
        <v>0</v>
      </c>
      <c r="EA23" s="1509">
        <v>1</v>
      </c>
      <c r="EB23" s="1509">
        <v>1</v>
      </c>
      <c r="EC23" s="1509">
        <v>0</v>
      </c>
      <c r="ED23" s="1509">
        <v>1</v>
      </c>
      <c r="EE23" s="1509">
        <v>1</v>
      </c>
      <c r="EF23" s="1509">
        <v>1</v>
      </c>
      <c r="EG23" s="1509">
        <v>1</v>
      </c>
      <c r="EH23" s="1509">
        <v>1</v>
      </c>
      <c r="EI23" s="1509">
        <v>0</v>
      </c>
      <c r="EJ23" s="1509">
        <v>0</v>
      </c>
      <c r="EK23" s="1509">
        <v>0</v>
      </c>
      <c r="EL23" s="1509">
        <v>1</v>
      </c>
      <c r="EM23" s="1509">
        <v>1</v>
      </c>
      <c r="EN23" s="1509">
        <v>1</v>
      </c>
      <c r="EO23" s="1509">
        <v>1</v>
      </c>
      <c r="EP23" s="1509">
        <v>1</v>
      </c>
      <c r="EQ23" s="1509">
        <v>1</v>
      </c>
      <c r="ER23" s="1509">
        <v>0</v>
      </c>
      <c r="ES23" s="1509">
        <v>0</v>
      </c>
      <c r="ET23" s="1509">
        <v>0</v>
      </c>
      <c r="EU23" s="1509">
        <v>1</v>
      </c>
      <c r="EV23" s="1509">
        <v>0</v>
      </c>
      <c r="EW23" s="1509">
        <v>1</v>
      </c>
      <c r="EX23" s="1509">
        <v>0</v>
      </c>
      <c r="EY23" s="1509">
        <v>0</v>
      </c>
      <c r="EZ23" s="1509">
        <v>0</v>
      </c>
      <c r="FA23" s="1509">
        <v>1</v>
      </c>
      <c r="FB23" s="1509">
        <v>1</v>
      </c>
      <c r="FC23" s="1509">
        <v>0</v>
      </c>
      <c r="FD23" s="1509">
        <v>1</v>
      </c>
      <c r="FE23" s="1509">
        <v>1</v>
      </c>
      <c r="FF23" s="1509">
        <v>0</v>
      </c>
      <c r="FG23" s="1509">
        <v>0</v>
      </c>
      <c r="FH23" s="1509">
        <v>1</v>
      </c>
      <c r="FI23" s="1509">
        <v>0</v>
      </c>
      <c r="FJ23" s="1509">
        <v>1</v>
      </c>
      <c r="FK23" s="1509">
        <v>1</v>
      </c>
      <c r="FL23" s="1509">
        <v>1</v>
      </c>
      <c r="FM23" s="1509">
        <v>0</v>
      </c>
      <c r="FN23" s="1509">
        <v>0</v>
      </c>
      <c r="FO23" s="1509">
        <v>1</v>
      </c>
      <c r="FP23" s="1509">
        <v>0</v>
      </c>
      <c r="FQ23" s="1509">
        <v>1</v>
      </c>
      <c r="FR23" s="1509">
        <v>1</v>
      </c>
      <c r="FS23" s="1509">
        <v>0</v>
      </c>
      <c r="FT23" s="1509">
        <v>1</v>
      </c>
      <c r="FU23" s="1509">
        <v>0</v>
      </c>
    </row>
    <row r="24" spans="1:177" s="1509" customFormat="1" x14ac:dyDescent="0.2">
      <c r="A24" s="1512" t="s">
        <v>675</v>
      </c>
      <c r="B24" s="1512" t="s">
        <v>1399</v>
      </c>
      <c r="C24" s="1509">
        <v>0.5</v>
      </c>
      <c r="D24" s="1509">
        <v>0.5</v>
      </c>
      <c r="E24" s="1509">
        <v>0.5</v>
      </c>
      <c r="F24" s="1509">
        <v>0.5</v>
      </c>
      <c r="G24" s="1509">
        <v>0.5</v>
      </c>
      <c r="H24" s="1509">
        <v>0.5</v>
      </c>
      <c r="I24" s="1509">
        <v>0.5</v>
      </c>
      <c r="J24" s="1509">
        <v>0.5</v>
      </c>
      <c r="K24" s="1509">
        <v>0.5</v>
      </c>
      <c r="L24" s="1509">
        <v>0.5</v>
      </c>
      <c r="M24" s="1509">
        <v>0.5</v>
      </c>
      <c r="N24" s="1509">
        <v>0.5</v>
      </c>
      <c r="O24" s="1509">
        <v>0.5</v>
      </c>
      <c r="P24" s="1509">
        <v>0.5</v>
      </c>
      <c r="Q24" s="1509">
        <v>0.5</v>
      </c>
      <c r="R24" s="1509">
        <v>0.5</v>
      </c>
      <c r="S24" s="1509">
        <v>0.1</v>
      </c>
      <c r="T24" s="1509">
        <v>0.1</v>
      </c>
      <c r="U24" s="1509">
        <v>0.5</v>
      </c>
      <c r="V24" s="1509">
        <v>0.5</v>
      </c>
      <c r="W24" s="1509">
        <v>0.5</v>
      </c>
      <c r="X24" s="1509">
        <v>1</v>
      </c>
      <c r="Y24" s="1509">
        <v>0.5</v>
      </c>
      <c r="Z24" s="1509">
        <v>0.5</v>
      </c>
      <c r="AA24" s="1509">
        <v>0.5</v>
      </c>
      <c r="AB24" s="1509">
        <v>1</v>
      </c>
      <c r="AC24" s="1509">
        <v>1</v>
      </c>
      <c r="AD24" s="1509">
        <v>1</v>
      </c>
      <c r="AE24" s="1509">
        <v>0.5</v>
      </c>
      <c r="AF24" s="1509">
        <v>0.1</v>
      </c>
      <c r="AG24" s="1509">
        <v>0.5</v>
      </c>
      <c r="AH24" s="1509">
        <v>0.5</v>
      </c>
      <c r="AI24" s="1509">
        <v>1</v>
      </c>
      <c r="AJ24" s="1509">
        <v>0.5</v>
      </c>
      <c r="AK24" s="1509">
        <v>0.5</v>
      </c>
      <c r="AL24" s="1509">
        <v>0.5</v>
      </c>
      <c r="AM24" s="1509">
        <v>0.5</v>
      </c>
      <c r="AN24" s="1509">
        <v>0.5</v>
      </c>
      <c r="AO24" s="1509">
        <v>0.1</v>
      </c>
      <c r="AP24" s="1509">
        <v>0.1</v>
      </c>
      <c r="AQ24" s="1509" t="s">
        <v>2372</v>
      </c>
      <c r="AR24" s="1509">
        <v>0.5</v>
      </c>
      <c r="AS24" s="1509" t="s">
        <v>2372</v>
      </c>
      <c r="AT24" s="1509">
        <v>0.5</v>
      </c>
      <c r="AU24" s="1509">
        <v>0.6</v>
      </c>
      <c r="AV24" s="1509">
        <v>0.4</v>
      </c>
      <c r="AW24" s="1509">
        <v>0.5</v>
      </c>
      <c r="AX24" s="1509">
        <v>0.5</v>
      </c>
      <c r="AY24" s="1509">
        <v>0.5</v>
      </c>
      <c r="AZ24" s="1509">
        <v>0.5</v>
      </c>
      <c r="BA24" s="1509">
        <v>1</v>
      </c>
      <c r="BB24" s="1509">
        <v>1</v>
      </c>
      <c r="BC24" s="1509">
        <v>0.5</v>
      </c>
      <c r="BD24" s="1509">
        <v>0.5</v>
      </c>
      <c r="BE24" s="1509">
        <v>0.2</v>
      </c>
      <c r="BF24" s="1509">
        <v>0.5</v>
      </c>
      <c r="BG24" s="1509">
        <v>0.1</v>
      </c>
      <c r="BH24" s="1509">
        <v>0.5</v>
      </c>
      <c r="BI24" s="1509">
        <v>0.1</v>
      </c>
      <c r="BJ24" s="1509">
        <v>0.5</v>
      </c>
      <c r="BK24" s="1509">
        <v>0.5</v>
      </c>
      <c r="BL24" s="1509" t="s">
        <v>2372</v>
      </c>
      <c r="BM24" s="1509">
        <v>0.5</v>
      </c>
      <c r="BN24" s="1509">
        <v>0.5</v>
      </c>
      <c r="BO24" s="1509" t="s">
        <v>2372</v>
      </c>
      <c r="BP24" s="1509">
        <v>0.5</v>
      </c>
      <c r="BQ24" s="1509">
        <v>0.1</v>
      </c>
      <c r="BR24" s="1509">
        <v>0.5</v>
      </c>
      <c r="BS24" s="1509">
        <v>0.5</v>
      </c>
      <c r="BT24" s="1509">
        <v>0.5</v>
      </c>
      <c r="BU24" s="1509">
        <v>0.5</v>
      </c>
      <c r="BV24" s="1509">
        <v>0.5</v>
      </c>
      <c r="BW24" s="1509">
        <v>0.5</v>
      </c>
      <c r="BX24" s="1509">
        <v>0.5</v>
      </c>
      <c r="BY24" s="1509">
        <v>0.5</v>
      </c>
      <c r="BZ24" s="1509">
        <v>0.5</v>
      </c>
      <c r="CA24" s="1509">
        <v>0.5</v>
      </c>
      <c r="CB24" s="1509">
        <v>0.5</v>
      </c>
      <c r="CC24" s="1509">
        <v>0.1</v>
      </c>
      <c r="CD24" s="1509">
        <v>0.5</v>
      </c>
      <c r="CE24" s="1509">
        <v>0.5</v>
      </c>
      <c r="CF24" s="1509">
        <v>0.1</v>
      </c>
      <c r="CG24" s="1509">
        <v>0.5</v>
      </c>
      <c r="CH24" s="1509">
        <v>0.1</v>
      </c>
      <c r="CI24" s="1509">
        <v>0.5</v>
      </c>
      <c r="CJ24" s="1509" t="s">
        <v>2372</v>
      </c>
      <c r="CK24" s="1509">
        <v>0.1</v>
      </c>
      <c r="CL24" s="1509">
        <v>0.1</v>
      </c>
      <c r="CM24" s="1509">
        <v>0.5</v>
      </c>
      <c r="CN24" s="1509">
        <v>0.6</v>
      </c>
      <c r="CO24" s="1509">
        <v>0.5</v>
      </c>
      <c r="CP24" s="1509">
        <v>0.5</v>
      </c>
      <c r="CQ24" s="1509">
        <v>0.1</v>
      </c>
      <c r="CR24" s="1509">
        <v>0.9</v>
      </c>
      <c r="CS24" s="1509">
        <v>0.5</v>
      </c>
      <c r="CT24" s="1509">
        <v>0.5</v>
      </c>
      <c r="CU24" s="1509">
        <v>0.5</v>
      </c>
      <c r="CV24" s="1509">
        <v>0.5</v>
      </c>
      <c r="CW24" s="1509">
        <v>0.5</v>
      </c>
      <c r="CX24" s="1509">
        <v>0.5</v>
      </c>
      <c r="CY24" s="1509" t="s">
        <v>2372</v>
      </c>
      <c r="CZ24" s="1509">
        <v>0.5</v>
      </c>
      <c r="DA24" s="1509">
        <v>0.5</v>
      </c>
      <c r="DB24" s="1509">
        <v>0.5</v>
      </c>
      <c r="DC24" s="1509">
        <v>0.5</v>
      </c>
      <c r="DD24" s="1509">
        <v>0.6</v>
      </c>
      <c r="DE24" s="1509">
        <v>0.6</v>
      </c>
      <c r="DF24" s="1509">
        <v>0.6</v>
      </c>
      <c r="DG24" s="1509">
        <v>0.5</v>
      </c>
      <c r="DH24" s="1509">
        <v>0.6</v>
      </c>
      <c r="DI24" s="1509">
        <v>0.6</v>
      </c>
      <c r="DJ24" s="1509">
        <v>0.4</v>
      </c>
      <c r="DK24" s="1509">
        <v>0.5</v>
      </c>
      <c r="DL24" s="1509">
        <v>0.5</v>
      </c>
      <c r="DM24" s="1509">
        <v>0.6</v>
      </c>
      <c r="DN24" s="1509">
        <v>0.5</v>
      </c>
      <c r="DO24" s="1509">
        <v>0.5</v>
      </c>
      <c r="DP24" s="1509">
        <v>0.5</v>
      </c>
      <c r="DQ24" s="1509">
        <v>0.5</v>
      </c>
      <c r="DR24" s="1509">
        <v>0.5</v>
      </c>
      <c r="DS24" s="1509">
        <v>0.1</v>
      </c>
      <c r="DT24" s="1509">
        <v>0.5</v>
      </c>
      <c r="DU24" s="1509">
        <v>0.5</v>
      </c>
      <c r="DV24" s="1509">
        <v>1</v>
      </c>
      <c r="DW24" s="1509">
        <v>0.1</v>
      </c>
      <c r="DX24" s="1509">
        <v>0.5</v>
      </c>
      <c r="DY24" s="1509">
        <v>0.5</v>
      </c>
      <c r="DZ24" s="1509">
        <v>0.5</v>
      </c>
      <c r="EA24" s="1509" t="s">
        <v>2372</v>
      </c>
      <c r="EB24" s="1509" t="s">
        <v>2372</v>
      </c>
      <c r="EC24" s="1509">
        <v>0.5</v>
      </c>
      <c r="ED24" s="1509">
        <v>0.5</v>
      </c>
      <c r="EE24" s="1509">
        <v>0.5</v>
      </c>
      <c r="EF24" s="1509">
        <v>0.5</v>
      </c>
      <c r="EG24" s="1509">
        <v>0.5</v>
      </c>
      <c r="EH24" s="1509">
        <v>0.5</v>
      </c>
      <c r="EI24" s="1509">
        <v>0.1</v>
      </c>
      <c r="EJ24" s="1509">
        <v>0.1</v>
      </c>
      <c r="EK24" s="1509" t="s">
        <v>2372</v>
      </c>
      <c r="EL24" s="1509">
        <v>0.6</v>
      </c>
      <c r="EM24" s="1509">
        <v>0.6</v>
      </c>
      <c r="EN24" s="1509">
        <v>0.6</v>
      </c>
      <c r="EO24" s="1509" t="s">
        <v>2372</v>
      </c>
      <c r="EP24" s="1509">
        <v>0.5</v>
      </c>
      <c r="EQ24" s="1509">
        <v>0.4</v>
      </c>
      <c r="ER24" s="1509">
        <v>0.5</v>
      </c>
      <c r="ES24" s="1509">
        <v>0.5</v>
      </c>
      <c r="ET24" s="1509">
        <v>0.1</v>
      </c>
      <c r="EU24" s="1509">
        <v>0.5</v>
      </c>
      <c r="EV24" s="1509">
        <v>1</v>
      </c>
      <c r="EW24" s="1509">
        <v>0.6</v>
      </c>
      <c r="EX24" s="1509">
        <v>0.5</v>
      </c>
      <c r="EY24" s="1509">
        <v>0.1</v>
      </c>
      <c r="EZ24" s="1509">
        <v>0.5</v>
      </c>
      <c r="FA24" s="1509">
        <v>0.5</v>
      </c>
      <c r="FB24" s="1509">
        <v>0.5</v>
      </c>
      <c r="FC24" s="1509">
        <v>0.5</v>
      </c>
      <c r="FD24" s="1509">
        <v>1</v>
      </c>
      <c r="FE24" s="1509">
        <v>0.1</v>
      </c>
      <c r="FF24" s="1509">
        <v>0.5</v>
      </c>
      <c r="FG24" s="1509">
        <v>0.1</v>
      </c>
      <c r="FH24" s="1509">
        <v>0.5</v>
      </c>
      <c r="FI24" s="1509">
        <v>0.1</v>
      </c>
      <c r="FJ24" s="1509">
        <v>0.5</v>
      </c>
      <c r="FK24" s="1509">
        <v>0.5</v>
      </c>
      <c r="FL24" s="1509">
        <v>0.6</v>
      </c>
      <c r="FM24" s="1509">
        <v>0.5</v>
      </c>
      <c r="FN24" s="1509">
        <v>0.1</v>
      </c>
      <c r="FO24" s="1509">
        <v>0.1</v>
      </c>
      <c r="FP24" s="1509">
        <v>0.5</v>
      </c>
      <c r="FQ24" s="1509">
        <v>0.5</v>
      </c>
      <c r="FR24" s="1509" t="s">
        <v>2372</v>
      </c>
      <c r="FS24" s="1509">
        <v>0.6</v>
      </c>
      <c r="FT24" s="1509">
        <v>0.6</v>
      </c>
      <c r="FU24" s="1509">
        <v>0.1</v>
      </c>
    </row>
    <row r="25" spans="1:177" s="1509" customFormat="1" x14ac:dyDescent="0.2">
      <c r="A25" s="1512" t="s">
        <v>675</v>
      </c>
      <c r="B25" s="1512" t="s">
        <v>1066</v>
      </c>
      <c r="C25" s="1509">
        <v>0.222525732</v>
      </c>
      <c r="D25" s="1509">
        <v>0.31840338099999999</v>
      </c>
      <c r="E25" s="1509">
        <v>0.96314404799999997</v>
      </c>
      <c r="F25" s="1509">
        <v>0.27121172100000002</v>
      </c>
      <c r="G25" s="1509">
        <v>0.97705539900000005</v>
      </c>
      <c r="H25" s="1509">
        <v>0.97705539900000005</v>
      </c>
      <c r="I25" s="1509">
        <v>0.52499795000000005</v>
      </c>
      <c r="J25" s="1509">
        <v>0.52499795000000005</v>
      </c>
      <c r="K25" s="1509">
        <v>0.52630970899999996</v>
      </c>
      <c r="L25" s="1509">
        <v>0.52922390100000005</v>
      </c>
      <c r="M25" s="1509">
        <v>0.52724508299999995</v>
      </c>
      <c r="N25" s="1509">
        <v>0.52499795000000005</v>
      </c>
      <c r="O25" s="1509">
        <v>0.52499795000000005</v>
      </c>
      <c r="P25" s="1509">
        <v>0.53044622200000002</v>
      </c>
      <c r="Q25" s="1509">
        <v>0.27426465700000002</v>
      </c>
      <c r="R25" s="1509">
        <v>0.30803488200000001</v>
      </c>
      <c r="S25" s="1509">
        <v>0.35594875199999998</v>
      </c>
      <c r="T25" s="1509">
        <v>0.28933227</v>
      </c>
      <c r="U25" s="1509">
        <v>0.40203173599999997</v>
      </c>
      <c r="V25" s="1509">
        <v>0.32151880799999999</v>
      </c>
      <c r="W25" s="1509">
        <v>0.31138621599999999</v>
      </c>
      <c r="X25" s="1509">
        <v>0.233358923</v>
      </c>
      <c r="Y25" s="1509">
        <v>0.59203926299999998</v>
      </c>
      <c r="Z25" s="1509">
        <v>0.47686161700000002</v>
      </c>
      <c r="AA25" s="1509">
        <v>0.47967891699999998</v>
      </c>
      <c r="AB25" s="1509">
        <v>0.51042699199999997</v>
      </c>
      <c r="AC25" s="1509">
        <v>0.51042699199999997</v>
      </c>
      <c r="AD25" s="1509">
        <v>0.51042699199999997</v>
      </c>
      <c r="AE25" s="1509">
        <v>0.34645252300000001</v>
      </c>
      <c r="AF25" s="1509">
        <v>0.180016546</v>
      </c>
      <c r="AG25" s="1509">
        <v>0.50565696000000004</v>
      </c>
      <c r="AH25" s="1509">
        <v>0.49675786900000002</v>
      </c>
      <c r="AI25" s="1509">
        <v>0.50479239200000003</v>
      </c>
      <c r="AJ25" s="1509">
        <v>0.48491477300000002</v>
      </c>
      <c r="AK25" s="1509">
        <v>6.9741073000000001E-2</v>
      </c>
      <c r="AL25" s="1509">
        <v>0.36777990799999999</v>
      </c>
      <c r="AM25" s="1509">
        <v>0.27835259200000001</v>
      </c>
      <c r="AN25" s="1509">
        <v>0.35473283</v>
      </c>
      <c r="AO25" s="1509">
        <v>0.346583904</v>
      </c>
      <c r="AP25" s="1509">
        <v>0.49445176699999999</v>
      </c>
      <c r="AQ25" s="1509">
        <v>0.137123521</v>
      </c>
      <c r="AR25" s="1509">
        <v>0.113302689</v>
      </c>
      <c r="AS25" s="1509">
        <v>3.0062878000000001E-2</v>
      </c>
      <c r="AT25" s="1509">
        <v>9.7460298000000001E-2</v>
      </c>
      <c r="AU25" s="1509">
        <v>0.104816517</v>
      </c>
      <c r="AV25" s="1509">
        <v>7.5698176000000006E-2</v>
      </c>
      <c r="AW25" s="1509">
        <v>0.19278383599999999</v>
      </c>
      <c r="AX25" s="1509">
        <v>0.63146538799999996</v>
      </c>
      <c r="AY25" s="1509">
        <v>0.68394315699999997</v>
      </c>
      <c r="AZ25" s="1509">
        <v>0.92832926100000002</v>
      </c>
      <c r="BA25" s="1509">
        <v>0.93481276000000002</v>
      </c>
      <c r="BB25" s="1509">
        <v>0.94715782800000003</v>
      </c>
      <c r="BC25" s="1509">
        <v>8.2855473999999998E-2</v>
      </c>
      <c r="BD25" s="1509">
        <v>8.3493473999999998E-2</v>
      </c>
      <c r="BE25" s="1509">
        <v>0.99563349300000004</v>
      </c>
      <c r="BF25" s="1509">
        <v>7.6852121999999995E-2</v>
      </c>
      <c r="BG25" s="1509">
        <v>0.90762217499999998</v>
      </c>
      <c r="BH25" s="1509">
        <v>0.35479723600000002</v>
      </c>
      <c r="BI25" s="1509">
        <v>0.359399572</v>
      </c>
      <c r="BJ25" s="1509">
        <v>0.42162240699999998</v>
      </c>
      <c r="BK25" s="1509">
        <v>0.31323833000000001</v>
      </c>
      <c r="BL25" s="1509">
        <v>0.40921659700000002</v>
      </c>
      <c r="BM25" s="1509">
        <v>0.21279643100000001</v>
      </c>
      <c r="BN25" s="1509">
        <v>0.22123633300000001</v>
      </c>
      <c r="BO25" s="1509">
        <v>0.76213563299999998</v>
      </c>
      <c r="BP25" s="1509">
        <v>0.71472598399999998</v>
      </c>
      <c r="BQ25" s="1509">
        <v>0.86072996400000001</v>
      </c>
      <c r="BR25" s="1509">
        <v>0.94707872800000004</v>
      </c>
      <c r="BS25" s="1509">
        <v>0.52448740800000004</v>
      </c>
      <c r="BT25" s="1509">
        <v>5.9920084999999998E-2</v>
      </c>
      <c r="BU25" s="1509">
        <v>0.38144772500000002</v>
      </c>
      <c r="BV25" s="1509">
        <v>0.48630099300000001</v>
      </c>
      <c r="BW25" s="1509">
        <v>0.95096715499999995</v>
      </c>
      <c r="BX25" s="1509">
        <v>3.0403505000000001E-2</v>
      </c>
      <c r="BY25" s="1509">
        <v>3.2145998000000002E-2</v>
      </c>
      <c r="BZ25" s="1509">
        <v>3.9208831999999999E-2</v>
      </c>
      <c r="CA25" s="1509">
        <v>0.97853087999999999</v>
      </c>
      <c r="CB25" s="1509">
        <v>0.97643469400000005</v>
      </c>
      <c r="CC25" s="1509">
        <v>0.98912370500000002</v>
      </c>
      <c r="CD25" s="1509">
        <v>0.50039163600000003</v>
      </c>
      <c r="CE25" s="1509">
        <v>0.96839309799999995</v>
      </c>
      <c r="CF25" s="1509">
        <v>0.83722855900000004</v>
      </c>
      <c r="CG25" s="1509">
        <v>0.51585290399999995</v>
      </c>
      <c r="CH25" s="1509">
        <v>0.26862362200000001</v>
      </c>
      <c r="CI25" s="1509">
        <v>0.63976567200000001</v>
      </c>
      <c r="CJ25" s="1509">
        <v>0.57780749799999997</v>
      </c>
      <c r="CK25" s="1509">
        <v>0.57524822200000003</v>
      </c>
      <c r="CL25" s="1509">
        <v>0.57524822200000003</v>
      </c>
      <c r="CM25" s="1509">
        <v>0.26607709600000001</v>
      </c>
      <c r="CN25" s="1509">
        <v>0.10840488500000001</v>
      </c>
      <c r="CO25" s="1509">
        <v>0.28490223999999997</v>
      </c>
      <c r="CP25" s="1509">
        <v>0.13814685199999999</v>
      </c>
      <c r="CQ25" s="1509">
        <v>0.194263291</v>
      </c>
      <c r="CR25" s="1509">
        <v>0.160258178</v>
      </c>
      <c r="CS25" s="1509">
        <v>0.99546846899999997</v>
      </c>
      <c r="CT25" s="1509">
        <v>0.816022091</v>
      </c>
      <c r="CU25" s="1509">
        <v>0.98981896199999997</v>
      </c>
      <c r="CV25" s="1509">
        <v>0.69407018499999995</v>
      </c>
      <c r="CW25" s="1509">
        <v>0.69407018499999995</v>
      </c>
      <c r="CX25" s="1509">
        <v>0.76719943599999996</v>
      </c>
      <c r="CY25" s="1509">
        <v>0.78700218</v>
      </c>
      <c r="CZ25" s="1509">
        <v>0.46262379100000001</v>
      </c>
      <c r="DA25" s="1509">
        <v>0.46964838800000003</v>
      </c>
      <c r="DB25" s="1509">
        <v>0.36348752299999998</v>
      </c>
      <c r="DC25" s="1509">
        <v>0.41510683500000001</v>
      </c>
      <c r="DD25" s="1509">
        <v>0.35400436000000002</v>
      </c>
      <c r="DE25" s="1509">
        <v>0.21907854199999999</v>
      </c>
      <c r="DF25" s="1509">
        <v>0.59565485299999998</v>
      </c>
      <c r="DG25" s="1509">
        <v>0.17889237399999999</v>
      </c>
      <c r="DH25" s="1509">
        <v>0.18208408800000001</v>
      </c>
      <c r="DI25" s="1509">
        <v>0.19543962000000001</v>
      </c>
      <c r="DJ25" s="1509">
        <v>0.23269114199999999</v>
      </c>
      <c r="DK25" s="1509">
        <v>0.181235695</v>
      </c>
      <c r="DL25" s="1509">
        <v>5.3844375E-2</v>
      </c>
      <c r="DM25" s="1509">
        <v>6.0058334999999997E-2</v>
      </c>
      <c r="DN25" s="1509">
        <v>0.82432719700000001</v>
      </c>
      <c r="DO25" s="1509">
        <v>0.99271294300000001</v>
      </c>
      <c r="DP25" s="1509">
        <v>0.56811838000000003</v>
      </c>
      <c r="DQ25" s="1509">
        <v>0.46789497000000002</v>
      </c>
      <c r="DR25" s="1509">
        <v>0.46650753</v>
      </c>
      <c r="DS25" s="1509">
        <v>6.1506190000000004E-3</v>
      </c>
      <c r="DT25" s="1509">
        <v>0.23885268600000001</v>
      </c>
      <c r="DU25" s="1509">
        <v>0.41455679699999998</v>
      </c>
      <c r="DV25" s="1509">
        <v>0.51042699199999997</v>
      </c>
      <c r="DW25" s="1509">
        <v>0.791633009</v>
      </c>
      <c r="DX25" s="1509">
        <v>8.7052438999999995E-2</v>
      </c>
      <c r="DY25" s="1509">
        <v>0.89211963100000002</v>
      </c>
      <c r="DZ25" s="1509">
        <v>0.100757914</v>
      </c>
      <c r="EA25" s="1509">
        <v>0.57883120899999996</v>
      </c>
      <c r="EB25" s="1509">
        <v>0.18424995</v>
      </c>
      <c r="EC25" s="1509">
        <v>0.39020727300000002</v>
      </c>
      <c r="ED25" s="1509">
        <v>0.67623033300000002</v>
      </c>
      <c r="EE25" s="1509">
        <v>0.97490544800000001</v>
      </c>
      <c r="EF25" s="1509">
        <v>0.52891706800000005</v>
      </c>
      <c r="EG25" s="1509">
        <v>3.3861179999999998E-2</v>
      </c>
      <c r="EH25" s="1509">
        <v>0.34983378500000001</v>
      </c>
      <c r="EI25" s="1509">
        <v>0.80925454900000005</v>
      </c>
      <c r="EJ25" s="1509">
        <v>0.83722855900000004</v>
      </c>
      <c r="EK25" s="1509">
        <v>0.14553442999999999</v>
      </c>
      <c r="EL25" s="1509">
        <v>0.347593337</v>
      </c>
      <c r="EM25" s="1509">
        <v>0.47482960699999999</v>
      </c>
      <c r="EN25" s="1509">
        <v>0.26902381399999997</v>
      </c>
      <c r="EO25" s="1509">
        <v>0.54244428300000003</v>
      </c>
      <c r="EP25" s="1509">
        <v>3.8810078999999997E-2</v>
      </c>
      <c r="EQ25" s="1509">
        <v>4.8794134000000003E-2</v>
      </c>
      <c r="ER25" s="1509">
        <v>0.99320278299999998</v>
      </c>
      <c r="ES25" s="1509">
        <v>0.99320278299999998</v>
      </c>
      <c r="ET25" s="1509">
        <v>0.87736939899999999</v>
      </c>
      <c r="EU25" s="1509">
        <v>1.8653965000000002E-2</v>
      </c>
      <c r="EV25" s="1509">
        <v>0.51042699199999997</v>
      </c>
      <c r="EW25" s="1509">
        <v>0.47470345600000002</v>
      </c>
      <c r="EX25" s="1509">
        <v>0.949012615</v>
      </c>
      <c r="EY25" s="1509">
        <v>0.97765449199999999</v>
      </c>
      <c r="EZ25" s="1509">
        <v>2.9136236999999999E-2</v>
      </c>
      <c r="FA25" s="1509">
        <v>0.82679238799999999</v>
      </c>
      <c r="FB25" s="1509">
        <v>0.227222482</v>
      </c>
      <c r="FC25" s="1509">
        <v>0.79667239099999998</v>
      </c>
      <c r="FD25" s="1509">
        <v>0.93861039599999996</v>
      </c>
      <c r="FE25" s="1509">
        <v>0.95419721300000004</v>
      </c>
      <c r="FF25" s="1509">
        <v>0.24269801499999999</v>
      </c>
      <c r="FG25" s="1509">
        <v>0.546095899</v>
      </c>
      <c r="FH25" s="1509">
        <v>0.56673094000000002</v>
      </c>
      <c r="FI25" s="1509">
        <v>0.58133157599999996</v>
      </c>
      <c r="FJ25" s="1509">
        <v>0.58073002699999998</v>
      </c>
      <c r="FK25" s="1509">
        <v>1.5578655E-2</v>
      </c>
      <c r="FL25" s="1509">
        <v>0.18208408800000001</v>
      </c>
      <c r="FM25" s="1509">
        <v>0.34131071499999999</v>
      </c>
      <c r="FN25" s="1509">
        <v>0.95420023700000001</v>
      </c>
      <c r="FO25" s="1509">
        <v>1.2235690000000001E-3</v>
      </c>
      <c r="FP25" s="1509">
        <v>0.65165171499999996</v>
      </c>
      <c r="FQ25" s="1509">
        <v>3.2145998000000002E-2</v>
      </c>
      <c r="FR25" s="1509">
        <v>0.97663628599999996</v>
      </c>
      <c r="FS25" s="1509">
        <v>0.99759789099999996</v>
      </c>
      <c r="FT25" s="1509">
        <v>0.26964008099999998</v>
      </c>
      <c r="FU25" s="1509">
        <v>0.46019631700000002</v>
      </c>
    </row>
    <row r="26" spans="1:177" s="1509" customFormat="1" x14ac:dyDescent="0.2">
      <c r="A26" s="1512" t="s">
        <v>675</v>
      </c>
      <c r="B26" s="1512" t="s">
        <v>1026</v>
      </c>
      <c r="C26" s="1509">
        <v>0</v>
      </c>
      <c r="D26" s="1509">
        <v>0</v>
      </c>
      <c r="E26" s="1509">
        <v>0</v>
      </c>
      <c r="F26" s="1509">
        <v>0</v>
      </c>
      <c r="G26" s="1509">
        <v>0</v>
      </c>
      <c r="H26" s="1509">
        <v>0</v>
      </c>
      <c r="I26" s="1509">
        <v>1</v>
      </c>
      <c r="J26" s="1509">
        <v>1</v>
      </c>
      <c r="K26" s="1509">
        <v>0</v>
      </c>
      <c r="L26" s="1509">
        <v>0.993985287</v>
      </c>
      <c r="M26" s="1509">
        <v>0</v>
      </c>
      <c r="N26" s="1509">
        <v>0</v>
      </c>
      <c r="O26" s="1509">
        <v>1</v>
      </c>
      <c r="P26" s="1509">
        <v>0.993985287</v>
      </c>
      <c r="Q26" s="1509">
        <v>0</v>
      </c>
      <c r="R26" s="1509">
        <v>0</v>
      </c>
      <c r="S26" s="1509">
        <v>0.98701656800000004</v>
      </c>
      <c r="T26" s="1509">
        <v>0</v>
      </c>
      <c r="U26" s="1509">
        <v>0</v>
      </c>
      <c r="V26" s="1509">
        <v>0</v>
      </c>
      <c r="W26" s="1509">
        <v>0.993985287</v>
      </c>
      <c r="X26" s="1509">
        <v>0</v>
      </c>
      <c r="Y26" s="1509">
        <v>0</v>
      </c>
      <c r="Z26" s="1509">
        <v>0</v>
      </c>
      <c r="AA26" s="1509">
        <v>0</v>
      </c>
      <c r="AB26" s="1509">
        <v>0</v>
      </c>
      <c r="AC26" s="1509">
        <v>0</v>
      </c>
      <c r="AD26" s="1509">
        <v>0</v>
      </c>
      <c r="AE26" s="1509">
        <v>0</v>
      </c>
      <c r="AF26" s="1509">
        <v>0</v>
      </c>
      <c r="AG26" s="1509">
        <v>0</v>
      </c>
      <c r="AH26" s="1509">
        <v>0</v>
      </c>
      <c r="AI26" s="1509">
        <v>0</v>
      </c>
      <c r="AJ26" s="1509">
        <v>0</v>
      </c>
      <c r="AK26" s="1509">
        <v>0</v>
      </c>
      <c r="AL26" s="1509">
        <v>0</v>
      </c>
      <c r="AM26" s="1509">
        <v>0</v>
      </c>
      <c r="AN26" s="1509">
        <v>0</v>
      </c>
      <c r="AO26" s="1509">
        <v>0</v>
      </c>
      <c r="AP26" s="1509">
        <v>1</v>
      </c>
      <c r="AQ26" s="1509">
        <v>0</v>
      </c>
      <c r="AR26" s="1509">
        <v>0.98639445299999995</v>
      </c>
      <c r="AS26" s="1509">
        <v>0</v>
      </c>
      <c r="AT26" s="1509">
        <v>0</v>
      </c>
      <c r="AU26" s="1509">
        <v>0</v>
      </c>
      <c r="AV26" s="1509">
        <v>0</v>
      </c>
      <c r="AW26" s="1509">
        <v>0</v>
      </c>
      <c r="AX26" s="1509">
        <v>0.99183376899999998</v>
      </c>
      <c r="AY26" s="1509">
        <v>0</v>
      </c>
      <c r="AZ26" s="1509">
        <v>0</v>
      </c>
      <c r="BA26" s="1509">
        <v>0</v>
      </c>
      <c r="BB26" s="1509">
        <v>0</v>
      </c>
      <c r="BC26" s="1509">
        <v>0</v>
      </c>
      <c r="BD26" s="1509">
        <v>0</v>
      </c>
      <c r="BE26" s="1509">
        <v>1</v>
      </c>
      <c r="BF26" s="1509">
        <v>0</v>
      </c>
      <c r="BG26" s="1509">
        <v>0</v>
      </c>
      <c r="BH26" s="1509">
        <v>0</v>
      </c>
      <c r="BI26" s="1509">
        <v>0.993985287</v>
      </c>
      <c r="BJ26" s="1509">
        <v>0</v>
      </c>
      <c r="BK26" s="1509">
        <v>1</v>
      </c>
      <c r="BL26" s="1509">
        <v>0</v>
      </c>
      <c r="BM26" s="1509" t="s">
        <v>2372</v>
      </c>
      <c r="BN26" s="1509">
        <v>0</v>
      </c>
      <c r="BO26" s="1509">
        <v>0.993985287</v>
      </c>
      <c r="BP26" s="1509">
        <v>0</v>
      </c>
      <c r="BQ26" s="1509">
        <v>0</v>
      </c>
      <c r="BR26" s="1509">
        <v>0</v>
      </c>
      <c r="BS26" s="1509">
        <v>0</v>
      </c>
      <c r="BT26" s="1509">
        <v>0</v>
      </c>
      <c r="BU26" s="1509">
        <v>0</v>
      </c>
      <c r="BV26" s="1509">
        <v>0</v>
      </c>
      <c r="BW26" s="1509">
        <v>0</v>
      </c>
      <c r="BX26" s="1509">
        <v>0</v>
      </c>
      <c r="BY26" s="1509">
        <v>0</v>
      </c>
      <c r="BZ26" s="1509">
        <v>0</v>
      </c>
      <c r="CA26" s="1509">
        <v>0</v>
      </c>
      <c r="CB26" s="1509">
        <v>0</v>
      </c>
      <c r="CC26" s="1509">
        <v>0</v>
      </c>
      <c r="CD26" s="1509">
        <v>0</v>
      </c>
      <c r="CE26" s="1509">
        <v>0</v>
      </c>
      <c r="CF26" s="1509">
        <v>0</v>
      </c>
      <c r="CG26" s="1509">
        <v>0</v>
      </c>
      <c r="CH26" s="1509">
        <v>0</v>
      </c>
      <c r="CI26" s="1509">
        <v>0</v>
      </c>
      <c r="CJ26" s="1509">
        <v>0</v>
      </c>
      <c r="CK26" s="1509">
        <v>0</v>
      </c>
      <c r="CL26" s="1509">
        <v>0</v>
      </c>
      <c r="CM26" s="1509">
        <v>0</v>
      </c>
      <c r="CN26" s="1509">
        <v>0</v>
      </c>
      <c r="CO26" s="1509">
        <v>0</v>
      </c>
      <c r="CP26" s="1509">
        <v>0</v>
      </c>
      <c r="CQ26" s="1509">
        <v>1</v>
      </c>
      <c r="CR26" s="1509">
        <v>0</v>
      </c>
      <c r="CS26" s="1509">
        <v>0</v>
      </c>
      <c r="CT26" s="1509">
        <v>0</v>
      </c>
      <c r="CU26" s="1509">
        <v>0</v>
      </c>
      <c r="CV26" s="1509">
        <v>0</v>
      </c>
      <c r="CW26" s="1509">
        <v>0</v>
      </c>
      <c r="CX26" s="1509">
        <v>0</v>
      </c>
      <c r="CY26" s="1509">
        <v>0</v>
      </c>
      <c r="CZ26" s="1509">
        <v>0</v>
      </c>
      <c r="DA26" s="1509">
        <v>0</v>
      </c>
      <c r="DB26" s="1509">
        <v>0</v>
      </c>
      <c r="DC26" s="1509">
        <v>0</v>
      </c>
      <c r="DD26" s="1509">
        <v>0</v>
      </c>
      <c r="DE26" s="1509" t="s">
        <v>2372</v>
      </c>
      <c r="DF26" s="1509">
        <v>0</v>
      </c>
      <c r="DG26" s="1509">
        <v>0</v>
      </c>
      <c r="DH26" s="1509">
        <v>0</v>
      </c>
      <c r="DI26" s="1509">
        <v>0</v>
      </c>
      <c r="DJ26" s="1509">
        <v>0</v>
      </c>
      <c r="DK26" s="1509">
        <v>0.99183376899999998</v>
      </c>
      <c r="DL26" s="1509">
        <v>0</v>
      </c>
      <c r="DM26" s="1509" t="s">
        <v>2372</v>
      </c>
      <c r="DN26" s="1509">
        <v>0</v>
      </c>
      <c r="DO26" s="1509">
        <v>0</v>
      </c>
      <c r="DP26" s="1509">
        <v>0</v>
      </c>
      <c r="DQ26" s="1509">
        <v>1</v>
      </c>
      <c r="DR26" s="1509">
        <v>0</v>
      </c>
      <c r="DS26" s="1509">
        <v>0</v>
      </c>
      <c r="DT26" s="1509">
        <v>0</v>
      </c>
      <c r="DU26" s="1509">
        <v>0</v>
      </c>
      <c r="DV26" s="1509">
        <v>0</v>
      </c>
      <c r="DW26" s="1509">
        <v>0</v>
      </c>
      <c r="DX26" s="1509">
        <v>0</v>
      </c>
      <c r="DY26" s="1509">
        <v>0</v>
      </c>
      <c r="DZ26" s="1509">
        <v>0</v>
      </c>
      <c r="EA26" s="1509">
        <v>0</v>
      </c>
      <c r="EB26" s="1509">
        <v>0</v>
      </c>
      <c r="EC26" s="1509">
        <v>0</v>
      </c>
      <c r="ED26" s="1509">
        <v>0</v>
      </c>
      <c r="EE26" s="1509">
        <v>0</v>
      </c>
      <c r="EF26" s="1509">
        <v>0</v>
      </c>
      <c r="EG26" s="1509">
        <v>0</v>
      </c>
      <c r="EH26" s="1509">
        <v>0</v>
      </c>
      <c r="EI26" s="1509">
        <v>0</v>
      </c>
      <c r="EJ26" s="1509">
        <v>0</v>
      </c>
      <c r="EK26" s="1509">
        <v>0</v>
      </c>
      <c r="EL26" s="1509">
        <v>0</v>
      </c>
      <c r="EM26" s="1509">
        <v>0</v>
      </c>
      <c r="EN26" s="1509">
        <v>0</v>
      </c>
      <c r="EO26" s="1509">
        <v>0</v>
      </c>
      <c r="EP26" s="1509">
        <v>0</v>
      </c>
      <c r="EQ26" s="1509">
        <v>0</v>
      </c>
      <c r="ER26" s="1509">
        <v>0</v>
      </c>
      <c r="ES26" s="1509">
        <v>0</v>
      </c>
      <c r="ET26" s="1509">
        <v>0</v>
      </c>
      <c r="EU26" s="1509">
        <v>0</v>
      </c>
      <c r="EV26" s="1509">
        <v>0</v>
      </c>
      <c r="EW26" s="1509">
        <v>0</v>
      </c>
      <c r="EX26" s="1509">
        <v>0</v>
      </c>
      <c r="EY26" s="1509">
        <v>0</v>
      </c>
      <c r="EZ26" s="1509">
        <v>0</v>
      </c>
      <c r="FA26" s="1509">
        <v>0</v>
      </c>
      <c r="FB26" s="1509">
        <v>0</v>
      </c>
      <c r="FC26" s="1509">
        <v>0</v>
      </c>
      <c r="FD26" s="1509">
        <v>0</v>
      </c>
      <c r="FE26" s="1509">
        <v>0</v>
      </c>
      <c r="FF26" s="1509">
        <v>0</v>
      </c>
      <c r="FG26" s="1509">
        <v>0</v>
      </c>
      <c r="FH26" s="1509">
        <v>0.99183376899999998</v>
      </c>
      <c r="FI26" s="1509">
        <v>0</v>
      </c>
      <c r="FJ26" s="1509">
        <v>1</v>
      </c>
      <c r="FK26" s="1509">
        <v>0</v>
      </c>
      <c r="FL26" s="1509">
        <v>0</v>
      </c>
      <c r="FM26" s="1509">
        <v>0</v>
      </c>
      <c r="FN26" s="1509">
        <v>0.993985287</v>
      </c>
      <c r="FO26" s="1509">
        <v>0</v>
      </c>
      <c r="FP26" s="1509">
        <v>0</v>
      </c>
      <c r="FQ26" s="1509">
        <v>0</v>
      </c>
      <c r="FR26" s="1509">
        <v>0</v>
      </c>
      <c r="FS26" s="1509">
        <v>0</v>
      </c>
      <c r="FT26" s="1509">
        <v>0</v>
      </c>
      <c r="FU26" s="1509">
        <v>0</v>
      </c>
    </row>
    <row r="27" spans="1:177" s="1509" customFormat="1" x14ac:dyDescent="0.2">
      <c r="A27" s="1512" t="s">
        <v>675</v>
      </c>
      <c r="B27" s="1512" t="s">
        <v>1245</v>
      </c>
      <c r="C27" s="1509">
        <v>0.94215590599999999</v>
      </c>
      <c r="D27" s="1509">
        <v>0.872953172</v>
      </c>
      <c r="E27" s="1509">
        <v>0.85673506200000005</v>
      </c>
      <c r="F27" s="1509">
        <v>0.39991304</v>
      </c>
      <c r="G27" s="1509">
        <v>0.91707224399999998</v>
      </c>
      <c r="H27" s="1509">
        <v>0.72006991099999995</v>
      </c>
      <c r="I27" s="1509">
        <v>0.85957472199999996</v>
      </c>
      <c r="J27" s="1509">
        <v>0.85253519799999999</v>
      </c>
      <c r="K27" s="1509">
        <v>0.87948960700000001</v>
      </c>
      <c r="L27" s="1509">
        <v>0.83971573600000005</v>
      </c>
      <c r="M27" s="1509">
        <v>0.87569221399999997</v>
      </c>
      <c r="N27" s="1509">
        <v>0.97170029300000005</v>
      </c>
      <c r="O27" s="1509">
        <v>0.93639087399999998</v>
      </c>
      <c r="P27" s="1509">
        <v>0.91862623099999996</v>
      </c>
      <c r="Q27" s="1509">
        <v>0.51744459300000001</v>
      </c>
      <c r="R27" s="1509">
        <v>0.83828784099999998</v>
      </c>
      <c r="S27" s="1509">
        <v>0.82859187199999995</v>
      </c>
      <c r="T27" s="1509">
        <v>0.77436629400000001</v>
      </c>
      <c r="U27" s="1509">
        <v>0.23237137699999999</v>
      </c>
      <c r="V27" s="1509">
        <v>0.73779728899999997</v>
      </c>
      <c r="W27" s="1509">
        <v>0.85424570099999997</v>
      </c>
      <c r="X27" s="1509">
        <v>0.604377995</v>
      </c>
      <c r="Y27" s="1509">
        <v>0.93683061199999995</v>
      </c>
      <c r="Z27" s="1509">
        <v>0.69260868600000003</v>
      </c>
      <c r="AA27" s="1509">
        <v>0.90867251500000001</v>
      </c>
      <c r="AB27" s="1509">
        <v>0.23186083399999999</v>
      </c>
      <c r="AC27" s="1509">
        <v>0.16550521300000001</v>
      </c>
      <c r="AD27" s="1509">
        <v>6.4458788000000003E-2</v>
      </c>
      <c r="AE27" s="1509">
        <v>0.773403057</v>
      </c>
      <c r="AF27" s="1509">
        <v>0.99090712599999997</v>
      </c>
      <c r="AG27" s="1509">
        <v>0.99685475999999995</v>
      </c>
      <c r="AH27" s="1509">
        <v>0.340569124</v>
      </c>
      <c r="AI27" s="1509">
        <v>0.15989297199999999</v>
      </c>
      <c r="AJ27" s="1509">
        <v>0.270885661</v>
      </c>
      <c r="AK27" s="1509">
        <v>0.76821108100000002</v>
      </c>
      <c r="AL27" s="1509">
        <v>0.46577100100000002</v>
      </c>
      <c r="AM27" s="1509">
        <v>0.998560271</v>
      </c>
      <c r="AN27" s="1509">
        <v>0.90586559</v>
      </c>
      <c r="AO27" s="1509">
        <v>0.769461332</v>
      </c>
      <c r="AP27" s="1509">
        <v>0.99525955499999996</v>
      </c>
      <c r="AQ27" s="1509">
        <v>0.40443165800000003</v>
      </c>
      <c r="AR27" s="1509">
        <v>0.94898304300000003</v>
      </c>
      <c r="AS27" s="1509">
        <v>0.91955816599999995</v>
      </c>
      <c r="AT27" s="1509">
        <v>0.21353021699999999</v>
      </c>
      <c r="AU27" s="1509">
        <v>0.699225176</v>
      </c>
      <c r="AV27" s="1509">
        <v>0.88927935199999997</v>
      </c>
      <c r="AW27" s="1509">
        <v>0.96848797399999997</v>
      </c>
      <c r="AX27" s="1509">
        <v>0.96536316499999997</v>
      </c>
      <c r="AY27" s="1509">
        <v>0.823795214</v>
      </c>
      <c r="AZ27" s="1509">
        <v>0.88804130100000001</v>
      </c>
      <c r="BA27" s="1509">
        <v>0.92351341799999997</v>
      </c>
      <c r="BB27" s="1509">
        <v>0.953894503</v>
      </c>
      <c r="BC27" s="1509">
        <v>5.9610743000000001E-2</v>
      </c>
      <c r="BD27" s="1509">
        <v>0.99659476999999996</v>
      </c>
      <c r="BE27" s="1509">
        <v>1</v>
      </c>
      <c r="BF27" s="1509">
        <v>7.5253278000000007E-2</v>
      </c>
      <c r="BG27" s="1509">
        <v>0.99972054399999999</v>
      </c>
      <c r="BH27" s="1509">
        <v>0.52149868499999996</v>
      </c>
      <c r="BI27" s="1509">
        <v>0.37185010200000002</v>
      </c>
      <c r="BJ27" s="1509">
        <v>0.81294392999999998</v>
      </c>
      <c r="BK27" s="1509">
        <v>0.99972423300000002</v>
      </c>
      <c r="BL27" s="1509">
        <v>0.87184637499999995</v>
      </c>
      <c r="BM27" s="1509">
        <v>0.99685199099999999</v>
      </c>
      <c r="BN27" s="1509">
        <v>0.899259154</v>
      </c>
      <c r="BO27" s="1509">
        <v>0.99911679900000006</v>
      </c>
      <c r="BP27" s="1509">
        <v>0.98692712999999999</v>
      </c>
      <c r="BQ27" s="1509">
        <v>0.98175462700000005</v>
      </c>
      <c r="BR27" s="1509">
        <v>0.47191270800000001</v>
      </c>
      <c r="BS27" s="1509">
        <v>0.95962242200000003</v>
      </c>
      <c r="BT27" s="1509">
        <v>0.93453206499999997</v>
      </c>
      <c r="BU27" s="1509">
        <v>0.80822490800000002</v>
      </c>
      <c r="BV27" s="1509">
        <v>0.93736653199999997</v>
      </c>
      <c r="BW27" s="1509">
        <v>0.82825449600000001</v>
      </c>
      <c r="BX27" s="1509">
        <v>0.91867636100000005</v>
      </c>
      <c r="BY27" s="1509">
        <v>0.69709566199999995</v>
      </c>
      <c r="BZ27" s="1509">
        <v>0.99882559199999998</v>
      </c>
      <c r="CA27" s="1509">
        <v>0.985453515</v>
      </c>
      <c r="CB27" s="1509">
        <v>0.65738178199999997</v>
      </c>
      <c r="CC27" s="1509">
        <v>0.94532013500000001</v>
      </c>
      <c r="CD27" s="1509">
        <v>0.97548730699999997</v>
      </c>
      <c r="CE27" s="1509">
        <v>0.89884597899999996</v>
      </c>
      <c r="CF27" s="1509">
        <v>0.64525225100000005</v>
      </c>
      <c r="CG27" s="1509">
        <v>0.85531523200000004</v>
      </c>
      <c r="CH27" s="1509">
        <v>0.94057583199999995</v>
      </c>
      <c r="CI27" s="1509">
        <v>0.97501322899999998</v>
      </c>
      <c r="CJ27" s="1509">
        <v>0.88036347199999998</v>
      </c>
      <c r="CK27" s="1509">
        <v>0.34228254400000002</v>
      </c>
      <c r="CL27" s="1509">
        <v>0.29635316900000003</v>
      </c>
      <c r="CM27" s="1509">
        <v>0.80787235599999996</v>
      </c>
      <c r="CN27" s="1509">
        <v>0.98987713799999999</v>
      </c>
      <c r="CO27" s="1509">
        <v>0.75312003500000002</v>
      </c>
      <c r="CP27" s="1509">
        <v>0.94678224300000002</v>
      </c>
      <c r="CQ27" s="1509">
        <v>0.999750319</v>
      </c>
      <c r="CR27" s="1509">
        <v>0.98073354199999996</v>
      </c>
      <c r="CS27" s="1509">
        <v>0.88730426100000004</v>
      </c>
      <c r="CT27" s="1509">
        <v>0.50623085499999998</v>
      </c>
      <c r="CU27" s="1509">
        <v>0.60649842399999998</v>
      </c>
      <c r="CV27" s="1509">
        <v>0.86504083799999998</v>
      </c>
      <c r="CW27" s="1509">
        <v>0.68270479699999997</v>
      </c>
      <c r="CX27" s="1509">
        <v>0.98319683899999999</v>
      </c>
      <c r="CY27" s="1509">
        <v>0.999779847</v>
      </c>
      <c r="CZ27" s="1509">
        <v>0.93910559299999996</v>
      </c>
      <c r="DA27" s="1509">
        <v>0.90914454</v>
      </c>
      <c r="DB27" s="1509">
        <v>0.98059216900000001</v>
      </c>
      <c r="DC27" s="1509">
        <v>0.59493740699999997</v>
      </c>
      <c r="DD27" s="1509">
        <v>0.92840257900000001</v>
      </c>
      <c r="DE27" s="1509">
        <v>0.89502294900000001</v>
      </c>
      <c r="DF27" s="1509">
        <v>0.62931962200000002</v>
      </c>
      <c r="DG27" s="1509">
        <v>0.77088641400000002</v>
      </c>
      <c r="DH27" s="1509">
        <v>0.55018901899999995</v>
      </c>
      <c r="DI27" s="1509">
        <v>0.48731132599999999</v>
      </c>
      <c r="DJ27" s="1509">
        <v>0.63750675999999995</v>
      </c>
      <c r="DK27" s="1509">
        <v>0.99747092699999995</v>
      </c>
      <c r="DL27" s="1509">
        <v>0.73928222399999999</v>
      </c>
      <c r="DM27" s="1509">
        <v>0.99733687400000004</v>
      </c>
      <c r="DN27" s="1509">
        <v>0.104119723</v>
      </c>
      <c r="DO27" s="1509">
        <v>0.72981749299999998</v>
      </c>
      <c r="DP27" s="1509">
        <v>0.90358385500000005</v>
      </c>
      <c r="DQ27" s="1509">
        <v>0.99927350599999998</v>
      </c>
      <c r="DR27" s="1509">
        <v>0.87457325299999999</v>
      </c>
      <c r="DS27" s="1509">
        <v>0.95701667700000004</v>
      </c>
      <c r="DT27" s="1509">
        <v>0.98186495900000004</v>
      </c>
      <c r="DU27" s="1509">
        <v>0.26313063199999998</v>
      </c>
      <c r="DV27" s="1509">
        <v>0.25015838000000001</v>
      </c>
      <c r="DW27" s="1509">
        <v>0.70256366699999995</v>
      </c>
      <c r="DX27" s="1509">
        <v>0.92330929900000003</v>
      </c>
      <c r="DY27" s="1509">
        <v>0.64695748799999997</v>
      </c>
      <c r="DZ27" s="1509">
        <v>0.203222285</v>
      </c>
      <c r="EA27" s="1509">
        <v>0.83640996899999998</v>
      </c>
      <c r="EB27" s="1509">
        <v>0.441313697</v>
      </c>
      <c r="EC27" s="1509">
        <v>0.68193573900000004</v>
      </c>
      <c r="ED27" s="1509">
        <v>0.95712560800000002</v>
      </c>
      <c r="EE27" s="1509">
        <v>0.97150380800000002</v>
      </c>
      <c r="EF27" s="1509">
        <v>0.97551350599999997</v>
      </c>
      <c r="EG27" s="1509">
        <v>0.51853106199999999</v>
      </c>
      <c r="EH27" s="1509">
        <v>0.99105078899999999</v>
      </c>
      <c r="EI27" s="1509">
        <v>0.48176467499999998</v>
      </c>
      <c r="EJ27" s="1509">
        <v>0.67391255699999997</v>
      </c>
      <c r="EK27" s="1509">
        <v>0.48931587300000001</v>
      </c>
      <c r="EL27" s="1509">
        <v>0.82070291299999998</v>
      </c>
      <c r="EM27" s="1509">
        <v>0.945860429</v>
      </c>
      <c r="EN27" s="1509">
        <v>0.93417893799999996</v>
      </c>
      <c r="EO27" s="1509">
        <v>0.35689253900000001</v>
      </c>
      <c r="EP27" s="1509">
        <v>0.64527423800000006</v>
      </c>
      <c r="EQ27" s="1509">
        <v>0.95546537600000003</v>
      </c>
      <c r="ER27" s="1509">
        <v>0.99063249900000006</v>
      </c>
      <c r="ES27" s="1509">
        <v>0.98174382999999998</v>
      </c>
      <c r="ET27" s="1509">
        <v>0.90110627899999995</v>
      </c>
      <c r="EU27" s="1509">
        <v>0.57828383500000002</v>
      </c>
      <c r="EV27" s="1509">
        <v>0.109285911</v>
      </c>
      <c r="EW27" s="1509">
        <v>0.95729348199999997</v>
      </c>
      <c r="EX27" s="1509">
        <v>0.30074521700000001</v>
      </c>
      <c r="EY27" s="1509">
        <v>0.86434735699999998</v>
      </c>
      <c r="EZ27" s="1509">
        <v>0.88715307200000004</v>
      </c>
      <c r="FA27" s="1509">
        <v>0.901322611</v>
      </c>
      <c r="FB27" s="1509">
        <v>0.91084562700000005</v>
      </c>
      <c r="FC27" s="1509">
        <v>0.80377782200000003</v>
      </c>
      <c r="FD27" s="1509">
        <v>0.86518393800000004</v>
      </c>
      <c r="FE27" s="1509">
        <v>0.96643220399999996</v>
      </c>
      <c r="FF27" s="1509">
        <v>0.510735088</v>
      </c>
      <c r="FG27" s="1509">
        <v>0.82069371499999999</v>
      </c>
      <c r="FH27" s="1509">
        <v>0.63976271500000004</v>
      </c>
      <c r="FI27" s="1509">
        <v>0.76287147700000002</v>
      </c>
      <c r="FJ27" s="1509">
        <v>0.99906985400000003</v>
      </c>
      <c r="FK27" s="1509">
        <v>0.94737014600000002</v>
      </c>
      <c r="FL27" s="1509">
        <v>0.997010642</v>
      </c>
      <c r="FM27" s="1509">
        <v>2.4137109E-2</v>
      </c>
      <c r="FN27" s="1509">
        <v>0.98583896699999995</v>
      </c>
      <c r="FO27" s="1509">
        <v>0.99561918599999999</v>
      </c>
      <c r="FP27" s="1509">
        <v>0.40387313499999999</v>
      </c>
      <c r="FQ27" s="1509">
        <v>0.93639626200000003</v>
      </c>
      <c r="FR27" s="1509">
        <v>0.68421834800000003</v>
      </c>
      <c r="FS27" s="1509">
        <v>0.86390884700000004</v>
      </c>
      <c r="FT27" s="1509">
        <v>0.30419705800000002</v>
      </c>
      <c r="FU27" s="1509">
        <v>0.59101072499999996</v>
      </c>
    </row>
    <row r="28" spans="1:177" s="1509" customFormat="1" x14ac:dyDescent="0.2">
      <c r="A28" s="1512" t="s">
        <v>675</v>
      </c>
      <c r="B28" s="1512" t="s">
        <v>1012</v>
      </c>
      <c r="C28" s="1509">
        <v>0.94981777000000001</v>
      </c>
      <c r="D28" s="1509">
        <v>0.99138785600000001</v>
      </c>
      <c r="E28" s="1509">
        <v>0.90254973100000002</v>
      </c>
      <c r="F28" s="1509">
        <v>0.70751601600000003</v>
      </c>
      <c r="G28" s="1509">
        <v>0.960323021</v>
      </c>
      <c r="H28" s="1509">
        <v>0.72232449599999993</v>
      </c>
      <c r="I28" s="1509">
        <v>0.97347787500000005</v>
      </c>
      <c r="J28" s="1509">
        <v>0.97282199599999997</v>
      </c>
      <c r="K28" s="1509">
        <v>0.988074919</v>
      </c>
      <c r="L28" s="1509">
        <v>0.94973951199999995</v>
      </c>
      <c r="M28" s="1509">
        <v>0.96258133300000004</v>
      </c>
      <c r="N28" s="1509">
        <v>0.99164871700000001</v>
      </c>
      <c r="O28" s="1509">
        <v>0.99665352399999996</v>
      </c>
      <c r="P28" s="1509">
        <v>0.97681689800000004</v>
      </c>
      <c r="Q28" s="1509">
        <v>0.63628564799999998</v>
      </c>
      <c r="R28" s="1509">
        <v>0.976173603</v>
      </c>
      <c r="S28" s="1509">
        <v>0.99796528299999998</v>
      </c>
      <c r="T28" s="1509">
        <v>0.60487735799999998</v>
      </c>
      <c r="U28" s="1509">
        <v>0.82798816399999997</v>
      </c>
      <c r="V28" s="1509">
        <v>0.89324444199999997</v>
      </c>
      <c r="W28" s="1509">
        <v>0.96462722899999997</v>
      </c>
      <c r="X28" s="1509">
        <v>0.63848745299999998</v>
      </c>
      <c r="Y28" s="1509">
        <v>0.93398349899999999</v>
      </c>
      <c r="Z28" s="1509">
        <v>0.77518241600000004</v>
      </c>
      <c r="AA28" s="1509">
        <v>0.93817591</v>
      </c>
      <c r="AB28" s="1509">
        <v>0.91969576100000006</v>
      </c>
      <c r="AC28" s="1509">
        <v>0.80423116800000005</v>
      </c>
      <c r="AD28" s="1509">
        <v>0.73314277999999999</v>
      </c>
      <c r="AE28" s="1509">
        <v>0.97695687499999995</v>
      </c>
      <c r="AF28" s="1509">
        <v>0.99195057099999995</v>
      </c>
      <c r="AG28" s="1509">
        <v>0.99998880000000001</v>
      </c>
      <c r="AH28" s="1509">
        <v>0.96750415499999998</v>
      </c>
      <c r="AI28" s="1509">
        <v>0.87489472400000001</v>
      </c>
      <c r="AJ28" s="1509">
        <v>0.90681667399999999</v>
      </c>
      <c r="AK28" s="1509">
        <v>0.97421915199999998</v>
      </c>
      <c r="AL28" s="1509">
        <v>0.62778154900000005</v>
      </c>
      <c r="AM28" s="1509">
        <v>0.99353986900000002</v>
      </c>
      <c r="AN28" s="1509">
        <v>0.69787322900000004</v>
      </c>
      <c r="AO28" s="1509">
        <v>0.766634072</v>
      </c>
      <c r="AP28" s="1509">
        <v>0.99968113599999997</v>
      </c>
      <c r="AQ28" s="1509">
        <v>0.71407755800000006</v>
      </c>
      <c r="AR28" s="1509">
        <v>0.95692345499999998</v>
      </c>
      <c r="AS28" s="1509">
        <v>0.73986502099999996</v>
      </c>
      <c r="AT28" s="1509">
        <v>3.1700155000000008E-2</v>
      </c>
      <c r="AU28" s="1509">
        <v>0.59256383800000001</v>
      </c>
      <c r="AV28" s="1509">
        <v>0.73386946499999994</v>
      </c>
      <c r="AW28" s="1509">
        <v>0.97213630399999995</v>
      </c>
      <c r="AX28" s="1509">
        <v>0.99967225800000004</v>
      </c>
      <c r="AY28" s="1509">
        <v>0.72836448499999995</v>
      </c>
      <c r="AZ28" s="1509">
        <v>0.95574928999999997</v>
      </c>
      <c r="BA28" s="1509">
        <v>0.97825440900000005</v>
      </c>
      <c r="BB28" s="1509">
        <v>0.98276203699999998</v>
      </c>
      <c r="BC28" s="1509">
        <v>3.2730180000000053E-2</v>
      </c>
      <c r="BD28" s="1509">
        <v>0.98701707999999999</v>
      </c>
      <c r="BE28" s="1509">
        <v>0.99993010000000004</v>
      </c>
      <c r="BF28" s="1509">
        <v>0.15508017299999999</v>
      </c>
      <c r="BG28" s="1509">
        <v>0.35997484899999999</v>
      </c>
      <c r="BH28" s="1509">
        <v>0.96219749399999999</v>
      </c>
      <c r="BI28" s="1509">
        <v>0.90923895600000004</v>
      </c>
      <c r="BJ28" s="1509">
        <v>0.57053685200000004</v>
      </c>
      <c r="BK28" s="1509">
        <v>0.99988447599999997</v>
      </c>
      <c r="BL28" s="1509">
        <v>0.95864978300000003</v>
      </c>
      <c r="BM28" s="1509">
        <v>0.99988064399999999</v>
      </c>
      <c r="BN28" s="1509">
        <v>0.90612725599999999</v>
      </c>
      <c r="BO28" s="1509">
        <v>0.99983230400000001</v>
      </c>
      <c r="BP28" s="1509">
        <v>0.99886711699999997</v>
      </c>
      <c r="BQ28" s="1509">
        <v>0.99686966600000004</v>
      </c>
      <c r="BR28" s="1509">
        <v>0.453134433</v>
      </c>
      <c r="BS28" s="1509">
        <v>0.99145866100000002</v>
      </c>
      <c r="BT28" s="1509">
        <v>0.96374634000000003</v>
      </c>
      <c r="BU28" s="1509">
        <v>0.80102591200000006</v>
      </c>
      <c r="BV28" s="1509">
        <v>0.97524381900000001</v>
      </c>
      <c r="BW28" s="1509">
        <v>0.72484763499999993</v>
      </c>
      <c r="BX28" s="1509">
        <v>0.94401625600000005</v>
      </c>
      <c r="BY28" s="1509">
        <v>0.80322388600000005</v>
      </c>
      <c r="BZ28" s="1509">
        <v>0.99975965600000005</v>
      </c>
      <c r="CA28" s="1509">
        <v>0.99415156699999996</v>
      </c>
      <c r="CB28" s="1509">
        <v>0.55484770900000002</v>
      </c>
      <c r="CC28" s="1509">
        <v>0.80005669400000001</v>
      </c>
      <c r="CD28" s="1509">
        <v>0.99979112699999995</v>
      </c>
      <c r="CE28" s="1509">
        <v>0.94265700900000005</v>
      </c>
      <c r="CF28" s="1509">
        <v>0.51482622499999997</v>
      </c>
      <c r="CG28" s="1509">
        <v>0.97449150699999998</v>
      </c>
      <c r="CH28" s="1509">
        <v>0.99871060099999998</v>
      </c>
      <c r="CI28" s="1509">
        <v>0.99815161200000002</v>
      </c>
      <c r="CJ28" s="1509">
        <v>0.98567906100000002</v>
      </c>
      <c r="CK28" s="1509">
        <v>0.63805230800000001</v>
      </c>
      <c r="CL28" s="1509">
        <v>0.42290249400000002</v>
      </c>
      <c r="CM28" s="1509">
        <v>0.92525850600000004</v>
      </c>
      <c r="CN28" s="1509">
        <v>0.98747510299999997</v>
      </c>
      <c r="CO28" s="1509">
        <v>0.43289594399999998</v>
      </c>
      <c r="CP28" s="1509">
        <v>0.79232840700000007</v>
      </c>
      <c r="CQ28" s="1509">
        <v>0.99998880000000001</v>
      </c>
      <c r="CR28" s="1509">
        <v>0.99949318399999998</v>
      </c>
      <c r="CS28" s="1509">
        <v>0.78129774699999999</v>
      </c>
      <c r="CT28" s="1509">
        <v>0.50909287400000003</v>
      </c>
      <c r="CU28" s="1509">
        <v>0.70583061899999999</v>
      </c>
      <c r="CV28" s="1509">
        <v>0.95289280799999998</v>
      </c>
      <c r="CW28" s="1509">
        <v>0.77251062199999998</v>
      </c>
      <c r="CX28" s="1509">
        <v>0.99768289200000004</v>
      </c>
      <c r="CY28" s="1509">
        <v>0.99974682400000003</v>
      </c>
      <c r="CZ28" s="1509">
        <v>0.99065936200000004</v>
      </c>
      <c r="DA28" s="1509">
        <v>0.98070693900000006</v>
      </c>
      <c r="DB28" s="1509">
        <v>0.976572632</v>
      </c>
      <c r="DC28" s="1509">
        <v>0.54594872999999999</v>
      </c>
      <c r="DD28" s="1509">
        <v>0.99846393</v>
      </c>
      <c r="DE28" s="1509">
        <v>0.66039054800000008</v>
      </c>
      <c r="DF28" s="1509">
        <v>0.82610215300000001</v>
      </c>
      <c r="DG28" s="1509">
        <v>0.91587487000000001</v>
      </c>
      <c r="DH28" s="1509">
        <v>0.21929009600000005</v>
      </c>
      <c r="DI28" s="1509">
        <v>0.18821917099999996</v>
      </c>
      <c r="DJ28" s="1509">
        <v>0.91812466199999998</v>
      </c>
      <c r="DK28" s="1509">
        <v>0.99974873099999995</v>
      </c>
      <c r="DL28" s="1509">
        <v>0.73450799300000003</v>
      </c>
      <c r="DM28" s="1509">
        <v>0.99960463399999999</v>
      </c>
      <c r="DN28" s="1509">
        <v>7.9142043000000051E-2</v>
      </c>
      <c r="DO28" s="1509">
        <v>0.962188759</v>
      </c>
      <c r="DP28" s="1509">
        <v>0.99132030699999996</v>
      </c>
      <c r="DQ28" s="1509">
        <v>0.99987982799999997</v>
      </c>
      <c r="DR28" s="1509">
        <v>0.97575803900000002</v>
      </c>
      <c r="DS28" s="1509">
        <v>0.99342331699999997</v>
      </c>
      <c r="DT28" s="1509">
        <v>0.97900814400000002</v>
      </c>
      <c r="DU28" s="1509">
        <v>0.784860365</v>
      </c>
      <c r="DV28" s="1509">
        <v>0.85860580899999994</v>
      </c>
      <c r="DW28" s="1509">
        <v>0.36675736599999997</v>
      </c>
      <c r="DX28" s="1509">
        <v>0.92417021499999996</v>
      </c>
      <c r="DY28" s="1509">
        <v>0.50606520899999996</v>
      </c>
      <c r="DZ28" s="1509">
        <v>0.27875228699999999</v>
      </c>
      <c r="EA28" s="1509">
        <v>0.56207207799999992</v>
      </c>
      <c r="EB28" s="1509">
        <v>0.232725403</v>
      </c>
      <c r="EC28" s="1509">
        <v>0.74876463599999998</v>
      </c>
      <c r="ED28" s="1509">
        <v>0.90664525100000004</v>
      </c>
      <c r="EE28" s="1509">
        <v>0.963663626</v>
      </c>
      <c r="EF28" s="1509">
        <v>0.97810580499999999</v>
      </c>
      <c r="EG28" s="1509">
        <v>7.1556900000002699E-4</v>
      </c>
      <c r="EH28" s="1509">
        <v>0.99720405999999995</v>
      </c>
      <c r="EI28" s="1509">
        <v>0.69242762200000008</v>
      </c>
      <c r="EJ28" s="1509">
        <v>0.64164919799999998</v>
      </c>
      <c r="EK28" s="1509">
        <v>0.98340550500000001</v>
      </c>
      <c r="EL28" s="1509">
        <v>0.56879662200000003</v>
      </c>
      <c r="EM28" s="1509">
        <v>0.980601367</v>
      </c>
      <c r="EN28" s="1509">
        <v>0.98159475299999999</v>
      </c>
      <c r="EO28" s="1509">
        <v>7.4301639999999947E-2</v>
      </c>
      <c r="EP28" s="1509">
        <v>0.52233832800000002</v>
      </c>
      <c r="EQ28" s="1509">
        <v>0.98707973699999996</v>
      </c>
      <c r="ER28" s="1509">
        <v>0.99538779899999996</v>
      </c>
      <c r="ES28" s="1509">
        <v>0.99653259400000005</v>
      </c>
      <c r="ET28" s="1509">
        <v>0.94059812200000004</v>
      </c>
      <c r="EU28" s="1509">
        <v>9.3952600000002384E-4</v>
      </c>
      <c r="EV28" s="1509">
        <v>0.85335132000000002</v>
      </c>
      <c r="EW28" s="1509">
        <v>0.99068917099999998</v>
      </c>
      <c r="EX28" s="1509">
        <v>8.9117848E-2</v>
      </c>
      <c r="EY28" s="1509">
        <v>0.80344208900000003</v>
      </c>
      <c r="EZ28" s="1509">
        <v>0.94484653500000004</v>
      </c>
      <c r="FA28" s="1509">
        <v>0.96227611499999999</v>
      </c>
      <c r="FB28" s="1509">
        <v>0.95457250999999999</v>
      </c>
      <c r="FC28" s="1509">
        <v>0.88678643000000001</v>
      </c>
      <c r="FD28" s="1509">
        <v>0.85872795699999993</v>
      </c>
      <c r="FE28" s="1509">
        <v>0.994661295</v>
      </c>
      <c r="FF28" s="1509">
        <v>0.766634072</v>
      </c>
      <c r="FG28" s="1509">
        <v>0.79094730499999999</v>
      </c>
      <c r="FH28" s="1509">
        <v>0.89496424900000004</v>
      </c>
      <c r="FI28" s="1509">
        <v>0.65694485800000002</v>
      </c>
      <c r="FJ28" s="1509">
        <v>0.99957620599999997</v>
      </c>
      <c r="FK28" s="1509">
        <v>0.97748960799999995</v>
      </c>
      <c r="FL28" s="1509">
        <v>0.99974245500000003</v>
      </c>
      <c r="FM28" s="1509">
        <v>0.10974055500000002</v>
      </c>
      <c r="FN28" s="1509">
        <v>0.99814415899999998</v>
      </c>
      <c r="FO28" s="1509">
        <v>0.99594692799999995</v>
      </c>
      <c r="FP28" s="1509">
        <v>0.65694485800000002</v>
      </c>
      <c r="FQ28" s="1509">
        <v>0.97635889899999995</v>
      </c>
      <c r="FR28" s="1509">
        <v>0.31163727600000002</v>
      </c>
      <c r="FS28" s="1509">
        <v>0.766634072</v>
      </c>
      <c r="FT28" s="1509">
        <v>7.4503999999997461E-4</v>
      </c>
      <c r="FU28" s="1509">
        <v>0.991507107</v>
      </c>
    </row>
    <row r="29" spans="1:177" s="1509" customFormat="1" x14ac:dyDescent="0.2">
      <c r="A29" s="1512" t="s">
        <v>675</v>
      </c>
      <c r="B29" s="1512" t="s">
        <v>1011</v>
      </c>
      <c r="C29" s="1509">
        <v>0.31949154400000002</v>
      </c>
      <c r="D29" s="1509">
        <v>1.1824462999999952E-2</v>
      </c>
      <c r="E29" s="1509">
        <v>0.14400652899999999</v>
      </c>
      <c r="F29" s="1509">
        <v>0.34488034700000003</v>
      </c>
      <c r="G29" s="1509">
        <v>8.1500472999999962E-2</v>
      </c>
      <c r="H29" s="1509">
        <v>0.29915555500000002</v>
      </c>
      <c r="I29" s="1509">
        <v>8.0516653999999965E-2</v>
      </c>
      <c r="J29" s="1509">
        <v>9.0742411000000023E-2</v>
      </c>
      <c r="K29" s="1509">
        <v>6.5517139000000002E-2</v>
      </c>
      <c r="L29" s="1509">
        <v>0.11117156500000003</v>
      </c>
      <c r="M29" s="1509">
        <v>6.5289817000000028E-2</v>
      </c>
      <c r="N29" s="1509">
        <v>2.0857711000000001E-2</v>
      </c>
      <c r="O29" s="1509">
        <v>4.3910383000000053E-2</v>
      </c>
      <c r="P29" s="1509">
        <v>6.0888716999999981E-2</v>
      </c>
      <c r="Q29" s="1509">
        <v>0.20834296900000004</v>
      </c>
      <c r="R29" s="1509">
        <v>3.7962597000000042E-2</v>
      </c>
      <c r="S29" s="1509">
        <v>1.581936500000003E-2</v>
      </c>
      <c r="T29" s="1509">
        <v>0.51153378900000002</v>
      </c>
      <c r="U29" s="1509">
        <v>0.49244248000000002</v>
      </c>
      <c r="V29" s="1509">
        <v>0.27931892899999999</v>
      </c>
      <c r="W29" s="1509">
        <v>0.16656356400000005</v>
      </c>
      <c r="X29" s="1509">
        <v>0.37651206299999995</v>
      </c>
      <c r="Y29" s="1509">
        <v>4.5911561000000045E-2</v>
      </c>
      <c r="Z29" s="1509">
        <v>0.270363939</v>
      </c>
      <c r="AA29" s="1509">
        <v>5.2507620999999949E-2</v>
      </c>
      <c r="AB29" s="1509">
        <v>0.17574587699999999</v>
      </c>
      <c r="AC29" s="1509">
        <v>0.22072206400000005</v>
      </c>
      <c r="AD29" s="1509">
        <v>0.40272860799999999</v>
      </c>
      <c r="AE29" s="1509">
        <v>0.11619284900000004</v>
      </c>
      <c r="AF29" s="1509">
        <v>0.24476973400000002</v>
      </c>
      <c r="AG29" s="1509">
        <v>3.7265999999980259E-5</v>
      </c>
      <c r="AH29" s="1509">
        <v>0.24342816300000003</v>
      </c>
      <c r="AI29" s="1509">
        <v>0.22665851800000003</v>
      </c>
      <c r="AJ29" s="1509">
        <v>0.24771001199999998</v>
      </c>
      <c r="AK29" s="1509">
        <v>7.7103832000000039E-2</v>
      </c>
      <c r="AL29" s="1509">
        <v>0.342924067</v>
      </c>
      <c r="AM29" s="1509">
        <v>2.5198987999999978E-2</v>
      </c>
      <c r="AN29" s="1509">
        <v>0.23798050000000004</v>
      </c>
      <c r="AO29" s="1509">
        <v>0.38722843399999995</v>
      </c>
      <c r="AP29" s="1509">
        <v>1</v>
      </c>
      <c r="AQ29" s="1509">
        <v>8.4239515000000043E-2</v>
      </c>
      <c r="AR29" s="1509">
        <v>0.44597752400000001</v>
      </c>
      <c r="AS29" s="1509">
        <v>0.84568081500000003</v>
      </c>
      <c r="AT29" s="1509">
        <v>0.97254293000000003</v>
      </c>
      <c r="AU29" s="1509">
        <v>0.97876919799999995</v>
      </c>
      <c r="AV29" s="1509">
        <v>0.25099686200000004</v>
      </c>
      <c r="AW29" s="1509">
        <v>6.9344344000000002E-2</v>
      </c>
      <c r="AX29" s="1509">
        <v>9.5482080000000025E-3</v>
      </c>
      <c r="AY29" s="1509">
        <v>0.13816788899999999</v>
      </c>
      <c r="AZ29" s="1509">
        <v>0.12408361400000001</v>
      </c>
      <c r="BA29" s="1509">
        <v>0.12290579700000004</v>
      </c>
      <c r="BB29" s="1509">
        <v>4.8251986999999996E-2</v>
      </c>
      <c r="BC29" s="1509">
        <v>0.93880578699999995</v>
      </c>
      <c r="BD29" s="1509">
        <v>2.106169400000002E-2</v>
      </c>
      <c r="BE29" s="1509">
        <v>2.4452399999996821E-4</v>
      </c>
      <c r="BF29" s="1509">
        <v>0.86645810000000001</v>
      </c>
      <c r="BG29" s="1509">
        <v>0.74875117899999999</v>
      </c>
      <c r="BH29" s="1509">
        <v>0.28895961100000001</v>
      </c>
      <c r="BI29" s="1509">
        <v>0.40335094800000004</v>
      </c>
      <c r="BJ29" s="1509">
        <v>0.48721407800000005</v>
      </c>
      <c r="BK29" s="1509">
        <v>2.4103568999999991E-2</v>
      </c>
      <c r="BL29" s="1509">
        <v>0.98244031899999995</v>
      </c>
      <c r="BM29" s="1509">
        <v>1</v>
      </c>
      <c r="BN29" s="1509">
        <v>0.10007005999999996</v>
      </c>
      <c r="BO29" s="1509">
        <v>1.7731103999999998E-2</v>
      </c>
      <c r="BP29" s="1509">
        <v>1.4675302000000001E-2</v>
      </c>
      <c r="BQ29" s="1509">
        <v>2.4878700000000031E-2</v>
      </c>
      <c r="BR29" s="1509">
        <v>0.59215851400000008</v>
      </c>
      <c r="BS29" s="1509">
        <v>0.98244031899999995</v>
      </c>
      <c r="BT29" s="1509">
        <v>0.12404508700000005</v>
      </c>
      <c r="BU29" s="1509">
        <v>0.43435043900000003</v>
      </c>
      <c r="BV29" s="1509">
        <v>8.8958237000000051E-2</v>
      </c>
      <c r="BW29" s="1509">
        <v>1</v>
      </c>
      <c r="BX29" s="1509">
        <v>0.10233734500000002</v>
      </c>
      <c r="BY29" s="1509">
        <v>0.99499647700000005</v>
      </c>
      <c r="BZ29" s="1509">
        <v>0.99499647700000005</v>
      </c>
      <c r="CA29" s="1509">
        <v>1</v>
      </c>
      <c r="CB29" s="1509">
        <v>1</v>
      </c>
      <c r="CC29" s="1509">
        <v>0.14983625899999997</v>
      </c>
      <c r="CD29" s="1509">
        <v>3.5657540000000321E-3</v>
      </c>
      <c r="CE29" s="1509">
        <v>0.16556884199999999</v>
      </c>
      <c r="CF29" s="1509">
        <v>0.47566261099999996</v>
      </c>
      <c r="CG29" s="1509">
        <v>0.21694330399999995</v>
      </c>
      <c r="CH29" s="1509">
        <v>2.9372964000000001E-2</v>
      </c>
      <c r="CI29" s="1509">
        <v>1.2864180999999975E-2</v>
      </c>
      <c r="CJ29" s="1509">
        <v>3.2538582000000038E-2</v>
      </c>
      <c r="CK29" s="1509">
        <v>0.43014001700000004</v>
      </c>
      <c r="CL29" s="1509">
        <v>0.506692645</v>
      </c>
      <c r="CM29" s="1509">
        <v>0.18606988499999999</v>
      </c>
      <c r="CN29" s="1509">
        <v>0.158989355</v>
      </c>
      <c r="CO29" s="1509">
        <v>0.95600247699999996</v>
      </c>
      <c r="CP29" s="1509">
        <v>0.95600247699999996</v>
      </c>
      <c r="CQ29" s="1509">
        <v>1.3043099999998642E-4</v>
      </c>
      <c r="CR29" s="1509">
        <v>3.2421299999996211E-4</v>
      </c>
      <c r="CS29" s="1509">
        <v>0.202845622</v>
      </c>
      <c r="CT29" s="1509">
        <v>0.61904211799999997</v>
      </c>
      <c r="CU29" s="1509">
        <v>0.455396472</v>
      </c>
      <c r="CV29" s="1509">
        <v>0.11775972499999998</v>
      </c>
      <c r="CW29" s="1509">
        <v>0.31580366800000004</v>
      </c>
      <c r="CX29" s="1509">
        <v>1.4788762999999983E-2</v>
      </c>
      <c r="CY29" s="1509">
        <v>2.9335360000000144E-3</v>
      </c>
      <c r="CZ29" s="1509">
        <v>9.3766899000000015E-2</v>
      </c>
      <c r="DA29" s="1509">
        <v>2.8884967999999955E-2</v>
      </c>
      <c r="DB29" s="1509">
        <v>3.5127255000000024E-2</v>
      </c>
      <c r="DC29" s="1509">
        <v>0.42584092900000003</v>
      </c>
      <c r="DD29" s="1509">
        <v>7.264599599999999E-2</v>
      </c>
      <c r="DE29" s="1509">
        <v>0.312815607</v>
      </c>
      <c r="DF29" s="1509">
        <v>0.22404547500000005</v>
      </c>
      <c r="DG29" s="1509">
        <v>0.11393592699999999</v>
      </c>
      <c r="DH29" s="1509">
        <v>0.77273521600000006</v>
      </c>
      <c r="DI29" s="1509">
        <v>0.52557510600000001</v>
      </c>
      <c r="DJ29" s="1509">
        <v>0.10928546800000005</v>
      </c>
      <c r="DK29" s="1509">
        <v>6.1670059999999749E-3</v>
      </c>
      <c r="DL29" s="1509">
        <v>0.26826702899999999</v>
      </c>
      <c r="DM29" s="1509">
        <v>0.95600247699999996</v>
      </c>
      <c r="DN29" s="1509">
        <v>0.87659963399999996</v>
      </c>
      <c r="DO29" s="1509">
        <v>4.3227000000000015E-2</v>
      </c>
      <c r="DP29" s="1509">
        <v>5.2149165999999969E-2</v>
      </c>
      <c r="DQ29" s="1509">
        <v>2.8021910000000094E-3</v>
      </c>
      <c r="DR29" s="1509">
        <v>2.822402199999996E-2</v>
      </c>
      <c r="DS29" s="1509">
        <v>3.4216232999999985E-2</v>
      </c>
      <c r="DT29" s="1509">
        <v>1.0383948999999948E-2</v>
      </c>
      <c r="DU29" s="1509">
        <v>0.29393087900000003</v>
      </c>
      <c r="DV29" s="1509">
        <v>0.15934889100000005</v>
      </c>
      <c r="DW29" s="1509">
        <v>0.51845159600000001</v>
      </c>
      <c r="DX29" s="1509">
        <v>0.66105277699999998</v>
      </c>
      <c r="DY29" s="1509">
        <v>0.41290205400000002</v>
      </c>
      <c r="DZ29" s="1509">
        <v>0.80350361999999997</v>
      </c>
      <c r="EA29" s="1509">
        <v>8.1698699000000041E-2</v>
      </c>
      <c r="EB29" s="1509">
        <v>0.56328118599999999</v>
      </c>
      <c r="EC29" s="1509">
        <v>0.22062517199999998</v>
      </c>
      <c r="ED29" s="1509">
        <v>3.4966572999999945E-2</v>
      </c>
      <c r="EE29" s="1509">
        <v>3.8410181000000043E-2</v>
      </c>
      <c r="EF29" s="1509">
        <v>3.5472118000000052E-2</v>
      </c>
      <c r="EG29" s="1509">
        <v>0.75726903800000001</v>
      </c>
      <c r="EH29" s="1509">
        <v>8.2447220000000376E-3</v>
      </c>
      <c r="EI29" s="1509">
        <v>0.25510805400000003</v>
      </c>
      <c r="EJ29" s="1509">
        <v>0.40978568199999998</v>
      </c>
      <c r="EK29" s="1509">
        <v>5.5902542E-2</v>
      </c>
      <c r="EL29" s="1509">
        <v>0.31273282499999999</v>
      </c>
      <c r="EM29" s="1509">
        <v>5.8223494000000042E-2</v>
      </c>
      <c r="EN29" s="1509">
        <v>3.7012849999999986E-2</v>
      </c>
      <c r="EO29" s="1509">
        <v>0.52565788899999999</v>
      </c>
      <c r="EP29" s="1509">
        <v>0.47441156699999998</v>
      </c>
      <c r="EQ29" s="1509">
        <v>3.0838549000000048E-2</v>
      </c>
      <c r="ER29" s="1509">
        <v>3.022147399999997E-2</v>
      </c>
      <c r="ES29" s="1509">
        <v>3.4927240000000026E-2</v>
      </c>
      <c r="ET29" s="1509">
        <v>9.1113215999999997E-2</v>
      </c>
      <c r="EU29" s="1509">
        <v>0.57050543200000003</v>
      </c>
      <c r="EV29" s="1509">
        <v>0.30057165900000005</v>
      </c>
      <c r="EW29" s="1509">
        <v>2.4403724000000016E-2</v>
      </c>
      <c r="EX29" s="1509">
        <v>0.69529753599999999</v>
      </c>
      <c r="EY29" s="1509">
        <v>6.555599599999995E-2</v>
      </c>
      <c r="EZ29" s="1509">
        <v>9.1254213000000028E-2</v>
      </c>
      <c r="FA29" s="1509">
        <v>0.16444242200000003</v>
      </c>
      <c r="FB29" s="1509">
        <v>0.24854385400000001</v>
      </c>
      <c r="FC29" s="1509">
        <v>0.16850494199999999</v>
      </c>
      <c r="FD29" s="1509">
        <v>0.11168901200000003</v>
      </c>
      <c r="FE29" s="1509">
        <v>1.4964886000000011E-2</v>
      </c>
      <c r="FF29" s="1509">
        <v>0.34103567000000001</v>
      </c>
      <c r="FG29" s="1509">
        <v>0.24498937600000004</v>
      </c>
      <c r="FH29" s="1509">
        <v>0.15031872899999998</v>
      </c>
      <c r="FI29" s="1509">
        <v>0.37477148100000002</v>
      </c>
      <c r="FJ29" s="1509">
        <v>1.6291309999999504E-3</v>
      </c>
      <c r="FK29" s="1509">
        <v>3.4199846000000034E-2</v>
      </c>
      <c r="FL29" s="1509">
        <v>4.5806160000000373E-3</v>
      </c>
      <c r="FM29" s="1509">
        <v>0.70316983600000005</v>
      </c>
      <c r="FN29" s="1509">
        <v>3.9706792000000046E-2</v>
      </c>
      <c r="FO29" s="1509">
        <v>4.9270500000000439E-3</v>
      </c>
      <c r="FP29" s="1509">
        <v>0.42464180900000004</v>
      </c>
      <c r="FQ29" s="1509">
        <v>4.561618199999995E-2</v>
      </c>
      <c r="FR29" s="1509">
        <v>0.299837087</v>
      </c>
      <c r="FS29" s="1509">
        <v>0.62569618599999999</v>
      </c>
      <c r="FT29" s="1509">
        <v>0.62827104700000003</v>
      </c>
      <c r="FU29" s="1509">
        <v>3.597275099999997E-2</v>
      </c>
    </row>
    <row r="30" spans="1:177" s="1509" customFormat="1" x14ac:dyDescent="0.2">
      <c r="A30" s="1512" t="s">
        <v>675</v>
      </c>
      <c r="B30" s="1512" t="s">
        <v>1211</v>
      </c>
      <c r="C30" s="1509">
        <v>0</v>
      </c>
      <c r="D30" s="1509">
        <v>2.1461418999999982E-2</v>
      </c>
      <c r="E30" s="1509" t="s">
        <v>2372</v>
      </c>
      <c r="F30" s="1509" t="s">
        <v>2372</v>
      </c>
      <c r="G30" s="1509" t="s">
        <v>2372</v>
      </c>
      <c r="H30" s="1509" t="s">
        <v>2372</v>
      </c>
      <c r="I30" s="1509">
        <v>2.8851241999999999E-2</v>
      </c>
      <c r="J30" s="1509">
        <v>2.0056494999999952E-2</v>
      </c>
      <c r="K30" s="1509">
        <v>2.2631567000000019E-2</v>
      </c>
      <c r="L30" s="1509">
        <v>2.6056301000000004E-2</v>
      </c>
      <c r="M30" s="1509">
        <v>0</v>
      </c>
      <c r="N30" s="1509">
        <v>2.6220271000000017E-2</v>
      </c>
      <c r="O30" s="1509">
        <v>3.1474760000000046E-2</v>
      </c>
      <c r="P30" s="1509">
        <v>3.435541200000003E-2</v>
      </c>
      <c r="Q30" s="1509">
        <v>0.26411195600000004</v>
      </c>
      <c r="R30" s="1509">
        <v>0.22937942499999997</v>
      </c>
      <c r="S30" s="1509" t="s">
        <v>2372</v>
      </c>
      <c r="T30" s="1509">
        <v>0</v>
      </c>
      <c r="U30" s="1509" t="s">
        <v>2372</v>
      </c>
      <c r="V30" s="1509" t="s">
        <v>2372</v>
      </c>
      <c r="W30" s="1509" t="s">
        <v>2372</v>
      </c>
      <c r="X30" s="1509" t="s">
        <v>2372</v>
      </c>
      <c r="Y30" s="1509" t="s">
        <v>2372</v>
      </c>
      <c r="Z30" s="1509" t="s">
        <v>2372</v>
      </c>
      <c r="AA30" s="1509" t="s">
        <v>2372</v>
      </c>
      <c r="AB30" s="1509" t="s">
        <v>2372</v>
      </c>
      <c r="AC30" s="1509" t="s">
        <v>2372</v>
      </c>
      <c r="AD30" s="1509" t="s">
        <v>2372</v>
      </c>
      <c r="AE30" s="1509">
        <v>0.263254086</v>
      </c>
      <c r="AF30" s="1509">
        <v>2.3835255000000055E-2</v>
      </c>
      <c r="AG30" s="1509">
        <v>4.1748962000000001E-2</v>
      </c>
      <c r="AH30" s="1509" t="s">
        <v>2372</v>
      </c>
      <c r="AI30" s="1509" t="s">
        <v>2372</v>
      </c>
      <c r="AJ30" s="1509" t="s">
        <v>2372</v>
      </c>
      <c r="AK30" s="1509">
        <v>0.26454462000000001</v>
      </c>
      <c r="AL30" s="1509" t="s">
        <v>2372</v>
      </c>
      <c r="AM30" s="1509">
        <v>0.281172372</v>
      </c>
      <c r="AN30" s="1509">
        <v>0.21238614600000005</v>
      </c>
      <c r="AO30" s="1509">
        <v>0</v>
      </c>
      <c r="AP30" s="1509">
        <v>0.41190850700000003</v>
      </c>
      <c r="AQ30" s="1509">
        <v>1.6378353000000012E-2</v>
      </c>
      <c r="AR30" s="1509" t="s">
        <v>2372</v>
      </c>
      <c r="AS30" s="1509" t="s">
        <v>2372</v>
      </c>
      <c r="AT30" s="1509">
        <v>0</v>
      </c>
      <c r="AU30" s="1509">
        <v>8.0710870000000323E-3</v>
      </c>
      <c r="AV30" s="1509" t="s">
        <v>2372</v>
      </c>
      <c r="AW30" s="1509">
        <v>3.1810153000000008E-2</v>
      </c>
      <c r="AX30" s="1509">
        <v>0.83666992600000001</v>
      </c>
      <c r="AY30" s="1509" t="s">
        <v>2372</v>
      </c>
      <c r="AZ30" s="1509" t="s">
        <v>2372</v>
      </c>
      <c r="BA30" s="1509" t="s">
        <v>2372</v>
      </c>
      <c r="BB30" s="1509">
        <v>6.9893006000000035E-2</v>
      </c>
      <c r="BC30" s="1509" t="s">
        <v>2372</v>
      </c>
      <c r="BD30" s="1509">
        <v>8.6629670000000214E-3</v>
      </c>
      <c r="BE30" s="1509" t="s">
        <v>2372</v>
      </c>
      <c r="BF30" s="1509" t="s">
        <v>2372</v>
      </c>
      <c r="BG30" s="1509" t="s">
        <v>2372</v>
      </c>
      <c r="BH30" s="1509" t="s">
        <v>2372</v>
      </c>
      <c r="BI30" s="1509" t="s">
        <v>2372</v>
      </c>
      <c r="BJ30" s="1509" t="s">
        <v>2372</v>
      </c>
      <c r="BK30" s="1509" t="s">
        <v>2372</v>
      </c>
      <c r="BL30" s="1509" t="s">
        <v>2372</v>
      </c>
      <c r="BM30" s="1509" t="s">
        <v>2372</v>
      </c>
      <c r="BN30" s="1509" t="s">
        <v>2372</v>
      </c>
      <c r="BO30" s="1509">
        <v>4.5766223999999966E-2</v>
      </c>
      <c r="BP30" s="1509" t="s">
        <v>2372</v>
      </c>
      <c r="BQ30" s="1509" t="s">
        <v>2372</v>
      </c>
      <c r="BR30" s="1509" t="s">
        <v>2372</v>
      </c>
      <c r="BS30" s="1509" t="s">
        <v>2372</v>
      </c>
      <c r="BT30" s="1509" t="s">
        <v>2372</v>
      </c>
      <c r="BU30" s="1509" t="s">
        <v>2372</v>
      </c>
      <c r="BV30" s="1509" t="s">
        <v>2372</v>
      </c>
      <c r="BW30" s="1509">
        <v>0</v>
      </c>
      <c r="BX30" s="1509">
        <v>0</v>
      </c>
      <c r="BY30" s="1509">
        <v>0</v>
      </c>
      <c r="BZ30" s="1509">
        <v>0.85179520499999994</v>
      </c>
      <c r="CA30" s="1509">
        <v>0.27991913599999996</v>
      </c>
      <c r="CB30" s="1509" t="s">
        <v>2372</v>
      </c>
      <c r="CC30" s="1509">
        <v>0.25142294499999995</v>
      </c>
      <c r="CD30" s="1509">
        <v>0.27400356599999998</v>
      </c>
      <c r="CE30" s="1509" t="s">
        <v>2372</v>
      </c>
      <c r="CF30" s="1509">
        <v>0.22040536200000005</v>
      </c>
      <c r="CG30" s="1509">
        <v>3.7891943999999955E-2</v>
      </c>
      <c r="CH30" s="1509">
        <v>3.1802699999999962E-2</v>
      </c>
      <c r="CI30" s="1509" t="s">
        <v>2372</v>
      </c>
      <c r="CJ30" s="1509" t="s">
        <v>2372</v>
      </c>
      <c r="CK30" s="1509" t="s">
        <v>2372</v>
      </c>
      <c r="CL30" s="1509" t="s">
        <v>2372</v>
      </c>
      <c r="CM30" s="1509" t="s">
        <v>2372</v>
      </c>
      <c r="CN30" s="1509" t="s">
        <v>2372</v>
      </c>
      <c r="CO30" s="1509" t="s">
        <v>2372</v>
      </c>
      <c r="CP30" s="1509" t="s">
        <v>2372</v>
      </c>
      <c r="CQ30" s="1509">
        <v>4.5922739999999962E-2</v>
      </c>
      <c r="CR30" s="1509">
        <v>3.4526834999999978E-2</v>
      </c>
      <c r="CS30" s="1509" t="s">
        <v>2372</v>
      </c>
      <c r="CT30" s="1509" t="s">
        <v>2372</v>
      </c>
      <c r="CU30" s="1509" t="s">
        <v>2372</v>
      </c>
      <c r="CV30" s="1509">
        <v>0</v>
      </c>
      <c r="CW30" s="1509" t="s">
        <v>2372</v>
      </c>
      <c r="CX30" s="1509" t="s">
        <v>2372</v>
      </c>
      <c r="CY30" s="1509">
        <v>7.4455672000000028E-2</v>
      </c>
      <c r="CZ30" s="1509">
        <v>0.78217740700000005</v>
      </c>
      <c r="DA30" s="1509">
        <v>0.84749086400000007</v>
      </c>
      <c r="DB30" s="1509">
        <v>0.75252715700000006</v>
      </c>
      <c r="DC30" s="1509">
        <v>0</v>
      </c>
      <c r="DD30" s="1509">
        <v>0.86696897500000003</v>
      </c>
      <c r="DE30" s="1509">
        <v>0</v>
      </c>
      <c r="DF30" s="1509" t="s">
        <v>2372</v>
      </c>
      <c r="DG30" s="1509">
        <v>0.72090435000000008</v>
      </c>
      <c r="DH30" s="1509" t="s">
        <v>2372</v>
      </c>
      <c r="DI30" s="1509">
        <v>0.72159420200000002</v>
      </c>
      <c r="DJ30" s="1509">
        <v>0</v>
      </c>
      <c r="DK30" s="1509">
        <v>0.85607223399999999</v>
      </c>
      <c r="DL30" s="1509">
        <v>0</v>
      </c>
      <c r="DM30" s="1509">
        <v>0.27965804599999999</v>
      </c>
      <c r="DN30" s="1509">
        <v>0</v>
      </c>
      <c r="DO30" s="1509">
        <v>6.3018734999999992E-2</v>
      </c>
      <c r="DP30" s="1509">
        <v>0.83456145400000004</v>
      </c>
      <c r="DQ30" s="1509">
        <v>0.84858333699999999</v>
      </c>
      <c r="DR30" s="1509">
        <v>0.848293831</v>
      </c>
      <c r="DS30" s="1509">
        <v>0.83585057200000001</v>
      </c>
      <c r="DT30" s="1509">
        <v>0.73122996000000007</v>
      </c>
      <c r="DU30" s="1509" t="s">
        <v>2372</v>
      </c>
      <c r="DV30" s="1509">
        <v>3.3177809999999974E-2</v>
      </c>
      <c r="DW30" s="1509">
        <v>0.27158709199999997</v>
      </c>
      <c r="DX30" s="1509">
        <v>1.0584653999999971E-2</v>
      </c>
      <c r="DY30" s="1509" t="s">
        <v>2372</v>
      </c>
      <c r="DZ30" s="1509" t="s">
        <v>2372</v>
      </c>
      <c r="EA30" s="1509" t="s">
        <v>2372</v>
      </c>
      <c r="EB30" s="1509" t="s">
        <v>2372</v>
      </c>
      <c r="EC30" s="1509" t="s">
        <v>2372</v>
      </c>
      <c r="ED30" s="1509" t="s">
        <v>2372</v>
      </c>
      <c r="EE30" s="1509">
        <v>0.21522084500000005</v>
      </c>
      <c r="EF30" s="1509" t="s">
        <v>2372</v>
      </c>
      <c r="EG30" s="1509" t="s">
        <v>2372</v>
      </c>
      <c r="EH30" s="1509" t="s">
        <v>2372</v>
      </c>
      <c r="EI30" s="1509">
        <v>0.21850312900000002</v>
      </c>
      <c r="EJ30" s="1509">
        <v>0</v>
      </c>
      <c r="EK30" s="1509">
        <v>1.8159661999999965E-2</v>
      </c>
      <c r="EL30" s="1509">
        <v>0.80054084400000003</v>
      </c>
      <c r="EM30" s="1509">
        <v>0.84914320399999998</v>
      </c>
      <c r="EN30" s="1509">
        <v>0</v>
      </c>
      <c r="EO30" s="1509" t="s">
        <v>2372</v>
      </c>
      <c r="EP30" s="1509">
        <v>0</v>
      </c>
      <c r="EQ30" s="1509">
        <v>0.276629393</v>
      </c>
      <c r="ER30" s="1509">
        <v>6.0679612000000049E-2</v>
      </c>
      <c r="ES30" s="1509">
        <v>5.6815929999999959E-2</v>
      </c>
      <c r="ET30" s="1509">
        <v>0.27072874199999997</v>
      </c>
      <c r="EU30" s="1509">
        <v>0</v>
      </c>
      <c r="EV30" s="1509" t="s">
        <v>2372</v>
      </c>
      <c r="EW30" s="1509">
        <v>0.23266442799999998</v>
      </c>
      <c r="EX30" s="1509">
        <v>0</v>
      </c>
      <c r="EY30" s="1509">
        <v>4.3634281999999969E-2</v>
      </c>
      <c r="EZ30" s="1509">
        <v>0.69810073700000008</v>
      </c>
      <c r="FA30" s="1509" t="s">
        <v>2372</v>
      </c>
      <c r="FB30" s="1509" t="s">
        <v>2372</v>
      </c>
      <c r="FC30" s="1509" t="s">
        <v>2372</v>
      </c>
      <c r="FD30" s="1509" t="s">
        <v>2372</v>
      </c>
      <c r="FE30" s="1509">
        <v>0</v>
      </c>
      <c r="FF30" s="1509">
        <v>0.23491773299999996</v>
      </c>
      <c r="FG30" s="1509">
        <v>0.83847349599999998</v>
      </c>
      <c r="FH30" s="1509">
        <v>0.80687820599999993</v>
      </c>
      <c r="FI30" s="1509" t="s">
        <v>2372</v>
      </c>
      <c r="FJ30" s="1509">
        <v>6.5765140999999971E-2</v>
      </c>
      <c r="FK30" s="1509">
        <v>0</v>
      </c>
      <c r="FL30" s="1509">
        <v>0.79726634699999999</v>
      </c>
      <c r="FM30" s="1509" t="s">
        <v>2372</v>
      </c>
      <c r="FN30" s="1509" t="s">
        <v>2372</v>
      </c>
      <c r="FO30" s="1509">
        <v>0.76914967400000001</v>
      </c>
      <c r="FP30" s="1509">
        <v>0.22305599300000001</v>
      </c>
      <c r="FQ30" s="1509">
        <v>0</v>
      </c>
      <c r="FR30" s="1509" t="s">
        <v>2372</v>
      </c>
      <c r="FS30" s="1509" t="s">
        <v>2372</v>
      </c>
      <c r="FT30" s="1509">
        <v>0.72103312200000003</v>
      </c>
      <c r="FU30" s="1509" t="s">
        <v>2372</v>
      </c>
    </row>
    <row r="31" spans="1:177" s="1509" customFormat="1" x14ac:dyDescent="0.2">
      <c r="A31" s="1512" t="s">
        <v>675</v>
      </c>
      <c r="B31" s="1512" t="s">
        <v>1022</v>
      </c>
      <c r="C31" s="1509">
        <v>0.71111864699999994</v>
      </c>
      <c r="D31" s="1509">
        <v>0.563717197</v>
      </c>
      <c r="E31" s="1509">
        <v>0.520857711</v>
      </c>
      <c r="F31" s="1509">
        <v>0.70136274600000004</v>
      </c>
      <c r="G31" s="1509">
        <v>0.22791810499999998</v>
      </c>
      <c r="H31" s="1509">
        <v>0.22791810499999998</v>
      </c>
      <c r="I31" s="1509">
        <v>0.58187685900000008</v>
      </c>
      <c r="J31" s="1509">
        <v>0.58187685900000008</v>
      </c>
      <c r="K31" s="1509">
        <v>0.58187685900000008</v>
      </c>
      <c r="L31" s="1509">
        <v>0.58187685900000008</v>
      </c>
      <c r="M31" s="1509">
        <v>0.58187685900000008</v>
      </c>
      <c r="N31" s="1509">
        <v>0.58187685900000008</v>
      </c>
      <c r="O31" s="1509">
        <v>0.58187685900000008</v>
      </c>
      <c r="P31" s="1509">
        <v>0.45862369700000005</v>
      </c>
      <c r="Q31" s="1509">
        <v>0.37494871399999996</v>
      </c>
      <c r="R31" s="1509">
        <v>0.81257413099999998</v>
      </c>
      <c r="S31" s="1509">
        <v>0.26641002899999999</v>
      </c>
      <c r="T31" s="1509">
        <v>0.96042363799999997</v>
      </c>
      <c r="U31" s="1509">
        <v>0.46702342500000005</v>
      </c>
      <c r="V31" s="1509">
        <v>0.27274150200000002</v>
      </c>
      <c r="W31" s="1509">
        <v>0.40496083400000005</v>
      </c>
      <c r="X31" s="1509">
        <v>0.29663638199999998</v>
      </c>
      <c r="Y31" s="1509">
        <v>5.5399453000000043E-2</v>
      </c>
      <c r="Z31" s="1509">
        <v>0.68106744399999997</v>
      </c>
      <c r="AA31" s="1509">
        <v>0.90298946899999999</v>
      </c>
      <c r="AB31" s="1509">
        <v>0.54430912799999998</v>
      </c>
      <c r="AC31" s="1509">
        <v>0.54430912799999998</v>
      </c>
      <c r="AD31" s="1509">
        <v>0.54430912799999998</v>
      </c>
      <c r="AE31" s="1509">
        <v>0.12876996399999996</v>
      </c>
      <c r="AF31" s="1509">
        <v>0.59343673399999997</v>
      </c>
      <c r="AG31" s="1509">
        <v>0.65871909699999998</v>
      </c>
      <c r="AH31" s="1509">
        <v>0.63186530600000002</v>
      </c>
      <c r="AI31" s="1509">
        <v>0.84382243599999995</v>
      </c>
      <c r="AJ31" s="1509">
        <v>0.60840643699999997</v>
      </c>
      <c r="AK31" s="1509">
        <v>0.40143823700000003</v>
      </c>
      <c r="AL31" s="1509">
        <v>0.87475103099999996</v>
      </c>
      <c r="AM31" s="1509">
        <v>0.80994830399999995</v>
      </c>
      <c r="AN31" s="1509">
        <v>0.80994830399999995</v>
      </c>
      <c r="AO31" s="1509">
        <v>0.734513839</v>
      </c>
      <c r="AP31" s="1509">
        <v>0.21091790300000002</v>
      </c>
      <c r="AQ31" s="1509">
        <v>0.96757868700000005</v>
      </c>
      <c r="AR31" s="1509">
        <v>0.81864651700000002</v>
      </c>
      <c r="AS31" s="1509">
        <v>0.89814288100000006</v>
      </c>
      <c r="AT31" s="1509">
        <v>0.80471044000000003</v>
      </c>
      <c r="AU31" s="1509">
        <v>0.95270343000000002</v>
      </c>
      <c r="AV31" s="1509">
        <v>4.4338941000000021E-2</v>
      </c>
      <c r="AW31" s="1509">
        <v>0.14126003399999998</v>
      </c>
      <c r="AX31" s="1509">
        <v>0.15460121999999998</v>
      </c>
      <c r="AY31" s="1509">
        <v>2.5433150999999987E-2</v>
      </c>
      <c r="AZ31" s="1509">
        <v>0.13401250499999995</v>
      </c>
      <c r="BA31" s="1509">
        <v>5.0161812000000028E-2</v>
      </c>
      <c r="BB31" s="1509">
        <v>3.9886180999999965E-2</v>
      </c>
      <c r="BC31" s="1509">
        <v>0.97737789600000002</v>
      </c>
      <c r="BD31" s="1509">
        <v>0.88496779299999995</v>
      </c>
      <c r="BE31" s="1509">
        <v>0.46620323500000005</v>
      </c>
      <c r="BF31" s="1509">
        <v>0.97737789600000002</v>
      </c>
      <c r="BG31" s="1509">
        <v>0.60018514000000001</v>
      </c>
      <c r="BH31" s="1509">
        <v>0.16294132100000003</v>
      </c>
      <c r="BI31" s="1509">
        <v>0.16294132100000003</v>
      </c>
      <c r="BJ31" s="1509">
        <v>0.21768862099999997</v>
      </c>
      <c r="BK31" s="1509">
        <v>0.678328402</v>
      </c>
      <c r="BL31" s="1509">
        <v>0.534605094</v>
      </c>
      <c r="BM31" s="1509">
        <v>0.68874997199999999</v>
      </c>
      <c r="BN31" s="1509">
        <v>0.34422490699999997</v>
      </c>
      <c r="BO31" s="1509">
        <v>0.29526872400000004</v>
      </c>
      <c r="BP31" s="1509">
        <v>0.47306795099999999</v>
      </c>
      <c r="BQ31" s="1509">
        <v>0.15547323899999999</v>
      </c>
      <c r="BR31" s="1509">
        <v>0.37550588399999996</v>
      </c>
      <c r="BS31" s="1509">
        <v>0.77818977300000003</v>
      </c>
      <c r="BT31" s="1509">
        <v>0.98462232800000005</v>
      </c>
      <c r="BU31" s="1509">
        <v>0.63952182800000001</v>
      </c>
      <c r="BV31" s="1509">
        <v>0.27923629000000005</v>
      </c>
      <c r="BW31" s="1509">
        <v>0.69051792899999997</v>
      </c>
      <c r="BX31" s="1509">
        <v>0.79243025899999997</v>
      </c>
      <c r="BY31" s="1509">
        <v>0.538321198</v>
      </c>
      <c r="BZ31" s="1509">
        <v>0.57738254599999994</v>
      </c>
      <c r="CA31" s="1509">
        <v>0.18418834299999998</v>
      </c>
      <c r="CB31" s="1509">
        <v>0.74824136699999999</v>
      </c>
      <c r="CC31" s="1509">
        <v>0.15893713700000001</v>
      </c>
      <c r="CD31" s="1509">
        <v>0.40310921799999999</v>
      </c>
      <c r="CE31" s="1509">
        <v>0.176139288</v>
      </c>
      <c r="CF31" s="1509">
        <v>0.40310921799999999</v>
      </c>
      <c r="CG31" s="1509">
        <v>0.46895379800000003</v>
      </c>
      <c r="CH31" s="1509">
        <v>0.84704220699999999</v>
      </c>
      <c r="CI31" s="1509">
        <v>0.48513091500000005</v>
      </c>
      <c r="CJ31" s="1509">
        <v>0.723427559</v>
      </c>
      <c r="CK31" s="1509">
        <v>0.88486009300000001</v>
      </c>
      <c r="CL31" s="1509">
        <v>0.88486009300000001</v>
      </c>
      <c r="CM31" s="1509">
        <v>6.3581889999999586E-3</v>
      </c>
      <c r="CN31" s="1509">
        <v>0.81257413099999998</v>
      </c>
      <c r="CO31" s="1509">
        <v>0.69647825900000004</v>
      </c>
      <c r="CP31" s="1509">
        <v>0.91218398700000003</v>
      </c>
      <c r="CQ31" s="1509">
        <v>0.91326739800000001</v>
      </c>
      <c r="CR31" s="1509">
        <v>0.97041834699999996</v>
      </c>
      <c r="CS31" s="1509">
        <v>0.28014995799999998</v>
      </c>
      <c r="CT31" s="1509">
        <v>0.81387557700000002</v>
      </c>
      <c r="CU31" s="1509">
        <v>0.26641002899999999</v>
      </c>
      <c r="CV31" s="1509">
        <v>0.64433216699999996</v>
      </c>
      <c r="CW31" s="1509">
        <v>0.69162098500000002</v>
      </c>
      <c r="CX31" s="1509">
        <v>0.19050921300000001</v>
      </c>
      <c r="CY31" s="1509">
        <v>0.56704202700000006</v>
      </c>
      <c r="CZ31" s="1509">
        <v>9.2750900000000414E-3</v>
      </c>
      <c r="DA31" s="1509">
        <v>0.34810538000000002</v>
      </c>
      <c r="DB31" s="1509">
        <v>0.98478646800000003</v>
      </c>
      <c r="DC31" s="1509">
        <v>0.20951259700000002</v>
      </c>
      <c r="DD31" s="1509">
        <v>0.99059961900000004</v>
      </c>
      <c r="DE31" s="1509">
        <v>0.53502147700000002</v>
      </c>
      <c r="DF31" s="1509">
        <v>0.82191705199999998</v>
      </c>
      <c r="DG31" s="1509">
        <v>0.102622357</v>
      </c>
      <c r="DH31" s="1509">
        <v>0.20495957499999995</v>
      </c>
      <c r="DI31" s="1509">
        <v>9.2789668999999964E-2</v>
      </c>
      <c r="DJ31" s="1509">
        <v>0.71431848799999997</v>
      </c>
      <c r="DK31" s="1509">
        <v>0.196377362</v>
      </c>
      <c r="DL31" s="1509">
        <v>2.6631259999999601E-3</v>
      </c>
      <c r="DM31" s="1509">
        <v>0.20749255899999997</v>
      </c>
      <c r="DN31" s="1509">
        <v>0.88272182300000002</v>
      </c>
      <c r="DO31" s="1509">
        <v>0.17751469499999994</v>
      </c>
      <c r="DP31" s="1509">
        <v>9.2750900000000414E-3</v>
      </c>
      <c r="DQ31" s="1509">
        <v>1.440971000000002E-2</v>
      </c>
      <c r="DR31" s="1509">
        <v>0.44588165199999996</v>
      </c>
      <c r="DS31" s="1509">
        <v>0.538321198</v>
      </c>
      <c r="DT31" s="1509">
        <v>3.5483500999999973E-2</v>
      </c>
      <c r="DU31" s="1509">
        <v>0.827794382</v>
      </c>
      <c r="DV31" s="1509">
        <v>0.54430912799999998</v>
      </c>
      <c r="DW31" s="1509">
        <v>0.640852855</v>
      </c>
      <c r="DX31" s="1509">
        <v>0.76617676400000001</v>
      </c>
      <c r="DY31" s="1509">
        <v>0.55248442399999997</v>
      </c>
      <c r="DZ31" s="1509">
        <v>0.65405014800000005</v>
      </c>
      <c r="EA31" s="1509">
        <v>0.43280936999999997</v>
      </c>
      <c r="EB31" s="1509">
        <v>0.14038428599999997</v>
      </c>
      <c r="EC31" s="1509">
        <v>0.63763033700000005</v>
      </c>
      <c r="ED31" s="1509">
        <v>0.64043273099999998</v>
      </c>
      <c r="EE31" s="1509">
        <v>0.38509395499999999</v>
      </c>
      <c r="EF31" s="1509">
        <v>0.20481364099999999</v>
      </c>
      <c r="EG31" s="1509">
        <v>0.73464939799999995</v>
      </c>
      <c r="EH31" s="1509">
        <v>4.6644872000000004E-2</v>
      </c>
      <c r="EI31" s="1509">
        <v>0.257398193</v>
      </c>
      <c r="EJ31" s="1509">
        <v>0.40310921799999999</v>
      </c>
      <c r="EK31" s="1509">
        <v>0.930361255</v>
      </c>
      <c r="EL31" s="1509">
        <v>0.54679494800000006</v>
      </c>
      <c r="EM31" s="1509">
        <v>0.92816343000000001</v>
      </c>
      <c r="EN31" s="1509">
        <v>0.40438193899999997</v>
      </c>
      <c r="EO31" s="1509">
        <v>0.85065168000000002</v>
      </c>
      <c r="EP31" s="1509">
        <v>0.57738254599999994</v>
      </c>
      <c r="EQ31" s="1509">
        <v>1.5367059999999988E-3</v>
      </c>
      <c r="ER31" s="1509">
        <v>0.21552407399999995</v>
      </c>
      <c r="ES31" s="1509">
        <v>0.21552407399999995</v>
      </c>
      <c r="ET31" s="1509">
        <v>0.34005206899999996</v>
      </c>
      <c r="EU31" s="1509">
        <v>0.67236755100000001</v>
      </c>
      <c r="EV31" s="1509">
        <v>0.54430912799999998</v>
      </c>
      <c r="EW31" s="1509">
        <v>0.18054079300000003</v>
      </c>
      <c r="EX31" s="1509">
        <v>0.13021486900000001</v>
      </c>
      <c r="EY31" s="1509">
        <v>2.9208770999999967E-2</v>
      </c>
      <c r="EZ31" s="1509">
        <v>0.538321198</v>
      </c>
      <c r="FA31" s="1509">
        <v>6.1087778999999953E-2</v>
      </c>
      <c r="FB31" s="1509">
        <v>0.67335572499999996</v>
      </c>
      <c r="FC31" s="1509">
        <v>9.7142417000000036E-2</v>
      </c>
      <c r="FD31" s="1509">
        <v>0.20367435</v>
      </c>
      <c r="FE31" s="1509">
        <v>9.5650882000000048E-2</v>
      </c>
      <c r="FF31" s="1509">
        <v>0.31701458299999996</v>
      </c>
      <c r="FG31" s="1509">
        <v>0.36105004600000001</v>
      </c>
      <c r="FH31" s="1509">
        <v>9.2750900000000414E-3</v>
      </c>
      <c r="FI31" s="1509">
        <v>0.33801709099999999</v>
      </c>
      <c r="FJ31" s="1509">
        <v>0.25878959999999995</v>
      </c>
      <c r="FK31" s="1509">
        <v>0.48546192499999996</v>
      </c>
      <c r="FL31" s="1509">
        <v>0.20495957499999995</v>
      </c>
      <c r="FM31" s="1509">
        <v>0.33134209299999995</v>
      </c>
      <c r="FN31" s="1509">
        <v>0.138416647</v>
      </c>
      <c r="FO31" s="1509">
        <v>0.89159943399999997</v>
      </c>
      <c r="FP31" s="1509">
        <v>0.14295735700000001</v>
      </c>
      <c r="FQ31" s="1509">
        <v>0.73464939799999995</v>
      </c>
      <c r="FR31" s="1509">
        <v>1.7502150000000549E-3</v>
      </c>
      <c r="FS31" s="1509">
        <v>0.48745801600000005</v>
      </c>
      <c r="FT31" s="1509">
        <v>0.14215546499999998</v>
      </c>
      <c r="FU31" s="1509">
        <v>0.488451305</v>
      </c>
    </row>
    <row r="32" spans="1:177" s="1509" customFormat="1" x14ac:dyDescent="0.2">
      <c r="A32" s="1512" t="s">
        <v>659</v>
      </c>
      <c r="B32" s="1512" t="s">
        <v>1330</v>
      </c>
      <c r="C32" s="1509" t="s">
        <v>507</v>
      </c>
      <c r="D32" s="1509" t="s">
        <v>507</v>
      </c>
      <c r="E32" s="1509" t="s">
        <v>507</v>
      </c>
      <c r="F32" s="1509" t="s">
        <v>507</v>
      </c>
      <c r="G32" s="1509" t="s">
        <v>507</v>
      </c>
      <c r="H32" s="1509" t="s">
        <v>507</v>
      </c>
      <c r="I32" s="1509" t="s">
        <v>507</v>
      </c>
      <c r="J32" s="1509" t="s">
        <v>507</v>
      </c>
      <c r="K32" s="1509" t="s">
        <v>507</v>
      </c>
      <c r="L32" s="1509" t="s">
        <v>507</v>
      </c>
      <c r="M32" s="1509" t="s">
        <v>507</v>
      </c>
      <c r="N32" s="1509" t="s">
        <v>507</v>
      </c>
      <c r="O32" s="1509" t="s">
        <v>507</v>
      </c>
      <c r="P32" s="1509" t="s">
        <v>507</v>
      </c>
      <c r="Q32" s="1509" t="s">
        <v>507</v>
      </c>
      <c r="R32" s="1509" t="s">
        <v>507</v>
      </c>
      <c r="S32" s="1509" t="s">
        <v>507</v>
      </c>
      <c r="T32" s="1509" t="s">
        <v>507</v>
      </c>
      <c r="U32" s="1509" t="s">
        <v>507</v>
      </c>
      <c r="V32" s="1509" t="s">
        <v>507</v>
      </c>
      <c r="W32" s="1509" t="s">
        <v>507</v>
      </c>
      <c r="X32" s="1509" t="s">
        <v>507</v>
      </c>
      <c r="Y32" s="1509" t="s">
        <v>507</v>
      </c>
      <c r="Z32" s="1509" t="s">
        <v>507</v>
      </c>
      <c r="AA32" s="1509" t="s">
        <v>507</v>
      </c>
      <c r="AB32" s="1509" t="s">
        <v>507</v>
      </c>
      <c r="AC32" s="1509" t="s">
        <v>507</v>
      </c>
      <c r="AD32" s="1509" t="s">
        <v>507</v>
      </c>
      <c r="AE32" s="1509" t="s">
        <v>507</v>
      </c>
      <c r="AF32" s="1509" t="s">
        <v>507</v>
      </c>
      <c r="AG32" s="1509" t="s">
        <v>507</v>
      </c>
      <c r="AH32" s="1509" t="s">
        <v>507</v>
      </c>
      <c r="AI32" s="1509" t="s">
        <v>507</v>
      </c>
      <c r="AJ32" s="1509" t="s">
        <v>507</v>
      </c>
      <c r="AK32" s="1509" t="s">
        <v>507</v>
      </c>
      <c r="AL32" s="1509" t="s">
        <v>507</v>
      </c>
      <c r="AM32" s="1509" t="s">
        <v>507</v>
      </c>
      <c r="AN32" s="1509" t="s">
        <v>507</v>
      </c>
      <c r="AO32" s="1509" t="s">
        <v>507</v>
      </c>
      <c r="AP32" s="1509" t="s">
        <v>507</v>
      </c>
      <c r="AQ32" s="1509" t="s">
        <v>507</v>
      </c>
      <c r="AR32" s="1509" t="s">
        <v>507</v>
      </c>
      <c r="AS32" s="1509" t="s">
        <v>507</v>
      </c>
      <c r="AT32" s="1509" t="s">
        <v>507</v>
      </c>
      <c r="AU32" s="1509" t="s">
        <v>507</v>
      </c>
      <c r="AV32" s="1509" t="s">
        <v>507</v>
      </c>
      <c r="AW32" s="1509" t="s">
        <v>507</v>
      </c>
      <c r="AX32" s="1509" t="s">
        <v>507</v>
      </c>
      <c r="AY32" s="1509" t="s">
        <v>507</v>
      </c>
      <c r="AZ32" s="1509" t="s">
        <v>507</v>
      </c>
      <c r="BA32" s="1509" t="s">
        <v>507</v>
      </c>
      <c r="BB32" s="1509" t="s">
        <v>507</v>
      </c>
      <c r="BC32" s="1509" t="s">
        <v>507</v>
      </c>
      <c r="BD32" s="1509" t="s">
        <v>507</v>
      </c>
      <c r="BE32" s="1509" t="s">
        <v>507</v>
      </c>
      <c r="BF32" s="1509" t="s">
        <v>507</v>
      </c>
      <c r="BG32" s="1509" t="s">
        <v>507</v>
      </c>
      <c r="BH32" s="1509" t="s">
        <v>507</v>
      </c>
      <c r="BI32" s="1509" t="s">
        <v>507</v>
      </c>
      <c r="BJ32" s="1509" t="s">
        <v>507</v>
      </c>
      <c r="BK32" s="1509" t="s">
        <v>507</v>
      </c>
      <c r="BL32" s="1509" t="s">
        <v>507</v>
      </c>
      <c r="BM32" s="1509" t="s">
        <v>507</v>
      </c>
      <c r="BN32" s="1509" t="s">
        <v>507</v>
      </c>
      <c r="BO32" s="1509" t="s">
        <v>507</v>
      </c>
      <c r="BP32" s="1509" t="s">
        <v>507</v>
      </c>
      <c r="BQ32" s="1509" t="s">
        <v>507</v>
      </c>
      <c r="BR32" s="1509" t="s">
        <v>507</v>
      </c>
      <c r="BS32" s="1509" t="s">
        <v>507</v>
      </c>
      <c r="BT32" s="1509" t="s">
        <v>507</v>
      </c>
      <c r="BU32" s="1509" t="s">
        <v>507</v>
      </c>
      <c r="BV32" s="1509" t="s">
        <v>507</v>
      </c>
      <c r="BW32" s="1509" t="s">
        <v>507</v>
      </c>
      <c r="BX32" s="1509" t="s">
        <v>507</v>
      </c>
      <c r="BY32" s="1509" t="s">
        <v>507</v>
      </c>
      <c r="BZ32" s="1509" t="s">
        <v>507</v>
      </c>
      <c r="CA32" s="1509" t="s">
        <v>507</v>
      </c>
      <c r="CB32" s="1509" t="s">
        <v>507</v>
      </c>
      <c r="CC32" s="1509" t="s">
        <v>507</v>
      </c>
      <c r="CD32" s="1509" t="s">
        <v>507</v>
      </c>
      <c r="CE32" s="1509" t="s">
        <v>507</v>
      </c>
      <c r="CF32" s="1509" t="s">
        <v>507</v>
      </c>
      <c r="CG32" s="1509" t="s">
        <v>507</v>
      </c>
      <c r="CH32" s="1509" t="s">
        <v>507</v>
      </c>
      <c r="CI32" s="1509" t="s">
        <v>507</v>
      </c>
      <c r="CJ32" s="1509" t="s">
        <v>507</v>
      </c>
      <c r="CK32" s="1509" t="s">
        <v>507</v>
      </c>
      <c r="CL32" s="1509" t="s">
        <v>507</v>
      </c>
      <c r="CM32" s="1509" t="s">
        <v>507</v>
      </c>
      <c r="CN32" s="1509" t="s">
        <v>507</v>
      </c>
      <c r="CO32" s="1509" t="s">
        <v>507</v>
      </c>
      <c r="CP32" s="1509" t="s">
        <v>507</v>
      </c>
      <c r="CQ32" s="1509" t="s">
        <v>507</v>
      </c>
      <c r="CR32" s="1509" t="s">
        <v>507</v>
      </c>
      <c r="CS32" s="1509" t="s">
        <v>507</v>
      </c>
      <c r="CT32" s="1509" t="s">
        <v>507</v>
      </c>
      <c r="CU32" s="1509" t="s">
        <v>507</v>
      </c>
      <c r="CV32" s="1509" t="s">
        <v>507</v>
      </c>
      <c r="CW32" s="1509" t="s">
        <v>507</v>
      </c>
      <c r="CX32" s="1509" t="s">
        <v>507</v>
      </c>
      <c r="CY32" s="1509" t="s">
        <v>507</v>
      </c>
      <c r="CZ32" s="1509" t="s">
        <v>507</v>
      </c>
      <c r="DA32" s="1509" t="s">
        <v>507</v>
      </c>
      <c r="DB32" s="1509" t="s">
        <v>507</v>
      </c>
      <c r="DC32" s="1509" t="s">
        <v>507</v>
      </c>
      <c r="DD32" s="1509" t="s">
        <v>507</v>
      </c>
      <c r="DE32" s="1509" t="s">
        <v>507</v>
      </c>
      <c r="DF32" s="1509" t="s">
        <v>507</v>
      </c>
      <c r="DG32" s="1509" t="s">
        <v>507</v>
      </c>
      <c r="DH32" s="1509" t="s">
        <v>507</v>
      </c>
      <c r="DI32" s="1509" t="s">
        <v>507</v>
      </c>
      <c r="DJ32" s="1509" t="s">
        <v>507</v>
      </c>
      <c r="DK32" s="1509" t="s">
        <v>507</v>
      </c>
      <c r="DL32" s="1509" t="s">
        <v>507</v>
      </c>
      <c r="DM32" s="1509" t="s">
        <v>507</v>
      </c>
      <c r="DN32" s="1509" t="s">
        <v>507</v>
      </c>
      <c r="DO32" s="1509" t="s">
        <v>507</v>
      </c>
      <c r="DP32" s="1509" t="s">
        <v>507</v>
      </c>
      <c r="DQ32" s="1509" t="s">
        <v>507</v>
      </c>
      <c r="DR32" s="1509" t="s">
        <v>507</v>
      </c>
      <c r="DS32" s="1509" t="s">
        <v>507</v>
      </c>
      <c r="DT32" s="1509" t="s">
        <v>507</v>
      </c>
      <c r="DU32" s="1509" t="s">
        <v>507</v>
      </c>
      <c r="DV32" s="1509" t="s">
        <v>507</v>
      </c>
      <c r="DW32" s="1509" t="s">
        <v>507</v>
      </c>
      <c r="DX32" s="1509" t="s">
        <v>507</v>
      </c>
      <c r="DY32" s="1509" t="s">
        <v>507</v>
      </c>
      <c r="DZ32" s="1509" t="s">
        <v>507</v>
      </c>
      <c r="EA32" s="1509" t="s">
        <v>507</v>
      </c>
      <c r="EB32" s="1509" t="s">
        <v>507</v>
      </c>
      <c r="EC32" s="1509" t="s">
        <v>507</v>
      </c>
      <c r="ED32" s="1509" t="s">
        <v>507</v>
      </c>
      <c r="EE32" s="1509" t="s">
        <v>507</v>
      </c>
      <c r="EF32" s="1509" t="s">
        <v>507</v>
      </c>
      <c r="EG32" s="1509" t="s">
        <v>507</v>
      </c>
      <c r="EH32" s="1509" t="s">
        <v>507</v>
      </c>
      <c r="EI32" s="1509" t="s">
        <v>507</v>
      </c>
      <c r="EJ32" s="1509" t="s">
        <v>507</v>
      </c>
      <c r="EK32" s="1509" t="s">
        <v>507</v>
      </c>
      <c r="EL32" s="1509" t="s">
        <v>507</v>
      </c>
      <c r="EM32" s="1509" t="s">
        <v>507</v>
      </c>
      <c r="EN32" s="1509" t="s">
        <v>507</v>
      </c>
      <c r="EO32" s="1509" t="s">
        <v>507</v>
      </c>
      <c r="EP32" s="1509" t="s">
        <v>507</v>
      </c>
      <c r="EQ32" s="1509" t="s">
        <v>507</v>
      </c>
      <c r="ER32" s="1509" t="s">
        <v>507</v>
      </c>
      <c r="ES32" s="1509" t="s">
        <v>507</v>
      </c>
      <c r="ET32" s="1509" t="s">
        <v>507</v>
      </c>
      <c r="EU32" s="1509" t="s">
        <v>507</v>
      </c>
      <c r="EV32" s="1509" t="s">
        <v>507</v>
      </c>
      <c r="EW32" s="1509" t="s">
        <v>507</v>
      </c>
      <c r="EX32" s="1509" t="s">
        <v>507</v>
      </c>
      <c r="EY32" s="1509" t="s">
        <v>507</v>
      </c>
      <c r="EZ32" s="1509" t="s">
        <v>507</v>
      </c>
      <c r="FA32" s="1509" t="s">
        <v>507</v>
      </c>
      <c r="FB32" s="1509" t="s">
        <v>507</v>
      </c>
      <c r="FC32" s="1509" t="s">
        <v>507</v>
      </c>
      <c r="FD32" s="1509" t="s">
        <v>507</v>
      </c>
      <c r="FE32" s="1509" t="s">
        <v>507</v>
      </c>
      <c r="FF32" s="1509" t="s">
        <v>507</v>
      </c>
      <c r="FG32" s="1509" t="s">
        <v>507</v>
      </c>
      <c r="FH32" s="1509" t="s">
        <v>507</v>
      </c>
      <c r="FI32" s="1509" t="s">
        <v>507</v>
      </c>
      <c r="FJ32" s="1509" t="s">
        <v>507</v>
      </c>
      <c r="FK32" s="1509" t="s">
        <v>507</v>
      </c>
      <c r="FL32" s="1509" t="s">
        <v>507</v>
      </c>
      <c r="FM32" s="1509" t="s">
        <v>507</v>
      </c>
      <c r="FN32" s="1509" t="s">
        <v>507</v>
      </c>
      <c r="FO32" s="1509" t="s">
        <v>507</v>
      </c>
      <c r="FP32" s="1509" t="s">
        <v>507</v>
      </c>
      <c r="FQ32" s="1509" t="s">
        <v>507</v>
      </c>
      <c r="FR32" s="1509" t="s">
        <v>507</v>
      </c>
      <c r="FS32" s="1509" t="s">
        <v>507</v>
      </c>
      <c r="FT32" s="1509" t="s">
        <v>507</v>
      </c>
      <c r="FU32" s="1509" t="s">
        <v>507</v>
      </c>
    </row>
    <row r="33" spans="1:177" s="1509" customFormat="1" x14ac:dyDescent="0.2">
      <c r="A33" s="1512" t="s">
        <v>659</v>
      </c>
      <c r="B33" s="1512" t="s">
        <v>1287</v>
      </c>
      <c r="C33" s="1509">
        <v>0</v>
      </c>
      <c r="D33" s="1509">
        <v>0</v>
      </c>
      <c r="E33" s="1509">
        <v>0</v>
      </c>
      <c r="F33" s="1509">
        <v>0</v>
      </c>
      <c r="G33" s="1509">
        <v>0</v>
      </c>
      <c r="H33" s="1509">
        <v>0</v>
      </c>
      <c r="I33" s="1509">
        <v>0</v>
      </c>
      <c r="J33" s="1509">
        <v>0</v>
      </c>
      <c r="K33" s="1509">
        <v>0</v>
      </c>
      <c r="L33" s="1509">
        <v>0</v>
      </c>
      <c r="M33" s="1509">
        <v>0</v>
      </c>
      <c r="N33" s="1509">
        <v>0</v>
      </c>
      <c r="O33" s="1509">
        <v>0</v>
      </c>
      <c r="P33" s="1509">
        <v>0</v>
      </c>
      <c r="Q33" s="1509">
        <v>1</v>
      </c>
      <c r="R33" s="1509">
        <v>0</v>
      </c>
      <c r="S33" s="1509">
        <v>0</v>
      </c>
      <c r="T33" s="1509">
        <v>0</v>
      </c>
      <c r="U33" s="1509">
        <v>0</v>
      </c>
      <c r="V33" s="1509">
        <v>0</v>
      </c>
      <c r="W33" s="1509">
        <v>0</v>
      </c>
      <c r="X33" s="1509">
        <v>0</v>
      </c>
      <c r="Y33" s="1509">
        <v>0</v>
      </c>
      <c r="Z33" s="1509">
        <v>0</v>
      </c>
      <c r="AA33" s="1509">
        <v>0.99422751600000003</v>
      </c>
      <c r="AB33" s="1509">
        <v>0</v>
      </c>
      <c r="AC33" s="1509">
        <v>0</v>
      </c>
      <c r="AD33" s="1509">
        <v>0</v>
      </c>
      <c r="AE33" s="1509">
        <v>0</v>
      </c>
      <c r="AF33" s="1509">
        <v>0</v>
      </c>
      <c r="AG33" s="1509">
        <v>0</v>
      </c>
      <c r="AH33" s="1509">
        <v>0</v>
      </c>
      <c r="AI33" s="1509">
        <v>0</v>
      </c>
      <c r="AJ33" s="1509">
        <v>0</v>
      </c>
      <c r="AK33" s="1509">
        <v>0</v>
      </c>
      <c r="AL33" s="1509">
        <v>0.930281307</v>
      </c>
      <c r="AM33" s="1509">
        <v>0.91872617499999998</v>
      </c>
      <c r="AN33" s="1509">
        <v>1</v>
      </c>
      <c r="AO33" s="1509">
        <v>0</v>
      </c>
      <c r="AP33" s="1509">
        <v>0</v>
      </c>
      <c r="AQ33" s="1509">
        <v>1</v>
      </c>
      <c r="AR33" s="1509">
        <v>0</v>
      </c>
      <c r="AS33" s="1509">
        <v>0</v>
      </c>
      <c r="AT33" s="1509">
        <v>0</v>
      </c>
      <c r="AU33" s="1509">
        <v>0</v>
      </c>
      <c r="AV33" s="1509">
        <v>0</v>
      </c>
      <c r="AW33" s="1509">
        <v>0</v>
      </c>
      <c r="AX33" s="1509">
        <v>0</v>
      </c>
      <c r="AY33" s="1509">
        <v>0.98644409200000005</v>
      </c>
      <c r="AZ33" s="1509">
        <v>0</v>
      </c>
      <c r="BA33" s="1509">
        <v>0</v>
      </c>
      <c r="BB33" s="1509">
        <v>0</v>
      </c>
      <c r="BC33" s="1509">
        <v>0</v>
      </c>
      <c r="BD33" s="1509">
        <v>0</v>
      </c>
      <c r="BE33" s="1509">
        <v>0</v>
      </c>
      <c r="BF33" s="1509">
        <v>0</v>
      </c>
      <c r="BG33" s="1509">
        <v>0</v>
      </c>
      <c r="BH33" s="1509">
        <v>0</v>
      </c>
      <c r="BI33" s="1509">
        <v>0</v>
      </c>
      <c r="BJ33" s="1509">
        <v>0</v>
      </c>
      <c r="BK33" s="1509">
        <v>0</v>
      </c>
      <c r="BL33" s="1509">
        <v>0</v>
      </c>
      <c r="BM33" s="1509">
        <v>0</v>
      </c>
      <c r="BN33" s="1509">
        <v>0</v>
      </c>
      <c r="BO33" s="1509">
        <v>0</v>
      </c>
      <c r="BP33" s="1509">
        <v>0</v>
      </c>
      <c r="BQ33" s="1509">
        <v>0</v>
      </c>
      <c r="BR33" s="1509">
        <v>0</v>
      </c>
      <c r="BS33" s="1509">
        <v>0</v>
      </c>
      <c r="BT33" s="1509">
        <v>0</v>
      </c>
      <c r="BU33" s="1509">
        <v>0</v>
      </c>
      <c r="BV33" s="1509">
        <v>0</v>
      </c>
      <c r="BW33" s="1509">
        <v>0</v>
      </c>
      <c r="BX33" s="1509">
        <v>0</v>
      </c>
      <c r="BY33" s="1509">
        <v>0</v>
      </c>
      <c r="BZ33" s="1509">
        <v>0</v>
      </c>
      <c r="CA33" s="1509">
        <v>0</v>
      </c>
      <c r="CB33" s="1509">
        <v>0</v>
      </c>
      <c r="CC33" s="1509">
        <v>0</v>
      </c>
      <c r="CD33" s="1509">
        <v>0</v>
      </c>
      <c r="CE33" s="1509">
        <v>0.92241874499999998</v>
      </c>
      <c r="CF33" s="1509">
        <v>0</v>
      </c>
      <c r="CG33" s="1509">
        <v>0</v>
      </c>
      <c r="CH33" s="1509">
        <v>0</v>
      </c>
      <c r="CI33" s="1509">
        <v>0</v>
      </c>
      <c r="CJ33" s="1509">
        <v>0</v>
      </c>
      <c r="CK33" s="1509">
        <v>0</v>
      </c>
      <c r="CL33" s="1509">
        <v>0</v>
      </c>
      <c r="CM33" s="1509">
        <v>0</v>
      </c>
      <c r="CN33" s="1509">
        <v>0</v>
      </c>
      <c r="CO33" s="1509">
        <v>0</v>
      </c>
      <c r="CP33" s="1509">
        <v>0</v>
      </c>
      <c r="CQ33" s="1509">
        <v>0</v>
      </c>
      <c r="CR33" s="1509">
        <v>0.99605726999999999</v>
      </c>
      <c r="CS33" s="1509">
        <v>0</v>
      </c>
      <c r="CT33" s="1509">
        <v>0</v>
      </c>
      <c r="CU33" s="1509">
        <v>0</v>
      </c>
      <c r="CV33" s="1509">
        <v>0</v>
      </c>
      <c r="CW33" s="1509">
        <v>0</v>
      </c>
      <c r="CX33" s="1509">
        <v>0</v>
      </c>
      <c r="CY33" s="1509">
        <v>0</v>
      </c>
      <c r="CZ33" s="1509">
        <v>0.67228015399999996</v>
      </c>
      <c r="DA33" s="1509">
        <v>0</v>
      </c>
      <c r="DB33" s="1509">
        <v>0</v>
      </c>
      <c r="DC33" s="1509">
        <v>0</v>
      </c>
      <c r="DD33" s="1509">
        <v>0</v>
      </c>
      <c r="DE33" s="1509">
        <v>0</v>
      </c>
      <c r="DF33" s="1509">
        <v>0</v>
      </c>
      <c r="DG33" s="1509">
        <v>0</v>
      </c>
      <c r="DH33" s="1509">
        <v>0</v>
      </c>
      <c r="DI33" s="1509">
        <v>0</v>
      </c>
      <c r="DJ33" s="1509">
        <v>0</v>
      </c>
      <c r="DK33" s="1509">
        <v>0</v>
      </c>
      <c r="DL33" s="1509">
        <v>0</v>
      </c>
      <c r="DM33" s="1509">
        <v>0</v>
      </c>
      <c r="DN33" s="1509">
        <v>0</v>
      </c>
      <c r="DO33" s="1509">
        <v>0</v>
      </c>
      <c r="DP33" s="1509">
        <v>0</v>
      </c>
      <c r="DQ33" s="1509">
        <v>0</v>
      </c>
      <c r="DR33" s="1509">
        <v>0</v>
      </c>
      <c r="DS33" s="1509">
        <v>0</v>
      </c>
      <c r="DT33" s="1509">
        <v>0</v>
      </c>
      <c r="DU33" s="1509">
        <v>0</v>
      </c>
      <c r="DV33" s="1509">
        <v>0</v>
      </c>
      <c r="DW33" s="1509">
        <v>0</v>
      </c>
      <c r="DX33" s="1509">
        <v>0</v>
      </c>
      <c r="DY33" s="1509">
        <v>0</v>
      </c>
      <c r="DZ33" s="1509">
        <v>0</v>
      </c>
      <c r="EA33" s="1509">
        <v>0</v>
      </c>
      <c r="EB33" s="1509">
        <v>0</v>
      </c>
      <c r="EC33" s="1509">
        <v>0</v>
      </c>
      <c r="ED33" s="1509">
        <v>0</v>
      </c>
      <c r="EE33" s="1509">
        <v>0.94819959300000001</v>
      </c>
      <c r="EF33" s="1509">
        <v>0.98706602399999999</v>
      </c>
      <c r="EG33" s="1509">
        <v>0</v>
      </c>
      <c r="EH33" s="1509">
        <v>0</v>
      </c>
      <c r="EI33" s="1509">
        <v>0.94819959300000001</v>
      </c>
      <c r="EJ33" s="1509">
        <v>0</v>
      </c>
      <c r="EK33" s="1509">
        <v>0</v>
      </c>
      <c r="EL33" s="1509">
        <v>0</v>
      </c>
      <c r="EM33" s="1509">
        <v>0</v>
      </c>
      <c r="EN33" s="1509">
        <v>0</v>
      </c>
      <c r="EO33" s="1509">
        <v>0</v>
      </c>
      <c r="EP33" s="1509">
        <v>0</v>
      </c>
      <c r="EQ33" s="1509">
        <v>0</v>
      </c>
      <c r="ER33" s="1509">
        <v>0</v>
      </c>
      <c r="ES33" s="1509">
        <v>0</v>
      </c>
      <c r="ET33" s="1509">
        <v>0</v>
      </c>
      <c r="EU33" s="1509">
        <v>0</v>
      </c>
      <c r="EV33" s="1509">
        <v>0</v>
      </c>
      <c r="EW33" s="1509">
        <v>0</v>
      </c>
      <c r="EX33" s="1509">
        <v>0</v>
      </c>
      <c r="EY33" s="1509">
        <v>0</v>
      </c>
      <c r="EZ33" s="1509">
        <v>0</v>
      </c>
      <c r="FA33" s="1509">
        <v>0</v>
      </c>
      <c r="FB33" s="1509">
        <v>0</v>
      </c>
      <c r="FC33" s="1509">
        <v>0</v>
      </c>
      <c r="FD33" s="1509">
        <v>0</v>
      </c>
      <c r="FE33" s="1509">
        <v>0</v>
      </c>
      <c r="FF33" s="1509">
        <v>0</v>
      </c>
      <c r="FG33" s="1509">
        <v>0</v>
      </c>
      <c r="FH33" s="1509">
        <v>0</v>
      </c>
      <c r="FI33" s="1509">
        <v>0</v>
      </c>
      <c r="FJ33" s="1509">
        <v>0</v>
      </c>
      <c r="FK33" s="1509">
        <v>0</v>
      </c>
      <c r="FL33" s="1509">
        <v>0</v>
      </c>
      <c r="FM33" s="1509">
        <v>0</v>
      </c>
      <c r="FN33" s="1509">
        <v>0</v>
      </c>
      <c r="FO33" s="1509">
        <v>0</v>
      </c>
      <c r="FP33" s="1509">
        <v>0</v>
      </c>
      <c r="FQ33" s="1509">
        <v>0</v>
      </c>
      <c r="FR33" s="1509">
        <v>0</v>
      </c>
      <c r="FS33" s="1509">
        <v>0</v>
      </c>
      <c r="FT33" s="1509">
        <v>0</v>
      </c>
      <c r="FU33" s="1509">
        <v>0</v>
      </c>
    </row>
    <row r="34" spans="1:177" s="1509" customFormat="1" x14ac:dyDescent="0.2">
      <c r="A34" s="1512" t="s">
        <v>659</v>
      </c>
      <c r="B34" s="1512" t="s">
        <v>1029</v>
      </c>
      <c r="C34" s="1509">
        <v>0</v>
      </c>
      <c r="D34" s="1509">
        <v>0</v>
      </c>
      <c r="E34" s="1509">
        <v>0</v>
      </c>
      <c r="F34" s="1509">
        <v>0</v>
      </c>
      <c r="G34" s="1509">
        <v>0</v>
      </c>
      <c r="H34" s="1509">
        <v>0</v>
      </c>
      <c r="I34" s="1509">
        <v>0</v>
      </c>
      <c r="J34" s="1509">
        <v>0</v>
      </c>
      <c r="K34" s="1509">
        <v>0</v>
      </c>
      <c r="L34" s="1509">
        <v>0</v>
      </c>
      <c r="M34" s="1509">
        <v>0</v>
      </c>
      <c r="N34" s="1509">
        <v>0</v>
      </c>
      <c r="O34" s="1509">
        <v>0</v>
      </c>
      <c r="P34" s="1509">
        <v>1</v>
      </c>
      <c r="Q34" s="1509">
        <v>0</v>
      </c>
      <c r="R34" s="1509">
        <v>0</v>
      </c>
      <c r="S34" s="1509">
        <v>1</v>
      </c>
      <c r="T34" s="1509">
        <v>1</v>
      </c>
      <c r="U34" s="1509">
        <v>1</v>
      </c>
      <c r="V34" s="1509">
        <v>0</v>
      </c>
      <c r="W34" s="1509">
        <v>1</v>
      </c>
      <c r="X34" s="1509">
        <v>1</v>
      </c>
      <c r="Y34" s="1509">
        <v>1</v>
      </c>
      <c r="Z34" s="1509">
        <v>1</v>
      </c>
      <c r="AA34" s="1509">
        <v>0</v>
      </c>
      <c r="AB34" s="1509">
        <v>0</v>
      </c>
      <c r="AC34" s="1509">
        <v>0</v>
      </c>
      <c r="AD34" s="1509">
        <v>0</v>
      </c>
      <c r="AE34" s="1509">
        <v>0</v>
      </c>
      <c r="AF34" s="1509">
        <v>1</v>
      </c>
      <c r="AG34" s="1509">
        <v>0</v>
      </c>
      <c r="AH34" s="1509">
        <v>1</v>
      </c>
      <c r="AI34" s="1509">
        <v>1</v>
      </c>
      <c r="AJ34" s="1509">
        <v>0</v>
      </c>
      <c r="AK34" s="1509">
        <v>0</v>
      </c>
      <c r="AL34" s="1509">
        <v>0</v>
      </c>
      <c r="AM34" s="1509">
        <v>0</v>
      </c>
      <c r="AN34" s="1509">
        <v>0</v>
      </c>
      <c r="AO34" s="1509">
        <v>1</v>
      </c>
      <c r="AP34" s="1509">
        <v>1</v>
      </c>
      <c r="AQ34" s="1509">
        <v>0</v>
      </c>
      <c r="AR34" s="1509">
        <v>1</v>
      </c>
      <c r="AS34" s="1509">
        <v>1</v>
      </c>
      <c r="AT34" s="1509">
        <v>0</v>
      </c>
      <c r="AU34" s="1509">
        <v>0</v>
      </c>
      <c r="AV34" s="1509">
        <v>1</v>
      </c>
      <c r="AW34" s="1509">
        <v>0</v>
      </c>
      <c r="AX34" s="1509">
        <v>1</v>
      </c>
      <c r="AY34" s="1509">
        <v>0</v>
      </c>
      <c r="AZ34" s="1509">
        <v>0</v>
      </c>
      <c r="BA34" s="1509">
        <v>0</v>
      </c>
      <c r="BB34" s="1509">
        <v>0</v>
      </c>
      <c r="BC34" s="1509">
        <v>0</v>
      </c>
      <c r="BD34" s="1509">
        <v>0</v>
      </c>
      <c r="BE34" s="1509">
        <v>1</v>
      </c>
      <c r="BF34" s="1509">
        <v>0</v>
      </c>
      <c r="BG34" s="1509">
        <v>0</v>
      </c>
      <c r="BH34" s="1509">
        <v>1</v>
      </c>
      <c r="BI34" s="1509">
        <v>1</v>
      </c>
      <c r="BJ34" s="1509">
        <v>0</v>
      </c>
      <c r="BK34" s="1509">
        <v>0</v>
      </c>
      <c r="BL34" s="1509">
        <v>0</v>
      </c>
      <c r="BM34" s="1509">
        <v>0</v>
      </c>
      <c r="BN34" s="1509">
        <v>1</v>
      </c>
      <c r="BO34" s="1509">
        <v>1</v>
      </c>
      <c r="BP34" s="1509">
        <v>1</v>
      </c>
      <c r="BQ34" s="1509">
        <v>1</v>
      </c>
      <c r="BR34" s="1509">
        <v>0</v>
      </c>
      <c r="BS34" s="1509">
        <v>1</v>
      </c>
      <c r="BT34" s="1509">
        <v>1</v>
      </c>
      <c r="BU34" s="1509">
        <v>0</v>
      </c>
      <c r="BV34" s="1509">
        <v>0</v>
      </c>
      <c r="BW34" s="1509">
        <v>1</v>
      </c>
      <c r="BX34" s="1509">
        <v>0</v>
      </c>
      <c r="BY34" s="1509">
        <v>0</v>
      </c>
      <c r="BZ34" s="1509">
        <v>0</v>
      </c>
      <c r="CA34" s="1509">
        <v>1</v>
      </c>
      <c r="CB34" s="1509">
        <v>1</v>
      </c>
      <c r="CC34" s="1509">
        <v>1</v>
      </c>
      <c r="CD34" s="1509">
        <v>1</v>
      </c>
      <c r="CE34" s="1509">
        <v>1</v>
      </c>
      <c r="CF34" s="1509">
        <v>1</v>
      </c>
      <c r="CG34" s="1509">
        <v>0</v>
      </c>
      <c r="CH34" s="1509">
        <v>1</v>
      </c>
      <c r="CI34" s="1509">
        <v>1</v>
      </c>
      <c r="CJ34" s="1509">
        <v>1</v>
      </c>
      <c r="CK34" s="1509">
        <v>1</v>
      </c>
      <c r="CL34" s="1509">
        <v>1</v>
      </c>
      <c r="CM34" s="1509">
        <v>0</v>
      </c>
      <c r="CN34" s="1509">
        <v>1</v>
      </c>
      <c r="CO34" s="1509">
        <v>0</v>
      </c>
      <c r="CP34" s="1509">
        <v>1</v>
      </c>
      <c r="CQ34" s="1509">
        <v>1</v>
      </c>
      <c r="CR34" s="1509">
        <v>1</v>
      </c>
      <c r="CS34" s="1509">
        <v>0</v>
      </c>
      <c r="CT34" s="1509">
        <v>0</v>
      </c>
      <c r="CU34" s="1509">
        <v>0</v>
      </c>
      <c r="CV34" s="1509">
        <v>1</v>
      </c>
      <c r="CW34" s="1509">
        <v>0</v>
      </c>
      <c r="CX34" s="1509">
        <v>0</v>
      </c>
      <c r="CY34" s="1509">
        <v>0</v>
      </c>
      <c r="CZ34" s="1509">
        <v>0</v>
      </c>
      <c r="DA34" s="1509">
        <v>0</v>
      </c>
      <c r="DB34" s="1509">
        <v>0</v>
      </c>
      <c r="DC34" s="1509">
        <v>0</v>
      </c>
      <c r="DD34" s="1509">
        <v>0</v>
      </c>
      <c r="DE34" s="1509">
        <v>0</v>
      </c>
      <c r="DF34" s="1509">
        <v>1</v>
      </c>
      <c r="DG34" s="1509">
        <v>0</v>
      </c>
      <c r="DH34" s="1509">
        <v>0</v>
      </c>
      <c r="DI34" s="1509">
        <v>0</v>
      </c>
      <c r="DJ34" s="1509">
        <v>1</v>
      </c>
      <c r="DK34" s="1509">
        <v>0</v>
      </c>
      <c r="DL34" s="1509">
        <v>1</v>
      </c>
      <c r="DM34" s="1509">
        <v>0</v>
      </c>
      <c r="DN34" s="1509">
        <v>0</v>
      </c>
      <c r="DO34" s="1509">
        <v>0</v>
      </c>
      <c r="DP34" s="1509">
        <v>0</v>
      </c>
      <c r="DQ34" s="1509">
        <v>0</v>
      </c>
      <c r="DR34" s="1509">
        <v>0</v>
      </c>
      <c r="DS34" s="1509">
        <v>1</v>
      </c>
      <c r="DT34" s="1509">
        <v>0</v>
      </c>
      <c r="DU34" s="1509">
        <v>1</v>
      </c>
      <c r="DV34" s="1509">
        <v>0</v>
      </c>
      <c r="DW34" s="1509">
        <v>1</v>
      </c>
      <c r="DX34" s="1509">
        <v>0</v>
      </c>
      <c r="DY34" s="1509">
        <v>0</v>
      </c>
      <c r="DZ34" s="1509">
        <v>0</v>
      </c>
      <c r="EA34" s="1509">
        <v>1</v>
      </c>
      <c r="EB34" s="1509">
        <v>1</v>
      </c>
      <c r="EC34" s="1509">
        <v>1</v>
      </c>
      <c r="ED34" s="1509">
        <v>1</v>
      </c>
      <c r="EE34" s="1509">
        <v>1</v>
      </c>
      <c r="EF34" s="1509">
        <v>0</v>
      </c>
      <c r="EG34" s="1509">
        <v>0</v>
      </c>
      <c r="EH34" s="1509">
        <v>1</v>
      </c>
      <c r="EI34" s="1509">
        <v>1</v>
      </c>
      <c r="EJ34" s="1509">
        <v>1</v>
      </c>
      <c r="EK34" s="1509">
        <v>0</v>
      </c>
      <c r="EL34" s="1509">
        <v>0</v>
      </c>
      <c r="EM34" s="1509">
        <v>1</v>
      </c>
      <c r="EN34" s="1509">
        <v>1</v>
      </c>
      <c r="EO34" s="1509">
        <v>1</v>
      </c>
      <c r="EP34" s="1509">
        <v>0</v>
      </c>
      <c r="EQ34" s="1509">
        <v>1</v>
      </c>
      <c r="ER34" s="1509">
        <v>0</v>
      </c>
      <c r="ES34" s="1509">
        <v>0</v>
      </c>
      <c r="ET34" s="1509">
        <v>1</v>
      </c>
      <c r="EU34" s="1509">
        <v>1</v>
      </c>
      <c r="EV34" s="1509">
        <v>0</v>
      </c>
      <c r="EW34" s="1509">
        <v>1</v>
      </c>
      <c r="EX34" s="1509">
        <v>0</v>
      </c>
      <c r="EY34" s="1509">
        <v>1</v>
      </c>
      <c r="EZ34" s="1509">
        <v>1</v>
      </c>
      <c r="FA34" s="1509">
        <v>1</v>
      </c>
      <c r="FB34" s="1509">
        <v>1</v>
      </c>
      <c r="FC34" s="1509">
        <v>1</v>
      </c>
      <c r="FD34" s="1509">
        <v>0</v>
      </c>
      <c r="FE34" s="1509">
        <v>1</v>
      </c>
      <c r="FF34" s="1509">
        <v>0</v>
      </c>
      <c r="FG34" s="1509">
        <v>1</v>
      </c>
      <c r="FH34" s="1509">
        <v>0</v>
      </c>
      <c r="FI34" s="1509">
        <v>1</v>
      </c>
      <c r="FJ34" s="1509">
        <v>1</v>
      </c>
      <c r="FK34" s="1509">
        <v>1</v>
      </c>
      <c r="FL34" s="1509">
        <v>0</v>
      </c>
      <c r="FM34" s="1509">
        <v>0</v>
      </c>
      <c r="FN34" s="1509">
        <v>1</v>
      </c>
      <c r="FO34" s="1509">
        <v>1</v>
      </c>
      <c r="FP34" s="1509">
        <v>1</v>
      </c>
      <c r="FQ34" s="1509">
        <v>0</v>
      </c>
      <c r="FR34" s="1509">
        <v>1</v>
      </c>
      <c r="FS34" s="1509">
        <v>1</v>
      </c>
      <c r="FT34" s="1509">
        <v>1</v>
      </c>
      <c r="FU34" s="1509">
        <v>1</v>
      </c>
    </row>
    <row r="35" spans="1:177" s="1509" customFormat="1" x14ac:dyDescent="0.2">
      <c r="A35" s="1512" t="s">
        <v>659</v>
      </c>
      <c r="B35" s="1512" t="s">
        <v>1024</v>
      </c>
      <c r="C35" s="1509" t="s">
        <v>2372</v>
      </c>
      <c r="D35" s="1509">
        <v>0.49099099099999999</v>
      </c>
      <c r="E35" s="1509" t="s">
        <v>2372</v>
      </c>
      <c r="F35" s="1509" t="s">
        <v>2372</v>
      </c>
      <c r="G35" s="1509">
        <v>1</v>
      </c>
      <c r="H35" s="1509" t="s">
        <v>2372</v>
      </c>
      <c r="I35" s="1509">
        <v>0.29279279300000005</v>
      </c>
      <c r="J35" s="1509">
        <v>0.38288288299999995</v>
      </c>
      <c r="K35" s="1509">
        <v>0.28828828799999995</v>
      </c>
      <c r="L35" s="1509">
        <v>0.21171171200000005</v>
      </c>
      <c r="M35" s="1509">
        <v>0.23873873899999998</v>
      </c>
      <c r="N35" s="1509">
        <v>1</v>
      </c>
      <c r="O35" s="1509">
        <v>1</v>
      </c>
      <c r="P35" s="1509">
        <v>1</v>
      </c>
      <c r="Q35" s="1509" t="s">
        <v>2372</v>
      </c>
      <c r="R35" s="1509">
        <v>1</v>
      </c>
      <c r="S35" s="1509">
        <v>1</v>
      </c>
      <c r="T35" s="1509" t="s">
        <v>2372</v>
      </c>
      <c r="U35" s="1509" t="s">
        <v>2372</v>
      </c>
      <c r="V35" s="1509" t="s">
        <v>2372</v>
      </c>
      <c r="W35" s="1509">
        <v>1</v>
      </c>
      <c r="X35" s="1509" t="s">
        <v>2372</v>
      </c>
      <c r="Y35" s="1509">
        <v>0.55855855899999995</v>
      </c>
      <c r="Z35" s="1509" t="s">
        <v>2372</v>
      </c>
      <c r="AA35" s="1509">
        <v>5.4054053999999963E-2</v>
      </c>
      <c r="AB35" s="1509" t="s">
        <v>2372</v>
      </c>
      <c r="AC35" s="1509" t="s">
        <v>2372</v>
      </c>
      <c r="AD35" s="1509" t="s">
        <v>2372</v>
      </c>
      <c r="AE35" s="1509">
        <v>1</v>
      </c>
      <c r="AF35" s="1509">
        <v>1</v>
      </c>
      <c r="AG35" s="1509">
        <v>0.34684684700000001</v>
      </c>
      <c r="AH35" s="1509">
        <v>1</v>
      </c>
      <c r="AI35" s="1509" t="s">
        <v>2372</v>
      </c>
      <c r="AJ35" s="1509" t="s">
        <v>2372</v>
      </c>
      <c r="AK35" s="1509">
        <v>1</v>
      </c>
      <c r="AL35" s="1509" t="s">
        <v>2372</v>
      </c>
      <c r="AM35" s="1509">
        <v>1</v>
      </c>
      <c r="AN35" s="1509" t="s">
        <v>2372</v>
      </c>
      <c r="AO35" s="1509">
        <v>0.73354231999999997</v>
      </c>
      <c r="AP35" s="1509">
        <v>1</v>
      </c>
      <c r="AQ35" s="1509">
        <v>0.21171171200000005</v>
      </c>
      <c r="AR35" s="1509">
        <v>2.8301887000000026E-2</v>
      </c>
      <c r="AS35" s="1509" t="s">
        <v>2372</v>
      </c>
      <c r="AT35" s="1509" t="s">
        <v>2372</v>
      </c>
      <c r="AU35" s="1509" t="s">
        <v>2372</v>
      </c>
      <c r="AV35" s="1509" t="s">
        <v>2372</v>
      </c>
      <c r="AW35" s="1509">
        <v>1</v>
      </c>
      <c r="AX35" s="1509">
        <v>0.41304347799999996</v>
      </c>
      <c r="AY35" s="1509">
        <v>7.0707070999999955E-2</v>
      </c>
      <c r="AZ35" s="1509">
        <v>0.28619528599999999</v>
      </c>
      <c r="BA35" s="1509">
        <v>1</v>
      </c>
      <c r="BB35" s="1509">
        <v>8.4175083999999956E-2</v>
      </c>
      <c r="BC35" s="1509" t="s">
        <v>2372</v>
      </c>
      <c r="BD35" s="1509">
        <v>7.5471697999999976E-2</v>
      </c>
      <c r="BE35" s="1509">
        <v>1</v>
      </c>
      <c r="BF35" s="1509" t="s">
        <v>2372</v>
      </c>
      <c r="BG35" s="1509" t="s">
        <v>2372</v>
      </c>
      <c r="BH35" s="1509">
        <v>1</v>
      </c>
      <c r="BI35" s="1509" t="s">
        <v>2372</v>
      </c>
      <c r="BJ35" s="1509" t="s">
        <v>2372</v>
      </c>
      <c r="BK35" s="1509">
        <v>1</v>
      </c>
      <c r="BL35" s="1509">
        <v>1</v>
      </c>
      <c r="BM35" s="1509">
        <v>1</v>
      </c>
      <c r="BN35" s="1509">
        <v>0.19369369400000003</v>
      </c>
      <c r="BO35" s="1509">
        <v>1</v>
      </c>
      <c r="BP35" s="1509">
        <v>0.54954955000000005</v>
      </c>
      <c r="BQ35" s="1509">
        <v>1</v>
      </c>
      <c r="BR35" s="1509" t="s">
        <v>2372</v>
      </c>
      <c r="BS35" s="1509">
        <v>1</v>
      </c>
      <c r="BT35" s="1509">
        <v>1</v>
      </c>
      <c r="BU35" s="1509" t="s">
        <v>2372</v>
      </c>
      <c r="BV35" s="1509">
        <v>1</v>
      </c>
      <c r="BW35" s="1509" t="s">
        <v>2372</v>
      </c>
      <c r="BX35" s="1509">
        <v>0.28125</v>
      </c>
      <c r="BY35" s="1509" t="s">
        <v>2372</v>
      </c>
      <c r="BZ35" s="1509">
        <v>1</v>
      </c>
      <c r="CA35" s="1509">
        <v>1</v>
      </c>
      <c r="CB35" s="1509" t="s">
        <v>2372</v>
      </c>
      <c r="CC35" s="1509">
        <v>2.3094689999999529E-3</v>
      </c>
      <c r="CD35" s="1509">
        <v>1</v>
      </c>
      <c r="CE35" s="1509">
        <v>0</v>
      </c>
      <c r="CF35" s="1509" t="s">
        <v>2372</v>
      </c>
      <c r="CG35" s="1509">
        <v>0.31081081099999996</v>
      </c>
      <c r="CH35" s="1509">
        <v>1</v>
      </c>
      <c r="CI35" s="1509">
        <v>5.4054053999999963E-2</v>
      </c>
      <c r="CJ35" s="1509">
        <v>1</v>
      </c>
      <c r="CK35" s="1509" t="s">
        <v>2372</v>
      </c>
      <c r="CL35" s="1509" t="s">
        <v>2372</v>
      </c>
      <c r="CM35" s="1509">
        <v>0.14945652200000004</v>
      </c>
      <c r="CN35" s="1509">
        <v>2.3094689999999529E-3</v>
      </c>
      <c r="CO35" s="1509" t="s">
        <v>2372</v>
      </c>
      <c r="CP35" s="1509">
        <v>0</v>
      </c>
      <c r="CQ35" s="1509">
        <v>1</v>
      </c>
      <c r="CR35" s="1509">
        <v>0.27927927900000005</v>
      </c>
      <c r="CS35" s="1509">
        <v>0.55405405400000007</v>
      </c>
      <c r="CT35" s="1509" t="s">
        <v>2372</v>
      </c>
      <c r="CU35" s="1509" t="s">
        <v>2372</v>
      </c>
      <c r="CV35" s="1509">
        <v>1</v>
      </c>
      <c r="CW35" s="1509" t="s">
        <v>2372</v>
      </c>
      <c r="CX35" s="1509">
        <v>0.316498316</v>
      </c>
      <c r="CY35" s="1509">
        <v>0.41414141400000004</v>
      </c>
      <c r="CZ35" s="1509">
        <v>1</v>
      </c>
      <c r="DA35" s="1509">
        <v>0.29755434800000002</v>
      </c>
      <c r="DB35" s="1509">
        <v>1</v>
      </c>
      <c r="DC35" s="1509" t="s">
        <v>2372</v>
      </c>
      <c r="DD35" s="1509">
        <v>1</v>
      </c>
      <c r="DE35" s="1509">
        <v>0.25</v>
      </c>
      <c r="DF35" s="1509">
        <v>0.30000000000000004</v>
      </c>
      <c r="DG35" s="1509">
        <v>0.35</v>
      </c>
      <c r="DH35" s="1509" t="s">
        <v>2372</v>
      </c>
      <c r="DI35" s="1509">
        <v>5.0000000000000044E-2</v>
      </c>
      <c r="DJ35" s="1509">
        <v>0.24592391300000005</v>
      </c>
      <c r="DK35" s="1509">
        <v>1</v>
      </c>
      <c r="DL35" s="1509" t="s">
        <v>2372</v>
      </c>
      <c r="DM35" s="1509">
        <v>1</v>
      </c>
      <c r="DN35" s="1509" t="s">
        <v>2372</v>
      </c>
      <c r="DO35" s="1509">
        <v>0.41077441100000001</v>
      </c>
      <c r="DP35" s="1509">
        <v>0.192934783</v>
      </c>
      <c r="DQ35" s="1509">
        <v>1</v>
      </c>
      <c r="DR35" s="1509">
        <v>1</v>
      </c>
      <c r="DS35" s="1509">
        <v>1</v>
      </c>
      <c r="DT35" s="1509">
        <v>7.6086957000000011E-2</v>
      </c>
      <c r="DU35" s="1509" t="s">
        <v>2372</v>
      </c>
      <c r="DV35" s="1509" t="s">
        <v>2372</v>
      </c>
      <c r="DW35" s="1509" t="s">
        <v>2372</v>
      </c>
      <c r="DX35" s="1509">
        <v>1</v>
      </c>
      <c r="DY35" s="1509" t="s">
        <v>2372</v>
      </c>
      <c r="DZ35" s="1509" t="s">
        <v>2372</v>
      </c>
      <c r="EA35" s="1509">
        <v>0.25589225599999998</v>
      </c>
      <c r="EB35" s="1509" t="s">
        <v>2372</v>
      </c>
      <c r="EC35" s="1509" t="s">
        <v>2372</v>
      </c>
      <c r="ED35" s="1509">
        <v>1.3513514000000004E-2</v>
      </c>
      <c r="EE35" s="1509">
        <v>2.3094689999999529E-3</v>
      </c>
      <c r="EF35" s="1509">
        <v>0.26936026899999999</v>
      </c>
      <c r="EG35" s="1509" t="s">
        <v>2372</v>
      </c>
      <c r="EH35" s="1509">
        <v>2.3569024000000049E-2</v>
      </c>
      <c r="EI35" s="1509" t="s">
        <v>2372</v>
      </c>
      <c r="EJ35" s="1509" t="s">
        <v>2372</v>
      </c>
      <c r="EK35" s="1509">
        <v>4.504504999999992E-3</v>
      </c>
      <c r="EL35" s="1509">
        <v>0.5</v>
      </c>
      <c r="EM35" s="1509">
        <v>0.15000000000000002</v>
      </c>
      <c r="EN35" s="1509">
        <v>0.5</v>
      </c>
      <c r="EO35" s="1509" t="s">
        <v>2372</v>
      </c>
      <c r="EP35" s="1509" t="s">
        <v>2372</v>
      </c>
      <c r="EQ35" s="1509">
        <v>1</v>
      </c>
      <c r="ER35" s="1509">
        <v>1</v>
      </c>
      <c r="ES35" s="1509">
        <v>1</v>
      </c>
      <c r="ET35" s="1509">
        <v>0</v>
      </c>
      <c r="EU35" s="1509" t="s">
        <v>2372</v>
      </c>
      <c r="EV35" s="1509" t="s">
        <v>2372</v>
      </c>
      <c r="EW35" s="1509">
        <v>0.24764890299999998</v>
      </c>
      <c r="EX35" s="1509" t="s">
        <v>2372</v>
      </c>
      <c r="EY35" s="1509">
        <v>0.11111111100000004</v>
      </c>
      <c r="EZ35" s="1509">
        <v>6.5217391000000013E-2</v>
      </c>
      <c r="FA35" s="1509">
        <v>0</v>
      </c>
      <c r="FB35" s="1509">
        <v>0.19122257099999995</v>
      </c>
      <c r="FC35" s="1509" t="s">
        <v>2372</v>
      </c>
      <c r="FD35" s="1509">
        <v>6.3973064000000024E-2</v>
      </c>
      <c r="FE35" s="1509">
        <v>1</v>
      </c>
      <c r="FF35" s="1509">
        <v>0.52664576800000007</v>
      </c>
      <c r="FG35" s="1509">
        <v>0.44999999999999996</v>
      </c>
      <c r="FH35" s="1509">
        <v>0.22961956500000003</v>
      </c>
      <c r="FI35" s="1509">
        <v>0.57993730399999999</v>
      </c>
      <c r="FJ35" s="1509">
        <v>1</v>
      </c>
      <c r="FK35" s="1509">
        <v>0.12771739100000001</v>
      </c>
      <c r="FL35" s="1509">
        <v>0.25</v>
      </c>
      <c r="FM35" s="1509" t="s">
        <v>2372</v>
      </c>
      <c r="FN35" s="1509">
        <v>1</v>
      </c>
      <c r="FO35" s="1509">
        <v>0.27717391300000005</v>
      </c>
      <c r="FP35" s="1509">
        <v>0.70532915399999996</v>
      </c>
      <c r="FQ35" s="1509">
        <v>0.12907608699999995</v>
      </c>
      <c r="FR35" s="1509" t="s">
        <v>2372</v>
      </c>
      <c r="FS35" s="1509">
        <v>0.21630094</v>
      </c>
      <c r="FT35" s="1509" t="s">
        <v>2372</v>
      </c>
      <c r="FU35" s="1509">
        <v>1</v>
      </c>
    </row>
    <row r="36" spans="1:177" s="1509" customFormat="1" x14ac:dyDescent="0.2">
      <c r="A36" s="1512" t="s">
        <v>659</v>
      </c>
      <c r="B36" s="1512" t="s">
        <v>1077</v>
      </c>
      <c r="C36" s="1509" t="s">
        <v>2372</v>
      </c>
      <c r="D36" s="1509">
        <v>0.50900900900000001</v>
      </c>
      <c r="E36" s="1509" t="s">
        <v>2372</v>
      </c>
      <c r="F36" s="1509" t="s">
        <v>2372</v>
      </c>
      <c r="G36" s="1509">
        <v>0</v>
      </c>
      <c r="H36" s="1509" t="s">
        <v>2372</v>
      </c>
      <c r="I36" s="1509">
        <v>0.70720720699999995</v>
      </c>
      <c r="J36" s="1509">
        <v>0.61711711700000005</v>
      </c>
      <c r="K36" s="1509">
        <v>0.71171171200000005</v>
      </c>
      <c r="L36" s="1509">
        <v>0.78828828799999995</v>
      </c>
      <c r="M36" s="1509">
        <v>0.76126126100000002</v>
      </c>
      <c r="N36" s="1509">
        <v>0</v>
      </c>
      <c r="O36" s="1509">
        <v>0</v>
      </c>
      <c r="P36" s="1509">
        <v>0</v>
      </c>
      <c r="Q36" s="1509" t="s">
        <v>2372</v>
      </c>
      <c r="R36" s="1509">
        <v>0</v>
      </c>
      <c r="S36" s="1509">
        <v>0</v>
      </c>
      <c r="T36" s="1509" t="s">
        <v>2372</v>
      </c>
      <c r="U36" s="1509" t="s">
        <v>2372</v>
      </c>
      <c r="V36" s="1509" t="s">
        <v>2372</v>
      </c>
      <c r="W36" s="1509">
        <v>0</v>
      </c>
      <c r="X36" s="1509" t="s">
        <v>2372</v>
      </c>
      <c r="Y36" s="1509">
        <v>0.44144144099999999</v>
      </c>
      <c r="Z36" s="1509" t="s">
        <v>2372</v>
      </c>
      <c r="AA36" s="1509">
        <v>0.94594594600000004</v>
      </c>
      <c r="AB36" s="1509" t="s">
        <v>2372</v>
      </c>
      <c r="AC36" s="1509" t="s">
        <v>2372</v>
      </c>
      <c r="AD36" s="1509" t="s">
        <v>2372</v>
      </c>
      <c r="AE36" s="1509">
        <v>0</v>
      </c>
      <c r="AF36" s="1509">
        <v>0</v>
      </c>
      <c r="AG36" s="1509">
        <v>0.65315315299999999</v>
      </c>
      <c r="AH36" s="1509">
        <v>0</v>
      </c>
      <c r="AI36" s="1509" t="s">
        <v>2372</v>
      </c>
      <c r="AJ36" s="1509" t="s">
        <v>2372</v>
      </c>
      <c r="AK36" s="1509">
        <v>0</v>
      </c>
      <c r="AL36" s="1509" t="s">
        <v>2372</v>
      </c>
      <c r="AM36" s="1509">
        <v>0</v>
      </c>
      <c r="AN36" s="1509" t="s">
        <v>2372</v>
      </c>
      <c r="AO36" s="1509">
        <v>0.26645767999999997</v>
      </c>
      <c r="AP36" s="1509">
        <v>0</v>
      </c>
      <c r="AQ36" s="1509">
        <v>0.78828828799999995</v>
      </c>
      <c r="AR36" s="1509">
        <v>0.97169811299999997</v>
      </c>
      <c r="AS36" s="1509" t="s">
        <v>2372</v>
      </c>
      <c r="AT36" s="1509" t="s">
        <v>2372</v>
      </c>
      <c r="AU36" s="1509" t="s">
        <v>2372</v>
      </c>
      <c r="AV36" s="1509" t="s">
        <v>2372</v>
      </c>
      <c r="AW36" s="1509">
        <v>0</v>
      </c>
      <c r="AX36" s="1509">
        <v>0.58695652200000004</v>
      </c>
      <c r="AY36" s="1509">
        <v>0.92929292900000005</v>
      </c>
      <c r="AZ36" s="1509">
        <v>0.71380471400000001</v>
      </c>
      <c r="BA36" s="1509">
        <v>0</v>
      </c>
      <c r="BB36" s="1509">
        <v>0.91582491600000004</v>
      </c>
      <c r="BC36" s="1509" t="s">
        <v>2372</v>
      </c>
      <c r="BD36" s="1509">
        <v>0.92452830200000002</v>
      </c>
      <c r="BE36" s="1509">
        <v>0</v>
      </c>
      <c r="BF36" s="1509" t="s">
        <v>2372</v>
      </c>
      <c r="BG36" s="1509" t="s">
        <v>2372</v>
      </c>
      <c r="BH36" s="1509">
        <v>0</v>
      </c>
      <c r="BI36" s="1509" t="s">
        <v>2372</v>
      </c>
      <c r="BJ36" s="1509" t="s">
        <v>2372</v>
      </c>
      <c r="BK36" s="1509">
        <v>0</v>
      </c>
      <c r="BL36" s="1509">
        <v>0</v>
      </c>
      <c r="BM36" s="1509">
        <v>0</v>
      </c>
      <c r="BN36" s="1509">
        <v>0.80630630599999997</v>
      </c>
      <c r="BO36" s="1509">
        <v>0</v>
      </c>
      <c r="BP36" s="1509">
        <v>0.45045045</v>
      </c>
      <c r="BQ36" s="1509">
        <v>0</v>
      </c>
      <c r="BR36" s="1509" t="s">
        <v>2372</v>
      </c>
      <c r="BS36" s="1509">
        <v>0</v>
      </c>
      <c r="BT36" s="1509">
        <v>0</v>
      </c>
      <c r="BU36" s="1509" t="s">
        <v>2372</v>
      </c>
      <c r="BV36" s="1509">
        <v>0</v>
      </c>
      <c r="BW36" s="1509" t="s">
        <v>2372</v>
      </c>
      <c r="BX36" s="1509">
        <v>0.71875</v>
      </c>
      <c r="BY36" s="1509" t="s">
        <v>2372</v>
      </c>
      <c r="BZ36" s="1509">
        <v>0</v>
      </c>
      <c r="CA36" s="1509">
        <v>0</v>
      </c>
      <c r="CB36" s="1509" t="s">
        <v>2372</v>
      </c>
      <c r="CC36" s="1509">
        <v>0.99769053100000005</v>
      </c>
      <c r="CD36" s="1509">
        <v>0</v>
      </c>
      <c r="CE36" s="1509">
        <v>1</v>
      </c>
      <c r="CF36" s="1509" t="s">
        <v>2372</v>
      </c>
      <c r="CG36" s="1509">
        <v>0.68918918900000004</v>
      </c>
      <c r="CH36" s="1509">
        <v>0</v>
      </c>
      <c r="CI36" s="1509">
        <v>0.94594594600000004</v>
      </c>
      <c r="CJ36" s="1509">
        <v>0</v>
      </c>
      <c r="CK36" s="1509" t="s">
        <v>2372</v>
      </c>
      <c r="CL36" s="1509" t="s">
        <v>2372</v>
      </c>
      <c r="CM36" s="1509">
        <v>0.85054347799999996</v>
      </c>
      <c r="CN36" s="1509">
        <v>0.99769053100000005</v>
      </c>
      <c r="CO36" s="1509" t="s">
        <v>2372</v>
      </c>
      <c r="CP36" s="1509">
        <v>1</v>
      </c>
      <c r="CQ36" s="1509">
        <v>0</v>
      </c>
      <c r="CR36" s="1509">
        <v>0.72072072099999995</v>
      </c>
      <c r="CS36" s="1509">
        <v>0.44594594599999998</v>
      </c>
      <c r="CT36" s="1509" t="s">
        <v>2372</v>
      </c>
      <c r="CU36" s="1509" t="s">
        <v>2372</v>
      </c>
      <c r="CV36" s="1509">
        <v>0</v>
      </c>
      <c r="CW36" s="1509" t="s">
        <v>2372</v>
      </c>
      <c r="CX36" s="1509">
        <v>0.683501684</v>
      </c>
      <c r="CY36" s="1509">
        <v>0.58585858599999996</v>
      </c>
      <c r="CZ36" s="1509">
        <v>0</v>
      </c>
      <c r="DA36" s="1509">
        <v>0.70244565199999998</v>
      </c>
      <c r="DB36" s="1509">
        <v>0</v>
      </c>
      <c r="DC36" s="1509" t="s">
        <v>2372</v>
      </c>
      <c r="DD36" s="1509">
        <v>0</v>
      </c>
      <c r="DE36" s="1509">
        <v>0.75</v>
      </c>
      <c r="DF36" s="1509">
        <v>0.7</v>
      </c>
      <c r="DG36" s="1509">
        <v>0.65</v>
      </c>
      <c r="DH36" s="1509" t="s">
        <v>2372</v>
      </c>
      <c r="DI36" s="1509">
        <v>0.95</v>
      </c>
      <c r="DJ36" s="1509">
        <v>0.75407608699999995</v>
      </c>
      <c r="DK36" s="1509">
        <v>0</v>
      </c>
      <c r="DL36" s="1509" t="s">
        <v>2372</v>
      </c>
      <c r="DM36" s="1509">
        <v>0</v>
      </c>
      <c r="DN36" s="1509" t="s">
        <v>2372</v>
      </c>
      <c r="DO36" s="1509">
        <v>0.58922558899999999</v>
      </c>
      <c r="DP36" s="1509">
        <v>0.807065217</v>
      </c>
      <c r="DQ36" s="1509">
        <v>0</v>
      </c>
      <c r="DR36" s="1509">
        <v>0</v>
      </c>
      <c r="DS36" s="1509">
        <v>0</v>
      </c>
      <c r="DT36" s="1509">
        <v>0.92391304299999999</v>
      </c>
      <c r="DU36" s="1509" t="s">
        <v>2372</v>
      </c>
      <c r="DV36" s="1509" t="s">
        <v>2372</v>
      </c>
      <c r="DW36" s="1509" t="s">
        <v>2372</v>
      </c>
      <c r="DX36" s="1509">
        <v>0</v>
      </c>
      <c r="DY36" s="1509" t="s">
        <v>2372</v>
      </c>
      <c r="DZ36" s="1509" t="s">
        <v>2372</v>
      </c>
      <c r="EA36" s="1509">
        <v>0.74410774400000002</v>
      </c>
      <c r="EB36" s="1509" t="s">
        <v>2372</v>
      </c>
      <c r="EC36" s="1509" t="s">
        <v>2372</v>
      </c>
      <c r="ED36" s="1509">
        <v>0.986486486</v>
      </c>
      <c r="EE36" s="1509">
        <v>0.99769053100000005</v>
      </c>
      <c r="EF36" s="1509">
        <v>0.73063973100000001</v>
      </c>
      <c r="EG36" s="1509" t="s">
        <v>2372</v>
      </c>
      <c r="EH36" s="1509">
        <v>0.97643097599999995</v>
      </c>
      <c r="EI36" s="1509" t="s">
        <v>2372</v>
      </c>
      <c r="EJ36" s="1509" t="s">
        <v>2372</v>
      </c>
      <c r="EK36" s="1509">
        <v>0.99549549500000001</v>
      </c>
      <c r="EL36" s="1509">
        <v>0.5</v>
      </c>
      <c r="EM36" s="1509">
        <v>0.85</v>
      </c>
      <c r="EN36" s="1509">
        <v>0.5</v>
      </c>
      <c r="EO36" s="1509" t="s">
        <v>2372</v>
      </c>
      <c r="EP36" s="1509" t="s">
        <v>2372</v>
      </c>
      <c r="EQ36" s="1509">
        <v>0</v>
      </c>
      <c r="ER36" s="1509">
        <v>0</v>
      </c>
      <c r="ES36" s="1509">
        <v>0</v>
      </c>
      <c r="ET36" s="1509">
        <v>1</v>
      </c>
      <c r="EU36" s="1509" t="s">
        <v>2372</v>
      </c>
      <c r="EV36" s="1509" t="s">
        <v>2372</v>
      </c>
      <c r="EW36" s="1509">
        <v>0.75235109700000002</v>
      </c>
      <c r="EX36" s="1509" t="s">
        <v>2372</v>
      </c>
      <c r="EY36" s="1509">
        <v>0.88888888899999996</v>
      </c>
      <c r="EZ36" s="1509">
        <v>0.93478260899999999</v>
      </c>
      <c r="FA36" s="1509">
        <v>1</v>
      </c>
      <c r="FB36" s="1509">
        <v>0.80877742900000005</v>
      </c>
      <c r="FC36" s="1509" t="s">
        <v>2372</v>
      </c>
      <c r="FD36" s="1509">
        <v>0.93602693599999998</v>
      </c>
      <c r="FE36" s="1509">
        <v>0</v>
      </c>
      <c r="FF36" s="1509">
        <v>0.47335423199999999</v>
      </c>
      <c r="FG36" s="1509">
        <v>0.55000000000000004</v>
      </c>
      <c r="FH36" s="1509">
        <v>0.77038043499999997</v>
      </c>
      <c r="FI36" s="1509">
        <v>0.42006269600000001</v>
      </c>
      <c r="FJ36" s="1509">
        <v>0</v>
      </c>
      <c r="FK36" s="1509">
        <v>0.87228260899999999</v>
      </c>
      <c r="FL36" s="1509">
        <v>0.75</v>
      </c>
      <c r="FM36" s="1509" t="s">
        <v>2372</v>
      </c>
      <c r="FN36" s="1509">
        <v>0</v>
      </c>
      <c r="FO36" s="1509">
        <v>0.72282608699999995</v>
      </c>
      <c r="FP36" s="1509">
        <v>0.29467084599999999</v>
      </c>
      <c r="FQ36" s="1509">
        <v>0.87092391300000005</v>
      </c>
      <c r="FR36" s="1509" t="s">
        <v>2372</v>
      </c>
      <c r="FS36" s="1509">
        <v>0.78369906</v>
      </c>
      <c r="FT36" s="1509" t="s">
        <v>2372</v>
      </c>
      <c r="FU36" s="1509">
        <v>0</v>
      </c>
    </row>
    <row r="37" spans="1:177" s="1509" customFormat="1" x14ac:dyDescent="0.2">
      <c r="A37" s="1512" t="s">
        <v>659</v>
      </c>
      <c r="B37" s="1512" t="s">
        <v>1026</v>
      </c>
      <c r="C37" s="1509" t="s">
        <v>2372</v>
      </c>
      <c r="D37" s="1509" t="s">
        <v>2372</v>
      </c>
      <c r="E37" s="1509" t="s">
        <v>2372</v>
      </c>
      <c r="F37" s="1509" t="s">
        <v>2372</v>
      </c>
      <c r="G37" s="1509" t="s">
        <v>2372</v>
      </c>
      <c r="H37" s="1509" t="s">
        <v>2372</v>
      </c>
      <c r="I37" s="1509" t="s">
        <v>2372</v>
      </c>
      <c r="J37" s="1509" t="s">
        <v>2372</v>
      </c>
      <c r="K37" s="1509" t="s">
        <v>2372</v>
      </c>
      <c r="L37" s="1509" t="s">
        <v>2372</v>
      </c>
      <c r="M37" s="1509" t="s">
        <v>2372</v>
      </c>
      <c r="N37" s="1509" t="s">
        <v>2372</v>
      </c>
      <c r="O37" s="1509" t="s">
        <v>2372</v>
      </c>
      <c r="P37" s="1509">
        <v>0.993985287</v>
      </c>
      <c r="Q37" s="1509" t="s">
        <v>2372</v>
      </c>
      <c r="R37" s="1509" t="s">
        <v>2372</v>
      </c>
      <c r="S37" s="1509">
        <v>0.98701656800000004</v>
      </c>
      <c r="T37" s="1509">
        <v>0</v>
      </c>
      <c r="U37" s="1509">
        <v>0</v>
      </c>
      <c r="V37" s="1509" t="s">
        <v>2372</v>
      </c>
      <c r="W37" s="1509">
        <v>0.993985287</v>
      </c>
      <c r="X37" s="1509">
        <v>0</v>
      </c>
      <c r="Y37" s="1509">
        <v>0</v>
      </c>
      <c r="Z37" s="1509">
        <v>0</v>
      </c>
      <c r="AA37" s="1509" t="s">
        <v>2372</v>
      </c>
      <c r="AB37" s="1509" t="s">
        <v>2372</v>
      </c>
      <c r="AC37" s="1509" t="s">
        <v>2372</v>
      </c>
      <c r="AD37" s="1509" t="s">
        <v>2372</v>
      </c>
      <c r="AE37" s="1509" t="s">
        <v>2372</v>
      </c>
      <c r="AF37" s="1509">
        <v>0</v>
      </c>
      <c r="AG37" s="1509" t="s">
        <v>2372</v>
      </c>
      <c r="AH37" s="1509">
        <v>0</v>
      </c>
      <c r="AI37" s="1509">
        <v>0</v>
      </c>
      <c r="AJ37" s="1509" t="s">
        <v>2372</v>
      </c>
      <c r="AK37" s="1509" t="s">
        <v>2372</v>
      </c>
      <c r="AL37" s="1509" t="s">
        <v>2372</v>
      </c>
      <c r="AM37" s="1509" t="s">
        <v>2372</v>
      </c>
      <c r="AN37" s="1509" t="s">
        <v>2372</v>
      </c>
      <c r="AO37" s="1509">
        <v>0</v>
      </c>
      <c r="AP37" s="1509">
        <v>1</v>
      </c>
      <c r="AQ37" s="1509" t="s">
        <v>2372</v>
      </c>
      <c r="AR37" s="1509">
        <v>0.98639445299999995</v>
      </c>
      <c r="AS37" s="1509">
        <v>0</v>
      </c>
      <c r="AT37" s="1509" t="s">
        <v>2372</v>
      </c>
      <c r="AU37" s="1509" t="s">
        <v>2372</v>
      </c>
      <c r="AV37" s="1509">
        <v>0</v>
      </c>
      <c r="AW37" s="1509" t="s">
        <v>2372</v>
      </c>
      <c r="AX37" s="1509">
        <v>0.99183376899999998</v>
      </c>
      <c r="AY37" s="1509" t="s">
        <v>2372</v>
      </c>
      <c r="AZ37" s="1509" t="s">
        <v>2372</v>
      </c>
      <c r="BA37" s="1509" t="s">
        <v>2372</v>
      </c>
      <c r="BB37" s="1509" t="s">
        <v>2372</v>
      </c>
      <c r="BC37" s="1509" t="s">
        <v>2372</v>
      </c>
      <c r="BD37" s="1509" t="s">
        <v>2372</v>
      </c>
      <c r="BE37" s="1509">
        <v>1</v>
      </c>
      <c r="BF37" s="1509" t="s">
        <v>2372</v>
      </c>
      <c r="BG37" s="1509" t="s">
        <v>2372</v>
      </c>
      <c r="BH37" s="1509">
        <v>0</v>
      </c>
      <c r="BI37" s="1509">
        <v>0.993985287</v>
      </c>
      <c r="BJ37" s="1509" t="s">
        <v>2372</v>
      </c>
      <c r="BK37" s="1509" t="s">
        <v>2372</v>
      </c>
      <c r="BL37" s="1509" t="s">
        <v>2372</v>
      </c>
      <c r="BM37" s="1509" t="s">
        <v>2372</v>
      </c>
      <c r="BN37" s="1509">
        <v>0</v>
      </c>
      <c r="BO37" s="1509">
        <v>0.993985287</v>
      </c>
      <c r="BP37" s="1509">
        <v>0</v>
      </c>
      <c r="BQ37" s="1509">
        <v>0</v>
      </c>
      <c r="BR37" s="1509" t="s">
        <v>2372</v>
      </c>
      <c r="BS37" s="1509">
        <v>0</v>
      </c>
      <c r="BT37" s="1509">
        <v>0</v>
      </c>
      <c r="BU37" s="1509" t="s">
        <v>2372</v>
      </c>
      <c r="BV37" s="1509" t="s">
        <v>2372</v>
      </c>
      <c r="BW37" s="1509">
        <v>0</v>
      </c>
      <c r="BX37" s="1509" t="s">
        <v>2372</v>
      </c>
      <c r="BY37" s="1509" t="s">
        <v>2372</v>
      </c>
      <c r="BZ37" s="1509" t="s">
        <v>2372</v>
      </c>
      <c r="CA37" s="1509">
        <v>0</v>
      </c>
      <c r="CB37" s="1509">
        <v>0</v>
      </c>
      <c r="CC37" s="1509">
        <v>0</v>
      </c>
      <c r="CD37" s="1509">
        <v>0</v>
      </c>
      <c r="CE37" s="1509">
        <v>0</v>
      </c>
      <c r="CF37" s="1509">
        <v>0</v>
      </c>
      <c r="CG37" s="1509" t="s">
        <v>2372</v>
      </c>
      <c r="CH37" s="1509">
        <v>0</v>
      </c>
      <c r="CI37" s="1509">
        <v>0</v>
      </c>
      <c r="CJ37" s="1509">
        <v>0</v>
      </c>
      <c r="CK37" s="1509">
        <v>0</v>
      </c>
      <c r="CL37" s="1509">
        <v>0</v>
      </c>
      <c r="CM37" s="1509" t="s">
        <v>2372</v>
      </c>
      <c r="CN37" s="1509">
        <v>0</v>
      </c>
      <c r="CO37" s="1509" t="s">
        <v>2372</v>
      </c>
      <c r="CP37" s="1509">
        <v>0</v>
      </c>
      <c r="CQ37" s="1509">
        <v>1</v>
      </c>
      <c r="CR37" s="1509">
        <v>0</v>
      </c>
      <c r="CS37" s="1509" t="s">
        <v>2372</v>
      </c>
      <c r="CT37" s="1509" t="s">
        <v>2372</v>
      </c>
      <c r="CU37" s="1509" t="s">
        <v>2372</v>
      </c>
      <c r="CV37" s="1509">
        <v>0</v>
      </c>
      <c r="CW37" s="1509" t="s">
        <v>2372</v>
      </c>
      <c r="CX37" s="1509" t="s">
        <v>2372</v>
      </c>
      <c r="CY37" s="1509" t="s">
        <v>2372</v>
      </c>
      <c r="CZ37" s="1509" t="s">
        <v>2372</v>
      </c>
      <c r="DA37" s="1509" t="s">
        <v>2372</v>
      </c>
      <c r="DB37" s="1509" t="s">
        <v>2372</v>
      </c>
      <c r="DC37" s="1509" t="s">
        <v>2372</v>
      </c>
      <c r="DD37" s="1509" t="s">
        <v>2372</v>
      </c>
      <c r="DE37" s="1509" t="s">
        <v>2372</v>
      </c>
      <c r="DF37" s="1509">
        <v>0</v>
      </c>
      <c r="DG37" s="1509" t="s">
        <v>2372</v>
      </c>
      <c r="DH37" s="1509" t="s">
        <v>2372</v>
      </c>
      <c r="DI37" s="1509" t="s">
        <v>2372</v>
      </c>
      <c r="DJ37" s="1509">
        <v>0</v>
      </c>
      <c r="DK37" s="1509" t="s">
        <v>2372</v>
      </c>
      <c r="DL37" s="1509">
        <v>0</v>
      </c>
      <c r="DM37" s="1509" t="s">
        <v>2372</v>
      </c>
      <c r="DN37" s="1509" t="s">
        <v>2372</v>
      </c>
      <c r="DO37" s="1509" t="s">
        <v>2372</v>
      </c>
      <c r="DP37" s="1509" t="s">
        <v>2372</v>
      </c>
      <c r="DQ37" s="1509" t="s">
        <v>2372</v>
      </c>
      <c r="DR37" s="1509" t="s">
        <v>2372</v>
      </c>
      <c r="DS37" s="1509">
        <v>0</v>
      </c>
      <c r="DT37" s="1509" t="s">
        <v>2372</v>
      </c>
      <c r="DU37" s="1509">
        <v>0</v>
      </c>
      <c r="DV37" s="1509" t="s">
        <v>2372</v>
      </c>
      <c r="DW37" s="1509">
        <v>0</v>
      </c>
      <c r="DX37" s="1509" t="s">
        <v>2372</v>
      </c>
      <c r="DY37" s="1509" t="s">
        <v>2372</v>
      </c>
      <c r="DZ37" s="1509" t="s">
        <v>2372</v>
      </c>
      <c r="EA37" s="1509">
        <v>0</v>
      </c>
      <c r="EB37" s="1509">
        <v>0</v>
      </c>
      <c r="EC37" s="1509">
        <v>0</v>
      </c>
      <c r="ED37" s="1509">
        <v>0</v>
      </c>
      <c r="EE37" s="1509">
        <v>0</v>
      </c>
      <c r="EF37" s="1509" t="s">
        <v>2372</v>
      </c>
      <c r="EG37" s="1509" t="s">
        <v>2372</v>
      </c>
      <c r="EH37" s="1509">
        <v>0</v>
      </c>
      <c r="EI37" s="1509">
        <v>0</v>
      </c>
      <c r="EJ37" s="1509">
        <v>0</v>
      </c>
      <c r="EK37" s="1509" t="s">
        <v>2372</v>
      </c>
      <c r="EL37" s="1509" t="s">
        <v>2372</v>
      </c>
      <c r="EM37" s="1509">
        <v>0</v>
      </c>
      <c r="EN37" s="1509">
        <v>0</v>
      </c>
      <c r="EO37" s="1509">
        <v>0</v>
      </c>
      <c r="EP37" s="1509" t="s">
        <v>2372</v>
      </c>
      <c r="EQ37" s="1509">
        <v>0</v>
      </c>
      <c r="ER37" s="1509" t="s">
        <v>2372</v>
      </c>
      <c r="ES37" s="1509" t="s">
        <v>2372</v>
      </c>
      <c r="ET37" s="1509">
        <v>0</v>
      </c>
      <c r="EU37" s="1509">
        <v>0</v>
      </c>
      <c r="EV37" s="1509" t="s">
        <v>2372</v>
      </c>
      <c r="EW37" s="1509">
        <v>0</v>
      </c>
      <c r="EX37" s="1509" t="s">
        <v>2372</v>
      </c>
      <c r="EY37" s="1509">
        <v>0</v>
      </c>
      <c r="EZ37" s="1509">
        <v>0</v>
      </c>
      <c r="FA37" s="1509">
        <v>0</v>
      </c>
      <c r="FB37" s="1509">
        <v>0</v>
      </c>
      <c r="FC37" s="1509">
        <v>0</v>
      </c>
      <c r="FD37" s="1509" t="s">
        <v>2372</v>
      </c>
      <c r="FE37" s="1509">
        <v>0</v>
      </c>
      <c r="FF37" s="1509" t="s">
        <v>2372</v>
      </c>
      <c r="FG37" s="1509">
        <v>0</v>
      </c>
      <c r="FH37" s="1509" t="s">
        <v>2372</v>
      </c>
      <c r="FI37" s="1509">
        <v>0</v>
      </c>
      <c r="FJ37" s="1509">
        <v>1</v>
      </c>
      <c r="FK37" s="1509">
        <v>0</v>
      </c>
      <c r="FL37" s="1509" t="s">
        <v>2372</v>
      </c>
      <c r="FM37" s="1509" t="s">
        <v>2372</v>
      </c>
      <c r="FN37" s="1509">
        <v>0.993985287</v>
      </c>
      <c r="FO37" s="1509">
        <v>0</v>
      </c>
      <c r="FP37" s="1509">
        <v>0</v>
      </c>
      <c r="FQ37" s="1509" t="s">
        <v>2372</v>
      </c>
      <c r="FR37" s="1509">
        <v>0</v>
      </c>
      <c r="FS37" s="1509">
        <v>0</v>
      </c>
      <c r="FT37" s="1509">
        <v>0</v>
      </c>
      <c r="FU37" s="1509">
        <v>0</v>
      </c>
    </row>
    <row r="38" spans="1:177" s="1509" customFormat="1" x14ac:dyDescent="0.2">
      <c r="A38" s="1512" t="s">
        <v>659</v>
      </c>
      <c r="B38" s="1512" t="s">
        <v>1211</v>
      </c>
      <c r="C38" s="1509">
        <v>1</v>
      </c>
      <c r="D38" s="1509">
        <v>0.97853858100000002</v>
      </c>
      <c r="E38" s="1509" t="s">
        <v>2372</v>
      </c>
      <c r="F38" s="1509" t="s">
        <v>2372</v>
      </c>
      <c r="G38" s="1509" t="s">
        <v>2372</v>
      </c>
      <c r="H38" s="1509" t="s">
        <v>2372</v>
      </c>
      <c r="I38" s="1509">
        <v>0.971148758</v>
      </c>
      <c r="J38" s="1509">
        <v>0.97994350500000005</v>
      </c>
      <c r="K38" s="1509">
        <v>0.97736843299999998</v>
      </c>
      <c r="L38" s="1509">
        <v>0.973943699</v>
      </c>
      <c r="M38" s="1509">
        <v>1</v>
      </c>
      <c r="N38" s="1509">
        <v>0.97377972899999998</v>
      </c>
      <c r="O38" s="1509">
        <v>0.96852523999999995</v>
      </c>
      <c r="P38" s="1509">
        <v>0.96564458799999997</v>
      </c>
      <c r="Q38" s="1509">
        <v>0.73588804399999996</v>
      </c>
      <c r="R38" s="1509">
        <v>0.77062057500000003</v>
      </c>
      <c r="S38" s="1509" t="s">
        <v>2372</v>
      </c>
      <c r="T38" s="1509">
        <v>1</v>
      </c>
      <c r="U38" s="1509" t="s">
        <v>2372</v>
      </c>
      <c r="V38" s="1509" t="s">
        <v>2372</v>
      </c>
      <c r="W38" s="1509" t="s">
        <v>2372</v>
      </c>
      <c r="X38" s="1509" t="s">
        <v>2372</v>
      </c>
      <c r="Y38" s="1509" t="s">
        <v>2372</v>
      </c>
      <c r="Z38" s="1509" t="s">
        <v>2372</v>
      </c>
      <c r="AA38" s="1509" t="s">
        <v>2372</v>
      </c>
      <c r="AB38" s="1509" t="s">
        <v>2372</v>
      </c>
      <c r="AC38" s="1509" t="s">
        <v>2372</v>
      </c>
      <c r="AD38" s="1509" t="s">
        <v>2372</v>
      </c>
      <c r="AE38" s="1509">
        <v>0.736745914</v>
      </c>
      <c r="AF38" s="1509">
        <v>0.97616474499999994</v>
      </c>
      <c r="AG38" s="1509">
        <v>0.958251038</v>
      </c>
      <c r="AH38" s="1509" t="s">
        <v>2372</v>
      </c>
      <c r="AI38" s="1509" t="s">
        <v>2372</v>
      </c>
      <c r="AJ38" s="1509" t="s">
        <v>2372</v>
      </c>
      <c r="AK38" s="1509">
        <v>0.73545537999999999</v>
      </c>
      <c r="AL38" s="1509" t="s">
        <v>2372</v>
      </c>
      <c r="AM38" s="1509">
        <v>0.718827628</v>
      </c>
      <c r="AN38" s="1509">
        <v>0.78761385399999995</v>
      </c>
      <c r="AO38" s="1509">
        <v>1</v>
      </c>
      <c r="AP38" s="1509">
        <v>0.58809149299999997</v>
      </c>
      <c r="AQ38" s="1509">
        <v>0.98362164699999999</v>
      </c>
      <c r="AR38" s="1509" t="s">
        <v>2372</v>
      </c>
      <c r="AS38" s="1509" t="s">
        <v>2372</v>
      </c>
      <c r="AT38" s="1509">
        <v>1</v>
      </c>
      <c r="AU38" s="1509">
        <v>0.99192891299999997</v>
      </c>
      <c r="AV38" s="1509" t="s">
        <v>2372</v>
      </c>
      <c r="AW38" s="1509">
        <v>0.96818984699999999</v>
      </c>
      <c r="AX38" s="1509">
        <v>0.16333007399999999</v>
      </c>
      <c r="AY38" s="1509" t="s">
        <v>2372</v>
      </c>
      <c r="AZ38" s="1509" t="s">
        <v>2372</v>
      </c>
      <c r="BA38" s="1509" t="s">
        <v>2372</v>
      </c>
      <c r="BB38" s="1509">
        <v>0.93010699399999996</v>
      </c>
      <c r="BC38" s="1509" t="s">
        <v>2372</v>
      </c>
      <c r="BD38" s="1509">
        <v>0.99133703299999998</v>
      </c>
      <c r="BE38" s="1509" t="s">
        <v>2372</v>
      </c>
      <c r="BF38" s="1509" t="s">
        <v>2372</v>
      </c>
      <c r="BG38" s="1509" t="s">
        <v>2372</v>
      </c>
      <c r="BH38" s="1509" t="s">
        <v>2372</v>
      </c>
      <c r="BI38" s="1509" t="s">
        <v>2372</v>
      </c>
      <c r="BJ38" s="1509" t="s">
        <v>2372</v>
      </c>
      <c r="BK38" s="1509" t="s">
        <v>2372</v>
      </c>
      <c r="BL38" s="1509" t="s">
        <v>2372</v>
      </c>
      <c r="BM38" s="1509" t="s">
        <v>2372</v>
      </c>
      <c r="BN38" s="1509" t="s">
        <v>2372</v>
      </c>
      <c r="BO38" s="1509">
        <v>0.95423377600000003</v>
      </c>
      <c r="BP38" s="1509" t="s">
        <v>2372</v>
      </c>
      <c r="BQ38" s="1509" t="s">
        <v>2372</v>
      </c>
      <c r="BR38" s="1509" t="s">
        <v>2372</v>
      </c>
      <c r="BS38" s="1509" t="s">
        <v>2372</v>
      </c>
      <c r="BT38" s="1509" t="s">
        <v>2372</v>
      </c>
      <c r="BU38" s="1509" t="s">
        <v>2372</v>
      </c>
      <c r="BV38" s="1509" t="s">
        <v>2372</v>
      </c>
      <c r="BW38" s="1509">
        <v>1</v>
      </c>
      <c r="BX38" s="1509">
        <v>1</v>
      </c>
      <c r="BY38" s="1509">
        <v>1</v>
      </c>
      <c r="BZ38" s="1509">
        <v>0.148204795</v>
      </c>
      <c r="CA38" s="1509">
        <v>0.72008086400000004</v>
      </c>
      <c r="CB38" s="1509" t="s">
        <v>2372</v>
      </c>
      <c r="CC38" s="1509">
        <v>0.74857705500000005</v>
      </c>
      <c r="CD38" s="1509">
        <v>0.72599643400000002</v>
      </c>
      <c r="CE38" s="1509" t="s">
        <v>2372</v>
      </c>
      <c r="CF38" s="1509">
        <v>0.77959463799999995</v>
      </c>
      <c r="CG38" s="1509">
        <v>0.96210805600000004</v>
      </c>
      <c r="CH38" s="1509">
        <v>0.96819730000000004</v>
      </c>
      <c r="CI38" s="1509" t="s">
        <v>2372</v>
      </c>
      <c r="CJ38" s="1509" t="s">
        <v>2372</v>
      </c>
      <c r="CK38" s="1509" t="s">
        <v>2372</v>
      </c>
      <c r="CL38" s="1509" t="s">
        <v>2372</v>
      </c>
      <c r="CM38" s="1509" t="s">
        <v>2372</v>
      </c>
      <c r="CN38" s="1509" t="s">
        <v>2372</v>
      </c>
      <c r="CO38" s="1509" t="s">
        <v>2372</v>
      </c>
      <c r="CP38" s="1509" t="s">
        <v>2372</v>
      </c>
      <c r="CQ38" s="1509">
        <v>0.95407726000000004</v>
      </c>
      <c r="CR38" s="1509">
        <v>0.96547316500000002</v>
      </c>
      <c r="CS38" s="1509" t="s">
        <v>2372</v>
      </c>
      <c r="CT38" s="1509" t="s">
        <v>2372</v>
      </c>
      <c r="CU38" s="1509" t="s">
        <v>2372</v>
      </c>
      <c r="CV38" s="1509">
        <v>1</v>
      </c>
      <c r="CW38" s="1509" t="s">
        <v>2372</v>
      </c>
      <c r="CX38" s="1509" t="s">
        <v>2372</v>
      </c>
      <c r="CY38" s="1509">
        <v>0.92554432799999997</v>
      </c>
      <c r="CZ38" s="1509">
        <v>0.21782259300000001</v>
      </c>
      <c r="DA38" s="1509">
        <v>0.15250913599999999</v>
      </c>
      <c r="DB38" s="1509">
        <v>0.247472843</v>
      </c>
      <c r="DC38" s="1509">
        <v>1</v>
      </c>
      <c r="DD38" s="1509">
        <v>0.133031025</v>
      </c>
      <c r="DE38" s="1509">
        <v>1</v>
      </c>
      <c r="DF38" s="1509" t="s">
        <v>2372</v>
      </c>
      <c r="DG38" s="1509">
        <v>0.27909564999999997</v>
      </c>
      <c r="DH38" s="1509" t="s">
        <v>2372</v>
      </c>
      <c r="DI38" s="1509">
        <v>0.27840579799999998</v>
      </c>
      <c r="DJ38" s="1509">
        <v>1</v>
      </c>
      <c r="DK38" s="1509">
        <v>0.14392776600000001</v>
      </c>
      <c r="DL38" s="1509">
        <v>1</v>
      </c>
      <c r="DM38" s="1509">
        <v>0.72034195400000001</v>
      </c>
      <c r="DN38" s="1509">
        <v>1</v>
      </c>
      <c r="DO38" s="1509">
        <v>0.93698126500000001</v>
      </c>
      <c r="DP38" s="1509">
        <v>0.16543854599999999</v>
      </c>
      <c r="DQ38" s="1509">
        <v>0.15141666300000001</v>
      </c>
      <c r="DR38" s="1509">
        <v>0.151706169</v>
      </c>
      <c r="DS38" s="1509">
        <v>0.16414942799999999</v>
      </c>
      <c r="DT38" s="1509">
        <v>0.26877003999999999</v>
      </c>
      <c r="DU38" s="1509" t="s">
        <v>2372</v>
      </c>
      <c r="DV38" s="1509">
        <v>0.96682219000000003</v>
      </c>
      <c r="DW38" s="1509">
        <v>0.72841290800000003</v>
      </c>
      <c r="DX38" s="1509">
        <v>0.98941534600000003</v>
      </c>
      <c r="DY38" s="1509" t="s">
        <v>2372</v>
      </c>
      <c r="DZ38" s="1509" t="s">
        <v>2372</v>
      </c>
      <c r="EA38" s="1509" t="s">
        <v>2372</v>
      </c>
      <c r="EB38" s="1509" t="s">
        <v>2372</v>
      </c>
      <c r="EC38" s="1509" t="s">
        <v>2372</v>
      </c>
      <c r="ED38" s="1509" t="s">
        <v>2372</v>
      </c>
      <c r="EE38" s="1509">
        <v>0.78477915499999995</v>
      </c>
      <c r="EF38" s="1509" t="s">
        <v>2372</v>
      </c>
      <c r="EG38" s="1509" t="s">
        <v>2372</v>
      </c>
      <c r="EH38" s="1509" t="s">
        <v>2372</v>
      </c>
      <c r="EI38" s="1509">
        <v>0.78149687099999998</v>
      </c>
      <c r="EJ38" s="1509">
        <v>1</v>
      </c>
      <c r="EK38" s="1509">
        <v>0.98184033800000003</v>
      </c>
      <c r="EL38" s="1509">
        <v>0.199459156</v>
      </c>
      <c r="EM38" s="1509">
        <v>0.15085679599999999</v>
      </c>
      <c r="EN38" s="1509">
        <v>1</v>
      </c>
      <c r="EO38" s="1509" t="s">
        <v>2372</v>
      </c>
      <c r="EP38" s="1509">
        <v>1</v>
      </c>
      <c r="EQ38" s="1509">
        <v>0.723370607</v>
      </c>
      <c r="ER38" s="1509">
        <v>0.93932038799999995</v>
      </c>
      <c r="ES38" s="1509">
        <v>0.94318407000000004</v>
      </c>
      <c r="ET38" s="1509">
        <v>0.72927125800000003</v>
      </c>
      <c r="EU38" s="1509">
        <v>1</v>
      </c>
      <c r="EV38" s="1509" t="s">
        <v>2372</v>
      </c>
      <c r="EW38" s="1509">
        <v>0.76733557200000002</v>
      </c>
      <c r="EX38" s="1509">
        <v>1</v>
      </c>
      <c r="EY38" s="1509">
        <v>0.95636571800000003</v>
      </c>
      <c r="EZ38" s="1509">
        <v>0.30189926299999997</v>
      </c>
      <c r="FA38" s="1509" t="s">
        <v>2372</v>
      </c>
      <c r="FB38" s="1509" t="s">
        <v>2372</v>
      </c>
      <c r="FC38" s="1509" t="s">
        <v>2372</v>
      </c>
      <c r="FD38" s="1509" t="s">
        <v>2372</v>
      </c>
      <c r="FE38" s="1509">
        <v>1</v>
      </c>
      <c r="FF38" s="1509">
        <v>0.76508226700000004</v>
      </c>
      <c r="FG38" s="1509">
        <v>0.16152650399999999</v>
      </c>
      <c r="FH38" s="1509">
        <v>0.19312179400000001</v>
      </c>
      <c r="FI38" s="1509" t="s">
        <v>2372</v>
      </c>
      <c r="FJ38" s="1509">
        <v>0.93423485900000003</v>
      </c>
      <c r="FK38" s="1509">
        <v>1</v>
      </c>
      <c r="FL38" s="1509">
        <v>0.20273365300000001</v>
      </c>
      <c r="FM38" s="1509" t="s">
        <v>2372</v>
      </c>
      <c r="FN38" s="1509" t="s">
        <v>2372</v>
      </c>
      <c r="FO38" s="1509">
        <v>0.23085032599999999</v>
      </c>
      <c r="FP38" s="1509">
        <v>0.77694400699999999</v>
      </c>
      <c r="FQ38" s="1509">
        <v>1</v>
      </c>
      <c r="FR38" s="1509" t="s">
        <v>2372</v>
      </c>
      <c r="FS38" s="1509" t="s">
        <v>2372</v>
      </c>
      <c r="FT38" s="1509">
        <v>0.27896687799999997</v>
      </c>
      <c r="FU38" s="1509" t="s">
        <v>2372</v>
      </c>
    </row>
    <row r="39" spans="1:177" s="1509" customFormat="1" x14ac:dyDescent="0.2">
      <c r="A39" s="1512" t="s">
        <v>661</v>
      </c>
      <c r="B39" s="1512" t="s">
        <v>1330</v>
      </c>
      <c r="C39" s="1509">
        <v>0</v>
      </c>
      <c r="D39" s="1509">
        <v>0</v>
      </c>
      <c r="E39" s="1509">
        <v>0</v>
      </c>
      <c r="F39" s="1509">
        <v>0</v>
      </c>
      <c r="G39" s="1509">
        <v>0</v>
      </c>
      <c r="H39" s="1509">
        <v>0</v>
      </c>
      <c r="I39" s="1509">
        <v>0</v>
      </c>
      <c r="J39" s="1509">
        <v>0</v>
      </c>
      <c r="K39" s="1509">
        <v>1</v>
      </c>
      <c r="L39" s="1509">
        <v>0</v>
      </c>
      <c r="M39" s="1509">
        <v>0</v>
      </c>
      <c r="N39" s="1509">
        <v>1</v>
      </c>
      <c r="O39" s="1509">
        <v>0</v>
      </c>
      <c r="P39" s="1509">
        <v>1</v>
      </c>
      <c r="Q39" s="1509">
        <v>0</v>
      </c>
      <c r="R39" s="1509">
        <v>0</v>
      </c>
      <c r="S39" s="1509">
        <v>0</v>
      </c>
      <c r="T39" s="1509">
        <v>0</v>
      </c>
      <c r="U39" s="1509">
        <v>0</v>
      </c>
      <c r="V39" s="1509">
        <v>0</v>
      </c>
      <c r="W39" s="1509">
        <v>0</v>
      </c>
      <c r="X39" s="1509">
        <v>0</v>
      </c>
      <c r="Y39" s="1509">
        <v>0</v>
      </c>
      <c r="Z39" s="1509">
        <v>0</v>
      </c>
      <c r="AA39" s="1509">
        <v>1</v>
      </c>
      <c r="AB39" s="1509">
        <v>0</v>
      </c>
      <c r="AC39" s="1509">
        <v>0</v>
      </c>
      <c r="AD39" s="1509">
        <v>0</v>
      </c>
      <c r="AE39" s="1509">
        <v>1</v>
      </c>
      <c r="AF39" s="1509">
        <v>0</v>
      </c>
      <c r="AG39" s="1509">
        <v>1</v>
      </c>
      <c r="AH39" s="1509">
        <v>0</v>
      </c>
      <c r="AI39" s="1509">
        <v>0</v>
      </c>
      <c r="AJ39" s="1509">
        <v>0</v>
      </c>
      <c r="AK39" s="1509">
        <v>0</v>
      </c>
      <c r="AL39" s="1509">
        <v>1</v>
      </c>
      <c r="AM39" s="1509">
        <v>1</v>
      </c>
      <c r="AN39" s="1509">
        <v>0</v>
      </c>
      <c r="AO39" s="1509">
        <v>0</v>
      </c>
      <c r="AP39" s="1509">
        <v>0</v>
      </c>
      <c r="AQ39" s="1509">
        <v>0</v>
      </c>
      <c r="AR39" s="1509">
        <v>1</v>
      </c>
      <c r="AS39" s="1509">
        <v>0</v>
      </c>
      <c r="AT39" s="1509">
        <v>0</v>
      </c>
      <c r="AU39" s="1509">
        <v>0</v>
      </c>
      <c r="AV39" s="1509">
        <v>1</v>
      </c>
      <c r="AW39" s="1509">
        <v>0</v>
      </c>
      <c r="AX39" s="1509">
        <v>0</v>
      </c>
      <c r="AY39" s="1509">
        <v>1</v>
      </c>
      <c r="AZ39" s="1509">
        <v>1</v>
      </c>
      <c r="BA39" s="1509">
        <v>1</v>
      </c>
      <c r="BB39" s="1509">
        <v>1</v>
      </c>
      <c r="BC39" s="1509">
        <v>0</v>
      </c>
      <c r="BD39" s="1509">
        <v>1</v>
      </c>
      <c r="BE39" s="1509">
        <v>1</v>
      </c>
      <c r="BF39" s="1509">
        <v>0</v>
      </c>
      <c r="BG39" s="1509">
        <v>0</v>
      </c>
      <c r="BH39" s="1509">
        <v>0</v>
      </c>
      <c r="BI39" s="1509">
        <v>0</v>
      </c>
      <c r="BJ39" s="1509">
        <v>0</v>
      </c>
      <c r="BK39" s="1509">
        <v>1</v>
      </c>
      <c r="BL39" s="1509">
        <v>1</v>
      </c>
      <c r="BM39" s="1509">
        <v>1</v>
      </c>
      <c r="BN39" s="1509">
        <v>0</v>
      </c>
      <c r="BO39" s="1509">
        <v>1</v>
      </c>
      <c r="BP39" s="1509">
        <v>1</v>
      </c>
      <c r="BQ39" s="1509">
        <v>0</v>
      </c>
      <c r="BR39" s="1509">
        <v>0</v>
      </c>
      <c r="BS39" s="1509">
        <v>0</v>
      </c>
      <c r="BT39" s="1509">
        <v>0</v>
      </c>
      <c r="BU39" s="1509">
        <v>0</v>
      </c>
      <c r="BV39" s="1509">
        <v>0</v>
      </c>
      <c r="BW39" s="1509">
        <v>0</v>
      </c>
      <c r="BX39" s="1509">
        <v>1</v>
      </c>
      <c r="BY39" s="1509">
        <v>0</v>
      </c>
      <c r="BZ39" s="1509">
        <v>1</v>
      </c>
      <c r="CA39" s="1509">
        <v>1</v>
      </c>
      <c r="CB39" s="1509">
        <v>1</v>
      </c>
      <c r="CC39" s="1509">
        <v>1</v>
      </c>
      <c r="CD39" s="1509">
        <v>1</v>
      </c>
      <c r="CE39" s="1509">
        <v>0</v>
      </c>
      <c r="CF39" s="1509">
        <v>0</v>
      </c>
      <c r="CG39" s="1509">
        <v>0</v>
      </c>
      <c r="CH39" s="1509">
        <v>1</v>
      </c>
      <c r="CI39" s="1509">
        <v>0</v>
      </c>
      <c r="CJ39" s="1509">
        <v>1</v>
      </c>
      <c r="CK39" s="1509">
        <v>0</v>
      </c>
      <c r="CL39" s="1509">
        <v>0</v>
      </c>
      <c r="CM39" s="1509">
        <v>0</v>
      </c>
      <c r="CN39" s="1509">
        <v>0</v>
      </c>
      <c r="CO39" s="1509">
        <v>0</v>
      </c>
      <c r="CP39" s="1509">
        <v>1</v>
      </c>
      <c r="CQ39" s="1509">
        <v>1</v>
      </c>
      <c r="CR39" s="1509">
        <v>1</v>
      </c>
      <c r="CS39" s="1509">
        <v>0</v>
      </c>
      <c r="CT39" s="1509">
        <v>0</v>
      </c>
      <c r="CU39" s="1509">
        <v>0</v>
      </c>
      <c r="CV39" s="1509">
        <v>0</v>
      </c>
      <c r="CW39" s="1509">
        <v>0</v>
      </c>
      <c r="CX39" s="1509">
        <v>1</v>
      </c>
      <c r="CY39" s="1509">
        <v>1</v>
      </c>
      <c r="CZ39" s="1509">
        <v>1</v>
      </c>
      <c r="DA39" s="1509">
        <v>1</v>
      </c>
      <c r="DB39" s="1509">
        <v>1</v>
      </c>
      <c r="DC39" s="1509">
        <v>1</v>
      </c>
      <c r="DD39" s="1509">
        <v>1</v>
      </c>
      <c r="DE39" s="1509">
        <v>0</v>
      </c>
      <c r="DF39" s="1509">
        <v>1</v>
      </c>
      <c r="DG39" s="1509">
        <v>1</v>
      </c>
      <c r="DH39" s="1509">
        <v>0</v>
      </c>
      <c r="DI39" s="1509">
        <v>1</v>
      </c>
      <c r="DJ39" s="1509">
        <v>1</v>
      </c>
      <c r="DK39" s="1509">
        <v>1</v>
      </c>
      <c r="DL39" s="1509">
        <v>1</v>
      </c>
      <c r="DM39" s="1509">
        <v>1</v>
      </c>
      <c r="DN39" s="1509">
        <v>0</v>
      </c>
      <c r="DO39" s="1509">
        <v>0</v>
      </c>
      <c r="DP39" s="1509">
        <v>0</v>
      </c>
      <c r="DQ39" s="1509">
        <v>1</v>
      </c>
      <c r="DR39" s="1509">
        <v>1</v>
      </c>
      <c r="DS39" s="1509">
        <v>1</v>
      </c>
      <c r="DT39" s="1509">
        <v>1</v>
      </c>
      <c r="DU39" s="1509">
        <v>0</v>
      </c>
      <c r="DV39" s="1509">
        <v>0</v>
      </c>
      <c r="DW39" s="1509">
        <v>0</v>
      </c>
      <c r="DX39" s="1509">
        <v>0</v>
      </c>
      <c r="DY39" s="1509">
        <v>0</v>
      </c>
      <c r="DZ39" s="1509">
        <v>0</v>
      </c>
      <c r="EA39" s="1509">
        <v>0</v>
      </c>
      <c r="EB39" s="1509">
        <v>1</v>
      </c>
      <c r="EC39" s="1509">
        <v>0</v>
      </c>
      <c r="ED39" s="1509">
        <v>1</v>
      </c>
      <c r="EE39" s="1509">
        <v>0</v>
      </c>
      <c r="EF39" s="1509">
        <v>1</v>
      </c>
      <c r="EG39" s="1509">
        <v>0</v>
      </c>
      <c r="EH39" s="1509">
        <v>1</v>
      </c>
      <c r="EI39" s="1509">
        <v>0</v>
      </c>
      <c r="EJ39" s="1509">
        <v>0</v>
      </c>
      <c r="EK39" s="1509">
        <v>0</v>
      </c>
      <c r="EL39" s="1509">
        <v>1</v>
      </c>
      <c r="EM39" s="1509">
        <v>1</v>
      </c>
      <c r="EN39" s="1509">
        <v>1</v>
      </c>
      <c r="EO39" s="1509">
        <v>0</v>
      </c>
      <c r="EP39" s="1509">
        <v>0</v>
      </c>
      <c r="EQ39" s="1509">
        <v>1</v>
      </c>
      <c r="ER39" s="1509">
        <v>0</v>
      </c>
      <c r="ES39" s="1509">
        <v>0</v>
      </c>
      <c r="ET39" s="1509">
        <v>0</v>
      </c>
      <c r="EU39" s="1509">
        <v>1</v>
      </c>
      <c r="EV39" s="1509">
        <v>0</v>
      </c>
      <c r="EW39" s="1509">
        <v>0</v>
      </c>
      <c r="EX39" s="1509">
        <v>0</v>
      </c>
      <c r="EY39" s="1509">
        <v>0</v>
      </c>
      <c r="EZ39" s="1509">
        <v>0</v>
      </c>
      <c r="FA39" s="1509">
        <v>1</v>
      </c>
      <c r="FB39" s="1509">
        <v>0</v>
      </c>
      <c r="FC39" s="1509">
        <v>0</v>
      </c>
      <c r="FD39" s="1509">
        <v>1</v>
      </c>
      <c r="FE39" s="1509">
        <v>1</v>
      </c>
      <c r="FF39" s="1509">
        <v>0</v>
      </c>
      <c r="FG39" s="1509">
        <v>0</v>
      </c>
      <c r="FH39" s="1509">
        <v>0</v>
      </c>
      <c r="FI39" s="1509">
        <v>0</v>
      </c>
      <c r="FJ39" s="1509">
        <v>1</v>
      </c>
      <c r="FK39" s="1509">
        <v>0</v>
      </c>
      <c r="FL39" s="1509">
        <v>1</v>
      </c>
      <c r="FM39" s="1509">
        <v>0</v>
      </c>
      <c r="FN39" s="1509">
        <v>0</v>
      </c>
      <c r="FO39" s="1509">
        <v>1</v>
      </c>
      <c r="FP39" s="1509">
        <v>0</v>
      </c>
      <c r="FQ39" s="1509">
        <v>0</v>
      </c>
      <c r="FR39" s="1509">
        <v>0</v>
      </c>
      <c r="FS39" s="1509">
        <v>0</v>
      </c>
      <c r="FT39" s="1509">
        <v>0</v>
      </c>
      <c r="FU39" s="1509">
        <v>0</v>
      </c>
    </row>
    <row r="40" spans="1:177" s="1509" customFormat="1" x14ac:dyDescent="0.2">
      <c r="A40" s="1512" t="s">
        <v>661</v>
      </c>
      <c r="B40" s="1512" t="s">
        <v>1024</v>
      </c>
      <c r="C40" s="1509" t="s">
        <v>2372</v>
      </c>
      <c r="D40" s="1509">
        <v>0.50900900900000001</v>
      </c>
      <c r="E40" s="1509" t="s">
        <v>2372</v>
      </c>
      <c r="F40" s="1509" t="s">
        <v>2372</v>
      </c>
      <c r="G40" s="1509">
        <v>0</v>
      </c>
      <c r="H40" s="1509" t="s">
        <v>2372</v>
      </c>
      <c r="I40" s="1509">
        <v>0.70720720699999995</v>
      </c>
      <c r="J40" s="1509">
        <v>0.61711711700000005</v>
      </c>
      <c r="K40" s="1509">
        <v>0.71171171200000005</v>
      </c>
      <c r="L40" s="1509">
        <v>0.78828828799999995</v>
      </c>
      <c r="M40" s="1509">
        <v>0.76126126100000002</v>
      </c>
      <c r="N40" s="1509">
        <v>0</v>
      </c>
      <c r="O40" s="1509">
        <v>0</v>
      </c>
      <c r="P40" s="1509">
        <v>0</v>
      </c>
      <c r="Q40" s="1509" t="s">
        <v>2372</v>
      </c>
      <c r="R40" s="1509">
        <v>0</v>
      </c>
      <c r="S40" s="1509">
        <v>0</v>
      </c>
      <c r="T40" s="1509" t="s">
        <v>2372</v>
      </c>
      <c r="U40" s="1509" t="s">
        <v>2372</v>
      </c>
      <c r="V40" s="1509" t="s">
        <v>2372</v>
      </c>
      <c r="W40" s="1509">
        <v>0</v>
      </c>
      <c r="X40" s="1509" t="s">
        <v>2372</v>
      </c>
      <c r="Y40" s="1509">
        <v>0.44144144099999999</v>
      </c>
      <c r="Z40" s="1509" t="s">
        <v>2372</v>
      </c>
      <c r="AA40" s="1509">
        <v>0.94594594600000004</v>
      </c>
      <c r="AB40" s="1509" t="s">
        <v>2372</v>
      </c>
      <c r="AC40" s="1509" t="s">
        <v>2372</v>
      </c>
      <c r="AD40" s="1509" t="s">
        <v>2372</v>
      </c>
      <c r="AE40" s="1509">
        <v>0</v>
      </c>
      <c r="AF40" s="1509">
        <v>0</v>
      </c>
      <c r="AG40" s="1509">
        <v>0.65315315299999999</v>
      </c>
      <c r="AH40" s="1509">
        <v>0</v>
      </c>
      <c r="AI40" s="1509" t="s">
        <v>2372</v>
      </c>
      <c r="AJ40" s="1509" t="s">
        <v>2372</v>
      </c>
      <c r="AK40" s="1509">
        <v>0</v>
      </c>
      <c r="AL40" s="1509" t="s">
        <v>2372</v>
      </c>
      <c r="AM40" s="1509">
        <v>0</v>
      </c>
      <c r="AN40" s="1509" t="s">
        <v>2372</v>
      </c>
      <c r="AO40" s="1509">
        <v>0.26645767999999997</v>
      </c>
      <c r="AP40" s="1509">
        <v>0</v>
      </c>
      <c r="AQ40" s="1509">
        <v>0.78828828799999995</v>
      </c>
      <c r="AR40" s="1509">
        <v>0.97169811299999997</v>
      </c>
      <c r="AS40" s="1509" t="s">
        <v>2372</v>
      </c>
      <c r="AT40" s="1509" t="s">
        <v>2372</v>
      </c>
      <c r="AU40" s="1509" t="s">
        <v>2372</v>
      </c>
      <c r="AV40" s="1509" t="s">
        <v>2372</v>
      </c>
      <c r="AW40" s="1509">
        <v>0</v>
      </c>
      <c r="AX40" s="1509">
        <v>0.58695652200000004</v>
      </c>
      <c r="AY40" s="1509">
        <v>0.92929292900000005</v>
      </c>
      <c r="AZ40" s="1509">
        <v>0.71380471400000001</v>
      </c>
      <c r="BA40" s="1509">
        <v>0</v>
      </c>
      <c r="BB40" s="1509">
        <v>0.91582491600000004</v>
      </c>
      <c r="BC40" s="1509" t="s">
        <v>2372</v>
      </c>
      <c r="BD40" s="1509">
        <v>0.92452830200000002</v>
      </c>
      <c r="BE40" s="1509">
        <v>0</v>
      </c>
      <c r="BF40" s="1509" t="s">
        <v>2372</v>
      </c>
      <c r="BG40" s="1509" t="s">
        <v>2372</v>
      </c>
      <c r="BH40" s="1509">
        <v>0</v>
      </c>
      <c r="BI40" s="1509" t="s">
        <v>2372</v>
      </c>
      <c r="BJ40" s="1509" t="s">
        <v>2372</v>
      </c>
      <c r="BK40" s="1509">
        <v>0</v>
      </c>
      <c r="BL40" s="1509">
        <v>0</v>
      </c>
      <c r="BM40" s="1509">
        <v>0</v>
      </c>
      <c r="BN40" s="1509">
        <v>0.80630630599999997</v>
      </c>
      <c r="BO40" s="1509">
        <v>0</v>
      </c>
      <c r="BP40" s="1509">
        <v>0.45045045</v>
      </c>
      <c r="BQ40" s="1509">
        <v>0</v>
      </c>
      <c r="BR40" s="1509" t="s">
        <v>2372</v>
      </c>
      <c r="BS40" s="1509">
        <v>0</v>
      </c>
      <c r="BT40" s="1509">
        <v>0</v>
      </c>
      <c r="BU40" s="1509" t="s">
        <v>2372</v>
      </c>
      <c r="BV40" s="1509">
        <v>0</v>
      </c>
      <c r="BW40" s="1509" t="s">
        <v>2372</v>
      </c>
      <c r="BX40" s="1509">
        <v>0.71875</v>
      </c>
      <c r="BY40" s="1509" t="s">
        <v>2372</v>
      </c>
      <c r="BZ40" s="1509">
        <v>0</v>
      </c>
      <c r="CA40" s="1509">
        <v>0</v>
      </c>
      <c r="CB40" s="1509" t="s">
        <v>2372</v>
      </c>
      <c r="CC40" s="1509">
        <v>0.99769053100000005</v>
      </c>
      <c r="CD40" s="1509">
        <v>0</v>
      </c>
      <c r="CE40" s="1509">
        <v>1</v>
      </c>
      <c r="CF40" s="1509" t="s">
        <v>2372</v>
      </c>
      <c r="CG40" s="1509">
        <v>0.68918918900000004</v>
      </c>
      <c r="CH40" s="1509">
        <v>0</v>
      </c>
      <c r="CI40" s="1509">
        <v>0.94594594600000004</v>
      </c>
      <c r="CJ40" s="1509">
        <v>0</v>
      </c>
      <c r="CK40" s="1509" t="s">
        <v>2372</v>
      </c>
      <c r="CL40" s="1509" t="s">
        <v>2372</v>
      </c>
      <c r="CM40" s="1509">
        <v>0.85054347799999996</v>
      </c>
      <c r="CN40" s="1509">
        <v>0.99769053100000005</v>
      </c>
      <c r="CO40" s="1509" t="s">
        <v>2372</v>
      </c>
      <c r="CP40" s="1509">
        <v>1</v>
      </c>
      <c r="CQ40" s="1509">
        <v>0</v>
      </c>
      <c r="CR40" s="1509">
        <v>0.72072072099999995</v>
      </c>
      <c r="CS40" s="1509">
        <v>0.44594594599999998</v>
      </c>
      <c r="CT40" s="1509" t="s">
        <v>2372</v>
      </c>
      <c r="CU40" s="1509" t="s">
        <v>2372</v>
      </c>
      <c r="CV40" s="1509">
        <v>0</v>
      </c>
      <c r="CW40" s="1509" t="s">
        <v>2372</v>
      </c>
      <c r="CX40" s="1509">
        <v>0.683501684</v>
      </c>
      <c r="CY40" s="1509">
        <v>0.58585858599999996</v>
      </c>
      <c r="CZ40" s="1509">
        <v>0</v>
      </c>
      <c r="DA40" s="1509">
        <v>0.70244565199999998</v>
      </c>
      <c r="DB40" s="1509">
        <v>0</v>
      </c>
      <c r="DC40" s="1509" t="s">
        <v>2372</v>
      </c>
      <c r="DD40" s="1509">
        <v>0</v>
      </c>
      <c r="DE40" s="1509">
        <v>0.75</v>
      </c>
      <c r="DF40" s="1509">
        <v>0.7</v>
      </c>
      <c r="DG40" s="1509">
        <v>0.65</v>
      </c>
      <c r="DH40" s="1509" t="s">
        <v>2372</v>
      </c>
      <c r="DI40" s="1509">
        <v>0.95</v>
      </c>
      <c r="DJ40" s="1509">
        <v>0.75407608699999995</v>
      </c>
      <c r="DK40" s="1509">
        <v>0</v>
      </c>
      <c r="DL40" s="1509" t="s">
        <v>2372</v>
      </c>
      <c r="DM40" s="1509">
        <v>0</v>
      </c>
      <c r="DN40" s="1509" t="s">
        <v>2372</v>
      </c>
      <c r="DO40" s="1509">
        <v>0.58922558899999999</v>
      </c>
      <c r="DP40" s="1509">
        <v>0.807065217</v>
      </c>
      <c r="DQ40" s="1509">
        <v>0</v>
      </c>
      <c r="DR40" s="1509">
        <v>0</v>
      </c>
      <c r="DS40" s="1509">
        <v>0</v>
      </c>
      <c r="DT40" s="1509">
        <v>0.92391304299999999</v>
      </c>
      <c r="DU40" s="1509" t="s">
        <v>2372</v>
      </c>
      <c r="DV40" s="1509" t="s">
        <v>2372</v>
      </c>
      <c r="DW40" s="1509" t="s">
        <v>2372</v>
      </c>
      <c r="DX40" s="1509">
        <v>0</v>
      </c>
      <c r="DY40" s="1509" t="s">
        <v>2372</v>
      </c>
      <c r="DZ40" s="1509" t="s">
        <v>2372</v>
      </c>
      <c r="EA40" s="1509">
        <v>0.74410774400000002</v>
      </c>
      <c r="EB40" s="1509" t="s">
        <v>2372</v>
      </c>
      <c r="EC40" s="1509" t="s">
        <v>2372</v>
      </c>
      <c r="ED40" s="1509">
        <v>0.986486486</v>
      </c>
      <c r="EE40" s="1509">
        <v>0.99769053100000005</v>
      </c>
      <c r="EF40" s="1509">
        <v>0.73063973100000001</v>
      </c>
      <c r="EG40" s="1509" t="s">
        <v>2372</v>
      </c>
      <c r="EH40" s="1509">
        <v>0.97643097599999995</v>
      </c>
      <c r="EI40" s="1509" t="s">
        <v>2372</v>
      </c>
      <c r="EJ40" s="1509" t="s">
        <v>2372</v>
      </c>
      <c r="EK40" s="1509">
        <v>0.99549549500000001</v>
      </c>
      <c r="EL40" s="1509">
        <v>0.5</v>
      </c>
      <c r="EM40" s="1509">
        <v>0.85</v>
      </c>
      <c r="EN40" s="1509">
        <v>0.5</v>
      </c>
      <c r="EO40" s="1509" t="s">
        <v>2372</v>
      </c>
      <c r="EP40" s="1509" t="s">
        <v>2372</v>
      </c>
      <c r="EQ40" s="1509">
        <v>0</v>
      </c>
      <c r="ER40" s="1509">
        <v>0</v>
      </c>
      <c r="ES40" s="1509">
        <v>0</v>
      </c>
      <c r="ET40" s="1509">
        <v>1</v>
      </c>
      <c r="EU40" s="1509" t="s">
        <v>2372</v>
      </c>
      <c r="EV40" s="1509" t="s">
        <v>2372</v>
      </c>
      <c r="EW40" s="1509">
        <v>0.75235109700000002</v>
      </c>
      <c r="EX40" s="1509" t="s">
        <v>2372</v>
      </c>
      <c r="EY40" s="1509">
        <v>0.88888888899999996</v>
      </c>
      <c r="EZ40" s="1509">
        <v>0.93478260899999999</v>
      </c>
      <c r="FA40" s="1509">
        <v>1</v>
      </c>
      <c r="FB40" s="1509">
        <v>0.80877742900000005</v>
      </c>
      <c r="FC40" s="1509" t="s">
        <v>2372</v>
      </c>
      <c r="FD40" s="1509">
        <v>0.93602693599999998</v>
      </c>
      <c r="FE40" s="1509">
        <v>0</v>
      </c>
      <c r="FF40" s="1509">
        <v>0.47335423199999999</v>
      </c>
      <c r="FG40" s="1509">
        <v>0.55000000000000004</v>
      </c>
      <c r="FH40" s="1509">
        <v>0.77038043499999997</v>
      </c>
      <c r="FI40" s="1509">
        <v>0.42006269600000001</v>
      </c>
      <c r="FJ40" s="1509">
        <v>0</v>
      </c>
      <c r="FK40" s="1509">
        <v>0.87228260899999999</v>
      </c>
      <c r="FL40" s="1509">
        <v>0.75</v>
      </c>
      <c r="FM40" s="1509" t="s">
        <v>2372</v>
      </c>
      <c r="FN40" s="1509">
        <v>0</v>
      </c>
      <c r="FO40" s="1509">
        <v>0.72282608699999995</v>
      </c>
      <c r="FP40" s="1509">
        <v>0.29467084599999999</v>
      </c>
      <c r="FQ40" s="1509">
        <v>0.87092391300000005</v>
      </c>
      <c r="FR40" s="1509" t="s">
        <v>2372</v>
      </c>
      <c r="FS40" s="1509">
        <v>0.78369906</v>
      </c>
      <c r="FT40" s="1509" t="s">
        <v>2372</v>
      </c>
      <c r="FU40" s="1509">
        <v>0</v>
      </c>
    </row>
    <row r="41" spans="1:177" s="1509" customFormat="1" x14ac:dyDescent="0.2">
      <c r="A41" s="1512" t="s">
        <v>661</v>
      </c>
      <c r="B41" s="1512" t="s">
        <v>1032</v>
      </c>
      <c r="C41" s="1509">
        <v>0</v>
      </c>
      <c r="D41" s="1509">
        <v>0</v>
      </c>
      <c r="E41" s="1509">
        <v>0.98186548500000004</v>
      </c>
      <c r="F41" s="1509">
        <v>0</v>
      </c>
      <c r="G41" s="1509">
        <v>0.98186548500000004</v>
      </c>
      <c r="H41" s="1509">
        <v>0</v>
      </c>
      <c r="I41" s="1509">
        <v>0</v>
      </c>
      <c r="J41" s="1509">
        <v>0.99998841999999999</v>
      </c>
      <c r="K41" s="1509">
        <v>0.99998841999999999</v>
      </c>
      <c r="L41" s="1509">
        <v>0</v>
      </c>
      <c r="M41" s="1509">
        <v>0</v>
      </c>
      <c r="N41" s="1509">
        <v>0.98186548500000004</v>
      </c>
      <c r="O41" s="1509">
        <v>0.99998841999999999</v>
      </c>
      <c r="P41" s="1509">
        <v>0.99998841999999999</v>
      </c>
      <c r="Q41" s="1509">
        <v>0</v>
      </c>
      <c r="R41" s="1509">
        <v>0.99786484600000003</v>
      </c>
      <c r="S41" s="1509">
        <v>0</v>
      </c>
      <c r="T41" s="1509">
        <v>0</v>
      </c>
      <c r="U41" s="1509">
        <v>0</v>
      </c>
      <c r="V41" s="1509">
        <v>0</v>
      </c>
      <c r="W41" s="1509">
        <v>0</v>
      </c>
      <c r="X41" s="1509">
        <v>0</v>
      </c>
      <c r="Y41" s="1509">
        <v>0</v>
      </c>
      <c r="Z41" s="1509">
        <v>0</v>
      </c>
      <c r="AA41" s="1509">
        <v>0</v>
      </c>
      <c r="AB41" s="1509">
        <v>0</v>
      </c>
      <c r="AC41" s="1509">
        <v>0</v>
      </c>
      <c r="AD41" s="1509">
        <v>0</v>
      </c>
      <c r="AE41" s="1509">
        <v>0.99786484600000003</v>
      </c>
      <c r="AF41" s="1509">
        <v>0</v>
      </c>
      <c r="AG41" s="1509">
        <v>1</v>
      </c>
      <c r="AH41" s="1509">
        <v>0.98186548500000004</v>
      </c>
      <c r="AI41" s="1509">
        <v>0</v>
      </c>
      <c r="AJ41" s="1509">
        <v>0</v>
      </c>
      <c r="AK41" s="1509">
        <v>0.99786484600000003</v>
      </c>
      <c r="AL41" s="1509">
        <v>0</v>
      </c>
      <c r="AM41" s="1509">
        <v>0.99982856399999998</v>
      </c>
      <c r="AN41" s="1509">
        <v>0</v>
      </c>
      <c r="AO41" s="1509">
        <v>0</v>
      </c>
      <c r="AP41" s="1509">
        <v>0.99506823700000002</v>
      </c>
      <c r="AQ41" s="1509">
        <v>0</v>
      </c>
      <c r="AR41" s="1509">
        <v>0.97861900800000001</v>
      </c>
      <c r="AS41" s="1509">
        <v>0.99997670900000002</v>
      </c>
      <c r="AT41" s="1509">
        <v>0</v>
      </c>
      <c r="AU41" s="1509">
        <v>0.99997670900000002</v>
      </c>
      <c r="AV41" s="1509">
        <v>0</v>
      </c>
      <c r="AW41" s="1509">
        <v>0</v>
      </c>
      <c r="AX41" s="1509">
        <v>0.99489016900000005</v>
      </c>
      <c r="AY41" s="1509">
        <v>0</v>
      </c>
      <c r="AZ41" s="1509">
        <v>0</v>
      </c>
      <c r="BA41" s="1509">
        <v>0</v>
      </c>
      <c r="BB41" s="1509">
        <v>0.98581662000000003</v>
      </c>
      <c r="BC41" s="1509">
        <v>0</v>
      </c>
      <c r="BD41" s="1509">
        <v>0.97861900800000001</v>
      </c>
      <c r="BE41" s="1509">
        <v>0.98404796100000003</v>
      </c>
      <c r="BF41" s="1509">
        <v>0</v>
      </c>
      <c r="BG41" s="1509">
        <v>0</v>
      </c>
      <c r="BH41" s="1509">
        <v>0.98186548500000004</v>
      </c>
      <c r="BI41" s="1509">
        <v>0</v>
      </c>
      <c r="BJ41" s="1509">
        <v>0.98186548500000004</v>
      </c>
      <c r="BK41" s="1509">
        <v>0.98186548500000004</v>
      </c>
      <c r="BL41" s="1509">
        <v>0.98186548500000004</v>
      </c>
      <c r="BM41" s="1509">
        <v>0.99786484600000003</v>
      </c>
      <c r="BN41" s="1509">
        <v>0</v>
      </c>
      <c r="BO41" s="1509">
        <v>0.99998841999999999</v>
      </c>
      <c r="BP41" s="1509">
        <v>0.98186548500000004</v>
      </c>
      <c r="BQ41" s="1509">
        <v>0.98186548500000004</v>
      </c>
      <c r="BR41" s="1509">
        <v>0.98186548500000004</v>
      </c>
      <c r="BS41" s="1509">
        <v>0.98186548500000004</v>
      </c>
      <c r="BT41" s="1509">
        <v>0</v>
      </c>
      <c r="BU41" s="1509">
        <v>0.98581662000000003</v>
      </c>
      <c r="BV41" s="1509">
        <v>0</v>
      </c>
      <c r="BW41" s="1509">
        <v>0.99786484600000003</v>
      </c>
      <c r="BX41" s="1509">
        <v>0.99968794900000002</v>
      </c>
      <c r="BY41" s="1509">
        <v>0.99968794900000002</v>
      </c>
      <c r="BZ41" s="1509">
        <v>0.99996099400000005</v>
      </c>
      <c r="CA41" s="1509">
        <v>0.95410978099999999</v>
      </c>
      <c r="CB41" s="1509">
        <v>0</v>
      </c>
      <c r="CC41" s="1509">
        <v>0</v>
      </c>
      <c r="CD41" s="1509">
        <v>0.95410978099999999</v>
      </c>
      <c r="CE41" s="1509">
        <v>0.99786484600000003</v>
      </c>
      <c r="CF41" s="1509">
        <v>0</v>
      </c>
      <c r="CG41" s="1509">
        <v>0.98186548500000004</v>
      </c>
      <c r="CH41" s="1509">
        <v>0</v>
      </c>
      <c r="CI41" s="1509">
        <v>0</v>
      </c>
      <c r="CJ41" s="1509">
        <v>1</v>
      </c>
      <c r="CK41" s="1509">
        <v>0</v>
      </c>
      <c r="CL41" s="1509">
        <v>0</v>
      </c>
      <c r="CM41" s="1509">
        <v>0</v>
      </c>
      <c r="CN41" s="1509">
        <v>0.95410978099999999</v>
      </c>
      <c r="CO41" s="1509">
        <v>0.99786484600000003</v>
      </c>
      <c r="CP41" s="1509">
        <v>0.99786484600000003</v>
      </c>
      <c r="CQ41" s="1509">
        <v>0.98186548500000004</v>
      </c>
      <c r="CR41" s="1509">
        <v>0</v>
      </c>
      <c r="CS41" s="1509">
        <v>0.98186548500000004</v>
      </c>
      <c r="CT41" s="1509">
        <v>0</v>
      </c>
      <c r="CU41" s="1509">
        <v>0</v>
      </c>
      <c r="CV41" s="1509">
        <v>0</v>
      </c>
      <c r="CW41" s="1509">
        <v>0</v>
      </c>
      <c r="CX41" s="1509">
        <v>0</v>
      </c>
      <c r="CY41" s="1509">
        <v>1</v>
      </c>
      <c r="CZ41" s="1509">
        <v>0.99489016900000005</v>
      </c>
      <c r="DA41" s="1509">
        <v>0.99489016900000005</v>
      </c>
      <c r="DB41" s="1509">
        <v>0.99833720000000004</v>
      </c>
      <c r="DC41" s="1509">
        <v>0</v>
      </c>
      <c r="DD41" s="1509">
        <v>0.93868909499999997</v>
      </c>
      <c r="DE41" s="1509">
        <v>0</v>
      </c>
      <c r="DF41" s="1509">
        <v>0</v>
      </c>
      <c r="DG41" s="1509">
        <v>0</v>
      </c>
      <c r="DH41" s="1509">
        <v>0</v>
      </c>
      <c r="DI41" s="1509">
        <v>0</v>
      </c>
      <c r="DJ41" s="1509">
        <v>0.99489016900000005</v>
      </c>
      <c r="DK41" s="1509">
        <v>0.99489016900000005</v>
      </c>
      <c r="DL41" s="1509">
        <v>0.99786484600000003</v>
      </c>
      <c r="DM41" s="1509">
        <v>0.99982856399999998</v>
      </c>
      <c r="DN41" s="1509">
        <v>0</v>
      </c>
      <c r="DO41" s="1509">
        <v>0.99997132399999999</v>
      </c>
      <c r="DP41" s="1509">
        <v>0.99996099400000005</v>
      </c>
      <c r="DQ41" s="1509">
        <v>1</v>
      </c>
      <c r="DR41" s="1509">
        <v>0.99489016900000005</v>
      </c>
      <c r="DS41" s="1509">
        <v>0.99489016900000005</v>
      </c>
      <c r="DT41" s="1509">
        <v>0.99489016900000005</v>
      </c>
      <c r="DU41" s="1509">
        <v>0</v>
      </c>
      <c r="DV41" s="1509">
        <v>0</v>
      </c>
      <c r="DW41" s="1509">
        <v>0</v>
      </c>
      <c r="DX41" s="1509">
        <v>0.97861900800000001</v>
      </c>
      <c r="DY41" s="1509">
        <v>0.98581662000000003</v>
      </c>
      <c r="DZ41" s="1509">
        <v>0</v>
      </c>
      <c r="EA41" s="1509">
        <v>0</v>
      </c>
      <c r="EB41" s="1509">
        <v>0</v>
      </c>
      <c r="EC41" s="1509">
        <v>0</v>
      </c>
      <c r="ED41" s="1509">
        <v>0.98186548500000004</v>
      </c>
      <c r="EE41" s="1509">
        <v>0</v>
      </c>
      <c r="EF41" s="1509">
        <v>0</v>
      </c>
      <c r="EG41" s="1509">
        <v>0</v>
      </c>
      <c r="EH41" s="1509">
        <v>0.98581662000000003</v>
      </c>
      <c r="EI41" s="1509">
        <v>0</v>
      </c>
      <c r="EJ41" s="1509">
        <v>0</v>
      </c>
      <c r="EK41" s="1509">
        <v>0</v>
      </c>
      <c r="EL41" s="1509">
        <v>0</v>
      </c>
      <c r="EM41" s="1509">
        <v>0</v>
      </c>
      <c r="EN41" s="1509">
        <v>0</v>
      </c>
      <c r="EO41" s="1509">
        <v>0</v>
      </c>
      <c r="EP41" s="1509">
        <v>0</v>
      </c>
      <c r="EQ41" s="1509">
        <v>0.99786484600000003</v>
      </c>
      <c r="ER41" s="1509">
        <v>1</v>
      </c>
      <c r="ES41" s="1509">
        <v>0.98581662000000003</v>
      </c>
      <c r="ET41" s="1509">
        <v>0</v>
      </c>
      <c r="EU41" s="1509">
        <v>0</v>
      </c>
      <c r="EV41" s="1509">
        <v>0</v>
      </c>
      <c r="EW41" s="1509">
        <v>0</v>
      </c>
      <c r="EX41" s="1509">
        <v>0</v>
      </c>
      <c r="EY41" s="1509">
        <v>0</v>
      </c>
      <c r="EZ41" s="1509">
        <v>0</v>
      </c>
      <c r="FA41" s="1509">
        <v>0.99961816599999997</v>
      </c>
      <c r="FB41" s="1509">
        <v>0</v>
      </c>
      <c r="FC41" s="1509">
        <v>0.98581662000000003</v>
      </c>
      <c r="FD41" s="1509">
        <v>0</v>
      </c>
      <c r="FE41" s="1509">
        <v>0.98581662000000003</v>
      </c>
      <c r="FF41" s="1509">
        <v>0</v>
      </c>
      <c r="FG41" s="1509">
        <v>0</v>
      </c>
      <c r="FH41" s="1509">
        <v>0</v>
      </c>
      <c r="FI41" s="1509">
        <v>0</v>
      </c>
      <c r="FJ41" s="1509">
        <v>1</v>
      </c>
      <c r="FK41" s="1509">
        <v>0</v>
      </c>
      <c r="FL41" s="1509">
        <v>0</v>
      </c>
      <c r="FM41" s="1509">
        <v>0</v>
      </c>
      <c r="FN41" s="1509">
        <v>1</v>
      </c>
      <c r="FO41" s="1509">
        <v>0</v>
      </c>
      <c r="FP41" s="1509">
        <v>0</v>
      </c>
      <c r="FQ41" s="1509">
        <v>0</v>
      </c>
      <c r="FR41" s="1509">
        <v>0</v>
      </c>
      <c r="FS41" s="1509">
        <v>0</v>
      </c>
      <c r="FT41" s="1509">
        <v>0</v>
      </c>
      <c r="FU41" s="1509">
        <v>0</v>
      </c>
    </row>
    <row r="42" spans="1:177" s="1509" customFormat="1" x14ac:dyDescent="0.2">
      <c r="A42" s="1512" t="s">
        <v>661</v>
      </c>
      <c r="B42" s="1512" t="s">
        <v>1205</v>
      </c>
      <c r="C42" s="1509">
        <v>2.1938421999999957E-2</v>
      </c>
      <c r="D42" s="1509">
        <v>4.3045815000000043E-2</v>
      </c>
      <c r="E42" s="1509">
        <v>1</v>
      </c>
      <c r="F42" s="1509">
        <v>1</v>
      </c>
      <c r="G42" s="1509">
        <v>1</v>
      </c>
      <c r="H42" s="1509">
        <v>1</v>
      </c>
      <c r="I42" s="1509">
        <v>3.8052187000000015E-2</v>
      </c>
      <c r="J42" s="1509">
        <v>3.5555373000000001E-2</v>
      </c>
      <c r="K42" s="1509">
        <v>3.9252147999999987E-2</v>
      </c>
      <c r="L42" s="1509">
        <v>3.1512026000000026E-2</v>
      </c>
      <c r="M42" s="1509">
        <v>4.1327858000000051E-2</v>
      </c>
      <c r="N42" s="1509">
        <v>2.6801618999999999E-2</v>
      </c>
      <c r="O42" s="1509">
        <v>2.9268619999999967E-2</v>
      </c>
      <c r="P42" s="1509">
        <v>2.7084839000000027E-2</v>
      </c>
      <c r="Q42" s="1509">
        <v>1</v>
      </c>
      <c r="R42" s="1509">
        <v>4.6524663999999993E-2</v>
      </c>
      <c r="S42" s="1509">
        <v>1</v>
      </c>
      <c r="T42" s="1509">
        <v>2.3373157999999949E-2</v>
      </c>
      <c r="U42" s="1509">
        <v>2.2452691000000025E-2</v>
      </c>
      <c r="V42" s="1509">
        <v>3.5864679999999982E-2</v>
      </c>
      <c r="W42" s="1509">
        <v>3.1068561999999966E-2</v>
      </c>
      <c r="X42" s="1509">
        <v>1</v>
      </c>
      <c r="Y42" s="1509">
        <v>1</v>
      </c>
      <c r="Z42" s="1509">
        <v>1</v>
      </c>
      <c r="AA42" s="1509">
        <v>2.2348346999999991E-2</v>
      </c>
      <c r="AB42" s="1509">
        <v>4.9708953E-2</v>
      </c>
      <c r="AC42" s="1509">
        <v>1</v>
      </c>
      <c r="AD42" s="1509">
        <v>3.9319227000000012E-2</v>
      </c>
      <c r="AE42" s="1509">
        <v>4.6026408000000019E-2</v>
      </c>
      <c r="AF42" s="1509">
        <v>1.782054200000005E-2</v>
      </c>
      <c r="AG42" s="1509">
        <v>4.5032085999999971E-2</v>
      </c>
      <c r="AH42" s="1509">
        <v>2.1729733000000029E-2</v>
      </c>
      <c r="AI42" s="1509">
        <v>1</v>
      </c>
      <c r="AJ42" s="1509">
        <v>2.5225272000000021E-2</v>
      </c>
      <c r="AK42" s="1509">
        <v>4.6353387999999995E-2</v>
      </c>
      <c r="AL42" s="1509">
        <v>4.6267750000000052E-2</v>
      </c>
      <c r="AM42" s="1509">
        <v>4.6026408000000019E-2</v>
      </c>
      <c r="AN42" s="1509">
        <v>1</v>
      </c>
      <c r="AO42" s="1509">
        <v>3.9879113999999993E-2</v>
      </c>
      <c r="AP42" s="1509">
        <v>0</v>
      </c>
      <c r="AQ42" s="1509">
        <v>1</v>
      </c>
      <c r="AR42" s="1509">
        <v>2.1791934999999985E-2</v>
      </c>
      <c r="AS42" s="1509">
        <v>2.1807309000000052E-2</v>
      </c>
      <c r="AT42" s="1509">
        <v>2.5043429999999978E-2</v>
      </c>
      <c r="AU42" s="1509">
        <v>2.1223116000000042E-2</v>
      </c>
      <c r="AV42" s="1509">
        <v>3.8655894000000024E-2</v>
      </c>
      <c r="AW42" s="1509">
        <v>4.7741315000000006E-2</v>
      </c>
      <c r="AX42" s="1509">
        <v>9.4225740000000169E-3</v>
      </c>
      <c r="AY42" s="1509">
        <v>4.1465776999999981E-2</v>
      </c>
      <c r="AZ42" s="1509">
        <v>2.4849746000000006E-2</v>
      </c>
      <c r="BA42" s="1509">
        <v>1.6748122999999948E-2</v>
      </c>
      <c r="BB42" s="1509">
        <v>3.0304031000000009E-2</v>
      </c>
      <c r="BC42" s="1509">
        <v>1</v>
      </c>
      <c r="BD42" s="1509">
        <v>2.9547864999999951E-2</v>
      </c>
      <c r="BE42" s="1509">
        <v>1.6854718000000046E-2</v>
      </c>
      <c r="BF42" s="1509">
        <v>1</v>
      </c>
      <c r="BG42" s="1509">
        <v>1</v>
      </c>
      <c r="BH42" s="1509">
        <v>1.9009323999999994E-2</v>
      </c>
      <c r="BI42" s="1509">
        <v>2.0160839999999958E-2</v>
      </c>
      <c r="BJ42" s="1509">
        <v>3.7262150999999966E-2</v>
      </c>
      <c r="BK42" s="1509">
        <v>1.7731103999999998E-2</v>
      </c>
      <c r="BL42" s="1509">
        <v>1.7555954999999956E-2</v>
      </c>
      <c r="BM42" s="1509">
        <v>0</v>
      </c>
      <c r="BN42" s="1509">
        <v>2.5713454999999996E-2</v>
      </c>
      <c r="BO42" s="1509">
        <v>1.7757189999999978E-2</v>
      </c>
      <c r="BP42" s="1509">
        <v>2.3593026999999989E-2</v>
      </c>
      <c r="BQ42" s="1509">
        <v>3.3632454000000034E-2</v>
      </c>
      <c r="BR42" s="1509">
        <v>1</v>
      </c>
      <c r="BS42" s="1509">
        <v>1.7555954999999956E-2</v>
      </c>
      <c r="BT42" s="1509">
        <v>1.5724413000000048E-2</v>
      </c>
      <c r="BU42" s="1509">
        <v>1.6175725999999946E-2</v>
      </c>
      <c r="BV42" s="1509">
        <v>4.1212601999999987E-2</v>
      </c>
      <c r="BW42" s="1509">
        <v>0</v>
      </c>
      <c r="BX42" s="1509">
        <v>9.7284659999999912E-3</v>
      </c>
      <c r="BY42" s="1509">
        <v>4.9980609999999981E-3</v>
      </c>
      <c r="BZ42" s="1509">
        <v>4.9980609999999981E-3</v>
      </c>
      <c r="CA42" s="1509">
        <v>0</v>
      </c>
      <c r="CB42" s="1509">
        <v>0</v>
      </c>
      <c r="CC42" s="1509">
        <v>4.623660900000004E-2</v>
      </c>
      <c r="CD42" s="1509">
        <v>4.6291105999999971E-2</v>
      </c>
      <c r="CE42" s="1509">
        <v>4.6057549000000031E-2</v>
      </c>
      <c r="CF42" s="1509">
        <v>1</v>
      </c>
      <c r="CG42" s="1509">
        <v>1.9430428000000055E-2</v>
      </c>
      <c r="CH42" s="1509">
        <v>2.4058849999999965E-2</v>
      </c>
      <c r="CI42" s="1509">
        <v>4.8583523999999989E-2</v>
      </c>
      <c r="CJ42" s="1509">
        <v>4.243995300000003E-2</v>
      </c>
      <c r="CK42" s="1509">
        <v>1</v>
      </c>
      <c r="CL42" s="1509">
        <v>1</v>
      </c>
      <c r="CM42" s="1509">
        <v>1</v>
      </c>
      <c r="CN42" s="1509">
        <v>4.595634000000004E-2</v>
      </c>
      <c r="CO42" s="1509">
        <v>4.5909628999999952E-2</v>
      </c>
      <c r="CP42" s="1509">
        <v>4.5909628999999952E-2</v>
      </c>
      <c r="CQ42" s="1509">
        <v>2.0690015000000006E-2</v>
      </c>
      <c r="CR42" s="1509">
        <v>5.1982171999999993E-2</v>
      </c>
      <c r="CS42" s="1509">
        <v>2.4629017999999947E-2</v>
      </c>
      <c r="CT42" s="1509">
        <v>3.4709438000000037E-2</v>
      </c>
      <c r="CU42" s="1509">
        <v>1</v>
      </c>
      <c r="CV42" s="1509">
        <v>1</v>
      </c>
      <c r="CW42" s="1509">
        <v>1</v>
      </c>
      <c r="CX42" s="1509">
        <v>1</v>
      </c>
      <c r="CY42" s="1509">
        <v>1.4045748000000025E-2</v>
      </c>
      <c r="CZ42" s="1509">
        <v>1.0602443999999989E-2</v>
      </c>
      <c r="DA42" s="1509">
        <v>1.0586057000000038E-2</v>
      </c>
      <c r="DB42" s="1509">
        <v>7.9406543000000052E-2</v>
      </c>
      <c r="DC42" s="1509">
        <v>0.10140821799999999</v>
      </c>
      <c r="DD42" s="1509">
        <v>6.4671308999999955E-2</v>
      </c>
      <c r="DE42" s="1509">
        <v>8.1954395999999985E-2</v>
      </c>
      <c r="DF42" s="1509">
        <v>0.10121505900000005</v>
      </c>
      <c r="DG42" s="1509">
        <v>9.7489858999999957E-2</v>
      </c>
      <c r="DH42" s="1509">
        <v>1</v>
      </c>
      <c r="DI42" s="1509">
        <v>7.2839153999999962E-2</v>
      </c>
      <c r="DJ42" s="1509">
        <v>9.4826599999999761E-3</v>
      </c>
      <c r="DK42" s="1509">
        <v>5.9758239999999629E-3</v>
      </c>
      <c r="DL42" s="1509">
        <v>4.6057549000000031E-2</v>
      </c>
      <c r="DM42" s="1509">
        <v>4.5909628999999952E-2</v>
      </c>
      <c r="DN42" s="1509">
        <v>1</v>
      </c>
      <c r="DO42" s="1509">
        <v>2.6126631999999983E-2</v>
      </c>
      <c r="DP42" s="1509">
        <v>7.701929999999968E-3</v>
      </c>
      <c r="DQ42" s="1509">
        <v>5.8064899999999975E-3</v>
      </c>
      <c r="DR42" s="1509">
        <v>2.0380071000000055E-2</v>
      </c>
      <c r="DS42" s="1509">
        <v>1.3737839000000029E-2</v>
      </c>
      <c r="DT42" s="1509">
        <v>1.9713662999999992E-2</v>
      </c>
      <c r="DU42" s="1509">
        <v>3.9185070000000044E-2</v>
      </c>
      <c r="DV42" s="1509">
        <v>1</v>
      </c>
      <c r="DW42" s="1509">
        <v>1</v>
      </c>
      <c r="DX42" s="1509">
        <v>2.159976600000002E-2</v>
      </c>
      <c r="DY42" s="1509">
        <v>2.9346365999999957E-2</v>
      </c>
      <c r="DZ42" s="1509">
        <v>1</v>
      </c>
      <c r="EA42" s="1509">
        <v>1</v>
      </c>
      <c r="EB42" s="1509">
        <v>1</v>
      </c>
      <c r="EC42" s="1509">
        <v>1</v>
      </c>
      <c r="ED42" s="1509">
        <v>2.9667365000000001E-2</v>
      </c>
      <c r="EE42" s="1509">
        <v>1</v>
      </c>
      <c r="EF42" s="1509">
        <v>1</v>
      </c>
      <c r="EG42" s="1509">
        <v>1</v>
      </c>
      <c r="EH42" s="1509">
        <v>5.3106356000000021E-2</v>
      </c>
      <c r="EI42" s="1509">
        <v>1</v>
      </c>
      <c r="EJ42" s="1509">
        <v>1</v>
      </c>
      <c r="EK42" s="1509">
        <v>1</v>
      </c>
      <c r="EL42" s="1509">
        <v>8.8549380000000011E-2</v>
      </c>
      <c r="EM42" s="1509">
        <v>0.10241080199999997</v>
      </c>
      <c r="EN42" s="1509">
        <v>9.3120797999999949E-2</v>
      </c>
      <c r="EO42" s="1509">
        <v>1</v>
      </c>
      <c r="EP42" s="1509">
        <v>1</v>
      </c>
      <c r="EQ42" s="1509">
        <v>4.6781576999999963E-2</v>
      </c>
      <c r="ER42" s="1509">
        <v>1.4579617999999961E-2</v>
      </c>
      <c r="ES42" s="1509">
        <v>1.6583008999999982E-2</v>
      </c>
      <c r="ET42" s="1509">
        <v>1</v>
      </c>
      <c r="EU42" s="1509">
        <v>1</v>
      </c>
      <c r="EV42" s="1509">
        <v>4.4260681999999996E-2</v>
      </c>
      <c r="EW42" s="1509">
        <v>1</v>
      </c>
      <c r="EX42" s="1509">
        <v>1</v>
      </c>
      <c r="EY42" s="1509">
        <v>4.6892543000000009E-2</v>
      </c>
      <c r="EZ42" s="1509">
        <v>1</v>
      </c>
      <c r="FA42" s="1509">
        <v>4.6057549000000031E-2</v>
      </c>
      <c r="FB42" s="1509">
        <v>3.9528721000000044E-2</v>
      </c>
      <c r="FC42" s="1509">
        <v>1</v>
      </c>
      <c r="FD42" s="1509">
        <v>1</v>
      </c>
      <c r="FE42" s="1509">
        <v>4.8455628000000028E-2</v>
      </c>
      <c r="FF42" s="1509">
        <v>1</v>
      </c>
      <c r="FG42" s="1509">
        <v>1</v>
      </c>
      <c r="FH42" s="1509">
        <v>1</v>
      </c>
      <c r="FI42" s="1509">
        <v>1</v>
      </c>
      <c r="FJ42" s="1509">
        <v>2.9098693999999981E-2</v>
      </c>
      <c r="FK42" s="1509">
        <v>2.4662563000000026E-2</v>
      </c>
      <c r="FL42" s="1509">
        <v>1</v>
      </c>
      <c r="FM42" s="1509">
        <v>3.2313241999999964E-2</v>
      </c>
      <c r="FN42" s="1509">
        <v>2.1003047999999969E-2</v>
      </c>
      <c r="FO42" s="1509">
        <v>2.0500242999999974E-2</v>
      </c>
      <c r="FP42" s="1509">
        <v>1</v>
      </c>
      <c r="FQ42" s="1509">
        <v>1</v>
      </c>
      <c r="FR42" s="1509">
        <v>1</v>
      </c>
      <c r="FS42" s="1509">
        <v>3.8827935000000036E-2</v>
      </c>
      <c r="FT42" s="1509">
        <v>1</v>
      </c>
      <c r="FU42" s="1509">
        <v>4.929902900000005E-2</v>
      </c>
    </row>
    <row r="43" spans="1:177" s="1509" customFormat="1" x14ac:dyDescent="0.2">
      <c r="A43" s="1512" t="s">
        <v>661</v>
      </c>
      <c r="B43" s="1512" t="s">
        <v>1246</v>
      </c>
      <c r="C43" s="1509">
        <v>0.95681630200000001</v>
      </c>
      <c r="D43" s="1509">
        <v>0.92073175299999999</v>
      </c>
      <c r="E43" s="1509">
        <v>0.95111089599999998</v>
      </c>
      <c r="F43" s="1509">
        <v>0.91458622300000003</v>
      </c>
      <c r="G43" s="1509">
        <v>0.67067771700000001</v>
      </c>
      <c r="H43" s="1509">
        <v>0.73059379400000002</v>
      </c>
      <c r="I43" s="1509">
        <v>0.83264639900000004</v>
      </c>
      <c r="J43" s="1509">
        <v>0.85083214699999998</v>
      </c>
      <c r="K43" s="1509">
        <v>0.93386424800000001</v>
      </c>
      <c r="L43" s="1509">
        <v>0.90678686200000003</v>
      </c>
      <c r="M43" s="1509">
        <v>0.832732111</v>
      </c>
      <c r="N43" s="1509">
        <v>0.84224608899999998</v>
      </c>
      <c r="O43" s="1509">
        <v>0.84225354200000002</v>
      </c>
      <c r="P43" s="1509">
        <v>0.75738050700000004</v>
      </c>
      <c r="Q43" s="1509">
        <v>0.87333368099999997</v>
      </c>
      <c r="R43" s="1509">
        <v>0.72061796499999997</v>
      </c>
      <c r="S43" s="1509">
        <v>0.51398215700000005</v>
      </c>
      <c r="T43" s="1509">
        <v>0.82851361300000004</v>
      </c>
      <c r="U43" s="1509">
        <v>0.66454002700000003</v>
      </c>
      <c r="V43" s="1509">
        <v>0.67574960299999998</v>
      </c>
      <c r="W43" s="1509">
        <v>0.95201645700000004</v>
      </c>
      <c r="X43" s="1509">
        <v>0.82823784600000006</v>
      </c>
      <c r="Y43" s="1509">
        <v>0.16297858700000001</v>
      </c>
      <c r="Z43" s="1509">
        <v>0.370348287</v>
      </c>
      <c r="AA43" s="1509">
        <v>0.57484106099999999</v>
      </c>
      <c r="AB43" s="1509">
        <v>0.26255673699999998</v>
      </c>
      <c r="AC43" s="1509">
        <v>0.17789611799999999</v>
      </c>
      <c r="AD43" s="1509">
        <v>0.110988962</v>
      </c>
      <c r="AE43" s="1509">
        <v>0.91075171799999999</v>
      </c>
      <c r="AF43" s="1509">
        <v>0.71525143300000005</v>
      </c>
      <c r="AG43" s="1509">
        <v>0.180966826</v>
      </c>
      <c r="AH43" s="1509">
        <v>4.1864485999999999E-2</v>
      </c>
      <c r="AI43" s="1509">
        <v>0.12978959700000001</v>
      </c>
      <c r="AJ43" s="1509">
        <v>0.55475475299999999</v>
      </c>
      <c r="AK43" s="1509">
        <v>0.56067376300000005</v>
      </c>
      <c r="AL43" s="1509">
        <v>0.76460056799999998</v>
      </c>
      <c r="AM43" s="1509">
        <v>0.475878943</v>
      </c>
      <c r="AN43" s="1509">
        <v>0.55708563</v>
      </c>
      <c r="AO43" s="1509">
        <v>0.85376897200000001</v>
      </c>
      <c r="AP43" s="1509">
        <v>0.23325963999999999</v>
      </c>
      <c r="AQ43" s="1509">
        <v>0.99312817200000003</v>
      </c>
      <c r="AR43" s="1509">
        <v>0.81648654099999995</v>
      </c>
      <c r="AS43" s="1509">
        <v>0.97478746100000002</v>
      </c>
      <c r="AT43" s="1509">
        <v>0.83508078799999996</v>
      </c>
      <c r="AU43" s="1509">
        <v>0.25120297600000002</v>
      </c>
      <c r="AV43" s="1509">
        <v>0.81627177299999998</v>
      </c>
      <c r="AW43" s="1509">
        <v>0.43859328800000003</v>
      </c>
      <c r="AX43" s="1509">
        <v>1.0782702E-2</v>
      </c>
      <c r="AY43" s="1509">
        <v>0.76117275399999995</v>
      </c>
      <c r="AZ43" s="1509">
        <v>0.76155802100000003</v>
      </c>
      <c r="BA43" s="1509">
        <v>0.77596702100000003</v>
      </c>
      <c r="BB43" s="1509">
        <v>0.973427559</v>
      </c>
      <c r="BC43" s="1509">
        <v>0.77434009299999995</v>
      </c>
      <c r="BD43" s="1509">
        <v>0.974964257</v>
      </c>
      <c r="BE43" s="1509">
        <v>0.4425193</v>
      </c>
      <c r="BF43" s="1509">
        <v>0.66405829599999999</v>
      </c>
      <c r="BG43" s="1509">
        <v>0.77205086099999998</v>
      </c>
      <c r="BH43" s="1509">
        <v>0.106755558</v>
      </c>
      <c r="BI43" s="1509">
        <v>0.45089475400000001</v>
      </c>
      <c r="BJ43" s="1509">
        <v>0.68346364000000004</v>
      </c>
      <c r="BK43" s="1509">
        <v>0.69741598400000004</v>
      </c>
      <c r="BL43" s="1509">
        <v>0.76741620799999999</v>
      </c>
      <c r="BM43" s="1509">
        <v>0.23167702300000001</v>
      </c>
      <c r="BN43" s="1509">
        <v>9.0526269000000006E-2</v>
      </c>
      <c r="BO43" s="1509">
        <v>0.79439297600000003</v>
      </c>
      <c r="BP43" s="1509">
        <v>0.23867676299999999</v>
      </c>
      <c r="BQ43" s="1509">
        <v>0.40298574199999998</v>
      </c>
      <c r="BR43" s="1509">
        <v>0.65296524600000005</v>
      </c>
      <c r="BS43" s="1509">
        <v>0.228887017</v>
      </c>
      <c r="BT43" s="1509">
        <v>0.18877000599999999</v>
      </c>
      <c r="BU43" s="1509">
        <v>0.91912687400000004</v>
      </c>
      <c r="BV43" s="1509">
        <v>0.80640864800000001</v>
      </c>
      <c r="BW43" s="1509">
        <v>6.6682581000000005E-2</v>
      </c>
      <c r="BX43" s="1509">
        <v>0.42167246600000002</v>
      </c>
      <c r="BY43" s="1509">
        <v>5.3962669999999997E-2</v>
      </c>
      <c r="BZ43" s="1509">
        <v>0.92713755899999994</v>
      </c>
      <c r="CA43" s="1509">
        <v>0.849842973</v>
      </c>
      <c r="CB43" s="1509">
        <v>0.70554183800000003</v>
      </c>
      <c r="CC43" s="1509">
        <v>0.977613332</v>
      </c>
      <c r="CD43" s="1509">
        <v>8.0266759999999999E-3</v>
      </c>
      <c r="CE43" s="1509">
        <v>0.42686847700000002</v>
      </c>
      <c r="CF43" s="1509">
        <v>0.61087032699999999</v>
      </c>
      <c r="CG43" s="1509">
        <v>0.71123044499999999</v>
      </c>
      <c r="CH43" s="1509">
        <v>0.50198254499999995</v>
      </c>
      <c r="CI43" s="1509">
        <v>0.103386723</v>
      </c>
      <c r="CJ43" s="1509">
        <v>0.45212227300000002</v>
      </c>
      <c r="CK43" s="1509">
        <v>0.97260198600000003</v>
      </c>
      <c r="CL43" s="1509">
        <v>0.97643264399999996</v>
      </c>
      <c r="CM43" s="1509">
        <v>0.39568254899999999</v>
      </c>
      <c r="CN43" s="1509">
        <v>0.77114275700000001</v>
      </c>
      <c r="CO43" s="1509">
        <v>0.56306833899999997</v>
      </c>
      <c r="CP43" s="1509">
        <v>0.754171857</v>
      </c>
      <c r="CQ43" s="1509">
        <v>0.18676912300000001</v>
      </c>
      <c r="CR43" s="1509">
        <v>0.26573551699999998</v>
      </c>
      <c r="CS43" s="1509">
        <v>0.85631768399999997</v>
      </c>
      <c r="CT43" s="1509">
        <v>0.93220591600000002</v>
      </c>
      <c r="CU43" s="1509">
        <v>0.77502590000000005</v>
      </c>
      <c r="CV43" s="1509">
        <v>0.85026308299999998</v>
      </c>
      <c r="CW43" s="1509">
        <v>0.90127798699999995</v>
      </c>
      <c r="CX43" s="1509">
        <v>0.48715408500000001</v>
      </c>
      <c r="CY43" s="1509">
        <v>0.98617440499999998</v>
      </c>
      <c r="CZ43" s="1509">
        <v>0.699892391</v>
      </c>
      <c r="DA43" s="1509">
        <v>0.44588165200000002</v>
      </c>
      <c r="DB43" s="1509">
        <v>0.151298301</v>
      </c>
      <c r="DC43" s="1509">
        <v>8.4106734000000002E-2</v>
      </c>
      <c r="DD43" s="1509">
        <v>0.10253957399999999</v>
      </c>
      <c r="DE43" s="1509">
        <v>0.47718430099999998</v>
      </c>
      <c r="DF43" s="1509">
        <v>0.19266181600000001</v>
      </c>
      <c r="DG43" s="1509">
        <v>0.18682107100000001</v>
      </c>
      <c r="DH43" s="1509">
        <v>0.29878862</v>
      </c>
      <c r="DI43" s="1509">
        <v>0.649371315</v>
      </c>
      <c r="DJ43" s="1509">
        <v>0.80969132200000005</v>
      </c>
      <c r="DK43" s="1509">
        <v>0.55751593600000005</v>
      </c>
      <c r="DL43" s="1509">
        <v>0.98740050599999996</v>
      </c>
      <c r="DM43" s="1509">
        <v>0.960687191</v>
      </c>
      <c r="DN43" s="1509">
        <v>0.36055014699999999</v>
      </c>
      <c r="DO43" s="1509">
        <v>0.443987627</v>
      </c>
      <c r="DP43" s="1509">
        <v>0.82820326499999997</v>
      </c>
      <c r="DQ43" s="1509">
        <v>0.681009007</v>
      </c>
      <c r="DR43" s="1509">
        <v>0.34364263</v>
      </c>
      <c r="DS43" s="1509">
        <v>0.26792337399999999</v>
      </c>
      <c r="DT43" s="1509">
        <v>0.84319744799999996</v>
      </c>
      <c r="DU43" s="1509">
        <v>0.42161495399999999</v>
      </c>
      <c r="DV43" s="1509">
        <v>0.19740107800000001</v>
      </c>
      <c r="DW43" s="1509">
        <v>0.129947706</v>
      </c>
      <c r="DX43" s="1509">
        <v>0.87228465600000005</v>
      </c>
      <c r="DY43" s="1509">
        <v>0.87066574200000002</v>
      </c>
      <c r="DZ43" s="1509">
        <v>0.85415929999999995</v>
      </c>
      <c r="EA43" s="1509">
        <v>0.522703256</v>
      </c>
      <c r="EB43" s="1509">
        <v>0.99758144500000001</v>
      </c>
      <c r="EC43" s="1509">
        <v>0.262519471</v>
      </c>
      <c r="ED43" s="1509">
        <v>0.51833481199999998</v>
      </c>
      <c r="EE43" s="1509">
        <v>0.121183413</v>
      </c>
      <c r="EF43" s="1509">
        <v>0.58409836400000004</v>
      </c>
      <c r="EG43" s="1509">
        <v>0.58446176599999999</v>
      </c>
      <c r="EH43" s="1509">
        <v>0.31047596999999999</v>
      </c>
      <c r="EI43" s="1509">
        <v>0.43432821300000002</v>
      </c>
      <c r="EJ43" s="1509">
        <v>0.56663409200000003</v>
      </c>
      <c r="EK43" s="1509">
        <v>0.73022486200000003</v>
      </c>
      <c r="EL43" s="1509">
        <v>0.11759674000000001</v>
      </c>
      <c r="EM43" s="1509">
        <v>0.32585840599999999</v>
      </c>
      <c r="EN43" s="1509">
        <v>0.38270219599999999</v>
      </c>
      <c r="EO43" s="1509">
        <v>0.77032533400000003</v>
      </c>
      <c r="EP43" s="1509">
        <v>0.93365415600000001</v>
      </c>
      <c r="EQ43" s="1509">
        <v>0.18920874600000001</v>
      </c>
      <c r="ER43" s="1509">
        <v>0.235910222</v>
      </c>
      <c r="ES43" s="1509">
        <v>0.17893468100000001</v>
      </c>
      <c r="ET43" s="1509">
        <v>0.44293674900000002</v>
      </c>
      <c r="EU43" s="1509">
        <v>0.38063374300000002</v>
      </c>
      <c r="EV43" s="1509">
        <v>0.14409224000000001</v>
      </c>
      <c r="EW43" s="1509">
        <v>0.23325963999999999</v>
      </c>
      <c r="EX43" s="1509">
        <v>0.93749862399999995</v>
      </c>
      <c r="EY43" s="1509">
        <v>0.61027453099999995</v>
      </c>
      <c r="EZ43" s="1509">
        <v>0.42147582099999997</v>
      </c>
      <c r="FA43" s="1509">
        <v>9.9639695E-2</v>
      </c>
      <c r="FB43" s="1509">
        <v>0.22834913500000001</v>
      </c>
      <c r="FC43" s="1509">
        <v>0.97304229099999995</v>
      </c>
      <c r="FD43" s="1509">
        <v>0.51557030599999998</v>
      </c>
      <c r="FE43" s="1509">
        <v>0.81862712699999995</v>
      </c>
      <c r="FF43" s="1509">
        <v>0.82819608</v>
      </c>
      <c r="FG43" s="1509">
        <v>3.4419007000000001E-2</v>
      </c>
      <c r="FH43" s="1509">
        <v>0.64915251500000004</v>
      </c>
      <c r="FI43" s="1509">
        <v>0.87883168199999995</v>
      </c>
      <c r="FJ43" s="1509">
        <v>0.55619950200000001</v>
      </c>
      <c r="FK43" s="1509">
        <v>3.9580272E-2</v>
      </c>
      <c r="FL43" s="1509">
        <v>0.27929800700000001</v>
      </c>
      <c r="FM43" s="1509">
        <v>0.882191383</v>
      </c>
      <c r="FN43" s="1509">
        <v>0.46816748800000002</v>
      </c>
      <c r="FO43" s="1509">
        <v>0.84538239299999995</v>
      </c>
      <c r="FP43" s="1509">
        <v>0.267293057</v>
      </c>
      <c r="FQ43" s="1509">
        <v>0.74232947900000001</v>
      </c>
      <c r="FR43" s="1509">
        <v>0.99315875200000003</v>
      </c>
      <c r="FS43" s="1509">
        <v>5.4887122000000003E-2</v>
      </c>
      <c r="FT43" s="1509">
        <v>0.32938124899999999</v>
      </c>
      <c r="FU43" s="1509">
        <v>7.8385046E-2</v>
      </c>
    </row>
    <row r="44" spans="1:177" s="1509" customFormat="1" x14ac:dyDescent="0.2">
      <c r="A44" s="1512" t="s">
        <v>661</v>
      </c>
      <c r="B44" s="1512" t="s">
        <v>1066</v>
      </c>
      <c r="C44" s="1509">
        <v>0.77747426799999997</v>
      </c>
      <c r="D44" s="1509">
        <v>0.68159661900000001</v>
      </c>
      <c r="E44" s="1509">
        <v>3.6855952000000025E-2</v>
      </c>
      <c r="F44" s="1509">
        <v>0.72878827899999998</v>
      </c>
      <c r="G44" s="1509">
        <v>2.2944600999999953E-2</v>
      </c>
      <c r="H44" s="1509">
        <v>2.2944600999999953E-2</v>
      </c>
      <c r="I44" s="1509">
        <v>0.47500204999999995</v>
      </c>
      <c r="J44" s="1509">
        <v>0.47500204999999995</v>
      </c>
      <c r="K44" s="1509">
        <v>0.47369029100000004</v>
      </c>
      <c r="L44" s="1509">
        <v>0.47077609899999995</v>
      </c>
      <c r="M44" s="1509">
        <v>0.47275491700000005</v>
      </c>
      <c r="N44" s="1509">
        <v>0.47500204999999995</v>
      </c>
      <c r="O44" s="1509">
        <v>0.47500204999999995</v>
      </c>
      <c r="P44" s="1509">
        <v>0.46955377799999998</v>
      </c>
      <c r="Q44" s="1509">
        <v>0.72573534299999998</v>
      </c>
      <c r="R44" s="1509">
        <v>0.69196511799999993</v>
      </c>
      <c r="S44" s="1509">
        <v>0.64405124800000002</v>
      </c>
      <c r="T44" s="1509">
        <v>0.71066772999999994</v>
      </c>
      <c r="U44" s="1509">
        <v>0.59796826400000003</v>
      </c>
      <c r="V44" s="1509">
        <v>0.67848119200000001</v>
      </c>
      <c r="W44" s="1509">
        <v>0.68861378399999995</v>
      </c>
      <c r="X44" s="1509">
        <v>0.76664107700000006</v>
      </c>
      <c r="Y44" s="1509">
        <v>0.40796073700000002</v>
      </c>
      <c r="Z44" s="1509">
        <v>0.52313838300000004</v>
      </c>
      <c r="AA44" s="1509">
        <v>0.52032108300000002</v>
      </c>
      <c r="AB44" s="1509">
        <v>0.48957300800000003</v>
      </c>
      <c r="AC44" s="1509">
        <v>0.48957300800000003</v>
      </c>
      <c r="AD44" s="1509">
        <v>0.48957300800000003</v>
      </c>
      <c r="AE44" s="1509">
        <v>0.65354747700000004</v>
      </c>
      <c r="AF44" s="1509">
        <v>0.81998345399999994</v>
      </c>
      <c r="AG44" s="1509">
        <v>0.49434303999999996</v>
      </c>
      <c r="AH44" s="1509">
        <v>0.50324213099999993</v>
      </c>
      <c r="AI44" s="1509">
        <v>0.49520760799999997</v>
      </c>
      <c r="AJ44" s="1509">
        <v>0.51508522699999992</v>
      </c>
      <c r="AK44" s="1509">
        <v>0.93025892700000001</v>
      </c>
      <c r="AL44" s="1509">
        <v>0.63222009200000007</v>
      </c>
      <c r="AM44" s="1509">
        <v>0.72164740799999993</v>
      </c>
      <c r="AN44" s="1509">
        <v>0.64526717</v>
      </c>
      <c r="AO44" s="1509">
        <v>0.65341609599999995</v>
      </c>
      <c r="AP44" s="1509">
        <v>0.50554823300000007</v>
      </c>
      <c r="AQ44" s="1509">
        <v>0.86287647899999997</v>
      </c>
      <c r="AR44" s="1509">
        <v>0.88669731100000004</v>
      </c>
      <c r="AS44" s="1509">
        <v>0.96993712200000004</v>
      </c>
      <c r="AT44" s="1509">
        <v>0.902539702</v>
      </c>
      <c r="AU44" s="1509">
        <v>0.89518348300000006</v>
      </c>
      <c r="AV44" s="1509">
        <v>0.92430182400000005</v>
      </c>
      <c r="AW44" s="1509">
        <v>0.80721616399999996</v>
      </c>
      <c r="AX44" s="1509">
        <v>0.36853461200000004</v>
      </c>
      <c r="AY44" s="1509">
        <v>0.31605684300000003</v>
      </c>
      <c r="AZ44" s="1509">
        <v>7.1670738999999983E-2</v>
      </c>
      <c r="BA44" s="1509">
        <v>6.518723999999998E-2</v>
      </c>
      <c r="BB44" s="1509">
        <v>5.2842171999999965E-2</v>
      </c>
      <c r="BC44" s="1509">
        <v>0.91714452599999996</v>
      </c>
      <c r="BD44" s="1509">
        <v>0.91650652600000004</v>
      </c>
      <c r="BE44" s="1509">
        <v>4.3665069999999639E-3</v>
      </c>
      <c r="BF44" s="1509">
        <v>0.92314787799999998</v>
      </c>
      <c r="BG44" s="1509">
        <v>9.2377825000000025E-2</v>
      </c>
      <c r="BH44" s="1509">
        <v>0.64520276399999998</v>
      </c>
      <c r="BI44" s="1509">
        <v>0.64060042799999994</v>
      </c>
      <c r="BJ44" s="1509">
        <v>0.57837759300000002</v>
      </c>
      <c r="BK44" s="1509">
        <v>0.68676166999999999</v>
      </c>
      <c r="BL44" s="1509">
        <v>0.59078340299999998</v>
      </c>
      <c r="BM44" s="1509">
        <v>0.78720356899999999</v>
      </c>
      <c r="BN44" s="1509">
        <v>0.77876366699999999</v>
      </c>
      <c r="BO44" s="1509">
        <v>0.23786436700000002</v>
      </c>
      <c r="BP44" s="1509">
        <v>0.28527401600000002</v>
      </c>
      <c r="BQ44" s="1509">
        <v>0.13927003599999999</v>
      </c>
      <c r="BR44" s="1509">
        <v>5.2921271999999964E-2</v>
      </c>
      <c r="BS44" s="1509">
        <v>0.47551259199999996</v>
      </c>
      <c r="BT44" s="1509">
        <v>0.94007991499999999</v>
      </c>
      <c r="BU44" s="1509">
        <v>0.61855227499999998</v>
      </c>
      <c r="BV44" s="1509">
        <v>0.51369900700000004</v>
      </c>
      <c r="BW44" s="1509">
        <v>4.9032845000000047E-2</v>
      </c>
      <c r="BX44" s="1509">
        <v>0.969596495</v>
      </c>
      <c r="BY44" s="1509">
        <v>0.96785400200000005</v>
      </c>
      <c r="BZ44" s="1509">
        <v>0.96079116799999997</v>
      </c>
      <c r="CA44" s="1509">
        <v>2.1469120000000008E-2</v>
      </c>
      <c r="CB44" s="1509">
        <v>2.3565305999999953E-2</v>
      </c>
      <c r="CC44" s="1509">
        <v>1.087629499999998E-2</v>
      </c>
      <c r="CD44" s="1509">
        <v>0.49960836399999997</v>
      </c>
      <c r="CE44" s="1509">
        <v>3.1606902000000048E-2</v>
      </c>
      <c r="CF44" s="1509">
        <v>0.16277144099999996</v>
      </c>
      <c r="CG44" s="1509">
        <v>0.48414709600000005</v>
      </c>
      <c r="CH44" s="1509">
        <v>0.73137637799999999</v>
      </c>
      <c r="CI44" s="1509">
        <v>0.36023432799999999</v>
      </c>
      <c r="CJ44" s="1509">
        <v>0.42219250200000003</v>
      </c>
      <c r="CK44" s="1509">
        <v>0.42475177799999997</v>
      </c>
      <c r="CL44" s="1509">
        <v>0.42475177799999997</v>
      </c>
      <c r="CM44" s="1509">
        <v>0.73392290399999993</v>
      </c>
      <c r="CN44" s="1509">
        <v>0.89159511499999999</v>
      </c>
      <c r="CO44" s="1509">
        <v>0.71509776000000003</v>
      </c>
      <c r="CP44" s="1509">
        <v>0.86185314800000001</v>
      </c>
      <c r="CQ44" s="1509">
        <v>0.80573670900000005</v>
      </c>
      <c r="CR44" s="1509">
        <v>0.83974182200000003</v>
      </c>
      <c r="CS44" s="1509">
        <v>4.5315310000000331E-3</v>
      </c>
      <c r="CT44" s="1509">
        <v>0.183977909</v>
      </c>
      <c r="CU44" s="1509">
        <v>1.0181038000000031E-2</v>
      </c>
      <c r="CV44" s="1509">
        <v>0.30592981500000005</v>
      </c>
      <c r="CW44" s="1509">
        <v>0.30592981500000005</v>
      </c>
      <c r="CX44" s="1509">
        <v>0.23280056400000004</v>
      </c>
      <c r="CY44" s="1509">
        <v>0.21299782</v>
      </c>
      <c r="CZ44" s="1509">
        <v>0.53737620900000005</v>
      </c>
      <c r="DA44" s="1509">
        <v>0.53035161200000003</v>
      </c>
      <c r="DB44" s="1509">
        <v>0.63651247700000002</v>
      </c>
      <c r="DC44" s="1509">
        <v>0.58489316499999999</v>
      </c>
      <c r="DD44" s="1509">
        <v>0.64599563999999998</v>
      </c>
      <c r="DE44" s="1509">
        <v>0.78092145800000001</v>
      </c>
      <c r="DF44" s="1509">
        <v>0.40434514700000002</v>
      </c>
      <c r="DG44" s="1509">
        <v>0.82110762599999998</v>
      </c>
      <c r="DH44" s="1509">
        <v>0.81791591200000002</v>
      </c>
      <c r="DI44" s="1509">
        <v>0.80456037999999996</v>
      </c>
      <c r="DJ44" s="1509">
        <v>0.76730885800000004</v>
      </c>
      <c r="DK44" s="1509">
        <v>0.81876430499999997</v>
      </c>
      <c r="DL44" s="1509">
        <v>0.94615562500000006</v>
      </c>
      <c r="DM44" s="1509">
        <v>0.93994166499999998</v>
      </c>
      <c r="DN44" s="1509">
        <v>0.17567280299999999</v>
      </c>
      <c r="DO44" s="1509">
        <v>7.2870569999999857E-3</v>
      </c>
      <c r="DP44" s="1509">
        <v>0.43188161999999997</v>
      </c>
      <c r="DQ44" s="1509">
        <v>0.53210502999999998</v>
      </c>
      <c r="DR44" s="1509">
        <v>0.53349247</v>
      </c>
      <c r="DS44" s="1509">
        <v>0.99384938099999998</v>
      </c>
      <c r="DT44" s="1509">
        <v>0.76114731400000002</v>
      </c>
      <c r="DU44" s="1509">
        <v>0.58544320300000008</v>
      </c>
      <c r="DV44" s="1509">
        <v>0.48957300800000003</v>
      </c>
      <c r="DW44" s="1509">
        <v>0.208366991</v>
      </c>
      <c r="DX44" s="1509">
        <v>0.91294756099999996</v>
      </c>
      <c r="DY44" s="1509">
        <v>0.10788036899999998</v>
      </c>
      <c r="DZ44" s="1509">
        <v>0.899242086</v>
      </c>
      <c r="EA44" s="1509">
        <v>0.42116879100000004</v>
      </c>
      <c r="EB44" s="1509">
        <v>0.81575005</v>
      </c>
      <c r="EC44" s="1509">
        <v>0.60979272699999998</v>
      </c>
      <c r="ED44" s="1509">
        <v>0.32376966699999998</v>
      </c>
      <c r="EE44" s="1509">
        <v>2.5094551999999992E-2</v>
      </c>
      <c r="EF44" s="1509">
        <v>0.47108293199999995</v>
      </c>
      <c r="EG44" s="1509">
        <v>0.96613881999999995</v>
      </c>
      <c r="EH44" s="1509">
        <v>0.65016621500000005</v>
      </c>
      <c r="EI44" s="1509">
        <v>0.19074545099999995</v>
      </c>
      <c r="EJ44" s="1509">
        <v>0.16277144099999996</v>
      </c>
      <c r="EK44" s="1509">
        <v>0.85446557000000001</v>
      </c>
      <c r="EL44" s="1509">
        <v>0.65240666300000005</v>
      </c>
      <c r="EM44" s="1509">
        <v>0.52517039300000001</v>
      </c>
      <c r="EN44" s="1509">
        <v>0.73097618600000003</v>
      </c>
      <c r="EO44" s="1509">
        <v>0.45755571699999997</v>
      </c>
      <c r="EP44" s="1509">
        <v>0.961189921</v>
      </c>
      <c r="EQ44" s="1509">
        <v>0.95120586600000001</v>
      </c>
      <c r="ER44" s="1509">
        <v>6.797217000000022E-3</v>
      </c>
      <c r="ES44" s="1509">
        <v>6.797217000000022E-3</v>
      </c>
      <c r="ET44" s="1509">
        <v>0.12263060100000001</v>
      </c>
      <c r="EU44" s="1509">
        <v>0.98134603499999995</v>
      </c>
      <c r="EV44" s="1509">
        <v>0.48957300800000003</v>
      </c>
      <c r="EW44" s="1509">
        <v>0.52529654399999992</v>
      </c>
      <c r="EX44" s="1509">
        <v>5.0987384999999996E-2</v>
      </c>
      <c r="EY44" s="1509">
        <v>2.2345508000000014E-2</v>
      </c>
      <c r="EZ44" s="1509">
        <v>0.97086376299999999</v>
      </c>
      <c r="FA44" s="1509">
        <v>0.17320761200000001</v>
      </c>
      <c r="FB44" s="1509">
        <v>0.77277751800000005</v>
      </c>
      <c r="FC44" s="1509">
        <v>0.20332760900000002</v>
      </c>
      <c r="FD44" s="1509">
        <v>6.1389604000000042E-2</v>
      </c>
      <c r="FE44" s="1509">
        <v>4.5802786999999956E-2</v>
      </c>
      <c r="FF44" s="1509">
        <v>0.75730198500000001</v>
      </c>
      <c r="FG44" s="1509">
        <v>0.453904101</v>
      </c>
      <c r="FH44" s="1509">
        <v>0.43326905999999998</v>
      </c>
      <c r="FI44" s="1509">
        <v>0.41866842400000004</v>
      </c>
      <c r="FJ44" s="1509">
        <v>0.41926997300000002</v>
      </c>
      <c r="FK44" s="1509">
        <v>0.984421345</v>
      </c>
      <c r="FL44" s="1509">
        <v>0.81791591200000002</v>
      </c>
      <c r="FM44" s="1509">
        <v>0.65868928500000001</v>
      </c>
      <c r="FN44" s="1509">
        <v>4.5799762999999993E-2</v>
      </c>
      <c r="FO44" s="1509">
        <v>0.99877643100000002</v>
      </c>
      <c r="FP44" s="1509">
        <v>0.34834828500000004</v>
      </c>
      <c r="FQ44" s="1509">
        <v>0.96785400200000005</v>
      </c>
      <c r="FR44" s="1509">
        <v>2.3363714000000035E-2</v>
      </c>
      <c r="FS44" s="1509">
        <v>2.4021090000000411E-3</v>
      </c>
      <c r="FT44" s="1509">
        <v>0.73035991900000008</v>
      </c>
      <c r="FU44" s="1509">
        <v>0.53980368299999992</v>
      </c>
    </row>
    <row r="45" spans="1:177" s="1509" customFormat="1" x14ac:dyDescent="0.2">
      <c r="A45" s="1512" t="s">
        <v>661</v>
      </c>
      <c r="B45" s="1512" t="s">
        <v>1011</v>
      </c>
      <c r="C45" s="1509">
        <v>0.68050845599999998</v>
      </c>
      <c r="D45" s="1509">
        <v>0.98817553700000005</v>
      </c>
      <c r="E45" s="1509">
        <v>0.85599347100000001</v>
      </c>
      <c r="F45" s="1509">
        <v>0.65511965299999997</v>
      </c>
      <c r="G45" s="1509">
        <v>0.91849952700000004</v>
      </c>
      <c r="H45" s="1509">
        <v>0.70084444499999998</v>
      </c>
      <c r="I45" s="1509">
        <v>0.91948334600000003</v>
      </c>
      <c r="J45" s="1509">
        <v>0.90925758899999998</v>
      </c>
      <c r="K45" s="1509">
        <v>0.934482861</v>
      </c>
      <c r="L45" s="1509">
        <v>0.88882843499999997</v>
      </c>
      <c r="M45" s="1509">
        <v>0.93471018299999997</v>
      </c>
      <c r="N45" s="1509">
        <v>0.979142289</v>
      </c>
      <c r="O45" s="1509">
        <v>0.95608961699999995</v>
      </c>
      <c r="P45" s="1509">
        <v>0.93911128300000002</v>
      </c>
      <c r="Q45" s="1509">
        <v>0.79165703099999996</v>
      </c>
      <c r="R45" s="1509">
        <v>0.96203740299999996</v>
      </c>
      <c r="S45" s="1509">
        <v>0.98418063499999997</v>
      </c>
      <c r="T45" s="1509">
        <v>0.48846621099999998</v>
      </c>
      <c r="U45" s="1509">
        <v>0.50755751999999998</v>
      </c>
      <c r="V45" s="1509">
        <v>0.72068107100000001</v>
      </c>
      <c r="W45" s="1509">
        <v>0.83343643599999995</v>
      </c>
      <c r="X45" s="1509">
        <v>0.62348793700000005</v>
      </c>
      <c r="Y45" s="1509">
        <v>0.95408843899999995</v>
      </c>
      <c r="Z45" s="1509">
        <v>0.729636061</v>
      </c>
      <c r="AA45" s="1509">
        <v>0.94749237900000005</v>
      </c>
      <c r="AB45" s="1509">
        <v>0.82425412300000001</v>
      </c>
      <c r="AC45" s="1509">
        <v>0.77927793599999995</v>
      </c>
      <c r="AD45" s="1509">
        <v>0.59727139200000001</v>
      </c>
      <c r="AE45" s="1509">
        <v>0.88380715099999996</v>
      </c>
      <c r="AF45" s="1509">
        <v>0.75523026599999998</v>
      </c>
      <c r="AG45" s="1509">
        <v>0.99996273400000002</v>
      </c>
      <c r="AH45" s="1509">
        <v>0.75657183699999997</v>
      </c>
      <c r="AI45" s="1509">
        <v>0.77334148199999997</v>
      </c>
      <c r="AJ45" s="1509">
        <v>0.75228998800000002</v>
      </c>
      <c r="AK45" s="1509">
        <v>0.92289616799999996</v>
      </c>
      <c r="AL45" s="1509">
        <v>0.657075933</v>
      </c>
      <c r="AM45" s="1509">
        <v>0.97480101200000002</v>
      </c>
      <c r="AN45" s="1509">
        <v>0.76201949999999996</v>
      </c>
      <c r="AO45" s="1509">
        <v>0.61277156600000005</v>
      </c>
      <c r="AP45" s="1509">
        <v>0</v>
      </c>
      <c r="AQ45" s="1509">
        <v>0.91576048499999996</v>
      </c>
      <c r="AR45" s="1509">
        <v>0.55402247599999999</v>
      </c>
      <c r="AS45" s="1509">
        <v>0.154319185</v>
      </c>
      <c r="AT45" s="1509">
        <v>2.745707E-2</v>
      </c>
      <c r="AU45" s="1509">
        <v>2.1230802E-2</v>
      </c>
      <c r="AV45" s="1509">
        <v>0.74900313799999996</v>
      </c>
      <c r="AW45" s="1509">
        <v>0.930655656</v>
      </c>
      <c r="AX45" s="1509">
        <v>0.990451792</v>
      </c>
      <c r="AY45" s="1509">
        <v>0.86183211100000001</v>
      </c>
      <c r="AZ45" s="1509">
        <v>0.87591638599999999</v>
      </c>
      <c r="BA45" s="1509">
        <v>0.87709420299999996</v>
      </c>
      <c r="BB45" s="1509">
        <v>0.951748013</v>
      </c>
      <c r="BC45" s="1509">
        <v>6.1194212999999997E-2</v>
      </c>
      <c r="BD45" s="1509">
        <v>0.97893830599999998</v>
      </c>
      <c r="BE45" s="1509">
        <v>0.99975547600000003</v>
      </c>
      <c r="BF45" s="1509">
        <v>0.13354189999999999</v>
      </c>
      <c r="BG45" s="1509">
        <v>0.25124882100000001</v>
      </c>
      <c r="BH45" s="1509">
        <v>0.71104038899999999</v>
      </c>
      <c r="BI45" s="1509">
        <v>0.59664905199999996</v>
      </c>
      <c r="BJ45" s="1509">
        <v>0.51278592199999995</v>
      </c>
      <c r="BK45" s="1509">
        <v>0.97589643100000001</v>
      </c>
      <c r="BL45" s="1509">
        <v>1.7559681000000001E-2</v>
      </c>
      <c r="BM45" s="1509">
        <v>0</v>
      </c>
      <c r="BN45" s="1509">
        <v>0.89992994000000004</v>
      </c>
      <c r="BO45" s="1509">
        <v>0.982268896</v>
      </c>
      <c r="BP45" s="1509">
        <v>0.985324698</v>
      </c>
      <c r="BQ45" s="1509">
        <v>0.97512129999999997</v>
      </c>
      <c r="BR45" s="1509">
        <v>0.40784148599999998</v>
      </c>
      <c r="BS45" s="1509">
        <v>1.7559681000000001E-2</v>
      </c>
      <c r="BT45" s="1509">
        <v>0.87595491299999995</v>
      </c>
      <c r="BU45" s="1509">
        <v>0.56564956099999997</v>
      </c>
      <c r="BV45" s="1509">
        <v>0.91104176299999995</v>
      </c>
      <c r="BW45" s="1509">
        <v>0</v>
      </c>
      <c r="BX45" s="1509">
        <v>0.89766265499999998</v>
      </c>
      <c r="BY45" s="1509">
        <v>5.0035230000000002E-3</v>
      </c>
      <c r="BZ45" s="1509">
        <v>5.0035230000000002E-3</v>
      </c>
      <c r="CA45" s="1509">
        <v>0</v>
      </c>
      <c r="CB45" s="1509">
        <v>0</v>
      </c>
      <c r="CC45" s="1509">
        <v>0.85016374100000003</v>
      </c>
      <c r="CD45" s="1509">
        <v>0.99643424599999997</v>
      </c>
      <c r="CE45" s="1509">
        <v>0.83443115800000001</v>
      </c>
      <c r="CF45" s="1509">
        <v>0.52433738900000004</v>
      </c>
      <c r="CG45" s="1509">
        <v>0.78305669600000005</v>
      </c>
      <c r="CH45" s="1509">
        <v>0.970627036</v>
      </c>
      <c r="CI45" s="1509">
        <v>0.98713581900000003</v>
      </c>
      <c r="CJ45" s="1509">
        <v>0.96746141799999996</v>
      </c>
      <c r="CK45" s="1509">
        <v>0.56985998299999996</v>
      </c>
      <c r="CL45" s="1509">
        <v>0.493307355</v>
      </c>
      <c r="CM45" s="1509">
        <v>0.81393011500000001</v>
      </c>
      <c r="CN45" s="1509">
        <v>0.841010645</v>
      </c>
      <c r="CO45" s="1509">
        <v>4.3997522999999997E-2</v>
      </c>
      <c r="CP45" s="1509">
        <v>4.3997522999999997E-2</v>
      </c>
      <c r="CQ45" s="1509">
        <v>0.99986956900000001</v>
      </c>
      <c r="CR45" s="1509">
        <v>0.99967578700000004</v>
      </c>
      <c r="CS45" s="1509">
        <v>0.797154378</v>
      </c>
      <c r="CT45" s="1509">
        <v>0.38095788200000003</v>
      </c>
      <c r="CU45" s="1509">
        <v>0.544603528</v>
      </c>
      <c r="CV45" s="1509">
        <v>0.88224027500000002</v>
      </c>
      <c r="CW45" s="1509">
        <v>0.68419633199999996</v>
      </c>
      <c r="CX45" s="1509">
        <v>0.98521123700000002</v>
      </c>
      <c r="CY45" s="1509">
        <v>0.99706646399999999</v>
      </c>
      <c r="CZ45" s="1509">
        <v>0.90623310099999999</v>
      </c>
      <c r="DA45" s="1509">
        <v>0.97111503200000004</v>
      </c>
      <c r="DB45" s="1509">
        <v>0.96487274499999998</v>
      </c>
      <c r="DC45" s="1509">
        <v>0.57415907099999997</v>
      </c>
      <c r="DD45" s="1509">
        <v>0.92735400400000001</v>
      </c>
      <c r="DE45" s="1509">
        <v>0.687184393</v>
      </c>
      <c r="DF45" s="1509">
        <v>0.77595452499999995</v>
      </c>
      <c r="DG45" s="1509">
        <v>0.88606407300000001</v>
      </c>
      <c r="DH45" s="1509">
        <v>0.227264784</v>
      </c>
      <c r="DI45" s="1509">
        <v>0.47442489399999999</v>
      </c>
      <c r="DJ45" s="1509">
        <v>0.89071453199999995</v>
      </c>
      <c r="DK45" s="1509">
        <v>0.99383299400000003</v>
      </c>
      <c r="DL45" s="1509">
        <v>0.73173297100000001</v>
      </c>
      <c r="DM45" s="1509">
        <v>4.3997522999999997E-2</v>
      </c>
      <c r="DN45" s="1509">
        <v>0.123400366</v>
      </c>
      <c r="DO45" s="1509">
        <v>0.95677299999999998</v>
      </c>
      <c r="DP45" s="1509">
        <v>0.94785083400000003</v>
      </c>
      <c r="DQ45" s="1509">
        <v>0.99719780899999999</v>
      </c>
      <c r="DR45" s="1509">
        <v>0.97177597800000004</v>
      </c>
      <c r="DS45" s="1509">
        <v>0.96578376700000002</v>
      </c>
      <c r="DT45" s="1509">
        <v>0.98961605100000005</v>
      </c>
      <c r="DU45" s="1509">
        <v>0.70606912099999997</v>
      </c>
      <c r="DV45" s="1509">
        <v>0.84065110899999995</v>
      </c>
      <c r="DW45" s="1509">
        <v>0.48154840399999999</v>
      </c>
      <c r="DX45" s="1509">
        <v>0.33894722300000002</v>
      </c>
      <c r="DY45" s="1509">
        <v>0.58709794599999998</v>
      </c>
      <c r="DZ45" s="1509">
        <v>0.19649638</v>
      </c>
      <c r="EA45" s="1509">
        <v>0.91830130099999996</v>
      </c>
      <c r="EB45" s="1509">
        <v>0.43671881400000001</v>
      </c>
      <c r="EC45" s="1509">
        <v>0.77937482800000002</v>
      </c>
      <c r="ED45" s="1509">
        <v>0.96503342700000005</v>
      </c>
      <c r="EE45" s="1509">
        <v>0.96158981899999996</v>
      </c>
      <c r="EF45" s="1509">
        <v>0.96452788199999995</v>
      </c>
      <c r="EG45" s="1509">
        <v>0.24273096199999999</v>
      </c>
      <c r="EH45" s="1509">
        <v>0.99175527799999996</v>
      </c>
      <c r="EI45" s="1509">
        <v>0.74489194599999997</v>
      </c>
      <c r="EJ45" s="1509">
        <v>0.59021431800000002</v>
      </c>
      <c r="EK45" s="1509">
        <v>0.944097458</v>
      </c>
      <c r="EL45" s="1509">
        <v>0.68726717500000001</v>
      </c>
      <c r="EM45" s="1509">
        <v>0.94177650599999996</v>
      </c>
      <c r="EN45" s="1509">
        <v>0.96298715000000001</v>
      </c>
      <c r="EO45" s="1509">
        <v>0.47434211100000001</v>
      </c>
      <c r="EP45" s="1509">
        <v>0.52558843300000002</v>
      </c>
      <c r="EQ45" s="1509">
        <v>0.96916145099999995</v>
      </c>
      <c r="ER45" s="1509">
        <v>0.96977852600000003</v>
      </c>
      <c r="ES45" s="1509">
        <v>0.96507275999999997</v>
      </c>
      <c r="ET45" s="1509">
        <v>0.908886784</v>
      </c>
      <c r="EU45" s="1509">
        <v>0.42949456800000002</v>
      </c>
      <c r="EV45" s="1509">
        <v>0.69942834099999995</v>
      </c>
      <c r="EW45" s="1509">
        <v>0.97559627599999998</v>
      </c>
      <c r="EX45" s="1509">
        <v>0.30470246400000001</v>
      </c>
      <c r="EY45" s="1509">
        <v>0.93444400400000005</v>
      </c>
      <c r="EZ45" s="1509">
        <v>0.90874578699999997</v>
      </c>
      <c r="FA45" s="1509">
        <v>0.83555757799999997</v>
      </c>
      <c r="FB45" s="1509">
        <v>0.75145614599999999</v>
      </c>
      <c r="FC45" s="1509">
        <v>0.83149505800000001</v>
      </c>
      <c r="FD45" s="1509">
        <v>0.88831098799999997</v>
      </c>
      <c r="FE45" s="1509">
        <v>0.98503511399999999</v>
      </c>
      <c r="FF45" s="1509">
        <v>0.65896432999999999</v>
      </c>
      <c r="FG45" s="1509">
        <v>0.75501062399999996</v>
      </c>
      <c r="FH45" s="1509">
        <v>0.84968127100000002</v>
      </c>
      <c r="FI45" s="1509">
        <v>0.62522851899999998</v>
      </c>
      <c r="FJ45" s="1509">
        <v>0.99837086900000005</v>
      </c>
      <c r="FK45" s="1509">
        <v>0.96580015399999997</v>
      </c>
      <c r="FL45" s="1509">
        <v>0.99541938399999996</v>
      </c>
      <c r="FM45" s="1509">
        <v>0.29683016400000001</v>
      </c>
      <c r="FN45" s="1509">
        <v>0.96029320799999995</v>
      </c>
      <c r="FO45" s="1509">
        <v>0.99507294999999996</v>
      </c>
      <c r="FP45" s="1509">
        <v>0.57535819099999996</v>
      </c>
      <c r="FQ45" s="1509">
        <v>0.95438381800000005</v>
      </c>
      <c r="FR45" s="1509">
        <v>0.700162913</v>
      </c>
      <c r="FS45" s="1509">
        <v>0.37430381400000001</v>
      </c>
      <c r="FT45" s="1509">
        <v>0.37172895299999997</v>
      </c>
      <c r="FU45" s="1509">
        <v>0.96402724900000003</v>
      </c>
    </row>
    <row r="46" spans="1:177" s="1509" customFormat="1" x14ac:dyDescent="0.2">
      <c r="A46" s="1512" t="s">
        <v>663</v>
      </c>
      <c r="B46" s="1512" t="s">
        <v>1330</v>
      </c>
      <c r="C46" s="1509">
        <v>0</v>
      </c>
      <c r="D46" s="1509">
        <v>0</v>
      </c>
      <c r="E46" s="1509">
        <v>0</v>
      </c>
      <c r="F46" s="1509">
        <v>0</v>
      </c>
      <c r="G46" s="1509">
        <v>0</v>
      </c>
      <c r="H46" s="1509">
        <v>0</v>
      </c>
      <c r="I46" s="1509">
        <v>0</v>
      </c>
      <c r="J46" s="1509">
        <v>0</v>
      </c>
      <c r="K46" s="1509">
        <v>1</v>
      </c>
      <c r="L46" s="1509">
        <v>0</v>
      </c>
      <c r="M46" s="1509">
        <v>0</v>
      </c>
      <c r="N46" s="1509">
        <v>1</v>
      </c>
      <c r="O46" s="1509">
        <v>0</v>
      </c>
      <c r="P46" s="1509">
        <v>1</v>
      </c>
      <c r="Q46" s="1509">
        <v>0</v>
      </c>
      <c r="R46" s="1509">
        <v>0</v>
      </c>
      <c r="S46" s="1509">
        <v>0</v>
      </c>
      <c r="T46" s="1509">
        <v>0</v>
      </c>
      <c r="U46" s="1509">
        <v>0</v>
      </c>
      <c r="V46" s="1509">
        <v>0</v>
      </c>
      <c r="W46" s="1509">
        <v>0</v>
      </c>
      <c r="X46" s="1509">
        <v>0</v>
      </c>
      <c r="Y46" s="1509">
        <v>0</v>
      </c>
      <c r="Z46" s="1509">
        <v>0</v>
      </c>
      <c r="AA46" s="1509">
        <v>1</v>
      </c>
      <c r="AB46" s="1509">
        <v>0</v>
      </c>
      <c r="AC46" s="1509">
        <v>0</v>
      </c>
      <c r="AD46" s="1509">
        <v>0</v>
      </c>
      <c r="AE46" s="1509">
        <v>1</v>
      </c>
      <c r="AF46" s="1509">
        <v>0</v>
      </c>
      <c r="AG46" s="1509">
        <v>1</v>
      </c>
      <c r="AH46" s="1509">
        <v>0</v>
      </c>
      <c r="AI46" s="1509">
        <v>0</v>
      </c>
      <c r="AJ46" s="1509">
        <v>0</v>
      </c>
      <c r="AK46" s="1509">
        <v>0</v>
      </c>
      <c r="AL46" s="1509">
        <v>1</v>
      </c>
      <c r="AM46" s="1509">
        <v>1</v>
      </c>
      <c r="AN46" s="1509">
        <v>0</v>
      </c>
      <c r="AO46" s="1509">
        <v>0</v>
      </c>
      <c r="AP46" s="1509">
        <v>0</v>
      </c>
      <c r="AQ46" s="1509">
        <v>0</v>
      </c>
      <c r="AR46" s="1509">
        <v>1</v>
      </c>
      <c r="AS46" s="1509">
        <v>0</v>
      </c>
      <c r="AT46" s="1509">
        <v>0</v>
      </c>
      <c r="AU46" s="1509">
        <v>0</v>
      </c>
      <c r="AV46" s="1509">
        <v>1</v>
      </c>
      <c r="AW46" s="1509">
        <v>0</v>
      </c>
      <c r="AX46" s="1509">
        <v>0</v>
      </c>
      <c r="AY46" s="1509">
        <v>1</v>
      </c>
      <c r="AZ46" s="1509">
        <v>1</v>
      </c>
      <c r="BA46" s="1509">
        <v>1</v>
      </c>
      <c r="BB46" s="1509">
        <v>1</v>
      </c>
      <c r="BC46" s="1509">
        <v>0</v>
      </c>
      <c r="BD46" s="1509">
        <v>1</v>
      </c>
      <c r="BE46" s="1509">
        <v>1</v>
      </c>
      <c r="BF46" s="1509">
        <v>0</v>
      </c>
      <c r="BG46" s="1509">
        <v>0</v>
      </c>
      <c r="BH46" s="1509">
        <v>0</v>
      </c>
      <c r="BI46" s="1509">
        <v>0</v>
      </c>
      <c r="BJ46" s="1509">
        <v>0</v>
      </c>
      <c r="BK46" s="1509">
        <v>1</v>
      </c>
      <c r="BL46" s="1509">
        <v>1</v>
      </c>
      <c r="BM46" s="1509">
        <v>1</v>
      </c>
      <c r="BN46" s="1509">
        <v>0</v>
      </c>
      <c r="BO46" s="1509">
        <v>1</v>
      </c>
      <c r="BP46" s="1509">
        <v>1</v>
      </c>
      <c r="BQ46" s="1509">
        <v>0</v>
      </c>
      <c r="BR46" s="1509">
        <v>0</v>
      </c>
      <c r="BS46" s="1509">
        <v>0</v>
      </c>
      <c r="BT46" s="1509">
        <v>0</v>
      </c>
      <c r="BU46" s="1509">
        <v>0</v>
      </c>
      <c r="BV46" s="1509">
        <v>0</v>
      </c>
      <c r="BW46" s="1509">
        <v>0</v>
      </c>
      <c r="BX46" s="1509">
        <v>1</v>
      </c>
      <c r="BY46" s="1509">
        <v>0</v>
      </c>
      <c r="BZ46" s="1509">
        <v>1</v>
      </c>
      <c r="CA46" s="1509">
        <v>1</v>
      </c>
      <c r="CB46" s="1509">
        <v>1</v>
      </c>
      <c r="CC46" s="1509">
        <v>1</v>
      </c>
      <c r="CD46" s="1509">
        <v>1</v>
      </c>
      <c r="CE46" s="1509">
        <v>0</v>
      </c>
      <c r="CF46" s="1509">
        <v>0</v>
      </c>
      <c r="CG46" s="1509">
        <v>0</v>
      </c>
      <c r="CH46" s="1509">
        <v>1</v>
      </c>
      <c r="CI46" s="1509">
        <v>0</v>
      </c>
      <c r="CJ46" s="1509">
        <v>1</v>
      </c>
      <c r="CK46" s="1509">
        <v>0</v>
      </c>
      <c r="CL46" s="1509">
        <v>0</v>
      </c>
      <c r="CM46" s="1509">
        <v>0</v>
      </c>
      <c r="CN46" s="1509">
        <v>0</v>
      </c>
      <c r="CO46" s="1509">
        <v>0</v>
      </c>
      <c r="CP46" s="1509">
        <v>1</v>
      </c>
      <c r="CQ46" s="1509">
        <v>1</v>
      </c>
      <c r="CR46" s="1509">
        <v>1</v>
      </c>
      <c r="CS46" s="1509">
        <v>0</v>
      </c>
      <c r="CT46" s="1509">
        <v>0</v>
      </c>
      <c r="CU46" s="1509">
        <v>0</v>
      </c>
      <c r="CV46" s="1509">
        <v>0</v>
      </c>
      <c r="CW46" s="1509">
        <v>0</v>
      </c>
      <c r="CX46" s="1509">
        <v>1</v>
      </c>
      <c r="CY46" s="1509">
        <v>1</v>
      </c>
      <c r="CZ46" s="1509">
        <v>1</v>
      </c>
      <c r="DA46" s="1509">
        <v>1</v>
      </c>
      <c r="DB46" s="1509">
        <v>1</v>
      </c>
      <c r="DC46" s="1509">
        <v>1</v>
      </c>
      <c r="DD46" s="1509">
        <v>1</v>
      </c>
      <c r="DE46" s="1509">
        <v>0</v>
      </c>
      <c r="DF46" s="1509">
        <v>1</v>
      </c>
      <c r="DG46" s="1509">
        <v>1</v>
      </c>
      <c r="DH46" s="1509">
        <v>0</v>
      </c>
      <c r="DI46" s="1509">
        <v>1</v>
      </c>
      <c r="DJ46" s="1509">
        <v>1</v>
      </c>
      <c r="DK46" s="1509">
        <v>1</v>
      </c>
      <c r="DL46" s="1509">
        <v>1</v>
      </c>
      <c r="DM46" s="1509">
        <v>1</v>
      </c>
      <c r="DN46" s="1509">
        <v>0</v>
      </c>
      <c r="DO46" s="1509">
        <v>0</v>
      </c>
      <c r="DP46" s="1509">
        <v>0</v>
      </c>
      <c r="DQ46" s="1509">
        <v>1</v>
      </c>
      <c r="DR46" s="1509">
        <v>1</v>
      </c>
      <c r="DS46" s="1509">
        <v>1</v>
      </c>
      <c r="DT46" s="1509">
        <v>1</v>
      </c>
      <c r="DU46" s="1509">
        <v>0</v>
      </c>
      <c r="DV46" s="1509">
        <v>0</v>
      </c>
      <c r="DW46" s="1509">
        <v>0</v>
      </c>
      <c r="DX46" s="1509">
        <v>0</v>
      </c>
      <c r="DY46" s="1509">
        <v>0</v>
      </c>
      <c r="DZ46" s="1509">
        <v>0</v>
      </c>
      <c r="EA46" s="1509">
        <v>0</v>
      </c>
      <c r="EB46" s="1509">
        <v>1</v>
      </c>
      <c r="EC46" s="1509">
        <v>0</v>
      </c>
      <c r="ED46" s="1509">
        <v>1</v>
      </c>
      <c r="EE46" s="1509">
        <v>0</v>
      </c>
      <c r="EF46" s="1509">
        <v>1</v>
      </c>
      <c r="EG46" s="1509">
        <v>0</v>
      </c>
      <c r="EH46" s="1509">
        <v>1</v>
      </c>
      <c r="EI46" s="1509">
        <v>0</v>
      </c>
      <c r="EJ46" s="1509">
        <v>0</v>
      </c>
      <c r="EK46" s="1509">
        <v>0</v>
      </c>
      <c r="EL46" s="1509">
        <v>1</v>
      </c>
      <c r="EM46" s="1509">
        <v>1</v>
      </c>
      <c r="EN46" s="1509">
        <v>1</v>
      </c>
      <c r="EO46" s="1509">
        <v>0</v>
      </c>
      <c r="EP46" s="1509">
        <v>0</v>
      </c>
      <c r="EQ46" s="1509">
        <v>1</v>
      </c>
      <c r="ER46" s="1509">
        <v>0</v>
      </c>
      <c r="ES46" s="1509">
        <v>0</v>
      </c>
      <c r="ET46" s="1509">
        <v>0</v>
      </c>
      <c r="EU46" s="1509">
        <v>1</v>
      </c>
      <c r="EV46" s="1509">
        <v>0</v>
      </c>
      <c r="EW46" s="1509">
        <v>0</v>
      </c>
      <c r="EX46" s="1509">
        <v>0</v>
      </c>
      <c r="EY46" s="1509">
        <v>0</v>
      </c>
      <c r="EZ46" s="1509">
        <v>0</v>
      </c>
      <c r="FA46" s="1509">
        <v>1</v>
      </c>
      <c r="FB46" s="1509">
        <v>0</v>
      </c>
      <c r="FC46" s="1509">
        <v>0</v>
      </c>
      <c r="FD46" s="1509">
        <v>1</v>
      </c>
      <c r="FE46" s="1509">
        <v>1</v>
      </c>
      <c r="FF46" s="1509">
        <v>0</v>
      </c>
      <c r="FG46" s="1509">
        <v>0</v>
      </c>
      <c r="FH46" s="1509">
        <v>0</v>
      </c>
      <c r="FI46" s="1509">
        <v>0</v>
      </c>
      <c r="FJ46" s="1509">
        <v>1</v>
      </c>
      <c r="FK46" s="1509">
        <v>0</v>
      </c>
      <c r="FL46" s="1509">
        <v>1</v>
      </c>
      <c r="FM46" s="1509">
        <v>0</v>
      </c>
      <c r="FN46" s="1509">
        <v>0</v>
      </c>
      <c r="FO46" s="1509">
        <v>1</v>
      </c>
      <c r="FP46" s="1509">
        <v>0</v>
      </c>
      <c r="FQ46" s="1509">
        <v>0</v>
      </c>
      <c r="FR46" s="1509">
        <v>0</v>
      </c>
      <c r="FS46" s="1509">
        <v>0</v>
      </c>
      <c r="FT46" s="1509">
        <v>0</v>
      </c>
      <c r="FU46" s="1509">
        <v>0</v>
      </c>
    </row>
    <row r="47" spans="1:177" s="1509" customFormat="1" x14ac:dyDescent="0.2">
      <c r="A47" s="1512" t="s">
        <v>663</v>
      </c>
      <c r="B47" s="1512" t="s">
        <v>1024</v>
      </c>
      <c r="C47" s="1509" t="s">
        <v>2372</v>
      </c>
      <c r="D47" s="1509">
        <v>0.50900900900000001</v>
      </c>
      <c r="E47" s="1509" t="s">
        <v>2372</v>
      </c>
      <c r="F47" s="1509" t="s">
        <v>2372</v>
      </c>
      <c r="G47" s="1509">
        <v>0</v>
      </c>
      <c r="H47" s="1509" t="s">
        <v>2372</v>
      </c>
      <c r="I47" s="1509">
        <v>0.70720720699999995</v>
      </c>
      <c r="J47" s="1509">
        <v>0.61711711700000005</v>
      </c>
      <c r="K47" s="1509">
        <v>0.71171171200000005</v>
      </c>
      <c r="L47" s="1509">
        <v>0.78828828799999995</v>
      </c>
      <c r="M47" s="1509">
        <v>0.76126126100000002</v>
      </c>
      <c r="N47" s="1509">
        <v>0</v>
      </c>
      <c r="O47" s="1509">
        <v>0</v>
      </c>
      <c r="P47" s="1509">
        <v>0</v>
      </c>
      <c r="Q47" s="1509" t="s">
        <v>2372</v>
      </c>
      <c r="R47" s="1509">
        <v>0</v>
      </c>
      <c r="S47" s="1509">
        <v>0</v>
      </c>
      <c r="T47" s="1509" t="s">
        <v>2372</v>
      </c>
      <c r="U47" s="1509" t="s">
        <v>2372</v>
      </c>
      <c r="V47" s="1509" t="s">
        <v>2372</v>
      </c>
      <c r="W47" s="1509">
        <v>0</v>
      </c>
      <c r="X47" s="1509" t="s">
        <v>2372</v>
      </c>
      <c r="Y47" s="1509">
        <v>0.44144144099999999</v>
      </c>
      <c r="Z47" s="1509" t="s">
        <v>2372</v>
      </c>
      <c r="AA47" s="1509">
        <v>0.94594594600000004</v>
      </c>
      <c r="AB47" s="1509" t="s">
        <v>2372</v>
      </c>
      <c r="AC47" s="1509" t="s">
        <v>2372</v>
      </c>
      <c r="AD47" s="1509" t="s">
        <v>2372</v>
      </c>
      <c r="AE47" s="1509">
        <v>0</v>
      </c>
      <c r="AF47" s="1509">
        <v>0</v>
      </c>
      <c r="AG47" s="1509">
        <v>0.65315315299999999</v>
      </c>
      <c r="AH47" s="1509">
        <v>0</v>
      </c>
      <c r="AI47" s="1509" t="s">
        <v>2372</v>
      </c>
      <c r="AJ47" s="1509" t="s">
        <v>2372</v>
      </c>
      <c r="AK47" s="1509">
        <v>0</v>
      </c>
      <c r="AL47" s="1509" t="s">
        <v>2372</v>
      </c>
      <c r="AM47" s="1509">
        <v>0</v>
      </c>
      <c r="AN47" s="1509" t="s">
        <v>2372</v>
      </c>
      <c r="AO47" s="1509">
        <v>0.26645767999999997</v>
      </c>
      <c r="AP47" s="1509">
        <v>0</v>
      </c>
      <c r="AQ47" s="1509">
        <v>0.78828828799999995</v>
      </c>
      <c r="AR47" s="1509">
        <v>0.97169811299999997</v>
      </c>
      <c r="AS47" s="1509" t="s">
        <v>2372</v>
      </c>
      <c r="AT47" s="1509" t="s">
        <v>2372</v>
      </c>
      <c r="AU47" s="1509" t="s">
        <v>2372</v>
      </c>
      <c r="AV47" s="1509" t="s">
        <v>2372</v>
      </c>
      <c r="AW47" s="1509">
        <v>0</v>
      </c>
      <c r="AX47" s="1509">
        <v>0.58695652200000004</v>
      </c>
      <c r="AY47" s="1509">
        <v>0.92929292900000005</v>
      </c>
      <c r="AZ47" s="1509">
        <v>0.71380471400000001</v>
      </c>
      <c r="BA47" s="1509">
        <v>0</v>
      </c>
      <c r="BB47" s="1509">
        <v>0.91582491600000004</v>
      </c>
      <c r="BC47" s="1509" t="s">
        <v>2372</v>
      </c>
      <c r="BD47" s="1509">
        <v>0.92452830200000002</v>
      </c>
      <c r="BE47" s="1509">
        <v>0</v>
      </c>
      <c r="BF47" s="1509" t="s">
        <v>2372</v>
      </c>
      <c r="BG47" s="1509" t="s">
        <v>2372</v>
      </c>
      <c r="BH47" s="1509">
        <v>0</v>
      </c>
      <c r="BI47" s="1509" t="s">
        <v>2372</v>
      </c>
      <c r="BJ47" s="1509" t="s">
        <v>2372</v>
      </c>
      <c r="BK47" s="1509">
        <v>0</v>
      </c>
      <c r="BL47" s="1509">
        <v>0</v>
      </c>
      <c r="BM47" s="1509">
        <v>0</v>
      </c>
      <c r="BN47" s="1509">
        <v>0.80630630599999997</v>
      </c>
      <c r="BO47" s="1509">
        <v>0</v>
      </c>
      <c r="BP47" s="1509">
        <v>0.45045045</v>
      </c>
      <c r="BQ47" s="1509">
        <v>0</v>
      </c>
      <c r="BR47" s="1509" t="s">
        <v>2372</v>
      </c>
      <c r="BS47" s="1509">
        <v>0</v>
      </c>
      <c r="BT47" s="1509">
        <v>0</v>
      </c>
      <c r="BU47" s="1509" t="s">
        <v>2372</v>
      </c>
      <c r="BV47" s="1509">
        <v>0</v>
      </c>
      <c r="BW47" s="1509" t="s">
        <v>2372</v>
      </c>
      <c r="BX47" s="1509">
        <v>0.71875</v>
      </c>
      <c r="BY47" s="1509" t="s">
        <v>2372</v>
      </c>
      <c r="BZ47" s="1509">
        <v>0</v>
      </c>
      <c r="CA47" s="1509">
        <v>0</v>
      </c>
      <c r="CB47" s="1509" t="s">
        <v>2372</v>
      </c>
      <c r="CC47" s="1509">
        <v>0.99769053100000005</v>
      </c>
      <c r="CD47" s="1509">
        <v>0</v>
      </c>
      <c r="CE47" s="1509">
        <v>1</v>
      </c>
      <c r="CF47" s="1509" t="s">
        <v>2372</v>
      </c>
      <c r="CG47" s="1509">
        <v>0.68918918900000004</v>
      </c>
      <c r="CH47" s="1509">
        <v>0</v>
      </c>
      <c r="CI47" s="1509">
        <v>0.94594594600000004</v>
      </c>
      <c r="CJ47" s="1509">
        <v>0</v>
      </c>
      <c r="CK47" s="1509" t="s">
        <v>2372</v>
      </c>
      <c r="CL47" s="1509" t="s">
        <v>2372</v>
      </c>
      <c r="CM47" s="1509">
        <v>0.85054347799999996</v>
      </c>
      <c r="CN47" s="1509">
        <v>0.99769053100000005</v>
      </c>
      <c r="CO47" s="1509" t="s">
        <v>2372</v>
      </c>
      <c r="CP47" s="1509">
        <v>1</v>
      </c>
      <c r="CQ47" s="1509">
        <v>0</v>
      </c>
      <c r="CR47" s="1509">
        <v>0.72072072099999995</v>
      </c>
      <c r="CS47" s="1509">
        <v>0.44594594599999998</v>
      </c>
      <c r="CT47" s="1509" t="s">
        <v>2372</v>
      </c>
      <c r="CU47" s="1509" t="s">
        <v>2372</v>
      </c>
      <c r="CV47" s="1509">
        <v>0</v>
      </c>
      <c r="CW47" s="1509" t="s">
        <v>2372</v>
      </c>
      <c r="CX47" s="1509">
        <v>0.683501684</v>
      </c>
      <c r="CY47" s="1509">
        <v>0.58585858599999996</v>
      </c>
      <c r="CZ47" s="1509">
        <v>0</v>
      </c>
      <c r="DA47" s="1509">
        <v>0.70244565199999998</v>
      </c>
      <c r="DB47" s="1509">
        <v>0</v>
      </c>
      <c r="DC47" s="1509" t="s">
        <v>2372</v>
      </c>
      <c r="DD47" s="1509">
        <v>0</v>
      </c>
      <c r="DE47" s="1509">
        <v>0.75</v>
      </c>
      <c r="DF47" s="1509">
        <v>0.7</v>
      </c>
      <c r="DG47" s="1509">
        <v>0.65</v>
      </c>
      <c r="DH47" s="1509" t="s">
        <v>2372</v>
      </c>
      <c r="DI47" s="1509">
        <v>0.95</v>
      </c>
      <c r="DJ47" s="1509">
        <v>0.75407608699999995</v>
      </c>
      <c r="DK47" s="1509">
        <v>0</v>
      </c>
      <c r="DL47" s="1509" t="s">
        <v>2372</v>
      </c>
      <c r="DM47" s="1509">
        <v>0</v>
      </c>
      <c r="DN47" s="1509" t="s">
        <v>2372</v>
      </c>
      <c r="DO47" s="1509">
        <v>0.58922558899999999</v>
      </c>
      <c r="DP47" s="1509">
        <v>0.807065217</v>
      </c>
      <c r="DQ47" s="1509">
        <v>0</v>
      </c>
      <c r="DR47" s="1509">
        <v>0</v>
      </c>
      <c r="DS47" s="1509">
        <v>0</v>
      </c>
      <c r="DT47" s="1509">
        <v>0.92391304299999999</v>
      </c>
      <c r="DU47" s="1509" t="s">
        <v>2372</v>
      </c>
      <c r="DV47" s="1509" t="s">
        <v>2372</v>
      </c>
      <c r="DW47" s="1509" t="s">
        <v>2372</v>
      </c>
      <c r="DX47" s="1509">
        <v>0</v>
      </c>
      <c r="DY47" s="1509" t="s">
        <v>2372</v>
      </c>
      <c r="DZ47" s="1509" t="s">
        <v>2372</v>
      </c>
      <c r="EA47" s="1509">
        <v>0.74410774400000002</v>
      </c>
      <c r="EB47" s="1509" t="s">
        <v>2372</v>
      </c>
      <c r="EC47" s="1509" t="s">
        <v>2372</v>
      </c>
      <c r="ED47" s="1509">
        <v>0.986486486</v>
      </c>
      <c r="EE47" s="1509">
        <v>0.99769053100000005</v>
      </c>
      <c r="EF47" s="1509">
        <v>0.73063973100000001</v>
      </c>
      <c r="EG47" s="1509" t="s">
        <v>2372</v>
      </c>
      <c r="EH47" s="1509">
        <v>0.97643097599999995</v>
      </c>
      <c r="EI47" s="1509" t="s">
        <v>2372</v>
      </c>
      <c r="EJ47" s="1509" t="s">
        <v>2372</v>
      </c>
      <c r="EK47" s="1509">
        <v>0.99549549500000001</v>
      </c>
      <c r="EL47" s="1509">
        <v>0.5</v>
      </c>
      <c r="EM47" s="1509">
        <v>0.85</v>
      </c>
      <c r="EN47" s="1509">
        <v>0.5</v>
      </c>
      <c r="EO47" s="1509" t="s">
        <v>2372</v>
      </c>
      <c r="EP47" s="1509" t="s">
        <v>2372</v>
      </c>
      <c r="EQ47" s="1509">
        <v>0</v>
      </c>
      <c r="ER47" s="1509">
        <v>0</v>
      </c>
      <c r="ES47" s="1509">
        <v>0</v>
      </c>
      <c r="ET47" s="1509">
        <v>1</v>
      </c>
      <c r="EU47" s="1509" t="s">
        <v>2372</v>
      </c>
      <c r="EV47" s="1509" t="s">
        <v>2372</v>
      </c>
      <c r="EW47" s="1509">
        <v>0.75235109700000002</v>
      </c>
      <c r="EX47" s="1509" t="s">
        <v>2372</v>
      </c>
      <c r="EY47" s="1509">
        <v>0.88888888899999996</v>
      </c>
      <c r="EZ47" s="1509">
        <v>0.93478260899999999</v>
      </c>
      <c r="FA47" s="1509">
        <v>1</v>
      </c>
      <c r="FB47" s="1509">
        <v>0.80877742900000005</v>
      </c>
      <c r="FC47" s="1509" t="s">
        <v>2372</v>
      </c>
      <c r="FD47" s="1509">
        <v>0.93602693599999998</v>
      </c>
      <c r="FE47" s="1509">
        <v>0</v>
      </c>
      <c r="FF47" s="1509">
        <v>0.47335423199999999</v>
      </c>
      <c r="FG47" s="1509">
        <v>0.55000000000000004</v>
      </c>
      <c r="FH47" s="1509">
        <v>0.77038043499999997</v>
      </c>
      <c r="FI47" s="1509">
        <v>0.42006269600000001</v>
      </c>
      <c r="FJ47" s="1509">
        <v>0</v>
      </c>
      <c r="FK47" s="1509">
        <v>0.87228260899999999</v>
      </c>
      <c r="FL47" s="1509">
        <v>0.75</v>
      </c>
      <c r="FM47" s="1509" t="s">
        <v>2372</v>
      </c>
      <c r="FN47" s="1509">
        <v>0</v>
      </c>
      <c r="FO47" s="1509">
        <v>0.72282608699999995</v>
      </c>
      <c r="FP47" s="1509">
        <v>0.29467084599999999</v>
      </c>
      <c r="FQ47" s="1509">
        <v>0.87092391300000005</v>
      </c>
      <c r="FR47" s="1509" t="s">
        <v>2372</v>
      </c>
      <c r="FS47" s="1509">
        <v>0.78369906</v>
      </c>
      <c r="FT47" s="1509" t="s">
        <v>2372</v>
      </c>
      <c r="FU47" s="1509">
        <v>0</v>
      </c>
    </row>
    <row r="48" spans="1:177" s="1509" customFormat="1" x14ac:dyDescent="0.2">
      <c r="A48" s="1512" t="s">
        <v>663</v>
      </c>
      <c r="B48" s="1512" t="s">
        <v>1032</v>
      </c>
      <c r="C48" s="1509">
        <v>0</v>
      </c>
      <c r="D48" s="1509">
        <v>0</v>
      </c>
      <c r="E48" s="1509">
        <v>0.98186548500000004</v>
      </c>
      <c r="F48" s="1509">
        <v>0</v>
      </c>
      <c r="G48" s="1509">
        <v>0.98186548500000004</v>
      </c>
      <c r="H48" s="1509">
        <v>0</v>
      </c>
      <c r="I48" s="1509">
        <v>0</v>
      </c>
      <c r="J48" s="1509">
        <v>0.99998841999999999</v>
      </c>
      <c r="K48" s="1509">
        <v>0.99998841999999999</v>
      </c>
      <c r="L48" s="1509">
        <v>0</v>
      </c>
      <c r="M48" s="1509">
        <v>0</v>
      </c>
      <c r="N48" s="1509">
        <v>0.98186548500000004</v>
      </c>
      <c r="O48" s="1509">
        <v>0.99998841999999999</v>
      </c>
      <c r="P48" s="1509">
        <v>0.99998841999999999</v>
      </c>
      <c r="Q48" s="1509">
        <v>0</v>
      </c>
      <c r="R48" s="1509">
        <v>0.99786484600000003</v>
      </c>
      <c r="S48" s="1509">
        <v>0</v>
      </c>
      <c r="T48" s="1509">
        <v>0</v>
      </c>
      <c r="U48" s="1509">
        <v>0</v>
      </c>
      <c r="V48" s="1509">
        <v>0</v>
      </c>
      <c r="W48" s="1509">
        <v>0</v>
      </c>
      <c r="X48" s="1509">
        <v>0</v>
      </c>
      <c r="Y48" s="1509">
        <v>0</v>
      </c>
      <c r="Z48" s="1509">
        <v>0</v>
      </c>
      <c r="AA48" s="1509">
        <v>0</v>
      </c>
      <c r="AB48" s="1509">
        <v>0</v>
      </c>
      <c r="AC48" s="1509">
        <v>0</v>
      </c>
      <c r="AD48" s="1509">
        <v>0</v>
      </c>
      <c r="AE48" s="1509">
        <v>0.99786484600000003</v>
      </c>
      <c r="AF48" s="1509">
        <v>0</v>
      </c>
      <c r="AG48" s="1509">
        <v>1</v>
      </c>
      <c r="AH48" s="1509">
        <v>0.98186548500000004</v>
      </c>
      <c r="AI48" s="1509">
        <v>0</v>
      </c>
      <c r="AJ48" s="1509">
        <v>0</v>
      </c>
      <c r="AK48" s="1509">
        <v>0.99786484600000003</v>
      </c>
      <c r="AL48" s="1509">
        <v>0</v>
      </c>
      <c r="AM48" s="1509">
        <v>0.99982856399999998</v>
      </c>
      <c r="AN48" s="1509">
        <v>0</v>
      </c>
      <c r="AO48" s="1509">
        <v>0</v>
      </c>
      <c r="AP48" s="1509">
        <v>0.99506823700000002</v>
      </c>
      <c r="AQ48" s="1509">
        <v>0</v>
      </c>
      <c r="AR48" s="1509">
        <v>0.97861900800000001</v>
      </c>
      <c r="AS48" s="1509">
        <v>0.99997670900000002</v>
      </c>
      <c r="AT48" s="1509">
        <v>0</v>
      </c>
      <c r="AU48" s="1509">
        <v>0.99997670900000002</v>
      </c>
      <c r="AV48" s="1509">
        <v>0</v>
      </c>
      <c r="AW48" s="1509">
        <v>0</v>
      </c>
      <c r="AX48" s="1509">
        <v>0.99489016900000005</v>
      </c>
      <c r="AY48" s="1509">
        <v>0</v>
      </c>
      <c r="AZ48" s="1509">
        <v>0</v>
      </c>
      <c r="BA48" s="1509">
        <v>0</v>
      </c>
      <c r="BB48" s="1509">
        <v>0.98581662000000003</v>
      </c>
      <c r="BC48" s="1509">
        <v>0</v>
      </c>
      <c r="BD48" s="1509">
        <v>0.97861900800000001</v>
      </c>
      <c r="BE48" s="1509">
        <v>0.98404796100000003</v>
      </c>
      <c r="BF48" s="1509">
        <v>0</v>
      </c>
      <c r="BG48" s="1509">
        <v>0</v>
      </c>
      <c r="BH48" s="1509">
        <v>0.98186548500000004</v>
      </c>
      <c r="BI48" s="1509">
        <v>0</v>
      </c>
      <c r="BJ48" s="1509">
        <v>0.98186548500000004</v>
      </c>
      <c r="BK48" s="1509">
        <v>0.98186548500000004</v>
      </c>
      <c r="BL48" s="1509">
        <v>0.98186548500000004</v>
      </c>
      <c r="BM48" s="1509">
        <v>0.99786484600000003</v>
      </c>
      <c r="BN48" s="1509">
        <v>0</v>
      </c>
      <c r="BO48" s="1509">
        <v>0.99998841999999999</v>
      </c>
      <c r="BP48" s="1509">
        <v>0.98186548500000004</v>
      </c>
      <c r="BQ48" s="1509">
        <v>0.98186548500000004</v>
      </c>
      <c r="BR48" s="1509">
        <v>0.98186548500000004</v>
      </c>
      <c r="BS48" s="1509">
        <v>0.98186548500000004</v>
      </c>
      <c r="BT48" s="1509">
        <v>0</v>
      </c>
      <c r="BU48" s="1509">
        <v>0.98581662000000003</v>
      </c>
      <c r="BV48" s="1509">
        <v>0</v>
      </c>
      <c r="BW48" s="1509">
        <v>0.99786484600000003</v>
      </c>
      <c r="BX48" s="1509">
        <v>0.99968794900000002</v>
      </c>
      <c r="BY48" s="1509">
        <v>0.99968794900000002</v>
      </c>
      <c r="BZ48" s="1509">
        <v>0.99996099400000005</v>
      </c>
      <c r="CA48" s="1509">
        <v>0.95410978099999999</v>
      </c>
      <c r="CB48" s="1509">
        <v>0</v>
      </c>
      <c r="CC48" s="1509">
        <v>0</v>
      </c>
      <c r="CD48" s="1509">
        <v>0.95410978099999999</v>
      </c>
      <c r="CE48" s="1509">
        <v>0.99786484600000003</v>
      </c>
      <c r="CF48" s="1509">
        <v>0</v>
      </c>
      <c r="CG48" s="1509">
        <v>0.98186548500000004</v>
      </c>
      <c r="CH48" s="1509">
        <v>0</v>
      </c>
      <c r="CI48" s="1509">
        <v>0</v>
      </c>
      <c r="CJ48" s="1509">
        <v>1</v>
      </c>
      <c r="CK48" s="1509">
        <v>0</v>
      </c>
      <c r="CL48" s="1509">
        <v>0</v>
      </c>
      <c r="CM48" s="1509">
        <v>0</v>
      </c>
      <c r="CN48" s="1509">
        <v>0.95410978099999999</v>
      </c>
      <c r="CO48" s="1509">
        <v>0.99786484600000003</v>
      </c>
      <c r="CP48" s="1509">
        <v>0.99786484600000003</v>
      </c>
      <c r="CQ48" s="1509">
        <v>0.98186548500000004</v>
      </c>
      <c r="CR48" s="1509">
        <v>0</v>
      </c>
      <c r="CS48" s="1509">
        <v>0.98186548500000004</v>
      </c>
      <c r="CT48" s="1509">
        <v>0</v>
      </c>
      <c r="CU48" s="1509">
        <v>0</v>
      </c>
      <c r="CV48" s="1509">
        <v>0</v>
      </c>
      <c r="CW48" s="1509">
        <v>0</v>
      </c>
      <c r="CX48" s="1509">
        <v>0</v>
      </c>
      <c r="CY48" s="1509">
        <v>1</v>
      </c>
      <c r="CZ48" s="1509">
        <v>0.99489016900000005</v>
      </c>
      <c r="DA48" s="1509">
        <v>0.99489016900000005</v>
      </c>
      <c r="DB48" s="1509">
        <v>0.99833720000000004</v>
      </c>
      <c r="DC48" s="1509">
        <v>0</v>
      </c>
      <c r="DD48" s="1509">
        <v>0.93868909499999997</v>
      </c>
      <c r="DE48" s="1509">
        <v>0</v>
      </c>
      <c r="DF48" s="1509">
        <v>0</v>
      </c>
      <c r="DG48" s="1509">
        <v>0</v>
      </c>
      <c r="DH48" s="1509">
        <v>0</v>
      </c>
      <c r="DI48" s="1509">
        <v>0</v>
      </c>
      <c r="DJ48" s="1509">
        <v>0.99489016900000005</v>
      </c>
      <c r="DK48" s="1509">
        <v>0.99489016900000005</v>
      </c>
      <c r="DL48" s="1509">
        <v>0.99786484600000003</v>
      </c>
      <c r="DM48" s="1509">
        <v>0.99982856399999998</v>
      </c>
      <c r="DN48" s="1509">
        <v>0</v>
      </c>
      <c r="DO48" s="1509">
        <v>0.99997132399999999</v>
      </c>
      <c r="DP48" s="1509">
        <v>0.99996099400000005</v>
      </c>
      <c r="DQ48" s="1509">
        <v>1</v>
      </c>
      <c r="DR48" s="1509">
        <v>0.99489016900000005</v>
      </c>
      <c r="DS48" s="1509">
        <v>0.99489016900000005</v>
      </c>
      <c r="DT48" s="1509">
        <v>0.99489016900000005</v>
      </c>
      <c r="DU48" s="1509">
        <v>0</v>
      </c>
      <c r="DV48" s="1509">
        <v>0</v>
      </c>
      <c r="DW48" s="1509">
        <v>0</v>
      </c>
      <c r="DX48" s="1509">
        <v>0.97861900800000001</v>
      </c>
      <c r="DY48" s="1509">
        <v>0.98581662000000003</v>
      </c>
      <c r="DZ48" s="1509">
        <v>0</v>
      </c>
      <c r="EA48" s="1509">
        <v>0</v>
      </c>
      <c r="EB48" s="1509">
        <v>0</v>
      </c>
      <c r="EC48" s="1509">
        <v>0</v>
      </c>
      <c r="ED48" s="1509">
        <v>0.98186548500000004</v>
      </c>
      <c r="EE48" s="1509">
        <v>0</v>
      </c>
      <c r="EF48" s="1509">
        <v>0</v>
      </c>
      <c r="EG48" s="1509">
        <v>0</v>
      </c>
      <c r="EH48" s="1509">
        <v>0.98581662000000003</v>
      </c>
      <c r="EI48" s="1509">
        <v>0</v>
      </c>
      <c r="EJ48" s="1509">
        <v>0</v>
      </c>
      <c r="EK48" s="1509">
        <v>0</v>
      </c>
      <c r="EL48" s="1509">
        <v>0</v>
      </c>
      <c r="EM48" s="1509">
        <v>0</v>
      </c>
      <c r="EN48" s="1509">
        <v>0</v>
      </c>
      <c r="EO48" s="1509">
        <v>0</v>
      </c>
      <c r="EP48" s="1509">
        <v>0</v>
      </c>
      <c r="EQ48" s="1509">
        <v>0.99786484600000003</v>
      </c>
      <c r="ER48" s="1509">
        <v>1</v>
      </c>
      <c r="ES48" s="1509">
        <v>0.98581662000000003</v>
      </c>
      <c r="ET48" s="1509">
        <v>0</v>
      </c>
      <c r="EU48" s="1509">
        <v>0</v>
      </c>
      <c r="EV48" s="1509">
        <v>0</v>
      </c>
      <c r="EW48" s="1509">
        <v>0</v>
      </c>
      <c r="EX48" s="1509">
        <v>0</v>
      </c>
      <c r="EY48" s="1509">
        <v>0</v>
      </c>
      <c r="EZ48" s="1509">
        <v>0</v>
      </c>
      <c r="FA48" s="1509">
        <v>0.99961816599999997</v>
      </c>
      <c r="FB48" s="1509">
        <v>0</v>
      </c>
      <c r="FC48" s="1509">
        <v>0.98581662000000003</v>
      </c>
      <c r="FD48" s="1509">
        <v>0</v>
      </c>
      <c r="FE48" s="1509">
        <v>0.98581662000000003</v>
      </c>
      <c r="FF48" s="1509">
        <v>0</v>
      </c>
      <c r="FG48" s="1509">
        <v>0</v>
      </c>
      <c r="FH48" s="1509">
        <v>0</v>
      </c>
      <c r="FI48" s="1509">
        <v>0</v>
      </c>
      <c r="FJ48" s="1509">
        <v>1</v>
      </c>
      <c r="FK48" s="1509">
        <v>0</v>
      </c>
      <c r="FL48" s="1509">
        <v>0</v>
      </c>
      <c r="FM48" s="1509">
        <v>0</v>
      </c>
      <c r="FN48" s="1509">
        <v>1</v>
      </c>
      <c r="FO48" s="1509">
        <v>0</v>
      </c>
      <c r="FP48" s="1509">
        <v>0</v>
      </c>
      <c r="FQ48" s="1509">
        <v>0</v>
      </c>
      <c r="FR48" s="1509">
        <v>0</v>
      </c>
      <c r="FS48" s="1509">
        <v>0</v>
      </c>
      <c r="FT48" s="1509">
        <v>0</v>
      </c>
      <c r="FU48" s="1509">
        <v>0</v>
      </c>
    </row>
    <row r="49" spans="1:177" s="1509" customFormat="1" x14ac:dyDescent="0.2">
      <c r="A49" s="1512" t="s">
        <v>663</v>
      </c>
      <c r="B49" s="1512" t="s">
        <v>1205</v>
      </c>
      <c r="C49" s="1509">
        <v>2.1938421999999957E-2</v>
      </c>
      <c r="D49" s="1509">
        <v>4.3045815000000043E-2</v>
      </c>
      <c r="E49" s="1509">
        <v>1</v>
      </c>
      <c r="F49" s="1509">
        <v>1</v>
      </c>
      <c r="G49" s="1509">
        <v>1</v>
      </c>
      <c r="H49" s="1509">
        <v>1</v>
      </c>
      <c r="I49" s="1509">
        <v>3.8052187000000015E-2</v>
      </c>
      <c r="J49" s="1509">
        <v>3.5555373000000001E-2</v>
      </c>
      <c r="K49" s="1509">
        <v>3.9252147999999987E-2</v>
      </c>
      <c r="L49" s="1509">
        <v>3.1512026000000026E-2</v>
      </c>
      <c r="M49" s="1509">
        <v>4.1327858000000051E-2</v>
      </c>
      <c r="N49" s="1509">
        <v>2.6801618999999999E-2</v>
      </c>
      <c r="O49" s="1509">
        <v>2.9268619999999967E-2</v>
      </c>
      <c r="P49" s="1509">
        <v>2.7084839000000027E-2</v>
      </c>
      <c r="Q49" s="1509">
        <v>1</v>
      </c>
      <c r="R49" s="1509">
        <v>4.6524663999999993E-2</v>
      </c>
      <c r="S49" s="1509">
        <v>1</v>
      </c>
      <c r="T49" s="1509">
        <v>2.3373157999999949E-2</v>
      </c>
      <c r="U49" s="1509">
        <v>2.2452691000000025E-2</v>
      </c>
      <c r="V49" s="1509">
        <v>3.5864679999999982E-2</v>
      </c>
      <c r="W49" s="1509">
        <v>3.1068561999999966E-2</v>
      </c>
      <c r="X49" s="1509">
        <v>1</v>
      </c>
      <c r="Y49" s="1509">
        <v>1</v>
      </c>
      <c r="Z49" s="1509">
        <v>1</v>
      </c>
      <c r="AA49" s="1509">
        <v>2.2348346999999991E-2</v>
      </c>
      <c r="AB49" s="1509">
        <v>4.9708953E-2</v>
      </c>
      <c r="AC49" s="1509">
        <v>1</v>
      </c>
      <c r="AD49" s="1509">
        <v>3.9319227000000012E-2</v>
      </c>
      <c r="AE49" s="1509">
        <v>4.6026408000000019E-2</v>
      </c>
      <c r="AF49" s="1509">
        <v>1.782054200000005E-2</v>
      </c>
      <c r="AG49" s="1509">
        <v>4.5032085999999971E-2</v>
      </c>
      <c r="AH49" s="1509">
        <v>2.1729733000000029E-2</v>
      </c>
      <c r="AI49" s="1509">
        <v>1</v>
      </c>
      <c r="AJ49" s="1509">
        <v>2.5225272000000021E-2</v>
      </c>
      <c r="AK49" s="1509">
        <v>4.6353387999999995E-2</v>
      </c>
      <c r="AL49" s="1509">
        <v>4.6267750000000052E-2</v>
      </c>
      <c r="AM49" s="1509">
        <v>4.6026408000000019E-2</v>
      </c>
      <c r="AN49" s="1509">
        <v>1</v>
      </c>
      <c r="AO49" s="1509">
        <v>3.9879113999999993E-2</v>
      </c>
      <c r="AP49" s="1509">
        <v>0</v>
      </c>
      <c r="AQ49" s="1509">
        <v>1</v>
      </c>
      <c r="AR49" s="1509">
        <v>2.1791934999999985E-2</v>
      </c>
      <c r="AS49" s="1509">
        <v>2.1807309000000052E-2</v>
      </c>
      <c r="AT49" s="1509">
        <v>2.5043429999999978E-2</v>
      </c>
      <c r="AU49" s="1509">
        <v>2.1223116000000042E-2</v>
      </c>
      <c r="AV49" s="1509">
        <v>3.8655894000000024E-2</v>
      </c>
      <c r="AW49" s="1509">
        <v>4.7741315000000006E-2</v>
      </c>
      <c r="AX49" s="1509">
        <v>9.4225740000000169E-3</v>
      </c>
      <c r="AY49" s="1509">
        <v>4.1465776999999981E-2</v>
      </c>
      <c r="AZ49" s="1509">
        <v>2.4849746000000006E-2</v>
      </c>
      <c r="BA49" s="1509">
        <v>1.6748122999999948E-2</v>
      </c>
      <c r="BB49" s="1509">
        <v>3.0304031000000009E-2</v>
      </c>
      <c r="BC49" s="1509">
        <v>1</v>
      </c>
      <c r="BD49" s="1509">
        <v>2.9547864999999951E-2</v>
      </c>
      <c r="BE49" s="1509">
        <v>1.6854718000000046E-2</v>
      </c>
      <c r="BF49" s="1509">
        <v>1</v>
      </c>
      <c r="BG49" s="1509">
        <v>1</v>
      </c>
      <c r="BH49" s="1509">
        <v>1.9009323999999994E-2</v>
      </c>
      <c r="BI49" s="1509">
        <v>2.0160839999999958E-2</v>
      </c>
      <c r="BJ49" s="1509">
        <v>3.7262150999999966E-2</v>
      </c>
      <c r="BK49" s="1509">
        <v>1.7731103999999998E-2</v>
      </c>
      <c r="BL49" s="1509">
        <v>1.7555954999999956E-2</v>
      </c>
      <c r="BM49" s="1509">
        <v>0</v>
      </c>
      <c r="BN49" s="1509">
        <v>2.5713454999999996E-2</v>
      </c>
      <c r="BO49" s="1509">
        <v>1.7757189999999978E-2</v>
      </c>
      <c r="BP49" s="1509">
        <v>2.3593026999999989E-2</v>
      </c>
      <c r="BQ49" s="1509">
        <v>3.3632454000000034E-2</v>
      </c>
      <c r="BR49" s="1509">
        <v>1</v>
      </c>
      <c r="BS49" s="1509">
        <v>1.7555954999999956E-2</v>
      </c>
      <c r="BT49" s="1509">
        <v>1.5724413000000048E-2</v>
      </c>
      <c r="BU49" s="1509">
        <v>1.6175725999999946E-2</v>
      </c>
      <c r="BV49" s="1509">
        <v>4.1212601999999987E-2</v>
      </c>
      <c r="BW49" s="1509">
        <v>0</v>
      </c>
      <c r="BX49" s="1509">
        <v>9.7284659999999912E-3</v>
      </c>
      <c r="BY49" s="1509">
        <v>4.9980609999999981E-3</v>
      </c>
      <c r="BZ49" s="1509">
        <v>4.9980609999999981E-3</v>
      </c>
      <c r="CA49" s="1509">
        <v>0</v>
      </c>
      <c r="CB49" s="1509">
        <v>0</v>
      </c>
      <c r="CC49" s="1509">
        <v>4.623660900000004E-2</v>
      </c>
      <c r="CD49" s="1509">
        <v>4.6291105999999971E-2</v>
      </c>
      <c r="CE49" s="1509">
        <v>4.6057549000000031E-2</v>
      </c>
      <c r="CF49" s="1509">
        <v>1</v>
      </c>
      <c r="CG49" s="1509">
        <v>1.9430428000000055E-2</v>
      </c>
      <c r="CH49" s="1509">
        <v>2.4058849999999965E-2</v>
      </c>
      <c r="CI49" s="1509">
        <v>4.8583523999999989E-2</v>
      </c>
      <c r="CJ49" s="1509">
        <v>4.243995300000003E-2</v>
      </c>
      <c r="CK49" s="1509">
        <v>1</v>
      </c>
      <c r="CL49" s="1509">
        <v>1</v>
      </c>
      <c r="CM49" s="1509">
        <v>1</v>
      </c>
      <c r="CN49" s="1509">
        <v>4.595634000000004E-2</v>
      </c>
      <c r="CO49" s="1509">
        <v>4.5909628999999952E-2</v>
      </c>
      <c r="CP49" s="1509">
        <v>4.5909628999999952E-2</v>
      </c>
      <c r="CQ49" s="1509">
        <v>2.0690015000000006E-2</v>
      </c>
      <c r="CR49" s="1509">
        <v>5.1982171999999993E-2</v>
      </c>
      <c r="CS49" s="1509">
        <v>2.4629017999999947E-2</v>
      </c>
      <c r="CT49" s="1509">
        <v>3.4709438000000037E-2</v>
      </c>
      <c r="CU49" s="1509">
        <v>1</v>
      </c>
      <c r="CV49" s="1509">
        <v>1</v>
      </c>
      <c r="CW49" s="1509">
        <v>1</v>
      </c>
      <c r="CX49" s="1509">
        <v>1</v>
      </c>
      <c r="CY49" s="1509">
        <v>1.4045748000000025E-2</v>
      </c>
      <c r="CZ49" s="1509">
        <v>1.0602443999999989E-2</v>
      </c>
      <c r="DA49" s="1509">
        <v>1.0586057000000038E-2</v>
      </c>
      <c r="DB49" s="1509">
        <v>7.9406543000000052E-2</v>
      </c>
      <c r="DC49" s="1509">
        <v>0.10140821799999999</v>
      </c>
      <c r="DD49" s="1509">
        <v>6.4671308999999955E-2</v>
      </c>
      <c r="DE49" s="1509">
        <v>8.1954395999999985E-2</v>
      </c>
      <c r="DF49" s="1509">
        <v>0.10121505900000005</v>
      </c>
      <c r="DG49" s="1509">
        <v>9.7489858999999957E-2</v>
      </c>
      <c r="DH49" s="1509">
        <v>1</v>
      </c>
      <c r="DI49" s="1509">
        <v>7.2839153999999962E-2</v>
      </c>
      <c r="DJ49" s="1509">
        <v>9.4826599999999761E-3</v>
      </c>
      <c r="DK49" s="1509">
        <v>5.9758239999999629E-3</v>
      </c>
      <c r="DL49" s="1509">
        <v>4.6057549000000031E-2</v>
      </c>
      <c r="DM49" s="1509">
        <v>4.5909628999999952E-2</v>
      </c>
      <c r="DN49" s="1509">
        <v>1</v>
      </c>
      <c r="DO49" s="1509">
        <v>2.6126631999999983E-2</v>
      </c>
      <c r="DP49" s="1509">
        <v>7.701929999999968E-3</v>
      </c>
      <c r="DQ49" s="1509">
        <v>5.8064899999999975E-3</v>
      </c>
      <c r="DR49" s="1509">
        <v>2.0380071000000055E-2</v>
      </c>
      <c r="DS49" s="1509">
        <v>1.3737839000000029E-2</v>
      </c>
      <c r="DT49" s="1509">
        <v>1.9713662999999992E-2</v>
      </c>
      <c r="DU49" s="1509">
        <v>3.9185070000000044E-2</v>
      </c>
      <c r="DV49" s="1509">
        <v>1</v>
      </c>
      <c r="DW49" s="1509">
        <v>1</v>
      </c>
      <c r="DX49" s="1509">
        <v>2.159976600000002E-2</v>
      </c>
      <c r="DY49" s="1509">
        <v>2.9346365999999957E-2</v>
      </c>
      <c r="DZ49" s="1509">
        <v>1</v>
      </c>
      <c r="EA49" s="1509">
        <v>1</v>
      </c>
      <c r="EB49" s="1509">
        <v>1</v>
      </c>
      <c r="EC49" s="1509">
        <v>1</v>
      </c>
      <c r="ED49" s="1509">
        <v>2.9667365000000001E-2</v>
      </c>
      <c r="EE49" s="1509">
        <v>1</v>
      </c>
      <c r="EF49" s="1509">
        <v>1</v>
      </c>
      <c r="EG49" s="1509">
        <v>1</v>
      </c>
      <c r="EH49" s="1509">
        <v>5.3106356000000021E-2</v>
      </c>
      <c r="EI49" s="1509">
        <v>1</v>
      </c>
      <c r="EJ49" s="1509">
        <v>1</v>
      </c>
      <c r="EK49" s="1509">
        <v>1</v>
      </c>
      <c r="EL49" s="1509">
        <v>8.8549380000000011E-2</v>
      </c>
      <c r="EM49" s="1509">
        <v>0.10241080199999997</v>
      </c>
      <c r="EN49" s="1509">
        <v>9.3120797999999949E-2</v>
      </c>
      <c r="EO49" s="1509">
        <v>1</v>
      </c>
      <c r="EP49" s="1509">
        <v>1</v>
      </c>
      <c r="EQ49" s="1509">
        <v>4.6781576999999963E-2</v>
      </c>
      <c r="ER49" s="1509">
        <v>1.4579617999999961E-2</v>
      </c>
      <c r="ES49" s="1509">
        <v>1.6583008999999982E-2</v>
      </c>
      <c r="ET49" s="1509">
        <v>1</v>
      </c>
      <c r="EU49" s="1509">
        <v>1</v>
      </c>
      <c r="EV49" s="1509">
        <v>4.4260681999999996E-2</v>
      </c>
      <c r="EW49" s="1509">
        <v>1</v>
      </c>
      <c r="EX49" s="1509">
        <v>1</v>
      </c>
      <c r="EY49" s="1509">
        <v>4.6892543000000009E-2</v>
      </c>
      <c r="EZ49" s="1509">
        <v>1</v>
      </c>
      <c r="FA49" s="1509">
        <v>4.6057549000000031E-2</v>
      </c>
      <c r="FB49" s="1509">
        <v>3.9528721000000044E-2</v>
      </c>
      <c r="FC49" s="1509">
        <v>1</v>
      </c>
      <c r="FD49" s="1509">
        <v>1</v>
      </c>
      <c r="FE49" s="1509">
        <v>4.8455628000000028E-2</v>
      </c>
      <c r="FF49" s="1509">
        <v>1</v>
      </c>
      <c r="FG49" s="1509">
        <v>1</v>
      </c>
      <c r="FH49" s="1509">
        <v>1</v>
      </c>
      <c r="FI49" s="1509">
        <v>1</v>
      </c>
      <c r="FJ49" s="1509">
        <v>2.9098693999999981E-2</v>
      </c>
      <c r="FK49" s="1509">
        <v>2.4662563000000026E-2</v>
      </c>
      <c r="FL49" s="1509">
        <v>1</v>
      </c>
      <c r="FM49" s="1509">
        <v>3.2313241999999964E-2</v>
      </c>
      <c r="FN49" s="1509">
        <v>2.1003047999999969E-2</v>
      </c>
      <c r="FO49" s="1509">
        <v>2.0500242999999974E-2</v>
      </c>
      <c r="FP49" s="1509">
        <v>1</v>
      </c>
      <c r="FQ49" s="1509">
        <v>1</v>
      </c>
      <c r="FR49" s="1509">
        <v>1</v>
      </c>
      <c r="FS49" s="1509">
        <v>3.8827935000000036E-2</v>
      </c>
      <c r="FT49" s="1509">
        <v>1</v>
      </c>
      <c r="FU49" s="1509">
        <v>4.929902900000005E-2</v>
      </c>
    </row>
    <row r="50" spans="1:177" s="1509" customFormat="1" x14ac:dyDescent="0.2">
      <c r="A50" s="1512" t="s">
        <v>663</v>
      </c>
      <c r="B50" s="1512" t="s">
        <v>1034</v>
      </c>
      <c r="C50" s="1509">
        <v>0.79110239900000001</v>
      </c>
      <c r="D50" s="1509">
        <v>0.79110239900000001</v>
      </c>
      <c r="E50" s="1509">
        <v>0.74655849600000002</v>
      </c>
      <c r="F50" s="1509">
        <v>0.697306431</v>
      </c>
      <c r="G50" s="1509">
        <v>0.74655849600000002</v>
      </c>
      <c r="H50" s="1509">
        <v>0.74655849600000002</v>
      </c>
      <c r="I50" s="1509">
        <v>0.32368395599999999</v>
      </c>
      <c r="J50" s="1509">
        <v>0.32368395599999999</v>
      </c>
      <c r="K50" s="1509">
        <v>0.32368395599999999</v>
      </c>
      <c r="L50" s="1509">
        <v>0.32368395599999999</v>
      </c>
      <c r="M50" s="1509">
        <v>0.32368395599999999</v>
      </c>
      <c r="N50" s="1509">
        <v>0.32368395599999999</v>
      </c>
      <c r="O50" s="1509">
        <v>0.32368395599999999</v>
      </c>
      <c r="P50" s="1509">
        <v>0.32368395599999999</v>
      </c>
      <c r="Q50" s="1509">
        <v>0.61959821900000001</v>
      </c>
      <c r="R50" s="1509">
        <v>0.61959821900000001</v>
      </c>
      <c r="S50" s="1509">
        <v>0.32368395599999999</v>
      </c>
      <c r="T50" s="1509">
        <v>7.5470854000000004E-2</v>
      </c>
      <c r="U50" s="1509">
        <v>0.96569303399999995</v>
      </c>
      <c r="V50" s="1509">
        <v>0.74655849600000002</v>
      </c>
      <c r="W50" s="1509">
        <v>0.74655849600000002</v>
      </c>
      <c r="X50" s="1509">
        <v>0.26203128799999997</v>
      </c>
      <c r="Y50" s="1509">
        <v>0.26203128799999997</v>
      </c>
      <c r="Z50" s="1509">
        <v>0.26203128799999997</v>
      </c>
      <c r="AA50" s="1509">
        <v>0.96569303399999995</v>
      </c>
      <c r="AB50" s="1509">
        <v>0.98306638499999999</v>
      </c>
      <c r="AC50" s="1509">
        <v>0.98306638499999999</v>
      </c>
      <c r="AD50" s="1509">
        <v>0.98306638499999999</v>
      </c>
      <c r="AE50" s="1509">
        <v>0.61959821900000001</v>
      </c>
      <c r="AF50" s="1509">
        <v>0.96569303399999995</v>
      </c>
      <c r="AG50" s="1509">
        <v>0</v>
      </c>
      <c r="AH50" s="1509">
        <v>0.96569303399999995</v>
      </c>
      <c r="AI50" s="1509">
        <v>0.96901714999999999</v>
      </c>
      <c r="AJ50" s="1509">
        <v>0.96569303399999995</v>
      </c>
      <c r="AK50" s="1509">
        <v>0.61959821900000001</v>
      </c>
      <c r="AL50" s="1509">
        <v>0.61959821900000001</v>
      </c>
      <c r="AM50" s="1509">
        <v>0.61959821900000001</v>
      </c>
      <c r="AN50" s="1509">
        <v>0.203054016</v>
      </c>
      <c r="AO50" s="1509">
        <v>0.41144083999999997</v>
      </c>
      <c r="AP50" s="1509">
        <v>0</v>
      </c>
      <c r="AQ50" s="1509">
        <v>0.992502106</v>
      </c>
      <c r="AR50" s="1509">
        <v>0</v>
      </c>
      <c r="AS50" s="1509">
        <v>0.89005642100000004</v>
      </c>
      <c r="AT50" s="1509">
        <v>0</v>
      </c>
      <c r="AU50" s="1509">
        <v>0</v>
      </c>
      <c r="AV50" s="1509">
        <v>0.96569303399999995</v>
      </c>
      <c r="AW50" s="1509">
        <v>0.79110239900000001</v>
      </c>
      <c r="AX50" s="1509">
        <v>0.58070366100000004</v>
      </c>
      <c r="AY50" s="1509">
        <v>0.697306431</v>
      </c>
      <c r="AZ50" s="1509">
        <v>0.27484424200000002</v>
      </c>
      <c r="BA50" s="1509">
        <v>0.96801179999999998</v>
      </c>
      <c r="BB50" s="1509">
        <v>0.96801179999999998</v>
      </c>
      <c r="BC50" s="1509">
        <v>0</v>
      </c>
      <c r="BD50" s="1509">
        <v>0</v>
      </c>
      <c r="BE50" s="1509">
        <v>0</v>
      </c>
      <c r="BF50" s="1509">
        <v>0</v>
      </c>
      <c r="BG50" s="1509">
        <v>0.38762357200000003</v>
      </c>
      <c r="BH50" s="1509">
        <v>0</v>
      </c>
      <c r="BI50" s="1509">
        <v>0</v>
      </c>
      <c r="BJ50" s="1509">
        <v>0.74655849600000002</v>
      </c>
      <c r="BK50" s="1509">
        <v>0</v>
      </c>
      <c r="BL50" s="1509">
        <v>2.6704728E-2</v>
      </c>
      <c r="BM50" s="1509">
        <v>0.61959821900000001</v>
      </c>
      <c r="BN50" s="1509">
        <v>0.26203128799999997</v>
      </c>
      <c r="BO50" s="1509">
        <v>0.992502106</v>
      </c>
      <c r="BP50" s="1509">
        <v>0.74655849600000002</v>
      </c>
      <c r="BQ50" s="1509">
        <v>6.8245001E-2</v>
      </c>
      <c r="BR50" s="1509">
        <v>0.74655849600000002</v>
      </c>
      <c r="BS50" s="1509">
        <v>0.74655849600000002</v>
      </c>
      <c r="BT50" s="1509">
        <v>0.697306431</v>
      </c>
      <c r="BU50" s="1509">
        <v>0.697306431</v>
      </c>
      <c r="BV50" s="1509">
        <v>0.697306431</v>
      </c>
      <c r="BW50" s="1509">
        <v>0.203054016</v>
      </c>
      <c r="BX50" s="1509">
        <v>0.210655975</v>
      </c>
      <c r="BY50" s="1509">
        <v>0.210655975</v>
      </c>
      <c r="BZ50" s="1509">
        <v>0.54018932500000005</v>
      </c>
      <c r="CA50" s="1509">
        <v>0.203054016</v>
      </c>
      <c r="CB50" s="1509">
        <v>0.203054016</v>
      </c>
      <c r="CC50" s="1509">
        <v>0</v>
      </c>
      <c r="CD50" s="1509">
        <v>0.96249244700000003</v>
      </c>
      <c r="CE50" s="1509">
        <v>0.36437826800000001</v>
      </c>
      <c r="CF50" s="1509">
        <v>0.73163599499999998</v>
      </c>
      <c r="CG50" s="1509">
        <v>0.96569303399999995</v>
      </c>
      <c r="CH50" s="1509">
        <v>7.5470854000000004E-2</v>
      </c>
      <c r="CI50" s="1509">
        <v>0.74655849600000002</v>
      </c>
      <c r="CJ50" s="1509">
        <v>2.2631706000000001E-2</v>
      </c>
      <c r="CK50" s="1509">
        <v>8.0042049000000004E-2</v>
      </c>
      <c r="CL50" s="1509">
        <v>8.0042049000000004E-2</v>
      </c>
      <c r="CM50" s="1509">
        <v>0.58070366100000004</v>
      </c>
      <c r="CN50" s="1509">
        <v>0.67401699299999995</v>
      </c>
      <c r="CO50" s="1509">
        <v>0.203054016</v>
      </c>
      <c r="CP50" s="1509">
        <v>0.203054016</v>
      </c>
      <c r="CQ50" s="1509">
        <v>0</v>
      </c>
      <c r="CR50" s="1509">
        <v>1</v>
      </c>
      <c r="CS50" s="1509">
        <v>0.74655849600000002</v>
      </c>
      <c r="CT50" s="1509">
        <v>0.74655849600000002</v>
      </c>
      <c r="CU50" s="1509">
        <v>0.74655849600000002</v>
      </c>
      <c r="CV50" s="1509">
        <v>0.96801179999999998</v>
      </c>
      <c r="CW50" s="1509">
        <v>0.96801179999999998</v>
      </c>
      <c r="CX50" s="1509">
        <v>0.96801179999999998</v>
      </c>
      <c r="CY50" s="1509">
        <v>2.2631706000000001E-2</v>
      </c>
      <c r="CZ50" s="1509">
        <v>0.58070366100000004</v>
      </c>
      <c r="DA50" s="1509">
        <v>0.54018932500000005</v>
      </c>
      <c r="DB50" s="1509" t="s">
        <v>2372</v>
      </c>
      <c r="DC50" s="1509" t="s">
        <v>2372</v>
      </c>
      <c r="DD50" s="1509" t="s">
        <v>2372</v>
      </c>
      <c r="DE50" s="1509" t="s">
        <v>2372</v>
      </c>
      <c r="DF50" s="1509" t="s">
        <v>2372</v>
      </c>
      <c r="DG50" s="1509" t="s">
        <v>2372</v>
      </c>
      <c r="DH50" s="1509" t="s">
        <v>2372</v>
      </c>
      <c r="DI50" s="1509" t="s">
        <v>2372</v>
      </c>
      <c r="DJ50" s="1509">
        <v>1</v>
      </c>
      <c r="DK50" s="1509">
        <v>0.54018932500000005</v>
      </c>
      <c r="DL50" s="1509">
        <v>0</v>
      </c>
      <c r="DM50" s="1509">
        <v>0</v>
      </c>
      <c r="DN50" s="1509">
        <v>0.60603290700000001</v>
      </c>
      <c r="DO50" s="1509">
        <v>4.7965788000000002E-2</v>
      </c>
      <c r="DP50" s="1509">
        <v>0.58070366100000004</v>
      </c>
      <c r="DQ50" s="1509">
        <v>0.54018932500000005</v>
      </c>
      <c r="DR50" s="1509">
        <v>0.54018932500000005</v>
      </c>
      <c r="DS50" s="1509">
        <v>9.3504706000000007E-2</v>
      </c>
      <c r="DT50" s="1509">
        <v>0.54018932500000005</v>
      </c>
      <c r="DU50" s="1509">
        <v>0.96569303399999995</v>
      </c>
      <c r="DV50" s="1509">
        <v>0.98306638499999999</v>
      </c>
      <c r="DW50" s="1509">
        <v>0.94041494800000003</v>
      </c>
      <c r="DX50" s="1509">
        <v>0</v>
      </c>
      <c r="DY50" s="1509">
        <v>0.697306431</v>
      </c>
      <c r="DZ50" s="1509">
        <v>0</v>
      </c>
      <c r="EA50" s="1509">
        <v>2.2631706000000001E-2</v>
      </c>
      <c r="EB50" s="1509">
        <v>2.6704728E-2</v>
      </c>
      <c r="EC50" s="1509">
        <v>0.74655849600000002</v>
      </c>
      <c r="ED50" s="1509">
        <v>0.74655849600000002</v>
      </c>
      <c r="EE50" s="1509">
        <v>0.203054016</v>
      </c>
      <c r="EF50" s="1509">
        <v>0.697306431</v>
      </c>
      <c r="EG50" s="1509">
        <v>0.210655975</v>
      </c>
      <c r="EH50" s="1509">
        <v>0.15681482899999999</v>
      </c>
      <c r="EI50" s="1509">
        <v>0.73163599499999998</v>
      </c>
      <c r="EJ50" s="1509">
        <v>0.73163599499999998</v>
      </c>
      <c r="EK50" s="1509">
        <v>0.992502106</v>
      </c>
      <c r="EL50" s="1509" t="s">
        <v>2372</v>
      </c>
      <c r="EM50" s="1509" t="s">
        <v>2372</v>
      </c>
      <c r="EN50" s="1509" t="s">
        <v>2372</v>
      </c>
      <c r="EO50" s="1509" t="s">
        <v>2372</v>
      </c>
      <c r="EP50" s="1509">
        <v>0.54018932500000005</v>
      </c>
      <c r="EQ50" s="1509">
        <v>0.99789635399999999</v>
      </c>
      <c r="ER50" s="1509">
        <v>4.7965788000000002E-2</v>
      </c>
      <c r="ES50" s="1509">
        <v>4.7965788000000002E-2</v>
      </c>
      <c r="ET50" s="1509">
        <v>0.97539779000000004</v>
      </c>
      <c r="EU50" s="1509">
        <v>0.210655975</v>
      </c>
      <c r="EV50" s="1509">
        <v>0.98306638499999999</v>
      </c>
      <c r="EW50" s="1509">
        <v>0</v>
      </c>
      <c r="EX50" s="1509">
        <v>4.7965788000000002E-2</v>
      </c>
      <c r="EY50" s="1509">
        <v>8.0042049000000004E-2</v>
      </c>
      <c r="EZ50" s="1509">
        <v>0.210655975</v>
      </c>
      <c r="FA50" s="1509">
        <v>0</v>
      </c>
      <c r="FB50" s="1509">
        <v>0.98934994300000001</v>
      </c>
      <c r="FC50" s="1509">
        <v>0.697306431</v>
      </c>
      <c r="FD50" s="1509">
        <v>0.99228914899999998</v>
      </c>
      <c r="FE50" s="1509">
        <v>0.99597120400000005</v>
      </c>
      <c r="FF50" s="1509">
        <v>0.87230559900000004</v>
      </c>
      <c r="FG50" s="1509">
        <v>0</v>
      </c>
      <c r="FH50" s="1509">
        <v>0.58070366100000004</v>
      </c>
      <c r="FI50" s="1509">
        <v>0</v>
      </c>
      <c r="FJ50" s="1509">
        <v>0.15681482899999999</v>
      </c>
      <c r="FK50" s="1509">
        <v>0.210655975</v>
      </c>
      <c r="FL50" s="1509" t="s">
        <v>2372</v>
      </c>
      <c r="FM50" s="1509">
        <v>0.74655849600000002</v>
      </c>
      <c r="FN50" s="1509">
        <v>6.8245001E-2</v>
      </c>
      <c r="FO50" s="1509">
        <v>0.60511495500000001</v>
      </c>
      <c r="FP50" s="1509">
        <v>0.87230559900000004</v>
      </c>
      <c r="FQ50" s="1509">
        <v>0.210655975</v>
      </c>
      <c r="FR50" s="1509">
        <v>2.2631706000000001E-2</v>
      </c>
      <c r="FS50" s="1509">
        <v>0.66249309099999998</v>
      </c>
      <c r="FT50" s="1509" t="s">
        <v>2372</v>
      </c>
      <c r="FU50" s="1509">
        <v>0.32368395599999999</v>
      </c>
    </row>
    <row r="51" spans="1:177" s="1509" customFormat="1" x14ac:dyDescent="0.2">
      <c r="A51" s="1512" t="s">
        <v>663</v>
      </c>
      <c r="B51" s="1512" t="s">
        <v>1398</v>
      </c>
      <c r="C51" s="1509">
        <v>0.9</v>
      </c>
      <c r="D51" s="1509">
        <v>0.9</v>
      </c>
      <c r="E51" s="1509">
        <v>0.9</v>
      </c>
      <c r="F51" s="1509">
        <v>0.9</v>
      </c>
      <c r="G51" s="1509">
        <v>0.9</v>
      </c>
      <c r="H51" s="1509">
        <v>0.9</v>
      </c>
      <c r="I51" s="1509">
        <v>0.9</v>
      </c>
      <c r="J51" s="1509">
        <v>0.9</v>
      </c>
      <c r="K51" s="1509">
        <v>0.9</v>
      </c>
      <c r="L51" s="1509">
        <v>0.9</v>
      </c>
      <c r="M51" s="1509">
        <v>0.9</v>
      </c>
      <c r="N51" s="1509">
        <v>0.9</v>
      </c>
      <c r="O51" s="1509">
        <v>0.9</v>
      </c>
      <c r="P51" s="1509">
        <v>0.9</v>
      </c>
      <c r="Q51" s="1509">
        <v>0.9</v>
      </c>
      <c r="R51" s="1509">
        <v>0.9</v>
      </c>
      <c r="S51" s="1509">
        <v>0.2</v>
      </c>
      <c r="T51" s="1509">
        <v>0.1</v>
      </c>
      <c r="U51" s="1509">
        <v>0.9</v>
      </c>
      <c r="V51" s="1509">
        <v>0.9</v>
      </c>
      <c r="W51" s="1509">
        <v>0.9</v>
      </c>
      <c r="X51" s="1509">
        <v>0.7</v>
      </c>
      <c r="Y51" s="1509">
        <v>0.9</v>
      </c>
      <c r="Z51" s="1509">
        <v>0.9</v>
      </c>
      <c r="AA51" s="1509">
        <v>0.9</v>
      </c>
      <c r="AB51" s="1509">
        <v>0.7</v>
      </c>
      <c r="AC51" s="1509">
        <v>0.7</v>
      </c>
      <c r="AD51" s="1509">
        <v>0.7</v>
      </c>
      <c r="AE51" s="1509">
        <v>0.9</v>
      </c>
      <c r="AF51" s="1509">
        <v>0.2</v>
      </c>
      <c r="AG51" s="1509">
        <v>0.9</v>
      </c>
      <c r="AH51" s="1509">
        <v>0.9</v>
      </c>
      <c r="AI51" s="1509">
        <v>0.7</v>
      </c>
      <c r="AJ51" s="1509">
        <v>0.9</v>
      </c>
      <c r="AK51" s="1509">
        <v>0.9</v>
      </c>
      <c r="AL51" s="1509">
        <v>0.9</v>
      </c>
      <c r="AM51" s="1509">
        <v>0.9</v>
      </c>
      <c r="AN51" s="1509">
        <v>0.9</v>
      </c>
      <c r="AO51" s="1509">
        <v>0.3</v>
      </c>
      <c r="AP51" s="1509">
        <v>0.3</v>
      </c>
      <c r="AQ51" s="1509" t="s">
        <v>2372</v>
      </c>
      <c r="AR51" s="1509">
        <v>0.9</v>
      </c>
      <c r="AS51" s="1509" t="s">
        <v>2372</v>
      </c>
      <c r="AT51" s="1509">
        <v>0.9</v>
      </c>
      <c r="AU51" s="1509">
        <v>1</v>
      </c>
      <c r="AV51" s="1509">
        <v>0.5</v>
      </c>
      <c r="AW51" s="1509">
        <v>0.9</v>
      </c>
      <c r="AX51" s="1509">
        <v>0.9</v>
      </c>
      <c r="AY51" s="1509">
        <v>0.9</v>
      </c>
      <c r="AZ51" s="1509">
        <v>0.9</v>
      </c>
      <c r="BA51" s="1509">
        <v>0.7</v>
      </c>
      <c r="BB51" s="1509">
        <v>0.7</v>
      </c>
      <c r="BC51" s="1509">
        <v>0.9</v>
      </c>
      <c r="BD51" s="1509">
        <v>0.9</v>
      </c>
      <c r="BE51" s="1509">
        <v>0.4</v>
      </c>
      <c r="BF51" s="1509">
        <v>0.9</v>
      </c>
      <c r="BG51" s="1509">
        <v>0.2</v>
      </c>
      <c r="BH51" s="1509">
        <v>0.9</v>
      </c>
      <c r="BI51" s="1509">
        <v>0.2</v>
      </c>
      <c r="BJ51" s="1509">
        <v>0.9</v>
      </c>
      <c r="BK51" s="1509">
        <v>0.9</v>
      </c>
      <c r="BL51" s="1509" t="s">
        <v>2372</v>
      </c>
      <c r="BM51" s="1509">
        <v>0.9</v>
      </c>
      <c r="BN51" s="1509">
        <v>0.9</v>
      </c>
      <c r="BO51" s="1509" t="s">
        <v>2372</v>
      </c>
      <c r="BP51" s="1509">
        <v>0.9</v>
      </c>
      <c r="BQ51" s="1509">
        <v>0.2</v>
      </c>
      <c r="BR51" s="1509">
        <v>0.9</v>
      </c>
      <c r="BS51" s="1509">
        <v>0.9</v>
      </c>
      <c r="BT51" s="1509">
        <v>0.9</v>
      </c>
      <c r="BU51" s="1509">
        <v>0.9</v>
      </c>
      <c r="BV51" s="1509">
        <v>0.9</v>
      </c>
      <c r="BW51" s="1509">
        <v>0.9</v>
      </c>
      <c r="BX51" s="1509">
        <v>0.9</v>
      </c>
      <c r="BY51" s="1509">
        <v>0.9</v>
      </c>
      <c r="BZ51" s="1509">
        <v>0.9</v>
      </c>
      <c r="CA51" s="1509">
        <v>0.9</v>
      </c>
      <c r="CB51" s="1509">
        <v>0.9</v>
      </c>
      <c r="CC51" s="1509">
        <v>0.1</v>
      </c>
      <c r="CD51" s="1509">
        <v>0.9</v>
      </c>
      <c r="CE51" s="1509">
        <v>0.9</v>
      </c>
      <c r="CF51" s="1509">
        <v>0.1</v>
      </c>
      <c r="CG51" s="1509">
        <v>0.9</v>
      </c>
      <c r="CH51" s="1509">
        <v>0.1</v>
      </c>
      <c r="CI51" s="1509">
        <v>0.9</v>
      </c>
      <c r="CJ51" s="1509" t="s">
        <v>2372</v>
      </c>
      <c r="CK51" s="1509">
        <v>0.1</v>
      </c>
      <c r="CL51" s="1509">
        <v>0.1</v>
      </c>
      <c r="CM51" s="1509">
        <v>0.9</v>
      </c>
      <c r="CN51" s="1509">
        <v>1</v>
      </c>
      <c r="CO51" s="1509">
        <v>0.9</v>
      </c>
      <c r="CP51" s="1509">
        <v>0.9</v>
      </c>
      <c r="CQ51" s="1509">
        <v>0.2</v>
      </c>
      <c r="CR51" s="1509">
        <v>0.6</v>
      </c>
      <c r="CS51" s="1509">
        <v>0.9</v>
      </c>
      <c r="CT51" s="1509">
        <v>0.9</v>
      </c>
      <c r="CU51" s="1509">
        <v>0.9</v>
      </c>
      <c r="CV51" s="1509">
        <v>0.9</v>
      </c>
      <c r="CW51" s="1509">
        <v>0.9</v>
      </c>
      <c r="CX51" s="1509">
        <v>0.9</v>
      </c>
      <c r="CY51" s="1509" t="s">
        <v>2372</v>
      </c>
      <c r="CZ51" s="1509">
        <v>0.9</v>
      </c>
      <c r="DA51" s="1509">
        <v>0.9</v>
      </c>
      <c r="DB51" s="1509">
        <v>0.9</v>
      </c>
      <c r="DC51" s="1509">
        <v>0.9</v>
      </c>
      <c r="DD51" s="1509">
        <v>1</v>
      </c>
      <c r="DE51" s="1509">
        <v>1</v>
      </c>
      <c r="DF51" s="1509">
        <v>1</v>
      </c>
      <c r="DG51" s="1509">
        <v>0.9</v>
      </c>
      <c r="DH51" s="1509">
        <v>1</v>
      </c>
      <c r="DI51" s="1509">
        <v>1</v>
      </c>
      <c r="DJ51" s="1509">
        <v>0.5</v>
      </c>
      <c r="DK51" s="1509">
        <v>0.9</v>
      </c>
      <c r="DL51" s="1509">
        <v>0.9</v>
      </c>
      <c r="DM51" s="1509">
        <v>1</v>
      </c>
      <c r="DN51" s="1509">
        <v>0.9</v>
      </c>
      <c r="DO51" s="1509">
        <v>0.9</v>
      </c>
      <c r="DP51" s="1509">
        <v>0.9</v>
      </c>
      <c r="DQ51" s="1509">
        <v>0.9</v>
      </c>
      <c r="DR51" s="1509">
        <v>0.9</v>
      </c>
      <c r="DS51" s="1509">
        <v>0.2</v>
      </c>
      <c r="DT51" s="1509">
        <v>0.9</v>
      </c>
      <c r="DU51" s="1509">
        <v>0.9</v>
      </c>
      <c r="DV51" s="1509">
        <v>0.7</v>
      </c>
      <c r="DW51" s="1509">
        <v>0.3</v>
      </c>
      <c r="DX51" s="1509">
        <v>0.9</v>
      </c>
      <c r="DY51" s="1509">
        <v>0.9</v>
      </c>
      <c r="DZ51" s="1509">
        <v>0.9</v>
      </c>
      <c r="EA51" s="1509" t="s">
        <v>2372</v>
      </c>
      <c r="EB51" s="1509" t="s">
        <v>2372</v>
      </c>
      <c r="EC51" s="1509">
        <v>0.9</v>
      </c>
      <c r="ED51" s="1509">
        <v>0.9</v>
      </c>
      <c r="EE51" s="1509">
        <v>0.9</v>
      </c>
      <c r="EF51" s="1509">
        <v>0.9</v>
      </c>
      <c r="EG51" s="1509">
        <v>0.9</v>
      </c>
      <c r="EH51" s="1509">
        <v>0.9</v>
      </c>
      <c r="EI51" s="1509">
        <v>0.1</v>
      </c>
      <c r="EJ51" s="1509">
        <v>0.1</v>
      </c>
      <c r="EK51" s="1509" t="s">
        <v>2372</v>
      </c>
      <c r="EL51" s="1509">
        <v>1</v>
      </c>
      <c r="EM51" s="1509">
        <v>1</v>
      </c>
      <c r="EN51" s="1509">
        <v>1</v>
      </c>
      <c r="EO51" s="1509" t="s">
        <v>2372</v>
      </c>
      <c r="EP51" s="1509">
        <v>0.9</v>
      </c>
      <c r="EQ51" s="1509">
        <v>0.5</v>
      </c>
      <c r="ER51" s="1509">
        <v>0.9</v>
      </c>
      <c r="ES51" s="1509">
        <v>0.9</v>
      </c>
      <c r="ET51" s="1509">
        <v>0.1</v>
      </c>
      <c r="EU51" s="1509">
        <v>0.9</v>
      </c>
      <c r="EV51" s="1509">
        <v>0.7</v>
      </c>
      <c r="EW51" s="1509">
        <v>1</v>
      </c>
      <c r="EX51" s="1509">
        <v>0.9</v>
      </c>
      <c r="EY51" s="1509">
        <v>0.1</v>
      </c>
      <c r="EZ51" s="1509">
        <v>0.9</v>
      </c>
      <c r="FA51" s="1509">
        <v>0.9</v>
      </c>
      <c r="FB51" s="1509">
        <v>0.9</v>
      </c>
      <c r="FC51" s="1509">
        <v>0.9</v>
      </c>
      <c r="FD51" s="1509">
        <v>0.7</v>
      </c>
      <c r="FE51" s="1509">
        <v>0.1</v>
      </c>
      <c r="FF51" s="1509">
        <v>0.9</v>
      </c>
      <c r="FG51" s="1509">
        <v>0.1</v>
      </c>
      <c r="FH51" s="1509">
        <v>0.9</v>
      </c>
      <c r="FI51" s="1509">
        <v>0.3</v>
      </c>
      <c r="FJ51" s="1509">
        <v>0.9</v>
      </c>
      <c r="FK51" s="1509">
        <v>0.9</v>
      </c>
      <c r="FL51" s="1509">
        <v>1</v>
      </c>
      <c r="FM51" s="1509">
        <v>0.9</v>
      </c>
      <c r="FN51" s="1509">
        <v>0.1</v>
      </c>
      <c r="FO51" s="1509">
        <v>0.1</v>
      </c>
      <c r="FP51" s="1509">
        <v>0.9</v>
      </c>
      <c r="FQ51" s="1509">
        <v>0.9</v>
      </c>
      <c r="FR51" s="1509" t="s">
        <v>2372</v>
      </c>
      <c r="FS51" s="1509">
        <v>1</v>
      </c>
      <c r="FT51" s="1509">
        <v>1</v>
      </c>
      <c r="FU51" s="1509">
        <v>0.2</v>
      </c>
    </row>
    <row r="52" spans="1:177" s="1509" customFormat="1" x14ac:dyDescent="0.2">
      <c r="A52" s="1512" t="s">
        <v>663</v>
      </c>
      <c r="B52" s="1512" t="s">
        <v>1066</v>
      </c>
      <c r="C52" s="1509">
        <v>0.77747426799999997</v>
      </c>
      <c r="D52" s="1509">
        <v>0.68159661900000001</v>
      </c>
      <c r="E52" s="1509">
        <v>3.6855952000000025E-2</v>
      </c>
      <c r="F52" s="1509">
        <v>0.72878827899999998</v>
      </c>
      <c r="G52" s="1509">
        <v>2.2944600999999953E-2</v>
      </c>
      <c r="H52" s="1509">
        <v>2.2944600999999953E-2</v>
      </c>
      <c r="I52" s="1509">
        <v>0.47500204999999995</v>
      </c>
      <c r="J52" s="1509">
        <v>0.47500204999999995</v>
      </c>
      <c r="K52" s="1509">
        <v>0.47369029100000004</v>
      </c>
      <c r="L52" s="1509">
        <v>0.47077609899999995</v>
      </c>
      <c r="M52" s="1509">
        <v>0.47275491700000005</v>
      </c>
      <c r="N52" s="1509">
        <v>0.47500204999999995</v>
      </c>
      <c r="O52" s="1509">
        <v>0.47500204999999995</v>
      </c>
      <c r="P52" s="1509">
        <v>0.46955377799999998</v>
      </c>
      <c r="Q52" s="1509">
        <v>0.72573534299999998</v>
      </c>
      <c r="R52" s="1509">
        <v>0.69196511799999993</v>
      </c>
      <c r="S52" s="1509">
        <v>0.64405124800000002</v>
      </c>
      <c r="T52" s="1509">
        <v>0.71066772999999994</v>
      </c>
      <c r="U52" s="1509">
        <v>0.59796826400000003</v>
      </c>
      <c r="V52" s="1509">
        <v>0.67848119200000001</v>
      </c>
      <c r="W52" s="1509">
        <v>0.68861378399999995</v>
      </c>
      <c r="X52" s="1509">
        <v>0.76664107700000006</v>
      </c>
      <c r="Y52" s="1509">
        <v>0.40796073700000002</v>
      </c>
      <c r="Z52" s="1509">
        <v>0.52313838300000004</v>
      </c>
      <c r="AA52" s="1509">
        <v>0.52032108300000002</v>
      </c>
      <c r="AB52" s="1509">
        <v>0.48957300800000003</v>
      </c>
      <c r="AC52" s="1509">
        <v>0.48957300800000003</v>
      </c>
      <c r="AD52" s="1509">
        <v>0.48957300800000003</v>
      </c>
      <c r="AE52" s="1509">
        <v>0.65354747700000004</v>
      </c>
      <c r="AF52" s="1509">
        <v>0.81998345399999994</v>
      </c>
      <c r="AG52" s="1509">
        <v>0.49434303999999996</v>
      </c>
      <c r="AH52" s="1509">
        <v>0.50324213099999993</v>
      </c>
      <c r="AI52" s="1509">
        <v>0.49520760799999997</v>
      </c>
      <c r="AJ52" s="1509">
        <v>0.51508522699999992</v>
      </c>
      <c r="AK52" s="1509">
        <v>0.93025892700000001</v>
      </c>
      <c r="AL52" s="1509">
        <v>0.63222009200000007</v>
      </c>
      <c r="AM52" s="1509">
        <v>0.72164740799999993</v>
      </c>
      <c r="AN52" s="1509">
        <v>0.64526717</v>
      </c>
      <c r="AO52" s="1509">
        <v>0.65341609599999995</v>
      </c>
      <c r="AP52" s="1509">
        <v>0.50554823300000007</v>
      </c>
      <c r="AQ52" s="1509">
        <v>0.86287647899999997</v>
      </c>
      <c r="AR52" s="1509">
        <v>0.88669731100000004</v>
      </c>
      <c r="AS52" s="1509">
        <v>0.96993712200000004</v>
      </c>
      <c r="AT52" s="1509">
        <v>0.902539702</v>
      </c>
      <c r="AU52" s="1509">
        <v>0.89518348300000006</v>
      </c>
      <c r="AV52" s="1509">
        <v>0.92430182400000005</v>
      </c>
      <c r="AW52" s="1509">
        <v>0.80721616399999996</v>
      </c>
      <c r="AX52" s="1509">
        <v>0.36853461200000004</v>
      </c>
      <c r="AY52" s="1509">
        <v>0.31605684300000003</v>
      </c>
      <c r="AZ52" s="1509">
        <v>7.1670738999999983E-2</v>
      </c>
      <c r="BA52" s="1509">
        <v>6.518723999999998E-2</v>
      </c>
      <c r="BB52" s="1509">
        <v>5.2842171999999965E-2</v>
      </c>
      <c r="BC52" s="1509">
        <v>0.91714452599999996</v>
      </c>
      <c r="BD52" s="1509">
        <v>0.91650652600000004</v>
      </c>
      <c r="BE52" s="1509">
        <v>4.3665069999999639E-3</v>
      </c>
      <c r="BF52" s="1509">
        <v>0.92314787799999998</v>
      </c>
      <c r="BG52" s="1509">
        <v>9.2377825000000025E-2</v>
      </c>
      <c r="BH52" s="1509">
        <v>0.64520276399999998</v>
      </c>
      <c r="BI52" s="1509">
        <v>0.64060042799999994</v>
      </c>
      <c r="BJ52" s="1509">
        <v>0.57837759300000002</v>
      </c>
      <c r="BK52" s="1509">
        <v>0.68676166999999999</v>
      </c>
      <c r="BL52" s="1509">
        <v>0.59078340299999998</v>
      </c>
      <c r="BM52" s="1509">
        <v>0.78720356899999999</v>
      </c>
      <c r="BN52" s="1509">
        <v>0.77876366699999999</v>
      </c>
      <c r="BO52" s="1509">
        <v>0.23786436700000002</v>
      </c>
      <c r="BP52" s="1509">
        <v>0.28527401600000002</v>
      </c>
      <c r="BQ52" s="1509">
        <v>0.13927003599999999</v>
      </c>
      <c r="BR52" s="1509">
        <v>5.2921271999999964E-2</v>
      </c>
      <c r="BS52" s="1509">
        <v>0.47551259199999996</v>
      </c>
      <c r="BT52" s="1509">
        <v>0.94007991499999999</v>
      </c>
      <c r="BU52" s="1509">
        <v>0.61855227499999998</v>
      </c>
      <c r="BV52" s="1509">
        <v>0.51369900700000004</v>
      </c>
      <c r="BW52" s="1509">
        <v>4.9032845000000047E-2</v>
      </c>
      <c r="BX52" s="1509">
        <v>0.969596495</v>
      </c>
      <c r="BY52" s="1509">
        <v>0.96785400200000005</v>
      </c>
      <c r="BZ52" s="1509">
        <v>0.96079116799999997</v>
      </c>
      <c r="CA52" s="1509">
        <v>2.1469120000000008E-2</v>
      </c>
      <c r="CB52" s="1509">
        <v>2.3565305999999953E-2</v>
      </c>
      <c r="CC52" s="1509">
        <v>1.087629499999998E-2</v>
      </c>
      <c r="CD52" s="1509">
        <v>0.49960836399999997</v>
      </c>
      <c r="CE52" s="1509">
        <v>3.1606902000000048E-2</v>
      </c>
      <c r="CF52" s="1509">
        <v>0.16277144099999996</v>
      </c>
      <c r="CG52" s="1509">
        <v>0.48414709600000005</v>
      </c>
      <c r="CH52" s="1509">
        <v>0.73137637799999999</v>
      </c>
      <c r="CI52" s="1509">
        <v>0.36023432799999999</v>
      </c>
      <c r="CJ52" s="1509">
        <v>0.42219250200000003</v>
      </c>
      <c r="CK52" s="1509">
        <v>0.42475177799999997</v>
      </c>
      <c r="CL52" s="1509">
        <v>0.42475177799999997</v>
      </c>
      <c r="CM52" s="1509">
        <v>0.73392290399999993</v>
      </c>
      <c r="CN52" s="1509">
        <v>0.89159511499999999</v>
      </c>
      <c r="CO52" s="1509">
        <v>0.71509776000000003</v>
      </c>
      <c r="CP52" s="1509">
        <v>0.86185314800000001</v>
      </c>
      <c r="CQ52" s="1509">
        <v>0.80573670900000005</v>
      </c>
      <c r="CR52" s="1509">
        <v>0.83974182200000003</v>
      </c>
      <c r="CS52" s="1509">
        <v>4.5315310000000331E-3</v>
      </c>
      <c r="CT52" s="1509">
        <v>0.183977909</v>
      </c>
      <c r="CU52" s="1509">
        <v>1.0181038000000031E-2</v>
      </c>
      <c r="CV52" s="1509">
        <v>0.30592981500000005</v>
      </c>
      <c r="CW52" s="1509">
        <v>0.30592981500000005</v>
      </c>
      <c r="CX52" s="1509">
        <v>0.23280056400000004</v>
      </c>
      <c r="CY52" s="1509">
        <v>0.21299782</v>
      </c>
      <c r="CZ52" s="1509">
        <v>0.53737620900000005</v>
      </c>
      <c r="DA52" s="1509">
        <v>0.53035161200000003</v>
      </c>
      <c r="DB52" s="1509">
        <v>0.63651247700000002</v>
      </c>
      <c r="DC52" s="1509">
        <v>0.58489316499999999</v>
      </c>
      <c r="DD52" s="1509">
        <v>0.64599563999999998</v>
      </c>
      <c r="DE52" s="1509">
        <v>0.78092145800000001</v>
      </c>
      <c r="DF52" s="1509">
        <v>0.40434514700000002</v>
      </c>
      <c r="DG52" s="1509">
        <v>0.82110762599999998</v>
      </c>
      <c r="DH52" s="1509">
        <v>0.81791591200000002</v>
      </c>
      <c r="DI52" s="1509">
        <v>0.80456037999999996</v>
      </c>
      <c r="DJ52" s="1509">
        <v>0.76730885800000004</v>
      </c>
      <c r="DK52" s="1509">
        <v>0.81876430499999997</v>
      </c>
      <c r="DL52" s="1509">
        <v>0.94615562500000006</v>
      </c>
      <c r="DM52" s="1509">
        <v>0.93994166499999998</v>
      </c>
      <c r="DN52" s="1509">
        <v>0.17567280299999999</v>
      </c>
      <c r="DO52" s="1509">
        <v>7.2870569999999857E-3</v>
      </c>
      <c r="DP52" s="1509">
        <v>0.43188161999999997</v>
      </c>
      <c r="DQ52" s="1509">
        <v>0.53210502999999998</v>
      </c>
      <c r="DR52" s="1509">
        <v>0.53349247</v>
      </c>
      <c r="DS52" s="1509">
        <v>0.99384938099999998</v>
      </c>
      <c r="DT52" s="1509">
        <v>0.76114731400000002</v>
      </c>
      <c r="DU52" s="1509">
        <v>0.58544320300000008</v>
      </c>
      <c r="DV52" s="1509">
        <v>0.48957300800000003</v>
      </c>
      <c r="DW52" s="1509">
        <v>0.208366991</v>
      </c>
      <c r="DX52" s="1509">
        <v>0.91294756099999996</v>
      </c>
      <c r="DY52" s="1509">
        <v>0.10788036899999998</v>
      </c>
      <c r="DZ52" s="1509">
        <v>0.899242086</v>
      </c>
      <c r="EA52" s="1509">
        <v>0.42116879100000004</v>
      </c>
      <c r="EB52" s="1509">
        <v>0.81575005</v>
      </c>
      <c r="EC52" s="1509">
        <v>0.60979272699999998</v>
      </c>
      <c r="ED52" s="1509">
        <v>0.32376966699999998</v>
      </c>
      <c r="EE52" s="1509">
        <v>2.5094551999999992E-2</v>
      </c>
      <c r="EF52" s="1509">
        <v>0.47108293199999995</v>
      </c>
      <c r="EG52" s="1509">
        <v>0.96613881999999995</v>
      </c>
      <c r="EH52" s="1509">
        <v>0.65016621500000005</v>
      </c>
      <c r="EI52" s="1509">
        <v>0.19074545099999995</v>
      </c>
      <c r="EJ52" s="1509">
        <v>0.16277144099999996</v>
      </c>
      <c r="EK52" s="1509">
        <v>0.85446557000000001</v>
      </c>
      <c r="EL52" s="1509">
        <v>0.65240666300000005</v>
      </c>
      <c r="EM52" s="1509">
        <v>0.52517039300000001</v>
      </c>
      <c r="EN52" s="1509">
        <v>0.73097618600000003</v>
      </c>
      <c r="EO52" s="1509">
        <v>0.45755571699999997</v>
      </c>
      <c r="EP52" s="1509">
        <v>0.961189921</v>
      </c>
      <c r="EQ52" s="1509">
        <v>0.95120586600000001</v>
      </c>
      <c r="ER52" s="1509">
        <v>6.797217000000022E-3</v>
      </c>
      <c r="ES52" s="1509">
        <v>6.797217000000022E-3</v>
      </c>
      <c r="ET52" s="1509">
        <v>0.12263060100000001</v>
      </c>
      <c r="EU52" s="1509">
        <v>0.98134603499999995</v>
      </c>
      <c r="EV52" s="1509">
        <v>0.48957300800000003</v>
      </c>
      <c r="EW52" s="1509">
        <v>0.52529654399999992</v>
      </c>
      <c r="EX52" s="1509">
        <v>5.0987384999999996E-2</v>
      </c>
      <c r="EY52" s="1509">
        <v>2.2345508000000014E-2</v>
      </c>
      <c r="EZ52" s="1509">
        <v>0.97086376299999999</v>
      </c>
      <c r="FA52" s="1509">
        <v>0.17320761200000001</v>
      </c>
      <c r="FB52" s="1509">
        <v>0.77277751800000005</v>
      </c>
      <c r="FC52" s="1509">
        <v>0.20332760900000002</v>
      </c>
      <c r="FD52" s="1509">
        <v>6.1389604000000042E-2</v>
      </c>
      <c r="FE52" s="1509">
        <v>4.5802786999999956E-2</v>
      </c>
      <c r="FF52" s="1509">
        <v>0.75730198500000001</v>
      </c>
      <c r="FG52" s="1509">
        <v>0.453904101</v>
      </c>
      <c r="FH52" s="1509">
        <v>0.43326905999999998</v>
      </c>
      <c r="FI52" s="1509">
        <v>0.41866842400000004</v>
      </c>
      <c r="FJ52" s="1509">
        <v>0.41926997300000002</v>
      </c>
      <c r="FK52" s="1509">
        <v>0.984421345</v>
      </c>
      <c r="FL52" s="1509">
        <v>0.81791591200000002</v>
      </c>
      <c r="FM52" s="1509">
        <v>0.65868928500000001</v>
      </c>
      <c r="FN52" s="1509">
        <v>4.5799762999999993E-2</v>
      </c>
      <c r="FO52" s="1509">
        <v>0.99877643100000002</v>
      </c>
      <c r="FP52" s="1509">
        <v>0.34834828500000004</v>
      </c>
      <c r="FQ52" s="1509">
        <v>0.96785400200000005</v>
      </c>
      <c r="FR52" s="1509">
        <v>2.3363714000000035E-2</v>
      </c>
      <c r="FS52" s="1509">
        <v>2.4021090000000411E-3</v>
      </c>
      <c r="FT52" s="1509">
        <v>0.73035991900000008</v>
      </c>
      <c r="FU52" s="1509">
        <v>0.53980368299999992</v>
      </c>
    </row>
    <row r="53" spans="1:177" s="1509" customFormat="1" x14ac:dyDescent="0.2">
      <c r="A53" s="1512" t="s">
        <v>663</v>
      </c>
      <c r="B53" s="1512" t="s">
        <v>1026</v>
      </c>
      <c r="C53" s="1509">
        <v>1</v>
      </c>
      <c r="D53" s="1509">
        <v>1</v>
      </c>
      <c r="E53" s="1509">
        <v>1</v>
      </c>
      <c r="F53" s="1509">
        <v>1</v>
      </c>
      <c r="G53" s="1509">
        <v>1</v>
      </c>
      <c r="H53" s="1509">
        <v>1</v>
      </c>
      <c r="I53" s="1509">
        <v>0</v>
      </c>
      <c r="J53" s="1509">
        <v>0</v>
      </c>
      <c r="K53" s="1509">
        <v>1</v>
      </c>
      <c r="L53" s="1509">
        <v>6.0147130000000049E-3</v>
      </c>
      <c r="M53" s="1509">
        <v>1</v>
      </c>
      <c r="N53" s="1509">
        <v>1</v>
      </c>
      <c r="O53" s="1509">
        <v>0</v>
      </c>
      <c r="P53" s="1509">
        <v>6.0147130000000049E-3</v>
      </c>
      <c r="Q53" s="1509">
        <v>1</v>
      </c>
      <c r="R53" s="1509">
        <v>1</v>
      </c>
      <c r="S53" s="1509">
        <v>1.2983431999999961E-2</v>
      </c>
      <c r="T53" s="1509">
        <v>1</v>
      </c>
      <c r="U53" s="1509">
        <v>1</v>
      </c>
      <c r="V53" s="1509">
        <v>1</v>
      </c>
      <c r="W53" s="1509">
        <v>6.0147130000000049E-3</v>
      </c>
      <c r="X53" s="1509">
        <v>1</v>
      </c>
      <c r="Y53" s="1509">
        <v>1</v>
      </c>
      <c r="Z53" s="1509">
        <v>1</v>
      </c>
      <c r="AA53" s="1509">
        <v>1</v>
      </c>
      <c r="AB53" s="1509">
        <v>1</v>
      </c>
      <c r="AC53" s="1509">
        <v>1</v>
      </c>
      <c r="AD53" s="1509">
        <v>1</v>
      </c>
      <c r="AE53" s="1509">
        <v>1</v>
      </c>
      <c r="AF53" s="1509">
        <v>1</v>
      </c>
      <c r="AG53" s="1509">
        <v>1</v>
      </c>
      <c r="AH53" s="1509">
        <v>1</v>
      </c>
      <c r="AI53" s="1509">
        <v>1</v>
      </c>
      <c r="AJ53" s="1509">
        <v>1</v>
      </c>
      <c r="AK53" s="1509">
        <v>1</v>
      </c>
      <c r="AL53" s="1509">
        <v>1</v>
      </c>
      <c r="AM53" s="1509">
        <v>1</v>
      </c>
      <c r="AN53" s="1509">
        <v>1</v>
      </c>
      <c r="AO53" s="1509">
        <v>1</v>
      </c>
      <c r="AP53" s="1509">
        <v>0</v>
      </c>
      <c r="AQ53" s="1509">
        <v>1</v>
      </c>
      <c r="AR53" s="1509">
        <v>1.3605547000000051E-2</v>
      </c>
      <c r="AS53" s="1509">
        <v>1</v>
      </c>
      <c r="AT53" s="1509">
        <v>1</v>
      </c>
      <c r="AU53" s="1509">
        <v>1</v>
      </c>
      <c r="AV53" s="1509">
        <v>1</v>
      </c>
      <c r="AW53" s="1509">
        <v>1</v>
      </c>
      <c r="AX53" s="1509">
        <v>8.1662310000000238E-3</v>
      </c>
      <c r="AY53" s="1509">
        <v>1</v>
      </c>
      <c r="AZ53" s="1509">
        <v>1</v>
      </c>
      <c r="BA53" s="1509">
        <v>1</v>
      </c>
      <c r="BB53" s="1509">
        <v>1</v>
      </c>
      <c r="BC53" s="1509">
        <v>1</v>
      </c>
      <c r="BD53" s="1509">
        <v>1</v>
      </c>
      <c r="BE53" s="1509">
        <v>0</v>
      </c>
      <c r="BF53" s="1509">
        <v>1</v>
      </c>
      <c r="BG53" s="1509">
        <v>1</v>
      </c>
      <c r="BH53" s="1509">
        <v>1</v>
      </c>
      <c r="BI53" s="1509">
        <v>6.0147130000000049E-3</v>
      </c>
      <c r="BJ53" s="1509">
        <v>1</v>
      </c>
      <c r="BK53" s="1509">
        <v>0</v>
      </c>
      <c r="BL53" s="1509">
        <v>1</v>
      </c>
      <c r="BM53" s="1509" t="s">
        <v>2372</v>
      </c>
      <c r="BN53" s="1509">
        <v>1</v>
      </c>
      <c r="BO53" s="1509">
        <v>6.0147130000000049E-3</v>
      </c>
      <c r="BP53" s="1509">
        <v>1</v>
      </c>
      <c r="BQ53" s="1509">
        <v>1</v>
      </c>
      <c r="BR53" s="1509">
        <v>1</v>
      </c>
      <c r="BS53" s="1509">
        <v>1</v>
      </c>
      <c r="BT53" s="1509">
        <v>1</v>
      </c>
      <c r="BU53" s="1509">
        <v>1</v>
      </c>
      <c r="BV53" s="1509">
        <v>1</v>
      </c>
      <c r="BW53" s="1509">
        <v>1</v>
      </c>
      <c r="BX53" s="1509">
        <v>1</v>
      </c>
      <c r="BY53" s="1509">
        <v>1</v>
      </c>
      <c r="BZ53" s="1509">
        <v>1</v>
      </c>
      <c r="CA53" s="1509">
        <v>1</v>
      </c>
      <c r="CB53" s="1509">
        <v>1</v>
      </c>
      <c r="CC53" s="1509">
        <v>1</v>
      </c>
      <c r="CD53" s="1509">
        <v>1</v>
      </c>
      <c r="CE53" s="1509">
        <v>1</v>
      </c>
      <c r="CF53" s="1509">
        <v>1</v>
      </c>
      <c r="CG53" s="1509">
        <v>1</v>
      </c>
      <c r="CH53" s="1509">
        <v>1</v>
      </c>
      <c r="CI53" s="1509">
        <v>1</v>
      </c>
      <c r="CJ53" s="1509">
        <v>1</v>
      </c>
      <c r="CK53" s="1509">
        <v>1</v>
      </c>
      <c r="CL53" s="1509">
        <v>1</v>
      </c>
      <c r="CM53" s="1509">
        <v>1</v>
      </c>
      <c r="CN53" s="1509">
        <v>1</v>
      </c>
      <c r="CO53" s="1509">
        <v>1</v>
      </c>
      <c r="CP53" s="1509">
        <v>1</v>
      </c>
      <c r="CQ53" s="1509">
        <v>0</v>
      </c>
      <c r="CR53" s="1509">
        <v>1</v>
      </c>
      <c r="CS53" s="1509">
        <v>1</v>
      </c>
      <c r="CT53" s="1509">
        <v>1</v>
      </c>
      <c r="CU53" s="1509">
        <v>1</v>
      </c>
      <c r="CV53" s="1509">
        <v>1</v>
      </c>
      <c r="CW53" s="1509">
        <v>1</v>
      </c>
      <c r="CX53" s="1509">
        <v>1</v>
      </c>
      <c r="CY53" s="1509">
        <v>1</v>
      </c>
      <c r="CZ53" s="1509">
        <v>1</v>
      </c>
      <c r="DA53" s="1509">
        <v>1</v>
      </c>
      <c r="DB53" s="1509">
        <v>1</v>
      </c>
      <c r="DC53" s="1509">
        <v>1</v>
      </c>
      <c r="DD53" s="1509">
        <v>1</v>
      </c>
      <c r="DE53" s="1509" t="s">
        <v>2372</v>
      </c>
      <c r="DF53" s="1509">
        <v>1</v>
      </c>
      <c r="DG53" s="1509">
        <v>1</v>
      </c>
      <c r="DH53" s="1509">
        <v>1</v>
      </c>
      <c r="DI53" s="1509">
        <v>1</v>
      </c>
      <c r="DJ53" s="1509">
        <v>1</v>
      </c>
      <c r="DK53" s="1509">
        <v>8.1662310000000238E-3</v>
      </c>
      <c r="DL53" s="1509">
        <v>1</v>
      </c>
      <c r="DM53" s="1509" t="s">
        <v>2372</v>
      </c>
      <c r="DN53" s="1509">
        <v>1</v>
      </c>
      <c r="DO53" s="1509">
        <v>1</v>
      </c>
      <c r="DP53" s="1509">
        <v>1</v>
      </c>
      <c r="DQ53" s="1509">
        <v>0</v>
      </c>
      <c r="DR53" s="1509">
        <v>1</v>
      </c>
      <c r="DS53" s="1509">
        <v>1</v>
      </c>
      <c r="DT53" s="1509">
        <v>1</v>
      </c>
      <c r="DU53" s="1509">
        <v>1</v>
      </c>
      <c r="DV53" s="1509">
        <v>1</v>
      </c>
      <c r="DW53" s="1509">
        <v>1</v>
      </c>
      <c r="DX53" s="1509">
        <v>1</v>
      </c>
      <c r="DY53" s="1509">
        <v>1</v>
      </c>
      <c r="DZ53" s="1509">
        <v>1</v>
      </c>
      <c r="EA53" s="1509">
        <v>1</v>
      </c>
      <c r="EB53" s="1509">
        <v>1</v>
      </c>
      <c r="EC53" s="1509">
        <v>1</v>
      </c>
      <c r="ED53" s="1509">
        <v>1</v>
      </c>
      <c r="EE53" s="1509">
        <v>1</v>
      </c>
      <c r="EF53" s="1509">
        <v>1</v>
      </c>
      <c r="EG53" s="1509">
        <v>1</v>
      </c>
      <c r="EH53" s="1509">
        <v>1</v>
      </c>
      <c r="EI53" s="1509">
        <v>1</v>
      </c>
      <c r="EJ53" s="1509">
        <v>1</v>
      </c>
      <c r="EK53" s="1509">
        <v>1</v>
      </c>
      <c r="EL53" s="1509">
        <v>1</v>
      </c>
      <c r="EM53" s="1509">
        <v>1</v>
      </c>
      <c r="EN53" s="1509">
        <v>1</v>
      </c>
      <c r="EO53" s="1509">
        <v>1</v>
      </c>
      <c r="EP53" s="1509">
        <v>1</v>
      </c>
      <c r="EQ53" s="1509">
        <v>1</v>
      </c>
      <c r="ER53" s="1509">
        <v>1</v>
      </c>
      <c r="ES53" s="1509">
        <v>1</v>
      </c>
      <c r="ET53" s="1509">
        <v>1</v>
      </c>
      <c r="EU53" s="1509">
        <v>1</v>
      </c>
      <c r="EV53" s="1509">
        <v>1</v>
      </c>
      <c r="EW53" s="1509">
        <v>1</v>
      </c>
      <c r="EX53" s="1509">
        <v>1</v>
      </c>
      <c r="EY53" s="1509">
        <v>1</v>
      </c>
      <c r="EZ53" s="1509">
        <v>1</v>
      </c>
      <c r="FA53" s="1509">
        <v>1</v>
      </c>
      <c r="FB53" s="1509">
        <v>1</v>
      </c>
      <c r="FC53" s="1509">
        <v>1</v>
      </c>
      <c r="FD53" s="1509">
        <v>1</v>
      </c>
      <c r="FE53" s="1509">
        <v>1</v>
      </c>
      <c r="FF53" s="1509">
        <v>1</v>
      </c>
      <c r="FG53" s="1509">
        <v>1</v>
      </c>
      <c r="FH53" s="1509">
        <v>8.1662310000000238E-3</v>
      </c>
      <c r="FI53" s="1509">
        <v>1</v>
      </c>
      <c r="FJ53" s="1509">
        <v>0</v>
      </c>
      <c r="FK53" s="1509">
        <v>1</v>
      </c>
      <c r="FL53" s="1509">
        <v>1</v>
      </c>
      <c r="FM53" s="1509">
        <v>1</v>
      </c>
      <c r="FN53" s="1509">
        <v>6.0147130000000049E-3</v>
      </c>
      <c r="FO53" s="1509">
        <v>1</v>
      </c>
      <c r="FP53" s="1509">
        <v>1</v>
      </c>
      <c r="FQ53" s="1509">
        <v>1</v>
      </c>
      <c r="FR53" s="1509">
        <v>1</v>
      </c>
      <c r="FS53" s="1509">
        <v>1</v>
      </c>
      <c r="FT53" s="1509">
        <v>1</v>
      </c>
      <c r="FU53" s="1509">
        <v>1</v>
      </c>
    </row>
    <row r="54" spans="1:177" s="1509" customFormat="1" x14ac:dyDescent="0.2">
      <c r="A54" s="1512" t="s">
        <v>663</v>
      </c>
      <c r="B54" s="1512" t="s">
        <v>1011</v>
      </c>
      <c r="C54" s="1509">
        <v>0.68050845599999998</v>
      </c>
      <c r="D54" s="1509">
        <v>0.98817553700000005</v>
      </c>
      <c r="E54" s="1509">
        <v>0.85599347100000001</v>
      </c>
      <c r="F54" s="1509">
        <v>0.65511965299999997</v>
      </c>
      <c r="G54" s="1509">
        <v>0.91849952700000004</v>
      </c>
      <c r="H54" s="1509">
        <v>0.70084444499999998</v>
      </c>
      <c r="I54" s="1509">
        <v>0.91948334600000003</v>
      </c>
      <c r="J54" s="1509">
        <v>0.90925758899999998</v>
      </c>
      <c r="K54" s="1509">
        <v>0.934482861</v>
      </c>
      <c r="L54" s="1509">
        <v>0.88882843499999997</v>
      </c>
      <c r="M54" s="1509">
        <v>0.93471018299999997</v>
      </c>
      <c r="N54" s="1509">
        <v>0.979142289</v>
      </c>
      <c r="O54" s="1509">
        <v>0.95608961699999995</v>
      </c>
      <c r="P54" s="1509">
        <v>0.93911128300000002</v>
      </c>
      <c r="Q54" s="1509">
        <v>0.79165703099999996</v>
      </c>
      <c r="R54" s="1509">
        <v>0.96203740299999996</v>
      </c>
      <c r="S54" s="1509">
        <v>0.98418063499999997</v>
      </c>
      <c r="T54" s="1509">
        <v>0.48846621099999998</v>
      </c>
      <c r="U54" s="1509">
        <v>0.50755751999999998</v>
      </c>
      <c r="V54" s="1509">
        <v>0.72068107100000001</v>
      </c>
      <c r="W54" s="1509">
        <v>0.83343643599999995</v>
      </c>
      <c r="X54" s="1509">
        <v>0.62348793700000005</v>
      </c>
      <c r="Y54" s="1509">
        <v>0.95408843899999995</v>
      </c>
      <c r="Z54" s="1509">
        <v>0.729636061</v>
      </c>
      <c r="AA54" s="1509">
        <v>0.94749237900000005</v>
      </c>
      <c r="AB54" s="1509">
        <v>0.82425412300000001</v>
      </c>
      <c r="AC54" s="1509">
        <v>0.77927793599999995</v>
      </c>
      <c r="AD54" s="1509">
        <v>0.59727139200000001</v>
      </c>
      <c r="AE54" s="1509">
        <v>0.88380715099999996</v>
      </c>
      <c r="AF54" s="1509">
        <v>0.75523026599999998</v>
      </c>
      <c r="AG54" s="1509">
        <v>0.99996273400000002</v>
      </c>
      <c r="AH54" s="1509">
        <v>0.75657183699999997</v>
      </c>
      <c r="AI54" s="1509">
        <v>0.77334148199999997</v>
      </c>
      <c r="AJ54" s="1509">
        <v>0.75228998800000002</v>
      </c>
      <c r="AK54" s="1509">
        <v>0.92289616799999996</v>
      </c>
      <c r="AL54" s="1509">
        <v>0.657075933</v>
      </c>
      <c r="AM54" s="1509">
        <v>0.97480101200000002</v>
      </c>
      <c r="AN54" s="1509">
        <v>0.76201949999999996</v>
      </c>
      <c r="AO54" s="1509">
        <v>0.61277156600000005</v>
      </c>
      <c r="AP54" s="1509">
        <v>0</v>
      </c>
      <c r="AQ54" s="1509">
        <v>0.91576048499999996</v>
      </c>
      <c r="AR54" s="1509">
        <v>0.55402247599999999</v>
      </c>
      <c r="AS54" s="1509">
        <v>0.154319185</v>
      </c>
      <c r="AT54" s="1509">
        <v>2.745707E-2</v>
      </c>
      <c r="AU54" s="1509">
        <v>2.1230802E-2</v>
      </c>
      <c r="AV54" s="1509">
        <v>0.74900313799999996</v>
      </c>
      <c r="AW54" s="1509">
        <v>0.930655656</v>
      </c>
      <c r="AX54" s="1509">
        <v>0.990451792</v>
      </c>
      <c r="AY54" s="1509">
        <v>0.86183211100000001</v>
      </c>
      <c r="AZ54" s="1509">
        <v>0.87591638599999999</v>
      </c>
      <c r="BA54" s="1509">
        <v>0.87709420299999996</v>
      </c>
      <c r="BB54" s="1509">
        <v>0.951748013</v>
      </c>
      <c r="BC54" s="1509">
        <v>6.1194212999999997E-2</v>
      </c>
      <c r="BD54" s="1509">
        <v>0.97893830599999998</v>
      </c>
      <c r="BE54" s="1509">
        <v>0.99975547600000003</v>
      </c>
      <c r="BF54" s="1509">
        <v>0.13354189999999999</v>
      </c>
      <c r="BG54" s="1509">
        <v>0.25124882100000001</v>
      </c>
      <c r="BH54" s="1509">
        <v>0.71104038899999999</v>
      </c>
      <c r="BI54" s="1509">
        <v>0.59664905199999996</v>
      </c>
      <c r="BJ54" s="1509">
        <v>0.51278592199999995</v>
      </c>
      <c r="BK54" s="1509">
        <v>0.97589643100000001</v>
      </c>
      <c r="BL54" s="1509">
        <v>1.7559681000000001E-2</v>
      </c>
      <c r="BM54" s="1509">
        <v>0</v>
      </c>
      <c r="BN54" s="1509">
        <v>0.89992994000000004</v>
      </c>
      <c r="BO54" s="1509">
        <v>0.982268896</v>
      </c>
      <c r="BP54" s="1509">
        <v>0.985324698</v>
      </c>
      <c r="BQ54" s="1509">
        <v>0.97512129999999997</v>
      </c>
      <c r="BR54" s="1509">
        <v>0.40784148599999998</v>
      </c>
      <c r="BS54" s="1509">
        <v>1.7559681000000001E-2</v>
      </c>
      <c r="BT54" s="1509">
        <v>0.87595491299999995</v>
      </c>
      <c r="BU54" s="1509">
        <v>0.56564956099999997</v>
      </c>
      <c r="BV54" s="1509">
        <v>0.91104176299999995</v>
      </c>
      <c r="BW54" s="1509">
        <v>0</v>
      </c>
      <c r="BX54" s="1509">
        <v>0.89766265499999998</v>
      </c>
      <c r="BY54" s="1509">
        <v>5.0035230000000002E-3</v>
      </c>
      <c r="BZ54" s="1509">
        <v>5.0035230000000002E-3</v>
      </c>
      <c r="CA54" s="1509">
        <v>0</v>
      </c>
      <c r="CB54" s="1509">
        <v>0</v>
      </c>
      <c r="CC54" s="1509">
        <v>0.85016374100000003</v>
      </c>
      <c r="CD54" s="1509">
        <v>0.99643424599999997</v>
      </c>
      <c r="CE54" s="1509">
        <v>0.83443115800000001</v>
      </c>
      <c r="CF54" s="1509">
        <v>0.52433738900000004</v>
      </c>
      <c r="CG54" s="1509">
        <v>0.78305669600000005</v>
      </c>
      <c r="CH54" s="1509">
        <v>0.970627036</v>
      </c>
      <c r="CI54" s="1509">
        <v>0.98713581900000003</v>
      </c>
      <c r="CJ54" s="1509">
        <v>0.96746141799999996</v>
      </c>
      <c r="CK54" s="1509">
        <v>0.56985998299999996</v>
      </c>
      <c r="CL54" s="1509">
        <v>0.493307355</v>
      </c>
      <c r="CM54" s="1509">
        <v>0.81393011500000001</v>
      </c>
      <c r="CN54" s="1509">
        <v>0.841010645</v>
      </c>
      <c r="CO54" s="1509">
        <v>4.3997522999999997E-2</v>
      </c>
      <c r="CP54" s="1509">
        <v>4.3997522999999997E-2</v>
      </c>
      <c r="CQ54" s="1509">
        <v>0.99986956900000001</v>
      </c>
      <c r="CR54" s="1509">
        <v>0.99967578700000004</v>
      </c>
      <c r="CS54" s="1509">
        <v>0.797154378</v>
      </c>
      <c r="CT54" s="1509">
        <v>0.38095788200000003</v>
      </c>
      <c r="CU54" s="1509">
        <v>0.544603528</v>
      </c>
      <c r="CV54" s="1509">
        <v>0.88224027500000002</v>
      </c>
      <c r="CW54" s="1509">
        <v>0.68419633199999996</v>
      </c>
      <c r="CX54" s="1509">
        <v>0.98521123700000002</v>
      </c>
      <c r="CY54" s="1509">
        <v>0.99706646399999999</v>
      </c>
      <c r="CZ54" s="1509">
        <v>0.90623310099999999</v>
      </c>
      <c r="DA54" s="1509">
        <v>0.97111503200000004</v>
      </c>
      <c r="DB54" s="1509">
        <v>0.96487274499999998</v>
      </c>
      <c r="DC54" s="1509">
        <v>0.57415907099999997</v>
      </c>
      <c r="DD54" s="1509">
        <v>0.92735400400000001</v>
      </c>
      <c r="DE54" s="1509">
        <v>0.687184393</v>
      </c>
      <c r="DF54" s="1509">
        <v>0.77595452499999995</v>
      </c>
      <c r="DG54" s="1509">
        <v>0.88606407300000001</v>
      </c>
      <c r="DH54" s="1509">
        <v>0.227264784</v>
      </c>
      <c r="DI54" s="1509">
        <v>0.47442489399999999</v>
      </c>
      <c r="DJ54" s="1509">
        <v>0.89071453199999995</v>
      </c>
      <c r="DK54" s="1509">
        <v>0.99383299400000003</v>
      </c>
      <c r="DL54" s="1509">
        <v>0.73173297100000001</v>
      </c>
      <c r="DM54" s="1509">
        <v>4.3997522999999997E-2</v>
      </c>
      <c r="DN54" s="1509">
        <v>0.123400366</v>
      </c>
      <c r="DO54" s="1509">
        <v>0.95677299999999998</v>
      </c>
      <c r="DP54" s="1509">
        <v>0.94785083400000003</v>
      </c>
      <c r="DQ54" s="1509">
        <v>0.99719780899999999</v>
      </c>
      <c r="DR54" s="1509">
        <v>0.97177597800000004</v>
      </c>
      <c r="DS54" s="1509">
        <v>0.96578376700000002</v>
      </c>
      <c r="DT54" s="1509">
        <v>0.98961605100000005</v>
      </c>
      <c r="DU54" s="1509">
        <v>0.70606912099999997</v>
      </c>
      <c r="DV54" s="1509">
        <v>0.84065110899999995</v>
      </c>
      <c r="DW54" s="1509">
        <v>0.48154840399999999</v>
      </c>
      <c r="DX54" s="1509">
        <v>0.33894722300000002</v>
      </c>
      <c r="DY54" s="1509">
        <v>0.58709794599999998</v>
      </c>
      <c r="DZ54" s="1509">
        <v>0.19649638</v>
      </c>
      <c r="EA54" s="1509">
        <v>0.91830130099999996</v>
      </c>
      <c r="EB54" s="1509">
        <v>0.43671881400000001</v>
      </c>
      <c r="EC54" s="1509">
        <v>0.77937482800000002</v>
      </c>
      <c r="ED54" s="1509">
        <v>0.96503342700000005</v>
      </c>
      <c r="EE54" s="1509">
        <v>0.96158981899999996</v>
      </c>
      <c r="EF54" s="1509">
        <v>0.96452788199999995</v>
      </c>
      <c r="EG54" s="1509">
        <v>0.24273096199999999</v>
      </c>
      <c r="EH54" s="1509">
        <v>0.99175527799999996</v>
      </c>
      <c r="EI54" s="1509">
        <v>0.74489194599999997</v>
      </c>
      <c r="EJ54" s="1509">
        <v>0.59021431800000002</v>
      </c>
      <c r="EK54" s="1509">
        <v>0.944097458</v>
      </c>
      <c r="EL54" s="1509">
        <v>0.68726717500000001</v>
      </c>
      <c r="EM54" s="1509">
        <v>0.94177650599999996</v>
      </c>
      <c r="EN54" s="1509">
        <v>0.96298715000000001</v>
      </c>
      <c r="EO54" s="1509">
        <v>0.47434211100000001</v>
      </c>
      <c r="EP54" s="1509">
        <v>0.52558843300000002</v>
      </c>
      <c r="EQ54" s="1509">
        <v>0.96916145099999995</v>
      </c>
      <c r="ER54" s="1509">
        <v>0.96977852600000003</v>
      </c>
      <c r="ES54" s="1509">
        <v>0.96507275999999997</v>
      </c>
      <c r="ET54" s="1509">
        <v>0.908886784</v>
      </c>
      <c r="EU54" s="1509">
        <v>0.42949456800000002</v>
      </c>
      <c r="EV54" s="1509">
        <v>0.69942834099999995</v>
      </c>
      <c r="EW54" s="1509">
        <v>0.97559627599999998</v>
      </c>
      <c r="EX54" s="1509">
        <v>0.30470246400000001</v>
      </c>
      <c r="EY54" s="1509">
        <v>0.93444400400000005</v>
      </c>
      <c r="EZ54" s="1509">
        <v>0.90874578699999997</v>
      </c>
      <c r="FA54" s="1509">
        <v>0.83555757799999997</v>
      </c>
      <c r="FB54" s="1509">
        <v>0.75145614599999999</v>
      </c>
      <c r="FC54" s="1509">
        <v>0.83149505800000001</v>
      </c>
      <c r="FD54" s="1509">
        <v>0.88831098799999997</v>
      </c>
      <c r="FE54" s="1509">
        <v>0.98503511399999999</v>
      </c>
      <c r="FF54" s="1509">
        <v>0.65896432999999999</v>
      </c>
      <c r="FG54" s="1509">
        <v>0.75501062399999996</v>
      </c>
      <c r="FH54" s="1509">
        <v>0.84968127100000002</v>
      </c>
      <c r="FI54" s="1509">
        <v>0.62522851899999998</v>
      </c>
      <c r="FJ54" s="1509">
        <v>0.99837086900000005</v>
      </c>
      <c r="FK54" s="1509">
        <v>0.96580015399999997</v>
      </c>
      <c r="FL54" s="1509">
        <v>0.99541938399999996</v>
      </c>
      <c r="FM54" s="1509">
        <v>0.29683016400000001</v>
      </c>
      <c r="FN54" s="1509">
        <v>0.96029320799999995</v>
      </c>
      <c r="FO54" s="1509">
        <v>0.99507294999999996</v>
      </c>
      <c r="FP54" s="1509">
        <v>0.57535819099999996</v>
      </c>
      <c r="FQ54" s="1509">
        <v>0.95438381800000005</v>
      </c>
      <c r="FR54" s="1509">
        <v>0.700162913</v>
      </c>
      <c r="FS54" s="1509">
        <v>0.37430381400000001</v>
      </c>
      <c r="FT54" s="1509">
        <v>0.37172895299999997</v>
      </c>
      <c r="FU54" s="1509">
        <v>0.96402724900000003</v>
      </c>
    </row>
    <row r="55" spans="1:177" s="1509" customFormat="1" x14ac:dyDescent="0.2">
      <c r="A55" s="1512" t="s">
        <v>664</v>
      </c>
      <c r="B55" s="1512" t="s">
        <v>1298</v>
      </c>
      <c r="C55" s="1509">
        <v>0.5</v>
      </c>
      <c r="D55" s="1509">
        <v>0</v>
      </c>
      <c r="E55" s="1509">
        <v>0.5</v>
      </c>
      <c r="F55" s="1509">
        <v>0.5</v>
      </c>
      <c r="G55" s="1509">
        <v>0.5</v>
      </c>
      <c r="H55" s="1509">
        <v>1</v>
      </c>
      <c r="I55" s="1509">
        <v>0.5</v>
      </c>
      <c r="J55" s="1509">
        <v>1</v>
      </c>
      <c r="K55" s="1509">
        <v>0.5</v>
      </c>
      <c r="L55" s="1509">
        <v>1</v>
      </c>
      <c r="M55" s="1509">
        <v>0.5</v>
      </c>
      <c r="N55" s="1509">
        <v>0.5</v>
      </c>
      <c r="O55" s="1509">
        <v>0.5</v>
      </c>
      <c r="P55" s="1509">
        <v>0.5</v>
      </c>
      <c r="Q55" s="1509">
        <v>1</v>
      </c>
      <c r="R55" s="1509">
        <v>0</v>
      </c>
      <c r="S55" s="1509">
        <v>0.5</v>
      </c>
      <c r="T55" s="1509">
        <v>1</v>
      </c>
      <c r="U55" s="1509">
        <v>0.5</v>
      </c>
      <c r="V55" s="1509">
        <v>0.5</v>
      </c>
      <c r="W55" s="1509">
        <v>0.5</v>
      </c>
      <c r="X55" s="1509">
        <v>0.5</v>
      </c>
      <c r="Y55" s="1509">
        <v>1</v>
      </c>
      <c r="Z55" s="1509">
        <v>0</v>
      </c>
      <c r="AA55" s="1509">
        <v>0.5</v>
      </c>
      <c r="AB55" s="1509">
        <v>1</v>
      </c>
      <c r="AC55" s="1509">
        <v>1</v>
      </c>
      <c r="AD55" s="1509">
        <v>0.5</v>
      </c>
      <c r="AE55" s="1509">
        <v>0.5</v>
      </c>
      <c r="AF55" s="1509">
        <v>1</v>
      </c>
      <c r="AG55" s="1509">
        <v>0.5</v>
      </c>
      <c r="AH55" s="1509">
        <v>0.5</v>
      </c>
      <c r="AI55" s="1509">
        <v>0.5</v>
      </c>
      <c r="AJ55" s="1509">
        <v>0.5</v>
      </c>
      <c r="AK55" s="1509">
        <v>0.5</v>
      </c>
      <c r="AL55" s="1509">
        <v>0.5</v>
      </c>
      <c r="AM55" s="1509">
        <v>0.5</v>
      </c>
      <c r="AN55" s="1509">
        <v>0.5</v>
      </c>
      <c r="AO55" s="1509">
        <v>0.5</v>
      </c>
      <c r="AP55" s="1509">
        <v>0.5</v>
      </c>
      <c r="AQ55" s="1509">
        <v>1</v>
      </c>
      <c r="AR55" s="1509">
        <v>0.5</v>
      </c>
      <c r="AS55" s="1509">
        <v>0.5</v>
      </c>
      <c r="AT55" s="1509">
        <v>0.5</v>
      </c>
      <c r="AU55" s="1509">
        <v>0.5</v>
      </c>
      <c r="AV55" s="1509">
        <v>0.5</v>
      </c>
      <c r="AW55" s="1509">
        <v>0.5</v>
      </c>
      <c r="AX55" s="1509">
        <v>0.5</v>
      </c>
      <c r="AY55" s="1509">
        <v>0.5</v>
      </c>
      <c r="AZ55" s="1509">
        <v>1</v>
      </c>
      <c r="BA55" s="1509">
        <v>0.5</v>
      </c>
      <c r="BB55" s="1509">
        <v>0.5</v>
      </c>
      <c r="BC55" s="1509">
        <v>0.5</v>
      </c>
      <c r="BD55" s="1509">
        <v>0.5</v>
      </c>
      <c r="BE55" s="1509">
        <v>0.5</v>
      </c>
      <c r="BF55" s="1509">
        <v>0</v>
      </c>
      <c r="BG55" s="1509">
        <v>0.5</v>
      </c>
      <c r="BH55" s="1509">
        <v>0.5</v>
      </c>
      <c r="BI55" s="1509">
        <v>0.5</v>
      </c>
      <c r="BJ55" s="1509">
        <v>0</v>
      </c>
      <c r="BK55" s="1509">
        <v>0.5</v>
      </c>
      <c r="BL55" s="1509">
        <v>0.5</v>
      </c>
      <c r="BM55" s="1509">
        <v>1</v>
      </c>
      <c r="BN55" s="1509">
        <v>0.5</v>
      </c>
      <c r="BO55" s="1509">
        <v>0.5</v>
      </c>
      <c r="BP55" s="1509">
        <v>0.5</v>
      </c>
      <c r="BQ55" s="1509">
        <v>0.5</v>
      </c>
      <c r="BR55" s="1509">
        <v>0</v>
      </c>
      <c r="BS55" s="1509">
        <v>0.5</v>
      </c>
      <c r="BT55" s="1509">
        <v>0</v>
      </c>
      <c r="BU55" s="1509">
        <v>1</v>
      </c>
      <c r="BV55" s="1509">
        <v>0.5</v>
      </c>
      <c r="BW55" s="1509">
        <v>0.5</v>
      </c>
      <c r="BX55" s="1509">
        <v>1</v>
      </c>
      <c r="BY55" s="1509">
        <v>0.5</v>
      </c>
      <c r="BZ55" s="1509">
        <v>0.5</v>
      </c>
      <c r="CA55" s="1509">
        <v>0.5</v>
      </c>
      <c r="CB55" s="1509">
        <v>0.5</v>
      </c>
      <c r="CC55" s="1509">
        <v>1</v>
      </c>
      <c r="CD55" s="1509">
        <v>0.5</v>
      </c>
      <c r="CE55" s="1509">
        <v>0.5</v>
      </c>
      <c r="CF55" s="1509">
        <v>0.5</v>
      </c>
      <c r="CG55" s="1509">
        <v>0</v>
      </c>
      <c r="CH55" s="1509">
        <v>0.5</v>
      </c>
      <c r="CI55" s="1509">
        <v>0.5</v>
      </c>
      <c r="CJ55" s="1509">
        <v>0.5</v>
      </c>
      <c r="CK55" s="1509">
        <v>0.5</v>
      </c>
      <c r="CL55" s="1509">
        <v>0.5</v>
      </c>
      <c r="CM55" s="1509">
        <v>0</v>
      </c>
      <c r="CN55" s="1509">
        <v>0.5</v>
      </c>
      <c r="CO55" s="1509">
        <v>1</v>
      </c>
      <c r="CP55" s="1509">
        <v>0</v>
      </c>
      <c r="CQ55" s="1509">
        <v>0.5</v>
      </c>
      <c r="CR55" s="1509">
        <v>0.5</v>
      </c>
      <c r="CS55" s="1509">
        <v>0.5</v>
      </c>
      <c r="CT55" s="1509">
        <v>0.5</v>
      </c>
      <c r="CU55" s="1509">
        <v>0.5</v>
      </c>
      <c r="CV55" s="1509">
        <v>0.5</v>
      </c>
      <c r="CW55" s="1509">
        <v>0.5</v>
      </c>
      <c r="CX55" s="1509">
        <v>0.5</v>
      </c>
      <c r="CY55" s="1509">
        <v>0</v>
      </c>
      <c r="CZ55" s="1509">
        <v>0.5</v>
      </c>
      <c r="DA55" s="1509">
        <v>0.5</v>
      </c>
      <c r="DB55" s="1509">
        <v>0.5</v>
      </c>
      <c r="DC55" s="1509">
        <v>1</v>
      </c>
      <c r="DD55" s="1509">
        <v>0.5</v>
      </c>
      <c r="DE55" s="1509">
        <v>0.5</v>
      </c>
      <c r="DF55" s="1509">
        <v>0.5</v>
      </c>
      <c r="DG55" s="1509">
        <v>0.5</v>
      </c>
      <c r="DH55" s="1509">
        <v>0.5</v>
      </c>
      <c r="DI55" s="1509">
        <v>0.5</v>
      </c>
      <c r="DJ55" s="1509">
        <v>0.5</v>
      </c>
      <c r="DK55" s="1509">
        <v>0.5</v>
      </c>
      <c r="DL55" s="1509">
        <v>0.5</v>
      </c>
      <c r="DM55" s="1509">
        <v>0.5</v>
      </c>
      <c r="DN55" s="1509">
        <v>0.5</v>
      </c>
      <c r="DO55" s="1509">
        <v>0.5</v>
      </c>
      <c r="DP55" s="1509">
        <v>1</v>
      </c>
      <c r="DQ55" s="1509">
        <v>0</v>
      </c>
      <c r="DR55" s="1509">
        <v>0</v>
      </c>
      <c r="DS55" s="1509">
        <v>0.5</v>
      </c>
      <c r="DT55" s="1509">
        <v>0</v>
      </c>
      <c r="DU55" s="1509">
        <v>0.5</v>
      </c>
      <c r="DV55" s="1509">
        <v>1</v>
      </c>
      <c r="DW55" s="1509">
        <v>0.5</v>
      </c>
      <c r="DX55" s="1509">
        <v>0.5</v>
      </c>
      <c r="DY55" s="1509">
        <v>0</v>
      </c>
      <c r="DZ55" s="1509">
        <v>0.5</v>
      </c>
      <c r="EA55" s="1509">
        <v>0</v>
      </c>
      <c r="EB55" s="1509">
        <v>0</v>
      </c>
      <c r="EC55" s="1509">
        <v>1</v>
      </c>
      <c r="ED55" s="1509">
        <v>0.5</v>
      </c>
      <c r="EE55" s="1509">
        <v>0.5</v>
      </c>
      <c r="EF55" s="1509">
        <v>1</v>
      </c>
      <c r="EG55" s="1509">
        <v>1</v>
      </c>
      <c r="EH55" s="1509">
        <v>1</v>
      </c>
      <c r="EI55" s="1509">
        <v>0</v>
      </c>
      <c r="EJ55" s="1509">
        <v>0</v>
      </c>
      <c r="EK55" s="1509">
        <v>0</v>
      </c>
      <c r="EL55" s="1509">
        <v>0.5</v>
      </c>
      <c r="EM55" s="1509">
        <v>0.5</v>
      </c>
      <c r="EN55" s="1509">
        <v>1</v>
      </c>
      <c r="EO55" s="1509">
        <v>0.5</v>
      </c>
      <c r="EP55" s="1509">
        <v>0.5</v>
      </c>
      <c r="EQ55" s="1509">
        <v>0</v>
      </c>
      <c r="ER55" s="1509">
        <v>0</v>
      </c>
      <c r="ES55" s="1509">
        <v>0</v>
      </c>
      <c r="ET55" s="1509">
        <v>0.5</v>
      </c>
      <c r="EU55" s="1509">
        <v>0.5</v>
      </c>
      <c r="EV55" s="1509">
        <v>1</v>
      </c>
      <c r="EW55" s="1509">
        <v>0.5</v>
      </c>
      <c r="EX55" s="1509">
        <v>0.5</v>
      </c>
      <c r="EY55" s="1509">
        <v>0.5</v>
      </c>
      <c r="EZ55" s="1509">
        <v>0.5</v>
      </c>
      <c r="FA55" s="1509">
        <v>0.5</v>
      </c>
      <c r="FB55" s="1509">
        <v>0</v>
      </c>
      <c r="FC55" s="1509">
        <v>0</v>
      </c>
      <c r="FD55" s="1509">
        <v>0</v>
      </c>
      <c r="FE55" s="1509">
        <v>0.5</v>
      </c>
      <c r="FF55" s="1509">
        <v>0</v>
      </c>
      <c r="FG55" s="1509">
        <v>0.5</v>
      </c>
      <c r="FH55" s="1509">
        <v>0.5</v>
      </c>
      <c r="FI55" s="1509">
        <v>0.5</v>
      </c>
      <c r="FJ55" s="1509">
        <v>0.5</v>
      </c>
      <c r="FK55" s="1509">
        <v>0</v>
      </c>
      <c r="FL55" s="1509">
        <v>1</v>
      </c>
      <c r="FM55" s="1509">
        <v>0.5</v>
      </c>
      <c r="FN55" s="1509">
        <v>0.5</v>
      </c>
      <c r="FO55" s="1509">
        <v>0.5</v>
      </c>
      <c r="FP55" s="1509">
        <v>0.5</v>
      </c>
      <c r="FQ55" s="1509">
        <v>0.5</v>
      </c>
      <c r="FR55" s="1509">
        <v>0.5</v>
      </c>
      <c r="FS55" s="1509">
        <v>0.5</v>
      </c>
      <c r="FT55" s="1509">
        <v>0.5</v>
      </c>
      <c r="FU55" s="1509">
        <v>0</v>
      </c>
    </row>
    <row r="56" spans="1:177" s="1509" customFormat="1" x14ac:dyDescent="0.2">
      <c r="A56" s="1512" t="s">
        <v>664</v>
      </c>
      <c r="B56" s="1512" t="s">
        <v>1330</v>
      </c>
      <c r="C56" s="1509">
        <v>0</v>
      </c>
      <c r="D56" s="1509">
        <v>0</v>
      </c>
      <c r="E56" s="1509">
        <v>0</v>
      </c>
      <c r="F56" s="1509">
        <v>0</v>
      </c>
      <c r="G56" s="1509">
        <v>0</v>
      </c>
      <c r="H56" s="1509">
        <v>0</v>
      </c>
      <c r="I56" s="1509">
        <v>0</v>
      </c>
      <c r="J56" s="1509">
        <v>0</v>
      </c>
      <c r="K56" s="1509">
        <v>1</v>
      </c>
      <c r="L56" s="1509">
        <v>0</v>
      </c>
      <c r="M56" s="1509">
        <v>0</v>
      </c>
      <c r="N56" s="1509">
        <v>1</v>
      </c>
      <c r="O56" s="1509">
        <v>0</v>
      </c>
      <c r="P56" s="1509">
        <v>1</v>
      </c>
      <c r="Q56" s="1509">
        <v>0</v>
      </c>
      <c r="R56" s="1509">
        <v>0</v>
      </c>
      <c r="S56" s="1509">
        <v>0</v>
      </c>
      <c r="T56" s="1509">
        <v>0</v>
      </c>
      <c r="U56" s="1509">
        <v>0</v>
      </c>
      <c r="V56" s="1509">
        <v>0</v>
      </c>
      <c r="W56" s="1509">
        <v>0</v>
      </c>
      <c r="X56" s="1509">
        <v>0</v>
      </c>
      <c r="Y56" s="1509">
        <v>0</v>
      </c>
      <c r="Z56" s="1509">
        <v>0</v>
      </c>
      <c r="AA56" s="1509">
        <v>1</v>
      </c>
      <c r="AB56" s="1509">
        <v>0</v>
      </c>
      <c r="AC56" s="1509">
        <v>0</v>
      </c>
      <c r="AD56" s="1509">
        <v>0</v>
      </c>
      <c r="AE56" s="1509">
        <v>1</v>
      </c>
      <c r="AF56" s="1509">
        <v>0</v>
      </c>
      <c r="AG56" s="1509">
        <v>1</v>
      </c>
      <c r="AH56" s="1509">
        <v>0</v>
      </c>
      <c r="AI56" s="1509">
        <v>0</v>
      </c>
      <c r="AJ56" s="1509">
        <v>0</v>
      </c>
      <c r="AK56" s="1509">
        <v>0</v>
      </c>
      <c r="AL56" s="1509">
        <v>1</v>
      </c>
      <c r="AM56" s="1509">
        <v>1</v>
      </c>
      <c r="AN56" s="1509">
        <v>0</v>
      </c>
      <c r="AO56" s="1509">
        <v>0</v>
      </c>
      <c r="AP56" s="1509">
        <v>0</v>
      </c>
      <c r="AQ56" s="1509">
        <v>0</v>
      </c>
      <c r="AR56" s="1509">
        <v>1</v>
      </c>
      <c r="AS56" s="1509">
        <v>0</v>
      </c>
      <c r="AT56" s="1509">
        <v>0</v>
      </c>
      <c r="AU56" s="1509">
        <v>0</v>
      </c>
      <c r="AV56" s="1509">
        <v>1</v>
      </c>
      <c r="AW56" s="1509">
        <v>0</v>
      </c>
      <c r="AX56" s="1509">
        <v>0</v>
      </c>
      <c r="AY56" s="1509">
        <v>1</v>
      </c>
      <c r="AZ56" s="1509">
        <v>1</v>
      </c>
      <c r="BA56" s="1509">
        <v>1</v>
      </c>
      <c r="BB56" s="1509">
        <v>1</v>
      </c>
      <c r="BC56" s="1509">
        <v>0</v>
      </c>
      <c r="BD56" s="1509">
        <v>1</v>
      </c>
      <c r="BE56" s="1509">
        <v>1</v>
      </c>
      <c r="BF56" s="1509">
        <v>0</v>
      </c>
      <c r="BG56" s="1509">
        <v>0</v>
      </c>
      <c r="BH56" s="1509">
        <v>0</v>
      </c>
      <c r="BI56" s="1509">
        <v>0</v>
      </c>
      <c r="BJ56" s="1509">
        <v>0</v>
      </c>
      <c r="BK56" s="1509">
        <v>1</v>
      </c>
      <c r="BL56" s="1509">
        <v>1</v>
      </c>
      <c r="BM56" s="1509">
        <v>1</v>
      </c>
      <c r="BN56" s="1509">
        <v>0</v>
      </c>
      <c r="BO56" s="1509">
        <v>1</v>
      </c>
      <c r="BP56" s="1509">
        <v>1</v>
      </c>
      <c r="BQ56" s="1509">
        <v>0</v>
      </c>
      <c r="BR56" s="1509">
        <v>0</v>
      </c>
      <c r="BS56" s="1509">
        <v>0</v>
      </c>
      <c r="BT56" s="1509">
        <v>0</v>
      </c>
      <c r="BU56" s="1509">
        <v>0</v>
      </c>
      <c r="BV56" s="1509">
        <v>0</v>
      </c>
      <c r="BW56" s="1509">
        <v>0</v>
      </c>
      <c r="BX56" s="1509">
        <v>1</v>
      </c>
      <c r="BY56" s="1509">
        <v>0</v>
      </c>
      <c r="BZ56" s="1509">
        <v>1</v>
      </c>
      <c r="CA56" s="1509">
        <v>1</v>
      </c>
      <c r="CB56" s="1509">
        <v>1</v>
      </c>
      <c r="CC56" s="1509">
        <v>1</v>
      </c>
      <c r="CD56" s="1509">
        <v>1</v>
      </c>
      <c r="CE56" s="1509">
        <v>0</v>
      </c>
      <c r="CF56" s="1509">
        <v>0</v>
      </c>
      <c r="CG56" s="1509">
        <v>0</v>
      </c>
      <c r="CH56" s="1509">
        <v>1</v>
      </c>
      <c r="CI56" s="1509">
        <v>0</v>
      </c>
      <c r="CJ56" s="1509">
        <v>1</v>
      </c>
      <c r="CK56" s="1509">
        <v>0</v>
      </c>
      <c r="CL56" s="1509">
        <v>0</v>
      </c>
      <c r="CM56" s="1509">
        <v>0</v>
      </c>
      <c r="CN56" s="1509">
        <v>0</v>
      </c>
      <c r="CO56" s="1509">
        <v>0</v>
      </c>
      <c r="CP56" s="1509">
        <v>1</v>
      </c>
      <c r="CQ56" s="1509">
        <v>1</v>
      </c>
      <c r="CR56" s="1509">
        <v>1</v>
      </c>
      <c r="CS56" s="1509">
        <v>0</v>
      </c>
      <c r="CT56" s="1509">
        <v>0</v>
      </c>
      <c r="CU56" s="1509">
        <v>0</v>
      </c>
      <c r="CV56" s="1509">
        <v>0</v>
      </c>
      <c r="CW56" s="1509">
        <v>0</v>
      </c>
      <c r="CX56" s="1509">
        <v>1</v>
      </c>
      <c r="CY56" s="1509">
        <v>1</v>
      </c>
      <c r="CZ56" s="1509">
        <v>1</v>
      </c>
      <c r="DA56" s="1509">
        <v>1</v>
      </c>
      <c r="DB56" s="1509">
        <v>1</v>
      </c>
      <c r="DC56" s="1509">
        <v>1</v>
      </c>
      <c r="DD56" s="1509">
        <v>1</v>
      </c>
      <c r="DE56" s="1509">
        <v>0</v>
      </c>
      <c r="DF56" s="1509">
        <v>1</v>
      </c>
      <c r="DG56" s="1509">
        <v>1</v>
      </c>
      <c r="DH56" s="1509">
        <v>0</v>
      </c>
      <c r="DI56" s="1509">
        <v>1</v>
      </c>
      <c r="DJ56" s="1509">
        <v>1</v>
      </c>
      <c r="DK56" s="1509">
        <v>1</v>
      </c>
      <c r="DL56" s="1509">
        <v>1</v>
      </c>
      <c r="DM56" s="1509">
        <v>1</v>
      </c>
      <c r="DN56" s="1509">
        <v>0</v>
      </c>
      <c r="DO56" s="1509">
        <v>0</v>
      </c>
      <c r="DP56" s="1509">
        <v>0</v>
      </c>
      <c r="DQ56" s="1509">
        <v>1</v>
      </c>
      <c r="DR56" s="1509">
        <v>1</v>
      </c>
      <c r="DS56" s="1509">
        <v>1</v>
      </c>
      <c r="DT56" s="1509">
        <v>1</v>
      </c>
      <c r="DU56" s="1509">
        <v>0</v>
      </c>
      <c r="DV56" s="1509">
        <v>0</v>
      </c>
      <c r="DW56" s="1509">
        <v>0</v>
      </c>
      <c r="DX56" s="1509">
        <v>0</v>
      </c>
      <c r="DY56" s="1509">
        <v>0</v>
      </c>
      <c r="DZ56" s="1509">
        <v>0</v>
      </c>
      <c r="EA56" s="1509">
        <v>0</v>
      </c>
      <c r="EB56" s="1509">
        <v>1</v>
      </c>
      <c r="EC56" s="1509">
        <v>0</v>
      </c>
      <c r="ED56" s="1509">
        <v>1</v>
      </c>
      <c r="EE56" s="1509">
        <v>0</v>
      </c>
      <c r="EF56" s="1509">
        <v>1</v>
      </c>
      <c r="EG56" s="1509">
        <v>0</v>
      </c>
      <c r="EH56" s="1509">
        <v>1</v>
      </c>
      <c r="EI56" s="1509">
        <v>0</v>
      </c>
      <c r="EJ56" s="1509">
        <v>0</v>
      </c>
      <c r="EK56" s="1509">
        <v>0</v>
      </c>
      <c r="EL56" s="1509">
        <v>1</v>
      </c>
      <c r="EM56" s="1509">
        <v>1</v>
      </c>
      <c r="EN56" s="1509">
        <v>1</v>
      </c>
      <c r="EO56" s="1509">
        <v>0</v>
      </c>
      <c r="EP56" s="1509">
        <v>0</v>
      </c>
      <c r="EQ56" s="1509">
        <v>1</v>
      </c>
      <c r="ER56" s="1509">
        <v>0</v>
      </c>
      <c r="ES56" s="1509">
        <v>0</v>
      </c>
      <c r="ET56" s="1509">
        <v>0</v>
      </c>
      <c r="EU56" s="1509">
        <v>1</v>
      </c>
      <c r="EV56" s="1509">
        <v>0</v>
      </c>
      <c r="EW56" s="1509">
        <v>0</v>
      </c>
      <c r="EX56" s="1509">
        <v>0</v>
      </c>
      <c r="EY56" s="1509">
        <v>0</v>
      </c>
      <c r="EZ56" s="1509">
        <v>0</v>
      </c>
      <c r="FA56" s="1509">
        <v>1</v>
      </c>
      <c r="FB56" s="1509">
        <v>0</v>
      </c>
      <c r="FC56" s="1509">
        <v>0</v>
      </c>
      <c r="FD56" s="1509">
        <v>1</v>
      </c>
      <c r="FE56" s="1509">
        <v>1</v>
      </c>
      <c r="FF56" s="1509">
        <v>0</v>
      </c>
      <c r="FG56" s="1509">
        <v>0</v>
      </c>
      <c r="FH56" s="1509">
        <v>0</v>
      </c>
      <c r="FI56" s="1509">
        <v>0</v>
      </c>
      <c r="FJ56" s="1509">
        <v>1</v>
      </c>
      <c r="FK56" s="1509">
        <v>0</v>
      </c>
      <c r="FL56" s="1509">
        <v>1</v>
      </c>
      <c r="FM56" s="1509">
        <v>0</v>
      </c>
      <c r="FN56" s="1509">
        <v>0</v>
      </c>
      <c r="FO56" s="1509">
        <v>1</v>
      </c>
      <c r="FP56" s="1509">
        <v>0</v>
      </c>
      <c r="FQ56" s="1509">
        <v>0</v>
      </c>
      <c r="FR56" s="1509">
        <v>0</v>
      </c>
      <c r="FS56" s="1509">
        <v>0</v>
      </c>
      <c r="FT56" s="1509">
        <v>0</v>
      </c>
      <c r="FU56" s="1509">
        <v>0</v>
      </c>
    </row>
    <row r="57" spans="1:177" s="1509" customFormat="1" x14ac:dyDescent="0.2">
      <c r="A57" s="1512" t="s">
        <v>664</v>
      </c>
      <c r="B57" s="1512" t="s">
        <v>1078</v>
      </c>
      <c r="C57" s="1509">
        <v>6.3229014E-2</v>
      </c>
      <c r="D57" s="1509">
        <v>0.12803437400000001</v>
      </c>
      <c r="E57" s="1509">
        <v>0.47024692400000001</v>
      </c>
      <c r="F57" s="1509">
        <v>0.516913238</v>
      </c>
      <c r="G57" s="1509">
        <v>0.55080457000000005</v>
      </c>
      <c r="H57" s="1509">
        <v>0.55080457000000005</v>
      </c>
      <c r="I57" s="1509">
        <v>1.7678932000000001E-2</v>
      </c>
      <c r="J57" s="1509">
        <v>1.7678932000000001E-2</v>
      </c>
      <c r="K57" s="1509">
        <v>6.3229014E-2</v>
      </c>
      <c r="L57" s="1509">
        <v>6.3229014E-2</v>
      </c>
      <c r="M57" s="1509">
        <v>6.3229014E-2</v>
      </c>
      <c r="N57" s="1509">
        <v>1.7678932000000001E-2</v>
      </c>
      <c r="O57" s="1509">
        <v>1.7678932000000001E-2</v>
      </c>
      <c r="P57" s="1509">
        <v>6.3229014E-2</v>
      </c>
      <c r="Q57" s="1509">
        <v>0.26353755600000001</v>
      </c>
      <c r="R57" s="1509">
        <v>0.26353755600000001</v>
      </c>
      <c r="S57" s="1509">
        <v>0.39371399200000001</v>
      </c>
      <c r="T57" s="1509">
        <v>2.8612740000000001E-2</v>
      </c>
      <c r="U57" s="1509">
        <v>0.25465264500000001</v>
      </c>
      <c r="V57" s="1509">
        <v>0.21642530800000001</v>
      </c>
      <c r="W57" s="1509">
        <v>0.21642530800000001</v>
      </c>
      <c r="X57" s="1509">
        <v>0.21642530800000001</v>
      </c>
      <c r="Y57" s="1509">
        <v>0.29699786099999997</v>
      </c>
      <c r="Z57" s="1509">
        <v>0.67109136800000002</v>
      </c>
      <c r="AA57" s="1509">
        <v>9.484911E-2</v>
      </c>
      <c r="AB57" s="1509">
        <v>4.1529093000000003E-2</v>
      </c>
      <c r="AC57" s="1509">
        <v>4.1529093000000003E-2</v>
      </c>
      <c r="AD57" s="1509">
        <v>4.1529093000000003E-2</v>
      </c>
      <c r="AE57" s="1509">
        <v>0.62006818200000002</v>
      </c>
      <c r="AF57" s="1509">
        <v>4.1529093000000003E-2</v>
      </c>
      <c r="AG57" s="1509">
        <v>4.1529093000000003E-2</v>
      </c>
      <c r="AH57" s="1509">
        <v>0.114134202</v>
      </c>
      <c r="AI57" s="1509">
        <v>0.114134202</v>
      </c>
      <c r="AJ57" s="1509">
        <v>8.6818313999999994E-2</v>
      </c>
      <c r="AK57" s="1509">
        <v>0.32746003400000001</v>
      </c>
      <c r="AL57" s="1509">
        <v>0.13201494899999999</v>
      </c>
      <c r="AM57" s="1509">
        <v>9.6424547999999999E-2</v>
      </c>
      <c r="AN57" s="1509">
        <v>0.26353755600000001</v>
      </c>
      <c r="AO57" s="1509">
        <v>0.27464818699999999</v>
      </c>
      <c r="AP57" s="1509">
        <v>0.647612772</v>
      </c>
      <c r="AQ57" s="1509">
        <v>2.284398E-3</v>
      </c>
      <c r="AR57" s="1509">
        <v>8.6806463E-2</v>
      </c>
      <c r="AS57" s="1509">
        <v>7.227082E-2</v>
      </c>
      <c r="AT57" s="1509">
        <v>8.6806463E-2</v>
      </c>
      <c r="AU57" s="1509">
        <v>7.8443279000000005E-2</v>
      </c>
      <c r="AV57" s="1509">
        <v>5.3293931000000003E-2</v>
      </c>
      <c r="AW57" s="1509">
        <v>2.3648926000000001E-2</v>
      </c>
      <c r="AX57" s="1509">
        <v>0.65177991099999999</v>
      </c>
      <c r="AY57" s="1509">
        <v>0.862294432</v>
      </c>
      <c r="AZ57" s="1509">
        <v>0.862294432</v>
      </c>
      <c r="BA57" s="1509">
        <v>0.81339299499999995</v>
      </c>
      <c r="BB57" s="1509">
        <v>0.97395592499999994</v>
      </c>
      <c r="BC57" s="1509">
        <v>0.13134349000000001</v>
      </c>
      <c r="BD57" s="1509">
        <v>0.13134349000000001</v>
      </c>
      <c r="BE57" s="1509">
        <v>0.59716351700000003</v>
      </c>
      <c r="BF57" s="1509">
        <v>0.13134349000000001</v>
      </c>
      <c r="BG57" s="1509">
        <v>0.55884305000000001</v>
      </c>
      <c r="BH57" s="1509">
        <v>0.158502955</v>
      </c>
      <c r="BI57" s="1509">
        <v>0.173856497</v>
      </c>
      <c r="BJ57" s="1509">
        <v>0.29699786099999997</v>
      </c>
      <c r="BK57" s="1509">
        <v>0.158502955</v>
      </c>
      <c r="BL57" s="1509">
        <v>0.85182714599999998</v>
      </c>
      <c r="BM57" s="1509">
        <v>0.26353755600000001</v>
      </c>
      <c r="BN57" s="1509">
        <v>0.63893091700000004</v>
      </c>
      <c r="BO57" s="1509">
        <v>0.91489964300000004</v>
      </c>
      <c r="BP57" s="1509">
        <v>0.85182714599999998</v>
      </c>
      <c r="BQ57" s="1509">
        <v>0.77798108399999999</v>
      </c>
      <c r="BR57" s="1509">
        <v>0.71288132299999996</v>
      </c>
      <c r="BS57" s="1509">
        <v>0.63893091700000004</v>
      </c>
      <c r="BT57" s="1509">
        <v>0.28427228500000001</v>
      </c>
      <c r="BU57" s="1509">
        <v>0.65699095200000002</v>
      </c>
      <c r="BV57" s="1509">
        <v>0.65699095200000002</v>
      </c>
      <c r="BW57" s="1509">
        <v>0.35800765400000001</v>
      </c>
      <c r="BX57" s="1509">
        <v>0.70491230199999999</v>
      </c>
      <c r="BY57" s="1509">
        <v>0.70491230199999999</v>
      </c>
      <c r="BZ57" s="1509">
        <v>0.70491230199999999</v>
      </c>
      <c r="CA57" s="1509">
        <v>0.82325647300000004</v>
      </c>
      <c r="CB57" s="1509">
        <v>0.32746003400000001</v>
      </c>
      <c r="CC57" s="1509">
        <v>0.35800765400000001</v>
      </c>
      <c r="CD57" s="1509">
        <v>0.80107121800000003</v>
      </c>
      <c r="CE57" s="1509">
        <v>0.84500160400000002</v>
      </c>
      <c r="CF57" s="1509">
        <v>0.90012905300000001</v>
      </c>
      <c r="CG57" s="1509">
        <v>4.6541354E-2</v>
      </c>
      <c r="CH57" s="1509">
        <v>0.114134202</v>
      </c>
      <c r="CI57" s="1509">
        <v>0.34477271500000001</v>
      </c>
      <c r="CJ57" s="1509">
        <v>0.81339299499999995</v>
      </c>
      <c r="CK57" s="1509">
        <v>0.12942231900000001</v>
      </c>
      <c r="CL57" s="1509">
        <v>0.12942231900000001</v>
      </c>
      <c r="CM57" s="1509">
        <v>0.96761365799999999</v>
      </c>
      <c r="CN57" s="1509">
        <v>0.45375336599999999</v>
      </c>
      <c r="CO57" s="1509">
        <v>0.26353755600000001</v>
      </c>
      <c r="CP57" s="1509">
        <v>0.45375336599999999</v>
      </c>
      <c r="CQ57" s="1509">
        <v>9.484911E-2</v>
      </c>
      <c r="CR57" s="1509">
        <v>1.2346185000000001E-2</v>
      </c>
      <c r="CS57" s="1509">
        <v>0.47024692400000001</v>
      </c>
      <c r="CT57" s="1509">
        <v>0.29699786099999997</v>
      </c>
      <c r="CU57" s="1509">
        <v>0.47024692400000001</v>
      </c>
      <c r="CV57" s="1509">
        <v>0.28427228500000001</v>
      </c>
      <c r="CW57" s="1509">
        <v>0.28427228500000001</v>
      </c>
      <c r="CX57" s="1509">
        <v>0.77743654100000004</v>
      </c>
      <c r="CY57" s="1509">
        <v>0.84029016099999998</v>
      </c>
      <c r="CZ57" s="1509">
        <v>0.70491230199999999</v>
      </c>
      <c r="DA57" s="1509">
        <v>0.75159910600000002</v>
      </c>
      <c r="DB57" s="1509">
        <v>0.794736891</v>
      </c>
      <c r="DC57" s="1509">
        <v>0.41557593399999998</v>
      </c>
      <c r="DD57" s="1509">
        <v>0.88996403599999996</v>
      </c>
      <c r="DE57" s="1509">
        <v>0.68842612599999997</v>
      </c>
      <c r="DF57" s="1509">
        <v>0.65359320799999998</v>
      </c>
      <c r="DG57" s="1509">
        <v>0.60591984799999998</v>
      </c>
      <c r="DH57" s="1509">
        <v>0.68842612599999997</v>
      </c>
      <c r="DI57" s="1509">
        <v>0.68842612599999997</v>
      </c>
      <c r="DJ57" s="1509">
        <v>0.90556669300000003</v>
      </c>
      <c r="DK57" s="1509">
        <v>0.96761365799999999</v>
      </c>
      <c r="DL57" s="1509">
        <v>0.62006818200000002</v>
      </c>
      <c r="DM57" s="1509">
        <v>0.91310899400000001</v>
      </c>
      <c r="DN57" s="1509">
        <v>0.81624930900000003</v>
      </c>
      <c r="DO57" s="1509">
        <v>8.894173E-3</v>
      </c>
      <c r="DP57" s="1509">
        <v>0.67996569600000001</v>
      </c>
      <c r="DQ57" s="1509">
        <v>0.56619016700000002</v>
      </c>
      <c r="DR57" s="1509">
        <v>0.75159910600000002</v>
      </c>
      <c r="DS57" s="1509">
        <v>0.76248013100000001</v>
      </c>
      <c r="DT57" s="1509">
        <v>0.94387969699999996</v>
      </c>
      <c r="DU57" s="1509">
        <v>0.25465264500000001</v>
      </c>
      <c r="DV57" s="1509">
        <v>4.1529093000000003E-2</v>
      </c>
      <c r="DW57" s="1509">
        <v>0.87997959299999995</v>
      </c>
      <c r="DX57" s="1509">
        <v>5.3615077999999997E-2</v>
      </c>
      <c r="DY57" s="1509">
        <v>0.77743654100000004</v>
      </c>
      <c r="DZ57" s="1509">
        <v>0.13134349000000001</v>
      </c>
      <c r="EA57" s="1509">
        <v>0.97395592499999994</v>
      </c>
      <c r="EB57" s="1509">
        <v>0.34477271500000001</v>
      </c>
      <c r="EC57" s="1509">
        <v>0.34477271500000001</v>
      </c>
      <c r="ED57" s="1509">
        <v>0.63893091700000004</v>
      </c>
      <c r="EE57" s="1509">
        <v>0.39723840599999999</v>
      </c>
      <c r="EF57" s="1509">
        <v>0.65699095200000002</v>
      </c>
      <c r="EG57" s="1509">
        <v>0.70491230199999999</v>
      </c>
      <c r="EH57" s="1509">
        <v>0.69930982100000005</v>
      </c>
      <c r="EI57" s="1509">
        <v>0.90012905300000001</v>
      </c>
      <c r="EJ57" s="1509">
        <v>0.90012905300000001</v>
      </c>
      <c r="EK57" s="1509">
        <v>3.700502E-3</v>
      </c>
      <c r="EL57" s="1509">
        <v>0.794736891</v>
      </c>
      <c r="EM57" s="1509">
        <v>0.70016280500000005</v>
      </c>
      <c r="EN57" s="1509">
        <v>0.71477846599999995</v>
      </c>
      <c r="EO57" s="1509">
        <v>0.95809380099999997</v>
      </c>
      <c r="EP57" s="1509">
        <v>0.70491230199999999</v>
      </c>
      <c r="EQ57" s="1509">
        <v>9.6424547999999999E-2</v>
      </c>
      <c r="ER57" s="1509">
        <v>8.894173E-3</v>
      </c>
      <c r="ES57" s="1509">
        <v>8.894173E-3</v>
      </c>
      <c r="ET57" s="1509">
        <v>0.87132701199999996</v>
      </c>
      <c r="EU57" s="1509">
        <v>0.78045129999999996</v>
      </c>
      <c r="EV57" s="1509">
        <v>4.1529093000000003E-2</v>
      </c>
      <c r="EW57" s="1509">
        <v>0.59576548600000001</v>
      </c>
      <c r="EX57" s="1509">
        <v>0.77743654100000004</v>
      </c>
      <c r="EY57" s="1509">
        <v>0.93746560099999998</v>
      </c>
      <c r="EZ57" s="1509">
        <v>0.70491230199999999</v>
      </c>
      <c r="FA57" s="1509">
        <v>0.53935383800000003</v>
      </c>
      <c r="FB57" s="1509">
        <v>0.48465201299999999</v>
      </c>
      <c r="FC57" s="1509">
        <v>0.862294432</v>
      </c>
      <c r="FD57" s="1509">
        <v>0.97395592499999994</v>
      </c>
      <c r="FE57" s="1509">
        <v>0.77743654100000004</v>
      </c>
      <c r="FF57" s="1509">
        <v>0.27464818699999999</v>
      </c>
      <c r="FG57" s="1509">
        <v>0.928494559</v>
      </c>
      <c r="FH57" s="1509">
        <v>0.67996569600000001</v>
      </c>
      <c r="FI57" s="1509">
        <v>0.78406530299999999</v>
      </c>
      <c r="FJ57" s="1509">
        <v>0.69930982100000005</v>
      </c>
      <c r="FK57" s="1509">
        <v>0.75159910600000002</v>
      </c>
      <c r="FL57" s="1509">
        <v>0.68842612599999997</v>
      </c>
      <c r="FM57" s="1509">
        <v>0.158502955</v>
      </c>
      <c r="FN57" s="1509">
        <v>0.80623607200000003</v>
      </c>
      <c r="FO57" s="1509">
        <v>0.892315003</v>
      </c>
      <c r="FP57" s="1509">
        <v>0.45151141500000003</v>
      </c>
      <c r="FQ57" s="1509">
        <v>0.70491230199999999</v>
      </c>
      <c r="FR57" s="1509">
        <v>0.983884816</v>
      </c>
      <c r="FS57" s="1509">
        <v>0.89972790300000005</v>
      </c>
      <c r="FT57" s="1509">
        <v>0.71477846599999995</v>
      </c>
      <c r="FU57" s="1509">
        <v>0.114134202</v>
      </c>
    </row>
    <row r="58" spans="1:177" s="1509" customFormat="1" x14ac:dyDescent="0.2">
      <c r="A58" s="1512" t="s">
        <v>664</v>
      </c>
      <c r="B58" s="1512" t="s">
        <v>1094</v>
      </c>
      <c r="C58" s="1509" t="s">
        <v>2372</v>
      </c>
      <c r="D58" s="1509">
        <v>0.50900900900000001</v>
      </c>
      <c r="E58" s="1509" t="s">
        <v>2372</v>
      </c>
      <c r="F58" s="1509" t="s">
        <v>2372</v>
      </c>
      <c r="G58" s="1509">
        <v>0</v>
      </c>
      <c r="H58" s="1509" t="s">
        <v>2372</v>
      </c>
      <c r="I58" s="1509">
        <v>0.70720720699999995</v>
      </c>
      <c r="J58" s="1509">
        <v>0.61711711700000005</v>
      </c>
      <c r="K58" s="1509">
        <v>0.71171171200000005</v>
      </c>
      <c r="L58" s="1509">
        <v>0.78828828799999995</v>
      </c>
      <c r="M58" s="1509">
        <v>0.76126126100000002</v>
      </c>
      <c r="N58" s="1509">
        <v>0</v>
      </c>
      <c r="O58" s="1509">
        <v>0</v>
      </c>
      <c r="P58" s="1509">
        <v>0</v>
      </c>
      <c r="Q58" s="1509" t="s">
        <v>2372</v>
      </c>
      <c r="R58" s="1509">
        <v>0</v>
      </c>
      <c r="S58" s="1509">
        <v>0</v>
      </c>
      <c r="T58" s="1509" t="s">
        <v>2372</v>
      </c>
      <c r="U58" s="1509" t="s">
        <v>2372</v>
      </c>
      <c r="V58" s="1509" t="s">
        <v>2372</v>
      </c>
      <c r="W58" s="1509">
        <v>0</v>
      </c>
      <c r="X58" s="1509" t="s">
        <v>2372</v>
      </c>
      <c r="Y58" s="1509">
        <v>0.44144144099999999</v>
      </c>
      <c r="Z58" s="1509" t="s">
        <v>2372</v>
      </c>
      <c r="AA58" s="1509">
        <v>0.94594594600000004</v>
      </c>
      <c r="AB58" s="1509" t="s">
        <v>2372</v>
      </c>
      <c r="AC58" s="1509" t="s">
        <v>2372</v>
      </c>
      <c r="AD58" s="1509" t="s">
        <v>2372</v>
      </c>
      <c r="AE58" s="1509">
        <v>0</v>
      </c>
      <c r="AF58" s="1509">
        <v>0</v>
      </c>
      <c r="AG58" s="1509">
        <v>0.65315315299999999</v>
      </c>
      <c r="AH58" s="1509">
        <v>0</v>
      </c>
      <c r="AI58" s="1509" t="s">
        <v>2372</v>
      </c>
      <c r="AJ58" s="1509" t="s">
        <v>2372</v>
      </c>
      <c r="AK58" s="1509">
        <v>0</v>
      </c>
      <c r="AL58" s="1509" t="s">
        <v>2372</v>
      </c>
      <c r="AM58" s="1509">
        <v>0</v>
      </c>
      <c r="AN58" s="1509" t="s">
        <v>2372</v>
      </c>
      <c r="AO58" s="1509">
        <v>0.26645767999999997</v>
      </c>
      <c r="AP58" s="1509">
        <v>0</v>
      </c>
      <c r="AQ58" s="1509">
        <v>0.78828828799999995</v>
      </c>
      <c r="AR58" s="1509">
        <v>0.97169811299999997</v>
      </c>
      <c r="AS58" s="1509" t="s">
        <v>2372</v>
      </c>
      <c r="AT58" s="1509" t="s">
        <v>2372</v>
      </c>
      <c r="AU58" s="1509" t="s">
        <v>2372</v>
      </c>
      <c r="AV58" s="1509" t="s">
        <v>2372</v>
      </c>
      <c r="AW58" s="1509">
        <v>0</v>
      </c>
      <c r="AX58" s="1509">
        <v>0.58695652200000004</v>
      </c>
      <c r="AY58" s="1509">
        <v>0.92929292900000005</v>
      </c>
      <c r="AZ58" s="1509">
        <v>0.71380471400000001</v>
      </c>
      <c r="BA58" s="1509">
        <v>0</v>
      </c>
      <c r="BB58" s="1509">
        <v>0.91582491600000004</v>
      </c>
      <c r="BC58" s="1509" t="s">
        <v>2372</v>
      </c>
      <c r="BD58" s="1509">
        <v>0.92452830200000002</v>
      </c>
      <c r="BE58" s="1509">
        <v>0</v>
      </c>
      <c r="BF58" s="1509" t="s">
        <v>2372</v>
      </c>
      <c r="BG58" s="1509" t="s">
        <v>2372</v>
      </c>
      <c r="BH58" s="1509">
        <v>0</v>
      </c>
      <c r="BI58" s="1509" t="s">
        <v>2372</v>
      </c>
      <c r="BJ58" s="1509" t="s">
        <v>2372</v>
      </c>
      <c r="BK58" s="1509">
        <v>0</v>
      </c>
      <c r="BL58" s="1509">
        <v>0</v>
      </c>
      <c r="BM58" s="1509">
        <v>0</v>
      </c>
      <c r="BN58" s="1509">
        <v>0.80630630599999997</v>
      </c>
      <c r="BO58" s="1509">
        <v>0</v>
      </c>
      <c r="BP58" s="1509">
        <v>0.45045045</v>
      </c>
      <c r="BQ58" s="1509">
        <v>0</v>
      </c>
      <c r="BR58" s="1509" t="s">
        <v>2372</v>
      </c>
      <c r="BS58" s="1509">
        <v>0</v>
      </c>
      <c r="BT58" s="1509">
        <v>0</v>
      </c>
      <c r="BU58" s="1509" t="s">
        <v>2372</v>
      </c>
      <c r="BV58" s="1509">
        <v>0</v>
      </c>
      <c r="BW58" s="1509" t="s">
        <v>2372</v>
      </c>
      <c r="BX58" s="1509">
        <v>0.71875</v>
      </c>
      <c r="BY58" s="1509" t="s">
        <v>2372</v>
      </c>
      <c r="BZ58" s="1509">
        <v>0</v>
      </c>
      <c r="CA58" s="1509">
        <v>0</v>
      </c>
      <c r="CB58" s="1509" t="s">
        <v>2372</v>
      </c>
      <c r="CC58" s="1509">
        <v>0.99769053100000005</v>
      </c>
      <c r="CD58" s="1509">
        <v>0</v>
      </c>
      <c r="CE58" s="1509">
        <v>1</v>
      </c>
      <c r="CF58" s="1509" t="s">
        <v>2372</v>
      </c>
      <c r="CG58" s="1509">
        <v>0.68918918900000004</v>
      </c>
      <c r="CH58" s="1509">
        <v>0</v>
      </c>
      <c r="CI58" s="1509">
        <v>0.94594594600000004</v>
      </c>
      <c r="CJ58" s="1509">
        <v>0</v>
      </c>
      <c r="CK58" s="1509" t="s">
        <v>2372</v>
      </c>
      <c r="CL58" s="1509" t="s">
        <v>2372</v>
      </c>
      <c r="CM58" s="1509">
        <v>0.85054347799999996</v>
      </c>
      <c r="CN58" s="1509">
        <v>0.99769053100000005</v>
      </c>
      <c r="CO58" s="1509" t="s">
        <v>2372</v>
      </c>
      <c r="CP58" s="1509">
        <v>1</v>
      </c>
      <c r="CQ58" s="1509">
        <v>0</v>
      </c>
      <c r="CR58" s="1509">
        <v>0.72072072099999995</v>
      </c>
      <c r="CS58" s="1509">
        <v>0.44594594599999998</v>
      </c>
      <c r="CT58" s="1509" t="s">
        <v>2372</v>
      </c>
      <c r="CU58" s="1509" t="s">
        <v>2372</v>
      </c>
      <c r="CV58" s="1509">
        <v>0</v>
      </c>
      <c r="CW58" s="1509" t="s">
        <v>2372</v>
      </c>
      <c r="CX58" s="1509">
        <v>0.683501684</v>
      </c>
      <c r="CY58" s="1509">
        <v>0.58585858599999996</v>
      </c>
      <c r="CZ58" s="1509">
        <v>0</v>
      </c>
      <c r="DA58" s="1509">
        <v>0.70244565199999998</v>
      </c>
      <c r="DB58" s="1509">
        <v>0</v>
      </c>
      <c r="DC58" s="1509" t="s">
        <v>2372</v>
      </c>
      <c r="DD58" s="1509">
        <v>0</v>
      </c>
      <c r="DE58" s="1509">
        <v>0.75</v>
      </c>
      <c r="DF58" s="1509">
        <v>0.7</v>
      </c>
      <c r="DG58" s="1509">
        <v>0.65</v>
      </c>
      <c r="DH58" s="1509" t="s">
        <v>2372</v>
      </c>
      <c r="DI58" s="1509">
        <v>0.95</v>
      </c>
      <c r="DJ58" s="1509">
        <v>0.75407608699999995</v>
      </c>
      <c r="DK58" s="1509">
        <v>0</v>
      </c>
      <c r="DL58" s="1509" t="s">
        <v>2372</v>
      </c>
      <c r="DM58" s="1509">
        <v>0</v>
      </c>
      <c r="DN58" s="1509" t="s">
        <v>2372</v>
      </c>
      <c r="DO58" s="1509">
        <v>0.58922558899999999</v>
      </c>
      <c r="DP58" s="1509">
        <v>0.807065217</v>
      </c>
      <c r="DQ58" s="1509">
        <v>0</v>
      </c>
      <c r="DR58" s="1509">
        <v>0</v>
      </c>
      <c r="DS58" s="1509">
        <v>0</v>
      </c>
      <c r="DT58" s="1509">
        <v>0.92391304299999999</v>
      </c>
      <c r="DU58" s="1509" t="s">
        <v>2372</v>
      </c>
      <c r="DV58" s="1509" t="s">
        <v>2372</v>
      </c>
      <c r="DW58" s="1509" t="s">
        <v>2372</v>
      </c>
      <c r="DX58" s="1509">
        <v>0</v>
      </c>
      <c r="DY58" s="1509" t="s">
        <v>2372</v>
      </c>
      <c r="DZ58" s="1509" t="s">
        <v>2372</v>
      </c>
      <c r="EA58" s="1509">
        <v>0.74410774400000002</v>
      </c>
      <c r="EB58" s="1509" t="s">
        <v>2372</v>
      </c>
      <c r="EC58" s="1509" t="s">
        <v>2372</v>
      </c>
      <c r="ED58" s="1509">
        <v>0.986486486</v>
      </c>
      <c r="EE58" s="1509">
        <v>0.99769053100000005</v>
      </c>
      <c r="EF58" s="1509">
        <v>0.73063973100000001</v>
      </c>
      <c r="EG58" s="1509" t="s">
        <v>2372</v>
      </c>
      <c r="EH58" s="1509">
        <v>0.97643097599999995</v>
      </c>
      <c r="EI58" s="1509" t="s">
        <v>2372</v>
      </c>
      <c r="EJ58" s="1509" t="s">
        <v>2372</v>
      </c>
      <c r="EK58" s="1509">
        <v>0.99549549500000001</v>
      </c>
      <c r="EL58" s="1509">
        <v>0.5</v>
      </c>
      <c r="EM58" s="1509">
        <v>0.85</v>
      </c>
      <c r="EN58" s="1509">
        <v>0.5</v>
      </c>
      <c r="EO58" s="1509" t="s">
        <v>2372</v>
      </c>
      <c r="EP58" s="1509" t="s">
        <v>2372</v>
      </c>
      <c r="EQ58" s="1509">
        <v>0</v>
      </c>
      <c r="ER58" s="1509">
        <v>0</v>
      </c>
      <c r="ES58" s="1509">
        <v>0</v>
      </c>
      <c r="ET58" s="1509">
        <v>1</v>
      </c>
      <c r="EU58" s="1509" t="s">
        <v>2372</v>
      </c>
      <c r="EV58" s="1509" t="s">
        <v>2372</v>
      </c>
      <c r="EW58" s="1509">
        <v>0.75235109700000002</v>
      </c>
      <c r="EX58" s="1509" t="s">
        <v>2372</v>
      </c>
      <c r="EY58" s="1509">
        <v>0.88888888899999996</v>
      </c>
      <c r="EZ58" s="1509">
        <v>0.93478260899999999</v>
      </c>
      <c r="FA58" s="1509">
        <v>1</v>
      </c>
      <c r="FB58" s="1509">
        <v>0.80877742900000005</v>
      </c>
      <c r="FC58" s="1509" t="s">
        <v>2372</v>
      </c>
      <c r="FD58" s="1509">
        <v>0.93602693599999998</v>
      </c>
      <c r="FE58" s="1509">
        <v>0</v>
      </c>
      <c r="FF58" s="1509">
        <v>0.47335423199999999</v>
      </c>
      <c r="FG58" s="1509">
        <v>0.55000000000000004</v>
      </c>
      <c r="FH58" s="1509">
        <v>0.77038043499999997</v>
      </c>
      <c r="FI58" s="1509">
        <v>0.42006269600000001</v>
      </c>
      <c r="FJ58" s="1509">
        <v>0</v>
      </c>
      <c r="FK58" s="1509">
        <v>0.87228260899999999</v>
      </c>
      <c r="FL58" s="1509">
        <v>0.75</v>
      </c>
      <c r="FM58" s="1509" t="s">
        <v>2372</v>
      </c>
      <c r="FN58" s="1509">
        <v>0</v>
      </c>
      <c r="FO58" s="1509">
        <v>0.72282608699999995</v>
      </c>
      <c r="FP58" s="1509">
        <v>0.29467084599999999</v>
      </c>
      <c r="FQ58" s="1509">
        <v>0.87092391300000005</v>
      </c>
      <c r="FR58" s="1509" t="s">
        <v>2372</v>
      </c>
      <c r="FS58" s="1509">
        <v>0.78369906</v>
      </c>
      <c r="FT58" s="1509" t="s">
        <v>2372</v>
      </c>
      <c r="FU58" s="1509">
        <v>0</v>
      </c>
    </row>
    <row r="59" spans="1:177" s="1509" customFormat="1" x14ac:dyDescent="0.2">
      <c r="A59" s="1512" t="s">
        <v>664</v>
      </c>
      <c r="B59" s="1512" t="s">
        <v>1032</v>
      </c>
      <c r="C59" s="1509">
        <v>0</v>
      </c>
      <c r="D59" s="1509">
        <v>0</v>
      </c>
      <c r="E59" s="1509">
        <v>0.98186548500000004</v>
      </c>
      <c r="F59" s="1509">
        <v>0</v>
      </c>
      <c r="G59" s="1509">
        <v>0.98186548500000004</v>
      </c>
      <c r="H59" s="1509">
        <v>0</v>
      </c>
      <c r="I59" s="1509">
        <v>0</v>
      </c>
      <c r="J59" s="1509">
        <v>0.99998841999999999</v>
      </c>
      <c r="K59" s="1509">
        <v>0.99998841999999999</v>
      </c>
      <c r="L59" s="1509">
        <v>0</v>
      </c>
      <c r="M59" s="1509">
        <v>0</v>
      </c>
      <c r="N59" s="1509">
        <v>0.98186548500000004</v>
      </c>
      <c r="O59" s="1509">
        <v>0.99998841999999999</v>
      </c>
      <c r="P59" s="1509">
        <v>0.99998841999999999</v>
      </c>
      <c r="Q59" s="1509">
        <v>0</v>
      </c>
      <c r="R59" s="1509">
        <v>0.99786484600000003</v>
      </c>
      <c r="S59" s="1509">
        <v>0</v>
      </c>
      <c r="T59" s="1509">
        <v>0</v>
      </c>
      <c r="U59" s="1509">
        <v>0</v>
      </c>
      <c r="V59" s="1509">
        <v>0</v>
      </c>
      <c r="W59" s="1509">
        <v>0</v>
      </c>
      <c r="X59" s="1509">
        <v>0</v>
      </c>
      <c r="Y59" s="1509">
        <v>0</v>
      </c>
      <c r="Z59" s="1509">
        <v>0</v>
      </c>
      <c r="AA59" s="1509">
        <v>0</v>
      </c>
      <c r="AB59" s="1509">
        <v>0</v>
      </c>
      <c r="AC59" s="1509">
        <v>0</v>
      </c>
      <c r="AD59" s="1509">
        <v>0</v>
      </c>
      <c r="AE59" s="1509">
        <v>0.99786484600000003</v>
      </c>
      <c r="AF59" s="1509">
        <v>0</v>
      </c>
      <c r="AG59" s="1509">
        <v>1</v>
      </c>
      <c r="AH59" s="1509">
        <v>0.98186548500000004</v>
      </c>
      <c r="AI59" s="1509">
        <v>0</v>
      </c>
      <c r="AJ59" s="1509">
        <v>0</v>
      </c>
      <c r="AK59" s="1509">
        <v>0.99786484600000003</v>
      </c>
      <c r="AL59" s="1509">
        <v>0</v>
      </c>
      <c r="AM59" s="1509">
        <v>0.99982856399999998</v>
      </c>
      <c r="AN59" s="1509">
        <v>0</v>
      </c>
      <c r="AO59" s="1509">
        <v>0</v>
      </c>
      <c r="AP59" s="1509">
        <v>0.99506823700000002</v>
      </c>
      <c r="AQ59" s="1509">
        <v>0</v>
      </c>
      <c r="AR59" s="1509">
        <v>0.97861900800000001</v>
      </c>
      <c r="AS59" s="1509">
        <v>0.99997670900000002</v>
      </c>
      <c r="AT59" s="1509">
        <v>0</v>
      </c>
      <c r="AU59" s="1509">
        <v>0.99997670900000002</v>
      </c>
      <c r="AV59" s="1509">
        <v>0</v>
      </c>
      <c r="AW59" s="1509">
        <v>0</v>
      </c>
      <c r="AX59" s="1509">
        <v>0.99489016900000005</v>
      </c>
      <c r="AY59" s="1509">
        <v>0</v>
      </c>
      <c r="AZ59" s="1509">
        <v>0</v>
      </c>
      <c r="BA59" s="1509">
        <v>0</v>
      </c>
      <c r="BB59" s="1509">
        <v>0.98581662000000003</v>
      </c>
      <c r="BC59" s="1509">
        <v>0</v>
      </c>
      <c r="BD59" s="1509">
        <v>0.97861900800000001</v>
      </c>
      <c r="BE59" s="1509">
        <v>0.98404796100000003</v>
      </c>
      <c r="BF59" s="1509">
        <v>0</v>
      </c>
      <c r="BG59" s="1509">
        <v>0</v>
      </c>
      <c r="BH59" s="1509">
        <v>0.98186548500000004</v>
      </c>
      <c r="BI59" s="1509">
        <v>0</v>
      </c>
      <c r="BJ59" s="1509">
        <v>0.98186548500000004</v>
      </c>
      <c r="BK59" s="1509">
        <v>0.98186548500000004</v>
      </c>
      <c r="BL59" s="1509">
        <v>0.98186548500000004</v>
      </c>
      <c r="BM59" s="1509">
        <v>0.99786484600000003</v>
      </c>
      <c r="BN59" s="1509">
        <v>0</v>
      </c>
      <c r="BO59" s="1509">
        <v>0.99998841999999999</v>
      </c>
      <c r="BP59" s="1509">
        <v>0.98186548500000004</v>
      </c>
      <c r="BQ59" s="1509">
        <v>0.98186548500000004</v>
      </c>
      <c r="BR59" s="1509">
        <v>0.98186548500000004</v>
      </c>
      <c r="BS59" s="1509">
        <v>0.98186548500000004</v>
      </c>
      <c r="BT59" s="1509">
        <v>0</v>
      </c>
      <c r="BU59" s="1509">
        <v>0.98581662000000003</v>
      </c>
      <c r="BV59" s="1509">
        <v>0</v>
      </c>
      <c r="BW59" s="1509">
        <v>0.99786484600000003</v>
      </c>
      <c r="BX59" s="1509">
        <v>0.99968794900000002</v>
      </c>
      <c r="BY59" s="1509">
        <v>0.99968794900000002</v>
      </c>
      <c r="BZ59" s="1509">
        <v>0.99996099400000005</v>
      </c>
      <c r="CA59" s="1509">
        <v>0.95410978099999999</v>
      </c>
      <c r="CB59" s="1509">
        <v>0</v>
      </c>
      <c r="CC59" s="1509">
        <v>0</v>
      </c>
      <c r="CD59" s="1509">
        <v>0.95410978099999999</v>
      </c>
      <c r="CE59" s="1509">
        <v>0.99786484600000003</v>
      </c>
      <c r="CF59" s="1509">
        <v>0</v>
      </c>
      <c r="CG59" s="1509">
        <v>0.98186548500000004</v>
      </c>
      <c r="CH59" s="1509">
        <v>0</v>
      </c>
      <c r="CI59" s="1509">
        <v>0</v>
      </c>
      <c r="CJ59" s="1509">
        <v>1</v>
      </c>
      <c r="CK59" s="1509">
        <v>0</v>
      </c>
      <c r="CL59" s="1509">
        <v>0</v>
      </c>
      <c r="CM59" s="1509">
        <v>0</v>
      </c>
      <c r="CN59" s="1509">
        <v>0.95410978099999999</v>
      </c>
      <c r="CO59" s="1509">
        <v>0.99786484600000003</v>
      </c>
      <c r="CP59" s="1509">
        <v>0.99786484600000003</v>
      </c>
      <c r="CQ59" s="1509">
        <v>0.98186548500000004</v>
      </c>
      <c r="CR59" s="1509">
        <v>0</v>
      </c>
      <c r="CS59" s="1509">
        <v>0.98186548500000004</v>
      </c>
      <c r="CT59" s="1509">
        <v>0</v>
      </c>
      <c r="CU59" s="1509">
        <v>0</v>
      </c>
      <c r="CV59" s="1509">
        <v>0</v>
      </c>
      <c r="CW59" s="1509">
        <v>0</v>
      </c>
      <c r="CX59" s="1509">
        <v>0</v>
      </c>
      <c r="CY59" s="1509">
        <v>1</v>
      </c>
      <c r="CZ59" s="1509">
        <v>0.99489016900000005</v>
      </c>
      <c r="DA59" s="1509">
        <v>0.99489016900000005</v>
      </c>
      <c r="DB59" s="1509">
        <v>0.99833720000000004</v>
      </c>
      <c r="DC59" s="1509">
        <v>0</v>
      </c>
      <c r="DD59" s="1509">
        <v>0.93868909499999997</v>
      </c>
      <c r="DE59" s="1509">
        <v>0</v>
      </c>
      <c r="DF59" s="1509">
        <v>0</v>
      </c>
      <c r="DG59" s="1509">
        <v>0</v>
      </c>
      <c r="DH59" s="1509">
        <v>0</v>
      </c>
      <c r="DI59" s="1509">
        <v>0</v>
      </c>
      <c r="DJ59" s="1509">
        <v>0.99489016900000005</v>
      </c>
      <c r="DK59" s="1509">
        <v>0.99489016900000005</v>
      </c>
      <c r="DL59" s="1509">
        <v>0.99786484600000003</v>
      </c>
      <c r="DM59" s="1509">
        <v>0.99982856399999998</v>
      </c>
      <c r="DN59" s="1509">
        <v>0</v>
      </c>
      <c r="DO59" s="1509">
        <v>0.99997132399999999</v>
      </c>
      <c r="DP59" s="1509">
        <v>0.99996099400000005</v>
      </c>
      <c r="DQ59" s="1509">
        <v>1</v>
      </c>
      <c r="DR59" s="1509">
        <v>0.99489016900000005</v>
      </c>
      <c r="DS59" s="1509">
        <v>0.99489016900000005</v>
      </c>
      <c r="DT59" s="1509">
        <v>0.99489016900000005</v>
      </c>
      <c r="DU59" s="1509">
        <v>0</v>
      </c>
      <c r="DV59" s="1509">
        <v>0</v>
      </c>
      <c r="DW59" s="1509">
        <v>0</v>
      </c>
      <c r="DX59" s="1509">
        <v>0.97861900800000001</v>
      </c>
      <c r="DY59" s="1509">
        <v>0.98581662000000003</v>
      </c>
      <c r="DZ59" s="1509">
        <v>0</v>
      </c>
      <c r="EA59" s="1509">
        <v>0</v>
      </c>
      <c r="EB59" s="1509">
        <v>0</v>
      </c>
      <c r="EC59" s="1509">
        <v>0</v>
      </c>
      <c r="ED59" s="1509">
        <v>0.98186548500000004</v>
      </c>
      <c r="EE59" s="1509">
        <v>0</v>
      </c>
      <c r="EF59" s="1509">
        <v>0</v>
      </c>
      <c r="EG59" s="1509">
        <v>0</v>
      </c>
      <c r="EH59" s="1509">
        <v>0.98581662000000003</v>
      </c>
      <c r="EI59" s="1509">
        <v>0</v>
      </c>
      <c r="EJ59" s="1509">
        <v>0</v>
      </c>
      <c r="EK59" s="1509">
        <v>0</v>
      </c>
      <c r="EL59" s="1509">
        <v>0</v>
      </c>
      <c r="EM59" s="1509">
        <v>0</v>
      </c>
      <c r="EN59" s="1509">
        <v>0</v>
      </c>
      <c r="EO59" s="1509">
        <v>0</v>
      </c>
      <c r="EP59" s="1509">
        <v>0</v>
      </c>
      <c r="EQ59" s="1509">
        <v>0.99786484600000003</v>
      </c>
      <c r="ER59" s="1509">
        <v>1</v>
      </c>
      <c r="ES59" s="1509">
        <v>0.98581662000000003</v>
      </c>
      <c r="ET59" s="1509">
        <v>0</v>
      </c>
      <c r="EU59" s="1509">
        <v>0</v>
      </c>
      <c r="EV59" s="1509">
        <v>0</v>
      </c>
      <c r="EW59" s="1509">
        <v>0</v>
      </c>
      <c r="EX59" s="1509">
        <v>0</v>
      </c>
      <c r="EY59" s="1509">
        <v>0</v>
      </c>
      <c r="EZ59" s="1509">
        <v>0</v>
      </c>
      <c r="FA59" s="1509">
        <v>0.99961816599999997</v>
      </c>
      <c r="FB59" s="1509">
        <v>0</v>
      </c>
      <c r="FC59" s="1509">
        <v>0.98581662000000003</v>
      </c>
      <c r="FD59" s="1509">
        <v>0</v>
      </c>
      <c r="FE59" s="1509">
        <v>0.98581662000000003</v>
      </c>
      <c r="FF59" s="1509">
        <v>0</v>
      </c>
      <c r="FG59" s="1509">
        <v>0</v>
      </c>
      <c r="FH59" s="1509">
        <v>0</v>
      </c>
      <c r="FI59" s="1509">
        <v>0</v>
      </c>
      <c r="FJ59" s="1509">
        <v>1</v>
      </c>
      <c r="FK59" s="1509">
        <v>0</v>
      </c>
      <c r="FL59" s="1509">
        <v>0</v>
      </c>
      <c r="FM59" s="1509">
        <v>0</v>
      </c>
      <c r="FN59" s="1509">
        <v>1</v>
      </c>
      <c r="FO59" s="1509">
        <v>0</v>
      </c>
      <c r="FP59" s="1509">
        <v>0</v>
      </c>
      <c r="FQ59" s="1509">
        <v>0</v>
      </c>
      <c r="FR59" s="1509">
        <v>0</v>
      </c>
      <c r="FS59" s="1509">
        <v>0</v>
      </c>
      <c r="FT59" s="1509">
        <v>0</v>
      </c>
      <c r="FU59" s="1509">
        <v>0</v>
      </c>
    </row>
    <row r="60" spans="1:177" s="1509" customFormat="1" x14ac:dyDescent="0.2">
      <c r="A60" s="1512" t="s">
        <v>664</v>
      </c>
      <c r="B60" s="1512" t="s">
        <v>1205</v>
      </c>
      <c r="C60" s="1509">
        <v>2.1938421999999957E-2</v>
      </c>
      <c r="D60" s="1509">
        <v>4.3045815000000043E-2</v>
      </c>
      <c r="E60" s="1509">
        <v>1</v>
      </c>
      <c r="F60" s="1509">
        <v>1</v>
      </c>
      <c r="G60" s="1509">
        <v>1</v>
      </c>
      <c r="H60" s="1509">
        <v>1</v>
      </c>
      <c r="I60" s="1509">
        <v>3.8052187000000015E-2</v>
      </c>
      <c r="J60" s="1509">
        <v>3.5555373000000001E-2</v>
      </c>
      <c r="K60" s="1509">
        <v>3.9252147999999987E-2</v>
      </c>
      <c r="L60" s="1509">
        <v>3.1512026000000026E-2</v>
      </c>
      <c r="M60" s="1509">
        <v>4.1327858000000051E-2</v>
      </c>
      <c r="N60" s="1509">
        <v>2.6801618999999999E-2</v>
      </c>
      <c r="O60" s="1509">
        <v>2.9268619999999967E-2</v>
      </c>
      <c r="P60" s="1509">
        <v>2.7084839000000027E-2</v>
      </c>
      <c r="Q60" s="1509">
        <v>1</v>
      </c>
      <c r="R60" s="1509">
        <v>4.6524663999999993E-2</v>
      </c>
      <c r="S60" s="1509">
        <v>1</v>
      </c>
      <c r="T60" s="1509">
        <v>2.3373157999999949E-2</v>
      </c>
      <c r="U60" s="1509">
        <v>2.2452691000000025E-2</v>
      </c>
      <c r="V60" s="1509">
        <v>3.5864679999999982E-2</v>
      </c>
      <c r="W60" s="1509">
        <v>3.1068561999999966E-2</v>
      </c>
      <c r="X60" s="1509">
        <v>1</v>
      </c>
      <c r="Y60" s="1509">
        <v>1</v>
      </c>
      <c r="Z60" s="1509">
        <v>1</v>
      </c>
      <c r="AA60" s="1509">
        <v>2.2348346999999991E-2</v>
      </c>
      <c r="AB60" s="1509">
        <v>4.9708953E-2</v>
      </c>
      <c r="AC60" s="1509">
        <v>1</v>
      </c>
      <c r="AD60" s="1509">
        <v>3.9319227000000012E-2</v>
      </c>
      <c r="AE60" s="1509">
        <v>4.6026408000000019E-2</v>
      </c>
      <c r="AF60" s="1509">
        <v>1.782054200000005E-2</v>
      </c>
      <c r="AG60" s="1509">
        <v>4.5032085999999971E-2</v>
      </c>
      <c r="AH60" s="1509">
        <v>2.1729733000000029E-2</v>
      </c>
      <c r="AI60" s="1509">
        <v>1</v>
      </c>
      <c r="AJ60" s="1509">
        <v>2.5225272000000021E-2</v>
      </c>
      <c r="AK60" s="1509">
        <v>4.6353387999999995E-2</v>
      </c>
      <c r="AL60" s="1509">
        <v>4.6267750000000052E-2</v>
      </c>
      <c r="AM60" s="1509">
        <v>4.6026408000000019E-2</v>
      </c>
      <c r="AN60" s="1509">
        <v>1</v>
      </c>
      <c r="AO60" s="1509">
        <v>3.9879113999999993E-2</v>
      </c>
      <c r="AP60" s="1509">
        <v>0</v>
      </c>
      <c r="AQ60" s="1509">
        <v>1</v>
      </c>
      <c r="AR60" s="1509">
        <v>2.1791934999999985E-2</v>
      </c>
      <c r="AS60" s="1509">
        <v>2.1807309000000052E-2</v>
      </c>
      <c r="AT60" s="1509">
        <v>2.5043429999999978E-2</v>
      </c>
      <c r="AU60" s="1509">
        <v>2.1223116000000042E-2</v>
      </c>
      <c r="AV60" s="1509">
        <v>3.8655894000000024E-2</v>
      </c>
      <c r="AW60" s="1509">
        <v>4.7741315000000006E-2</v>
      </c>
      <c r="AX60" s="1509">
        <v>9.4225740000000169E-3</v>
      </c>
      <c r="AY60" s="1509">
        <v>4.1465776999999981E-2</v>
      </c>
      <c r="AZ60" s="1509">
        <v>2.4849746000000006E-2</v>
      </c>
      <c r="BA60" s="1509">
        <v>1.6748122999999948E-2</v>
      </c>
      <c r="BB60" s="1509">
        <v>3.0304031000000009E-2</v>
      </c>
      <c r="BC60" s="1509">
        <v>1</v>
      </c>
      <c r="BD60" s="1509">
        <v>2.9547864999999951E-2</v>
      </c>
      <c r="BE60" s="1509">
        <v>1.6854718000000046E-2</v>
      </c>
      <c r="BF60" s="1509">
        <v>1</v>
      </c>
      <c r="BG60" s="1509">
        <v>1</v>
      </c>
      <c r="BH60" s="1509">
        <v>1.9009323999999994E-2</v>
      </c>
      <c r="BI60" s="1509">
        <v>2.0160839999999958E-2</v>
      </c>
      <c r="BJ60" s="1509">
        <v>3.7262150999999966E-2</v>
      </c>
      <c r="BK60" s="1509">
        <v>1.7731103999999998E-2</v>
      </c>
      <c r="BL60" s="1509">
        <v>1.7555954999999956E-2</v>
      </c>
      <c r="BM60" s="1509">
        <v>0</v>
      </c>
      <c r="BN60" s="1509">
        <v>2.5713454999999996E-2</v>
      </c>
      <c r="BO60" s="1509">
        <v>1.7757189999999978E-2</v>
      </c>
      <c r="BP60" s="1509">
        <v>2.3593026999999989E-2</v>
      </c>
      <c r="BQ60" s="1509">
        <v>3.3632454000000034E-2</v>
      </c>
      <c r="BR60" s="1509">
        <v>1</v>
      </c>
      <c r="BS60" s="1509">
        <v>1.7555954999999956E-2</v>
      </c>
      <c r="BT60" s="1509">
        <v>1.5724413000000048E-2</v>
      </c>
      <c r="BU60" s="1509">
        <v>1.6175725999999946E-2</v>
      </c>
      <c r="BV60" s="1509">
        <v>4.1212601999999987E-2</v>
      </c>
      <c r="BW60" s="1509">
        <v>0</v>
      </c>
      <c r="BX60" s="1509">
        <v>9.7284659999999912E-3</v>
      </c>
      <c r="BY60" s="1509">
        <v>4.9980609999999981E-3</v>
      </c>
      <c r="BZ60" s="1509">
        <v>4.9980609999999981E-3</v>
      </c>
      <c r="CA60" s="1509">
        <v>0</v>
      </c>
      <c r="CB60" s="1509">
        <v>0</v>
      </c>
      <c r="CC60" s="1509">
        <v>4.623660900000004E-2</v>
      </c>
      <c r="CD60" s="1509">
        <v>4.6291105999999971E-2</v>
      </c>
      <c r="CE60" s="1509">
        <v>4.6057549000000031E-2</v>
      </c>
      <c r="CF60" s="1509">
        <v>1</v>
      </c>
      <c r="CG60" s="1509">
        <v>1.9430428000000055E-2</v>
      </c>
      <c r="CH60" s="1509">
        <v>2.4058849999999965E-2</v>
      </c>
      <c r="CI60" s="1509">
        <v>4.8583523999999989E-2</v>
      </c>
      <c r="CJ60" s="1509">
        <v>4.243995300000003E-2</v>
      </c>
      <c r="CK60" s="1509">
        <v>1</v>
      </c>
      <c r="CL60" s="1509">
        <v>1</v>
      </c>
      <c r="CM60" s="1509">
        <v>1</v>
      </c>
      <c r="CN60" s="1509">
        <v>4.595634000000004E-2</v>
      </c>
      <c r="CO60" s="1509">
        <v>4.5909628999999952E-2</v>
      </c>
      <c r="CP60" s="1509">
        <v>4.5909628999999952E-2</v>
      </c>
      <c r="CQ60" s="1509">
        <v>2.0690015000000006E-2</v>
      </c>
      <c r="CR60" s="1509">
        <v>5.1982171999999993E-2</v>
      </c>
      <c r="CS60" s="1509">
        <v>2.4629017999999947E-2</v>
      </c>
      <c r="CT60" s="1509">
        <v>3.4709438000000037E-2</v>
      </c>
      <c r="CU60" s="1509">
        <v>1</v>
      </c>
      <c r="CV60" s="1509">
        <v>1</v>
      </c>
      <c r="CW60" s="1509">
        <v>1</v>
      </c>
      <c r="CX60" s="1509">
        <v>1</v>
      </c>
      <c r="CY60" s="1509">
        <v>1.4045748000000025E-2</v>
      </c>
      <c r="CZ60" s="1509">
        <v>1.0602443999999989E-2</v>
      </c>
      <c r="DA60" s="1509">
        <v>1.0586057000000038E-2</v>
      </c>
      <c r="DB60" s="1509">
        <v>7.9406543000000052E-2</v>
      </c>
      <c r="DC60" s="1509">
        <v>0.10140821799999999</v>
      </c>
      <c r="DD60" s="1509">
        <v>6.4671308999999955E-2</v>
      </c>
      <c r="DE60" s="1509">
        <v>8.1954395999999985E-2</v>
      </c>
      <c r="DF60" s="1509">
        <v>0.10121505900000005</v>
      </c>
      <c r="DG60" s="1509">
        <v>9.7489858999999957E-2</v>
      </c>
      <c r="DH60" s="1509">
        <v>1</v>
      </c>
      <c r="DI60" s="1509">
        <v>7.2839153999999962E-2</v>
      </c>
      <c r="DJ60" s="1509">
        <v>9.4826599999999761E-3</v>
      </c>
      <c r="DK60" s="1509">
        <v>5.9758239999999629E-3</v>
      </c>
      <c r="DL60" s="1509">
        <v>4.6057549000000031E-2</v>
      </c>
      <c r="DM60" s="1509">
        <v>4.5909628999999952E-2</v>
      </c>
      <c r="DN60" s="1509">
        <v>1</v>
      </c>
      <c r="DO60" s="1509">
        <v>2.6126631999999983E-2</v>
      </c>
      <c r="DP60" s="1509">
        <v>7.701929999999968E-3</v>
      </c>
      <c r="DQ60" s="1509">
        <v>5.8064899999999975E-3</v>
      </c>
      <c r="DR60" s="1509">
        <v>2.0380071000000055E-2</v>
      </c>
      <c r="DS60" s="1509">
        <v>1.3737839000000029E-2</v>
      </c>
      <c r="DT60" s="1509">
        <v>1.9713662999999992E-2</v>
      </c>
      <c r="DU60" s="1509">
        <v>3.9185070000000044E-2</v>
      </c>
      <c r="DV60" s="1509">
        <v>1</v>
      </c>
      <c r="DW60" s="1509">
        <v>1</v>
      </c>
      <c r="DX60" s="1509">
        <v>2.159976600000002E-2</v>
      </c>
      <c r="DY60" s="1509">
        <v>2.9346365999999957E-2</v>
      </c>
      <c r="DZ60" s="1509">
        <v>1</v>
      </c>
      <c r="EA60" s="1509">
        <v>1</v>
      </c>
      <c r="EB60" s="1509">
        <v>1</v>
      </c>
      <c r="EC60" s="1509">
        <v>1</v>
      </c>
      <c r="ED60" s="1509">
        <v>2.9667365000000001E-2</v>
      </c>
      <c r="EE60" s="1509">
        <v>1</v>
      </c>
      <c r="EF60" s="1509">
        <v>1</v>
      </c>
      <c r="EG60" s="1509">
        <v>1</v>
      </c>
      <c r="EH60" s="1509">
        <v>5.3106356000000021E-2</v>
      </c>
      <c r="EI60" s="1509">
        <v>1</v>
      </c>
      <c r="EJ60" s="1509">
        <v>1</v>
      </c>
      <c r="EK60" s="1509">
        <v>1</v>
      </c>
      <c r="EL60" s="1509">
        <v>8.8549380000000011E-2</v>
      </c>
      <c r="EM60" s="1509">
        <v>0.10241080199999997</v>
      </c>
      <c r="EN60" s="1509">
        <v>9.3120797999999949E-2</v>
      </c>
      <c r="EO60" s="1509">
        <v>1</v>
      </c>
      <c r="EP60" s="1509">
        <v>1</v>
      </c>
      <c r="EQ60" s="1509">
        <v>4.6781576999999963E-2</v>
      </c>
      <c r="ER60" s="1509">
        <v>1.4579617999999961E-2</v>
      </c>
      <c r="ES60" s="1509">
        <v>1.6583008999999982E-2</v>
      </c>
      <c r="ET60" s="1509">
        <v>1</v>
      </c>
      <c r="EU60" s="1509">
        <v>1</v>
      </c>
      <c r="EV60" s="1509">
        <v>4.4260681999999996E-2</v>
      </c>
      <c r="EW60" s="1509">
        <v>1</v>
      </c>
      <c r="EX60" s="1509">
        <v>1</v>
      </c>
      <c r="EY60" s="1509">
        <v>4.6892543000000009E-2</v>
      </c>
      <c r="EZ60" s="1509">
        <v>1</v>
      </c>
      <c r="FA60" s="1509">
        <v>4.6057549000000031E-2</v>
      </c>
      <c r="FB60" s="1509">
        <v>3.9528721000000044E-2</v>
      </c>
      <c r="FC60" s="1509">
        <v>1</v>
      </c>
      <c r="FD60" s="1509">
        <v>1</v>
      </c>
      <c r="FE60" s="1509">
        <v>4.8455628000000028E-2</v>
      </c>
      <c r="FF60" s="1509">
        <v>1</v>
      </c>
      <c r="FG60" s="1509">
        <v>1</v>
      </c>
      <c r="FH60" s="1509">
        <v>1</v>
      </c>
      <c r="FI60" s="1509">
        <v>1</v>
      </c>
      <c r="FJ60" s="1509">
        <v>2.9098693999999981E-2</v>
      </c>
      <c r="FK60" s="1509">
        <v>2.4662563000000026E-2</v>
      </c>
      <c r="FL60" s="1509">
        <v>1</v>
      </c>
      <c r="FM60" s="1509">
        <v>3.2313241999999964E-2</v>
      </c>
      <c r="FN60" s="1509">
        <v>2.1003047999999969E-2</v>
      </c>
      <c r="FO60" s="1509">
        <v>2.0500242999999974E-2</v>
      </c>
      <c r="FP60" s="1509">
        <v>1</v>
      </c>
      <c r="FQ60" s="1509">
        <v>1</v>
      </c>
      <c r="FR60" s="1509">
        <v>1</v>
      </c>
      <c r="FS60" s="1509">
        <v>3.8827935000000036E-2</v>
      </c>
      <c r="FT60" s="1509">
        <v>1</v>
      </c>
      <c r="FU60" s="1509">
        <v>4.929902900000005E-2</v>
      </c>
    </row>
    <row r="61" spans="1:177" s="1509" customFormat="1" x14ac:dyDescent="0.2">
      <c r="A61" s="1512" t="s">
        <v>664</v>
      </c>
      <c r="B61" s="1512" t="s">
        <v>1034</v>
      </c>
      <c r="C61" s="1509">
        <v>0.79110239900000001</v>
      </c>
      <c r="D61" s="1509">
        <v>0.79110239900000001</v>
      </c>
      <c r="E61" s="1509">
        <v>0.74655849600000002</v>
      </c>
      <c r="F61" s="1509">
        <v>0.697306431</v>
      </c>
      <c r="G61" s="1509">
        <v>0.74655849600000002</v>
      </c>
      <c r="H61" s="1509">
        <v>0.74655849600000002</v>
      </c>
      <c r="I61" s="1509">
        <v>0.32368395599999999</v>
      </c>
      <c r="J61" s="1509">
        <v>0.32368395599999999</v>
      </c>
      <c r="K61" s="1509">
        <v>0.32368395599999999</v>
      </c>
      <c r="L61" s="1509">
        <v>0.32368395599999999</v>
      </c>
      <c r="M61" s="1509">
        <v>0.32368395599999999</v>
      </c>
      <c r="N61" s="1509">
        <v>0.32368395599999999</v>
      </c>
      <c r="O61" s="1509">
        <v>0.32368395599999999</v>
      </c>
      <c r="P61" s="1509">
        <v>0.32368395599999999</v>
      </c>
      <c r="Q61" s="1509">
        <v>0.61959821900000001</v>
      </c>
      <c r="R61" s="1509">
        <v>0.61959821900000001</v>
      </c>
      <c r="S61" s="1509">
        <v>0.32368395599999999</v>
      </c>
      <c r="T61" s="1509">
        <v>7.5470854000000004E-2</v>
      </c>
      <c r="U61" s="1509">
        <v>0.96569303399999995</v>
      </c>
      <c r="V61" s="1509">
        <v>0.74655849600000002</v>
      </c>
      <c r="W61" s="1509">
        <v>0.74655849600000002</v>
      </c>
      <c r="X61" s="1509">
        <v>0.26203128799999997</v>
      </c>
      <c r="Y61" s="1509">
        <v>0.26203128799999997</v>
      </c>
      <c r="Z61" s="1509">
        <v>0.26203128799999997</v>
      </c>
      <c r="AA61" s="1509">
        <v>0.96569303399999995</v>
      </c>
      <c r="AB61" s="1509">
        <v>0.98306638499999999</v>
      </c>
      <c r="AC61" s="1509">
        <v>0.98306638499999999</v>
      </c>
      <c r="AD61" s="1509">
        <v>0.98306638499999999</v>
      </c>
      <c r="AE61" s="1509">
        <v>0.61959821900000001</v>
      </c>
      <c r="AF61" s="1509">
        <v>0.96569303399999995</v>
      </c>
      <c r="AG61" s="1509">
        <v>0</v>
      </c>
      <c r="AH61" s="1509">
        <v>0.96569303399999995</v>
      </c>
      <c r="AI61" s="1509">
        <v>0.96901714999999999</v>
      </c>
      <c r="AJ61" s="1509">
        <v>0.96569303399999995</v>
      </c>
      <c r="AK61" s="1509">
        <v>0.61959821900000001</v>
      </c>
      <c r="AL61" s="1509">
        <v>0.61959821900000001</v>
      </c>
      <c r="AM61" s="1509">
        <v>0.61959821900000001</v>
      </c>
      <c r="AN61" s="1509">
        <v>0.203054016</v>
      </c>
      <c r="AO61" s="1509">
        <v>0.41144083999999997</v>
      </c>
      <c r="AP61" s="1509">
        <v>0</v>
      </c>
      <c r="AQ61" s="1509">
        <v>0.992502106</v>
      </c>
      <c r="AR61" s="1509">
        <v>0</v>
      </c>
      <c r="AS61" s="1509">
        <v>0.89005642100000004</v>
      </c>
      <c r="AT61" s="1509">
        <v>0</v>
      </c>
      <c r="AU61" s="1509">
        <v>0</v>
      </c>
      <c r="AV61" s="1509">
        <v>0.96569303399999995</v>
      </c>
      <c r="AW61" s="1509">
        <v>0.79110239900000001</v>
      </c>
      <c r="AX61" s="1509">
        <v>0.58070366100000004</v>
      </c>
      <c r="AY61" s="1509">
        <v>0.697306431</v>
      </c>
      <c r="AZ61" s="1509">
        <v>0.27484424200000002</v>
      </c>
      <c r="BA61" s="1509">
        <v>0.96801179999999998</v>
      </c>
      <c r="BB61" s="1509">
        <v>0.96801179999999998</v>
      </c>
      <c r="BC61" s="1509">
        <v>0</v>
      </c>
      <c r="BD61" s="1509">
        <v>0</v>
      </c>
      <c r="BE61" s="1509">
        <v>0</v>
      </c>
      <c r="BF61" s="1509">
        <v>0</v>
      </c>
      <c r="BG61" s="1509">
        <v>0.38762357200000003</v>
      </c>
      <c r="BH61" s="1509">
        <v>0</v>
      </c>
      <c r="BI61" s="1509">
        <v>0</v>
      </c>
      <c r="BJ61" s="1509">
        <v>0.74655849600000002</v>
      </c>
      <c r="BK61" s="1509">
        <v>0</v>
      </c>
      <c r="BL61" s="1509">
        <v>2.6704728E-2</v>
      </c>
      <c r="BM61" s="1509">
        <v>0.61959821900000001</v>
      </c>
      <c r="BN61" s="1509">
        <v>0.26203128799999997</v>
      </c>
      <c r="BO61" s="1509">
        <v>0.992502106</v>
      </c>
      <c r="BP61" s="1509">
        <v>0.74655849600000002</v>
      </c>
      <c r="BQ61" s="1509">
        <v>6.8245001E-2</v>
      </c>
      <c r="BR61" s="1509">
        <v>0.74655849600000002</v>
      </c>
      <c r="BS61" s="1509">
        <v>0.74655849600000002</v>
      </c>
      <c r="BT61" s="1509">
        <v>0.697306431</v>
      </c>
      <c r="BU61" s="1509">
        <v>0.697306431</v>
      </c>
      <c r="BV61" s="1509">
        <v>0.697306431</v>
      </c>
      <c r="BW61" s="1509">
        <v>0.203054016</v>
      </c>
      <c r="BX61" s="1509">
        <v>0.210655975</v>
      </c>
      <c r="BY61" s="1509">
        <v>0.210655975</v>
      </c>
      <c r="BZ61" s="1509">
        <v>0.54018932500000005</v>
      </c>
      <c r="CA61" s="1509">
        <v>0.203054016</v>
      </c>
      <c r="CB61" s="1509">
        <v>0.203054016</v>
      </c>
      <c r="CC61" s="1509">
        <v>0</v>
      </c>
      <c r="CD61" s="1509">
        <v>0.96249244700000003</v>
      </c>
      <c r="CE61" s="1509">
        <v>0.36437826800000001</v>
      </c>
      <c r="CF61" s="1509">
        <v>0.73163599499999998</v>
      </c>
      <c r="CG61" s="1509">
        <v>0.96569303399999995</v>
      </c>
      <c r="CH61" s="1509">
        <v>7.5470854000000004E-2</v>
      </c>
      <c r="CI61" s="1509">
        <v>0.74655849600000002</v>
      </c>
      <c r="CJ61" s="1509">
        <v>2.2631706000000001E-2</v>
      </c>
      <c r="CK61" s="1509">
        <v>8.0042049000000004E-2</v>
      </c>
      <c r="CL61" s="1509">
        <v>8.0042049000000004E-2</v>
      </c>
      <c r="CM61" s="1509">
        <v>0.58070366100000004</v>
      </c>
      <c r="CN61" s="1509">
        <v>0.67401699299999995</v>
      </c>
      <c r="CO61" s="1509">
        <v>0.203054016</v>
      </c>
      <c r="CP61" s="1509">
        <v>0.203054016</v>
      </c>
      <c r="CQ61" s="1509">
        <v>0</v>
      </c>
      <c r="CR61" s="1509">
        <v>1</v>
      </c>
      <c r="CS61" s="1509">
        <v>0.74655849600000002</v>
      </c>
      <c r="CT61" s="1509">
        <v>0.74655849600000002</v>
      </c>
      <c r="CU61" s="1509">
        <v>0.74655849600000002</v>
      </c>
      <c r="CV61" s="1509">
        <v>0.96801179999999998</v>
      </c>
      <c r="CW61" s="1509">
        <v>0.96801179999999998</v>
      </c>
      <c r="CX61" s="1509">
        <v>0.96801179999999998</v>
      </c>
      <c r="CY61" s="1509">
        <v>2.2631706000000001E-2</v>
      </c>
      <c r="CZ61" s="1509">
        <v>0.58070366100000004</v>
      </c>
      <c r="DA61" s="1509">
        <v>0.54018932500000005</v>
      </c>
      <c r="DB61" s="1509" t="s">
        <v>2372</v>
      </c>
      <c r="DC61" s="1509" t="s">
        <v>2372</v>
      </c>
      <c r="DD61" s="1509" t="s">
        <v>2372</v>
      </c>
      <c r="DE61" s="1509" t="s">
        <v>2372</v>
      </c>
      <c r="DF61" s="1509" t="s">
        <v>2372</v>
      </c>
      <c r="DG61" s="1509" t="s">
        <v>2372</v>
      </c>
      <c r="DH61" s="1509" t="s">
        <v>2372</v>
      </c>
      <c r="DI61" s="1509" t="s">
        <v>2372</v>
      </c>
      <c r="DJ61" s="1509">
        <v>1</v>
      </c>
      <c r="DK61" s="1509">
        <v>0.54018932500000005</v>
      </c>
      <c r="DL61" s="1509">
        <v>0</v>
      </c>
      <c r="DM61" s="1509">
        <v>0</v>
      </c>
      <c r="DN61" s="1509">
        <v>0.60603290700000001</v>
      </c>
      <c r="DO61" s="1509">
        <v>4.7965788000000002E-2</v>
      </c>
      <c r="DP61" s="1509">
        <v>0.58070366100000004</v>
      </c>
      <c r="DQ61" s="1509">
        <v>0.54018932500000005</v>
      </c>
      <c r="DR61" s="1509">
        <v>0.54018932500000005</v>
      </c>
      <c r="DS61" s="1509">
        <v>9.3504706000000007E-2</v>
      </c>
      <c r="DT61" s="1509">
        <v>0.54018932500000005</v>
      </c>
      <c r="DU61" s="1509">
        <v>0.96569303399999995</v>
      </c>
      <c r="DV61" s="1509">
        <v>0.98306638499999999</v>
      </c>
      <c r="DW61" s="1509">
        <v>0.94041494800000003</v>
      </c>
      <c r="DX61" s="1509">
        <v>0</v>
      </c>
      <c r="DY61" s="1509">
        <v>0.697306431</v>
      </c>
      <c r="DZ61" s="1509">
        <v>0</v>
      </c>
      <c r="EA61" s="1509">
        <v>2.2631706000000001E-2</v>
      </c>
      <c r="EB61" s="1509">
        <v>2.6704728E-2</v>
      </c>
      <c r="EC61" s="1509">
        <v>0.74655849600000002</v>
      </c>
      <c r="ED61" s="1509">
        <v>0.74655849600000002</v>
      </c>
      <c r="EE61" s="1509">
        <v>0.203054016</v>
      </c>
      <c r="EF61" s="1509">
        <v>0.697306431</v>
      </c>
      <c r="EG61" s="1509">
        <v>0.210655975</v>
      </c>
      <c r="EH61" s="1509">
        <v>0.15681482899999999</v>
      </c>
      <c r="EI61" s="1509">
        <v>0.73163599499999998</v>
      </c>
      <c r="EJ61" s="1509">
        <v>0.73163599499999998</v>
      </c>
      <c r="EK61" s="1509">
        <v>0.992502106</v>
      </c>
      <c r="EL61" s="1509" t="s">
        <v>2372</v>
      </c>
      <c r="EM61" s="1509" t="s">
        <v>2372</v>
      </c>
      <c r="EN61" s="1509" t="s">
        <v>2372</v>
      </c>
      <c r="EO61" s="1509" t="s">
        <v>2372</v>
      </c>
      <c r="EP61" s="1509">
        <v>0.54018932500000005</v>
      </c>
      <c r="EQ61" s="1509">
        <v>0.99789635399999999</v>
      </c>
      <c r="ER61" s="1509">
        <v>4.7965788000000002E-2</v>
      </c>
      <c r="ES61" s="1509">
        <v>4.7965788000000002E-2</v>
      </c>
      <c r="ET61" s="1509">
        <v>0.97539779000000004</v>
      </c>
      <c r="EU61" s="1509">
        <v>0.210655975</v>
      </c>
      <c r="EV61" s="1509">
        <v>0.98306638499999999</v>
      </c>
      <c r="EW61" s="1509">
        <v>0</v>
      </c>
      <c r="EX61" s="1509">
        <v>4.7965788000000002E-2</v>
      </c>
      <c r="EY61" s="1509">
        <v>8.0042049000000004E-2</v>
      </c>
      <c r="EZ61" s="1509">
        <v>0.210655975</v>
      </c>
      <c r="FA61" s="1509">
        <v>0</v>
      </c>
      <c r="FB61" s="1509">
        <v>0.98934994300000001</v>
      </c>
      <c r="FC61" s="1509">
        <v>0.697306431</v>
      </c>
      <c r="FD61" s="1509">
        <v>0.99228914899999998</v>
      </c>
      <c r="FE61" s="1509">
        <v>0.99597120400000005</v>
      </c>
      <c r="FF61" s="1509">
        <v>0.87230559900000004</v>
      </c>
      <c r="FG61" s="1509">
        <v>0</v>
      </c>
      <c r="FH61" s="1509">
        <v>0.58070366100000004</v>
      </c>
      <c r="FI61" s="1509">
        <v>0</v>
      </c>
      <c r="FJ61" s="1509">
        <v>0.15681482899999999</v>
      </c>
      <c r="FK61" s="1509">
        <v>0.210655975</v>
      </c>
      <c r="FL61" s="1509" t="s">
        <v>2372</v>
      </c>
      <c r="FM61" s="1509">
        <v>0.74655849600000002</v>
      </c>
      <c r="FN61" s="1509">
        <v>6.8245001E-2</v>
      </c>
      <c r="FO61" s="1509">
        <v>0.60511495500000001</v>
      </c>
      <c r="FP61" s="1509">
        <v>0.87230559900000004</v>
      </c>
      <c r="FQ61" s="1509">
        <v>0.210655975</v>
      </c>
      <c r="FR61" s="1509">
        <v>2.2631706000000001E-2</v>
      </c>
      <c r="FS61" s="1509">
        <v>0.66249309099999998</v>
      </c>
      <c r="FT61" s="1509" t="s">
        <v>2372</v>
      </c>
      <c r="FU61" s="1509">
        <v>0.32368395599999999</v>
      </c>
    </row>
    <row r="62" spans="1:177" s="1509" customFormat="1" x14ac:dyDescent="0.2">
      <c r="A62" s="1512" t="s">
        <v>664</v>
      </c>
      <c r="B62" s="1512" t="s">
        <v>1399</v>
      </c>
      <c r="C62" s="1509">
        <v>0.5</v>
      </c>
      <c r="D62" s="1509">
        <v>0.5</v>
      </c>
      <c r="E62" s="1509">
        <v>0.5</v>
      </c>
      <c r="F62" s="1509">
        <v>0.5</v>
      </c>
      <c r="G62" s="1509">
        <v>0.5</v>
      </c>
      <c r="H62" s="1509">
        <v>0.5</v>
      </c>
      <c r="I62" s="1509">
        <v>0.5</v>
      </c>
      <c r="J62" s="1509">
        <v>0.5</v>
      </c>
      <c r="K62" s="1509">
        <v>0.5</v>
      </c>
      <c r="L62" s="1509">
        <v>0.5</v>
      </c>
      <c r="M62" s="1509">
        <v>0.5</v>
      </c>
      <c r="N62" s="1509">
        <v>0.5</v>
      </c>
      <c r="O62" s="1509">
        <v>0.5</v>
      </c>
      <c r="P62" s="1509">
        <v>0.5</v>
      </c>
      <c r="Q62" s="1509">
        <v>0.5</v>
      </c>
      <c r="R62" s="1509">
        <v>0.5</v>
      </c>
      <c r="S62" s="1509">
        <v>0.1</v>
      </c>
      <c r="T62" s="1509">
        <v>0.1</v>
      </c>
      <c r="U62" s="1509">
        <v>0.5</v>
      </c>
      <c r="V62" s="1509">
        <v>0.5</v>
      </c>
      <c r="W62" s="1509">
        <v>0.5</v>
      </c>
      <c r="X62" s="1509">
        <v>1</v>
      </c>
      <c r="Y62" s="1509">
        <v>0.5</v>
      </c>
      <c r="Z62" s="1509">
        <v>0.5</v>
      </c>
      <c r="AA62" s="1509">
        <v>0.5</v>
      </c>
      <c r="AB62" s="1509">
        <v>1</v>
      </c>
      <c r="AC62" s="1509">
        <v>1</v>
      </c>
      <c r="AD62" s="1509">
        <v>1</v>
      </c>
      <c r="AE62" s="1509">
        <v>0.5</v>
      </c>
      <c r="AF62" s="1509">
        <v>0.1</v>
      </c>
      <c r="AG62" s="1509">
        <v>0.5</v>
      </c>
      <c r="AH62" s="1509">
        <v>0.5</v>
      </c>
      <c r="AI62" s="1509">
        <v>1</v>
      </c>
      <c r="AJ62" s="1509">
        <v>0.5</v>
      </c>
      <c r="AK62" s="1509">
        <v>0.5</v>
      </c>
      <c r="AL62" s="1509">
        <v>0.5</v>
      </c>
      <c r="AM62" s="1509">
        <v>0.5</v>
      </c>
      <c r="AN62" s="1509">
        <v>0.5</v>
      </c>
      <c r="AO62" s="1509">
        <v>0.1</v>
      </c>
      <c r="AP62" s="1509">
        <v>0.1</v>
      </c>
      <c r="AQ62" s="1509" t="s">
        <v>2372</v>
      </c>
      <c r="AR62" s="1509">
        <v>0.5</v>
      </c>
      <c r="AS62" s="1509" t="s">
        <v>2372</v>
      </c>
      <c r="AT62" s="1509">
        <v>0.5</v>
      </c>
      <c r="AU62" s="1509">
        <v>0.6</v>
      </c>
      <c r="AV62" s="1509">
        <v>0.4</v>
      </c>
      <c r="AW62" s="1509">
        <v>0.5</v>
      </c>
      <c r="AX62" s="1509">
        <v>0.5</v>
      </c>
      <c r="AY62" s="1509">
        <v>0.5</v>
      </c>
      <c r="AZ62" s="1509">
        <v>0.5</v>
      </c>
      <c r="BA62" s="1509">
        <v>1</v>
      </c>
      <c r="BB62" s="1509">
        <v>1</v>
      </c>
      <c r="BC62" s="1509">
        <v>0.5</v>
      </c>
      <c r="BD62" s="1509">
        <v>0.5</v>
      </c>
      <c r="BE62" s="1509">
        <v>0.2</v>
      </c>
      <c r="BF62" s="1509">
        <v>0.5</v>
      </c>
      <c r="BG62" s="1509">
        <v>0.1</v>
      </c>
      <c r="BH62" s="1509">
        <v>0.5</v>
      </c>
      <c r="BI62" s="1509">
        <v>0.1</v>
      </c>
      <c r="BJ62" s="1509">
        <v>0.5</v>
      </c>
      <c r="BK62" s="1509">
        <v>0.5</v>
      </c>
      <c r="BL62" s="1509" t="s">
        <v>2372</v>
      </c>
      <c r="BM62" s="1509">
        <v>0.5</v>
      </c>
      <c r="BN62" s="1509">
        <v>0.5</v>
      </c>
      <c r="BO62" s="1509" t="s">
        <v>2372</v>
      </c>
      <c r="BP62" s="1509">
        <v>0.5</v>
      </c>
      <c r="BQ62" s="1509">
        <v>0.1</v>
      </c>
      <c r="BR62" s="1509">
        <v>0.5</v>
      </c>
      <c r="BS62" s="1509">
        <v>0.5</v>
      </c>
      <c r="BT62" s="1509">
        <v>0.5</v>
      </c>
      <c r="BU62" s="1509">
        <v>0.5</v>
      </c>
      <c r="BV62" s="1509">
        <v>0.5</v>
      </c>
      <c r="BW62" s="1509">
        <v>0.5</v>
      </c>
      <c r="BX62" s="1509">
        <v>0.5</v>
      </c>
      <c r="BY62" s="1509">
        <v>0.5</v>
      </c>
      <c r="BZ62" s="1509">
        <v>0.5</v>
      </c>
      <c r="CA62" s="1509">
        <v>0.5</v>
      </c>
      <c r="CB62" s="1509">
        <v>0.5</v>
      </c>
      <c r="CC62" s="1509">
        <v>0.1</v>
      </c>
      <c r="CD62" s="1509">
        <v>0.5</v>
      </c>
      <c r="CE62" s="1509">
        <v>0.5</v>
      </c>
      <c r="CF62" s="1509">
        <v>0.1</v>
      </c>
      <c r="CG62" s="1509">
        <v>0.5</v>
      </c>
      <c r="CH62" s="1509">
        <v>0.1</v>
      </c>
      <c r="CI62" s="1509">
        <v>0.5</v>
      </c>
      <c r="CJ62" s="1509" t="s">
        <v>2372</v>
      </c>
      <c r="CK62" s="1509">
        <v>0.1</v>
      </c>
      <c r="CL62" s="1509">
        <v>0.1</v>
      </c>
      <c r="CM62" s="1509">
        <v>0.5</v>
      </c>
      <c r="CN62" s="1509">
        <v>0.6</v>
      </c>
      <c r="CO62" s="1509">
        <v>0.5</v>
      </c>
      <c r="CP62" s="1509">
        <v>0.5</v>
      </c>
      <c r="CQ62" s="1509">
        <v>0.1</v>
      </c>
      <c r="CR62" s="1509">
        <v>0.9</v>
      </c>
      <c r="CS62" s="1509">
        <v>0.5</v>
      </c>
      <c r="CT62" s="1509">
        <v>0.5</v>
      </c>
      <c r="CU62" s="1509">
        <v>0.5</v>
      </c>
      <c r="CV62" s="1509">
        <v>0.5</v>
      </c>
      <c r="CW62" s="1509">
        <v>0.5</v>
      </c>
      <c r="CX62" s="1509">
        <v>0.5</v>
      </c>
      <c r="CY62" s="1509" t="s">
        <v>2372</v>
      </c>
      <c r="CZ62" s="1509">
        <v>0.5</v>
      </c>
      <c r="DA62" s="1509">
        <v>0.5</v>
      </c>
      <c r="DB62" s="1509">
        <v>0.5</v>
      </c>
      <c r="DC62" s="1509">
        <v>0.5</v>
      </c>
      <c r="DD62" s="1509">
        <v>0.6</v>
      </c>
      <c r="DE62" s="1509">
        <v>0.6</v>
      </c>
      <c r="DF62" s="1509">
        <v>0.6</v>
      </c>
      <c r="DG62" s="1509">
        <v>0.5</v>
      </c>
      <c r="DH62" s="1509">
        <v>0.6</v>
      </c>
      <c r="DI62" s="1509">
        <v>0.6</v>
      </c>
      <c r="DJ62" s="1509">
        <v>0.4</v>
      </c>
      <c r="DK62" s="1509">
        <v>0.5</v>
      </c>
      <c r="DL62" s="1509">
        <v>0.5</v>
      </c>
      <c r="DM62" s="1509">
        <v>0.6</v>
      </c>
      <c r="DN62" s="1509">
        <v>0.5</v>
      </c>
      <c r="DO62" s="1509">
        <v>0.5</v>
      </c>
      <c r="DP62" s="1509">
        <v>0.5</v>
      </c>
      <c r="DQ62" s="1509">
        <v>0.5</v>
      </c>
      <c r="DR62" s="1509">
        <v>0.5</v>
      </c>
      <c r="DS62" s="1509">
        <v>0.1</v>
      </c>
      <c r="DT62" s="1509">
        <v>0.5</v>
      </c>
      <c r="DU62" s="1509">
        <v>0.5</v>
      </c>
      <c r="DV62" s="1509">
        <v>1</v>
      </c>
      <c r="DW62" s="1509">
        <v>0.1</v>
      </c>
      <c r="DX62" s="1509">
        <v>0.5</v>
      </c>
      <c r="DY62" s="1509">
        <v>0.5</v>
      </c>
      <c r="DZ62" s="1509">
        <v>0.5</v>
      </c>
      <c r="EA62" s="1509" t="s">
        <v>2372</v>
      </c>
      <c r="EB62" s="1509" t="s">
        <v>2372</v>
      </c>
      <c r="EC62" s="1509">
        <v>0.5</v>
      </c>
      <c r="ED62" s="1509">
        <v>0.5</v>
      </c>
      <c r="EE62" s="1509">
        <v>0.5</v>
      </c>
      <c r="EF62" s="1509">
        <v>0.5</v>
      </c>
      <c r="EG62" s="1509">
        <v>0.5</v>
      </c>
      <c r="EH62" s="1509">
        <v>0.5</v>
      </c>
      <c r="EI62" s="1509">
        <v>0.1</v>
      </c>
      <c r="EJ62" s="1509">
        <v>0.1</v>
      </c>
      <c r="EK62" s="1509" t="s">
        <v>2372</v>
      </c>
      <c r="EL62" s="1509">
        <v>0.6</v>
      </c>
      <c r="EM62" s="1509">
        <v>0.6</v>
      </c>
      <c r="EN62" s="1509">
        <v>0.6</v>
      </c>
      <c r="EO62" s="1509" t="s">
        <v>2372</v>
      </c>
      <c r="EP62" s="1509">
        <v>0.5</v>
      </c>
      <c r="EQ62" s="1509">
        <v>0.4</v>
      </c>
      <c r="ER62" s="1509">
        <v>0.5</v>
      </c>
      <c r="ES62" s="1509">
        <v>0.5</v>
      </c>
      <c r="ET62" s="1509">
        <v>0.1</v>
      </c>
      <c r="EU62" s="1509">
        <v>0.5</v>
      </c>
      <c r="EV62" s="1509">
        <v>1</v>
      </c>
      <c r="EW62" s="1509">
        <v>0.6</v>
      </c>
      <c r="EX62" s="1509">
        <v>0.5</v>
      </c>
      <c r="EY62" s="1509">
        <v>0.1</v>
      </c>
      <c r="EZ62" s="1509">
        <v>0.5</v>
      </c>
      <c r="FA62" s="1509">
        <v>0.5</v>
      </c>
      <c r="FB62" s="1509">
        <v>0.5</v>
      </c>
      <c r="FC62" s="1509">
        <v>0.5</v>
      </c>
      <c r="FD62" s="1509">
        <v>1</v>
      </c>
      <c r="FE62" s="1509">
        <v>0.1</v>
      </c>
      <c r="FF62" s="1509">
        <v>0.5</v>
      </c>
      <c r="FG62" s="1509">
        <v>0.1</v>
      </c>
      <c r="FH62" s="1509">
        <v>0.5</v>
      </c>
      <c r="FI62" s="1509">
        <v>0.1</v>
      </c>
      <c r="FJ62" s="1509">
        <v>0.5</v>
      </c>
      <c r="FK62" s="1509">
        <v>0.5</v>
      </c>
      <c r="FL62" s="1509">
        <v>0.6</v>
      </c>
      <c r="FM62" s="1509">
        <v>0.5</v>
      </c>
      <c r="FN62" s="1509">
        <v>0.1</v>
      </c>
      <c r="FO62" s="1509">
        <v>0.1</v>
      </c>
      <c r="FP62" s="1509">
        <v>0.5</v>
      </c>
      <c r="FQ62" s="1509">
        <v>0.5</v>
      </c>
      <c r="FR62" s="1509" t="s">
        <v>2372</v>
      </c>
      <c r="FS62" s="1509">
        <v>0.6</v>
      </c>
      <c r="FT62" s="1509">
        <v>0.6</v>
      </c>
      <c r="FU62" s="1509">
        <v>0.1</v>
      </c>
    </row>
    <row r="63" spans="1:177" s="1509" customFormat="1" x14ac:dyDescent="0.2">
      <c r="A63" s="1512" t="s">
        <v>664</v>
      </c>
      <c r="B63" s="1512" t="s">
        <v>1066</v>
      </c>
      <c r="C63" s="1509">
        <v>0.77747426799999997</v>
      </c>
      <c r="D63" s="1509">
        <v>0.68159661900000001</v>
      </c>
      <c r="E63" s="1509">
        <v>3.6855952000000025E-2</v>
      </c>
      <c r="F63" s="1509">
        <v>0.72878827899999998</v>
      </c>
      <c r="G63" s="1509">
        <v>2.2944600999999953E-2</v>
      </c>
      <c r="H63" s="1509">
        <v>2.2944600999999953E-2</v>
      </c>
      <c r="I63" s="1509">
        <v>0.47500204999999995</v>
      </c>
      <c r="J63" s="1509">
        <v>0.47500204999999995</v>
      </c>
      <c r="K63" s="1509">
        <v>0.47369029100000004</v>
      </c>
      <c r="L63" s="1509">
        <v>0.47077609899999995</v>
      </c>
      <c r="M63" s="1509">
        <v>0.47275491700000005</v>
      </c>
      <c r="N63" s="1509">
        <v>0.47500204999999995</v>
      </c>
      <c r="O63" s="1509">
        <v>0.47500204999999995</v>
      </c>
      <c r="P63" s="1509">
        <v>0.46955377799999998</v>
      </c>
      <c r="Q63" s="1509">
        <v>0.72573534299999998</v>
      </c>
      <c r="R63" s="1509">
        <v>0.69196511799999993</v>
      </c>
      <c r="S63" s="1509">
        <v>0.64405124800000002</v>
      </c>
      <c r="T63" s="1509">
        <v>0.71066772999999994</v>
      </c>
      <c r="U63" s="1509">
        <v>0.59796826400000003</v>
      </c>
      <c r="V63" s="1509">
        <v>0.67848119200000001</v>
      </c>
      <c r="W63" s="1509">
        <v>0.68861378399999995</v>
      </c>
      <c r="X63" s="1509">
        <v>0.76664107700000006</v>
      </c>
      <c r="Y63" s="1509">
        <v>0.40796073700000002</v>
      </c>
      <c r="Z63" s="1509">
        <v>0.52313838300000004</v>
      </c>
      <c r="AA63" s="1509">
        <v>0.52032108300000002</v>
      </c>
      <c r="AB63" s="1509">
        <v>0.48957300800000003</v>
      </c>
      <c r="AC63" s="1509">
        <v>0.48957300800000003</v>
      </c>
      <c r="AD63" s="1509">
        <v>0.48957300800000003</v>
      </c>
      <c r="AE63" s="1509">
        <v>0.65354747700000004</v>
      </c>
      <c r="AF63" s="1509">
        <v>0.81998345399999994</v>
      </c>
      <c r="AG63" s="1509">
        <v>0.49434303999999996</v>
      </c>
      <c r="AH63" s="1509">
        <v>0.50324213099999993</v>
      </c>
      <c r="AI63" s="1509">
        <v>0.49520760799999997</v>
      </c>
      <c r="AJ63" s="1509">
        <v>0.51508522699999992</v>
      </c>
      <c r="AK63" s="1509">
        <v>0.93025892700000001</v>
      </c>
      <c r="AL63" s="1509">
        <v>0.63222009200000007</v>
      </c>
      <c r="AM63" s="1509">
        <v>0.72164740799999993</v>
      </c>
      <c r="AN63" s="1509">
        <v>0.64526717</v>
      </c>
      <c r="AO63" s="1509">
        <v>0.65341609599999995</v>
      </c>
      <c r="AP63" s="1509">
        <v>0.50554823300000007</v>
      </c>
      <c r="AQ63" s="1509">
        <v>0.86287647899999997</v>
      </c>
      <c r="AR63" s="1509">
        <v>0.88669731100000004</v>
      </c>
      <c r="AS63" s="1509">
        <v>0.96993712200000004</v>
      </c>
      <c r="AT63" s="1509">
        <v>0.902539702</v>
      </c>
      <c r="AU63" s="1509">
        <v>0.89518348300000006</v>
      </c>
      <c r="AV63" s="1509">
        <v>0.92430182400000005</v>
      </c>
      <c r="AW63" s="1509">
        <v>0.80721616399999996</v>
      </c>
      <c r="AX63" s="1509">
        <v>0.36853461200000004</v>
      </c>
      <c r="AY63" s="1509">
        <v>0.31605684300000003</v>
      </c>
      <c r="AZ63" s="1509">
        <v>7.1670738999999983E-2</v>
      </c>
      <c r="BA63" s="1509">
        <v>6.518723999999998E-2</v>
      </c>
      <c r="BB63" s="1509">
        <v>5.2842171999999965E-2</v>
      </c>
      <c r="BC63" s="1509">
        <v>0.91714452599999996</v>
      </c>
      <c r="BD63" s="1509">
        <v>0.91650652600000004</v>
      </c>
      <c r="BE63" s="1509">
        <v>4.3665069999999639E-3</v>
      </c>
      <c r="BF63" s="1509">
        <v>0.92314787799999998</v>
      </c>
      <c r="BG63" s="1509">
        <v>9.2377825000000025E-2</v>
      </c>
      <c r="BH63" s="1509">
        <v>0.64520276399999998</v>
      </c>
      <c r="BI63" s="1509">
        <v>0.64060042799999994</v>
      </c>
      <c r="BJ63" s="1509">
        <v>0.57837759300000002</v>
      </c>
      <c r="BK63" s="1509">
        <v>0.68676166999999999</v>
      </c>
      <c r="BL63" s="1509">
        <v>0.59078340299999998</v>
      </c>
      <c r="BM63" s="1509">
        <v>0.78720356899999999</v>
      </c>
      <c r="BN63" s="1509">
        <v>0.77876366699999999</v>
      </c>
      <c r="BO63" s="1509">
        <v>0.23786436700000002</v>
      </c>
      <c r="BP63" s="1509">
        <v>0.28527401600000002</v>
      </c>
      <c r="BQ63" s="1509">
        <v>0.13927003599999999</v>
      </c>
      <c r="BR63" s="1509">
        <v>5.2921271999999964E-2</v>
      </c>
      <c r="BS63" s="1509">
        <v>0.47551259199999996</v>
      </c>
      <c r="BT63" s="1509">
        <v>0.94007991499999999</v>
      </c>
      <c r="BU63" s="1509">
        <v>0.61855227499999998</v>
      </c>
      <c r="BV63" s="1509">
        <v>0.51369900700000004</v>
      </c>
      <c r="BW63" s="1509">
        <v>4.9032845000000047E-2</v>
      </c>
      <c r="BX63" s="1509">
        <v>0.969596495</v>
      </c>
      <c r="BY63" s="1509">
        <v>0.96785400200000005</v>
      </c>
      <c r="BZ63" s="1509">
        <v>0.96079116799999997</v>
      </c>
      <c r="CA63" s="1509">
        <v>2.1469120000000008E-2</v>
      </c>
      <c r="CB63" s="1509">
        <v>2.3565305999999953E-2</v>
      </c>
      <c r="CC63" s="1509">
        <v>1.087629499999998E-2</v>
      </c>
      <c r="CD63" s="1509">
        <v>0.49960836399999997</v>
      </c>
      <c r="CE63" s="1509">
        <v>3.1606902000000048E-2</v>
      </c>
      <c r="CF63" s="1509">
        <v>0.16277144099999996</v>
      </c>
      <c r="CG63" s="1509">
        <v>0.48414709600000005</v>
      </c>
      <c r="CH63" s="1509">
        <v>0.73137637799999999</v>
      </c>
      <c r="CI63" s="1509">
        <v>0.36023432799999999</v>
      </c>
      <c r="CJ63" s="1509">
        <v>0.42219250200000003</v>
      </c>
      <c r="CK63" s="1509">
        <v>0.42475177799999997</v>
      </c>
      <c r="CL63" s="1509">
        <v>0.42475177799999997</v>
      </c>
      <c r="CM63" s="1509">
        <v>0.73392290399999993</v>
      </c>
      <c r="CN63" s="1509">
        <v>0.89159511499999999</v>
      </c>
      <c r="CO63" s="1509">
        <v>0.71509776000000003</v>
      </c>
      <c r="CP63" s="1509">
        <v>0.86185314800000001</v>
      </c>
      <c r="CQ63" s="1509">
        <v>0.80573670900000005</v>
      </c>
      <c r="CR63" s="1509">
        <v>0.83974182200000003</v>
      </c>
      <c r="CS63" s="1509">
        <v>4.5315310000000331E-3</v>
      </c>
      <c r="CT63" s="1509">
        <v>0.183977909</v>
      </c>
      <c r="CU63" s="1509">
        <v>1.0181038000000031E-2</v>
      </c>
      <c r="CV63" s="1509">
        <v>0.30592981500000005</v>
      </c>
      <c r="CW63" s="1509">
        <v>0.30592981500000005</v>
      </c>
      <c r="CX63" s="1509">
        <v>0.23280056400000004</v>
      </c>
      <c r="CY63" s="1509">
        <v>0.21299782</v>
      </c>
      <c r="CZ63" s="1509">
        <v>0.53737620900000005</v>
      </c>
      <c r="DA63" s="1509">
        <v>0.53035161200000003</v>
      </c>
      <c r="DB63" s="1509">
        <v>0.63651247700000002</v>
      </c>
      <c r="DC63" s="1509">
        <v>0.58489316499999999</v>
      </c>
      <c r="DD63" s="1509">
        <v>0.64599563999999998</v>
      </c>
      <c r="DE63" s="1509">
        <v>0.78092145800000001</v>
      </c>
      <c r="DF63" s="1509">
        <v>0.40434514700000002</v>
      </c>
      <c r="DG63" s="1509">
        <v>0.82110762599999998</v>
      </c>
      <c r="DH63" s="1509">
        <v>0.81791591200000002</v>
      </c>
      <c r="DI63" s="1509">
        <v>0.80456037999999996</v>
      </c>
      <c r="DJ63" s="1509">
        <v>0.76730885800000004</v>
      </c>
      <c r="DK63" s="1509">
        <v>0.81876430499999997</v>
      </c>
      <c r="DL63" s="1509">
        <v>0.94615562500000006</v>
      </c>
      <c r="DM63" s="1509">
        <v>0.93994166499999998</v>
      </c>
      <c r="DN63" s="1509">
        <v>0.17567280299999999</v>
      </c>
      <c r="DO63" s="1509">
        <v>7.2870569999999857E-3</v>
      </c>
      <c r="DP63" s="1509">
        <v>0.43188161999999997</v>
      </c>
      <c r="DQ63" s="1509">
        <v>0.53210502999999998</v>
      </c>
      <c r="DR63" s="1509">
        <v>0.53349247</v>
      </c>
      <c r="DS63" s="1509">
        <v>0.99384938099999998</v>
      </c>
      <c r="DT63" s="1509">
        <v>0.76114731400000002</v>
      </c>
      <c r="DU63" s="1509">
        <v>0.58544320300000008</v>
      </c>
      <c r="DV63" s="1509">
        <v>0.48957300800000003</v>
      </c>
      <c r="DW63" s="1509">
        <v>0.208366991</v>
      </c>
      <c r="DX63" s="1509">
        <v>0.91294756099999996</v>
      </c>
      <c r="DY63" s="1509">
        <v>0.10788036899999998</v>
      </c>
      <c r="DZ63" s="1509">
        <v>0.899242086</v>
      </c>
      <c r="EA63" s="1509">
        <v>0.42116879100000004</v>
      </c>
      <c r="EB63" s="1509">
        <v>0.81575005</v>
      </c>
      <c r="EC63" s="1509">
        <v>0.60979272699999998</v>
      </c>
      <c r="ED63" s="1509">
        <v>0.32376966699999998</v>
      </c>
      <c r="EE63" s="1509">
        <v>2.5094551999999992E-2</v>
      </c>
      <c r="EF63" s="1509">
        <v>0.47108293199999995</v>
      </c>
      <c r="EG63" s="1509">
        <v>0.96613881999999995</v>
      </c>
      <c r="EH63" s="1509">
        <v>0.65016621500000005</v>
      </c>
      <c r="EI63" s="1509">
        <v>0.19074545099999995</v>
      </c>
      <c r="EJ63" s="1509">
        <v>0.16277144099999996</v>
      </c>
      <c r="EK63" s="1509">
        <v>0.85446557000000001</v>
      </c>
      <c r="EL63" s="1509">
        <v>0.65240666300000005</v>
      </c>
      <c r="EM63" s="1509">
        <v>0.52517039300000001</v>
      </c>
      <c r="EN63" s="1509">
        <v>0.73097618600000003</v>
      </c>
      <c r="EO63" s="1509">
        <v>0.45755571699999997</v>
      </c>
      <c r="EP63" s="1509">
        <v>0.961189921</v>
      </c>
      <c r="EQ63" s="1509">
        <v>0.95120586600000001</v>
      </c>
      <c r="ER63" s="1509">
        <v>6.797217000000022E-3</v>
      </c>
      <c r="ES63" s="1509">
        <v>6.797217000000022E-3</v>
      </c>
      <c r="ET63" s="1509">
        <v>0.12263060100000001</v>
      </c>
      <c r="EU63" s="1509">
        <v>0.98134603499999995</v>
      </c>
      <c r="EV63" s="1509">
        <v>0.48957300800000003</v>
      </c>
      <c r="EW63" s="1509">
        <v>0.52529654399999992</v>
      </c>
      <c r="EX63" s="1509">
        <v>5.0987384999999996E-2</v>
      </c>
      <c r="EY63" s="1509">
        <v>2.2345508000000014E-2</v>
      </c>
      <c r="EZ63" s="1509">
        <v>0.97086376299999999</v>
      </c>
      <c r="FA63" s="1509">
        <v>0.17320761200000001</v>
      </c>
      <c r="FB63" s="1509">
        <v>0.77277751800000005</v>
      </c>
      <c r="FC63" s="1509">
        <v>0.20332760900000002</v>
      </c>
      <c r="FD63" s="1509">
        <v>6.1389604000000042E-2</v>
      </c>
      <c r="FE63" s="1509">
        <v>4.5802786999999956E-2</v>
      </c>
      <c r="FF63" s="1509">
        <v>0.75730198500000001</v>
      </c>
      <c r="FG63" s="1509">
        <v>0.453904101</v>
      </c>
      <c r="FH63" s="1509">
        <v>0.43326905999999998</v>
      </c>
      <c r="FI63" s="1509">
        <v>0.41866842400000004</v>
      </c>
      <c r="FJ63" s="1509">
        <v>0.41926997300000002</v>
      </c>
      <c r="FK63" s="1509">
        <v>0.984421345</v>
      </c>
      <c r="FL63" s="1509">
        <v>0.81791591200000002</v>
      </c>
      <c r="FM63" s="1509">
        <v>0.65868928500000001</v>
      </c>
      <c r="FN63" s="1509">
        <v>4.5799762999999993E-2</v>
      </c>
      <c r="FO63" s="1509">
        <v>0.99877643100000002</v>
      </c>
      <c r="FP63" s="1509">
        <v>0.34834828500000004</v>
      </c>
      <c r="FQ63" s="1509">
        <v>0.96785400200000005</v>
      </c>
      <c r="FR63" s="1509">
        <v>2.3363714000000035E-2</v>
      </c>
      <c r="FS63" s="1509">
        <v>2.4021090000000411E-3</v>
      </c>
      <c r="FT63" s="1509">
        <v>0.73035991900000008</v>
      </c>
      <c r="FU63" s="1509">
        <v>0.53980368299999992</v>
      </c>
    </row>
    <row r="64" spans="1:177" s="1509" customFormat="1" x14ac:dyDescent="0.2">
      <c r="A64" s="1512" t="s">
        <v>664</v>
      </c>
      <c r="B64" s="1512" t="s">
        <v>1288</v>
      </c>
      <c r="C64" s="1509">
        <v>2.7502216999999999E-2</v>
      </c>
      <c r="D64" s="1509">
        <v>0</v>
      </c>
      <c r="E64" s="1509">
        <v>1</v>
      </c>
      <c r="F64" s="1509">
        <v>1</v>
      </c>
      <c r="G64" s="1509">
        <v>5.8451528000000003E-2</v>
      </c>
      <c r="H64" s="1509">
        <v>5.8451528000000003E-2</v>
      </c>
      <c r="I64" s="1509">
        <v>4.4849483000000002E-2</v>
      </c>
      <c r="J64" s="1509">
        <v>4.2184973000000001E-2</v>
      </c>
      <c r="K64" s="1509">
        <v>4.6082984E-2</v>
      </c>
      <c r="L64" s="1509">
        <v>3.7918029999999998E-2</v>
      </c>
      <c r="M64" s="1509">
        <v>4.8203412000000001E-2</v>
      </c>
      <c r="N64" s="1509">
        <v>3.2842417999999998E-2</v>
      </c>
      <c r="O64" s="1509">
        <v>3.5499475000000003E-2</v>
      </c>
      <c r="P64" s="1509">
        <v>3.3140545E-2</v>
      </c>
      <c r="Q64" s="1509">
        <v>0</v>
      </c>
      <c r="R64" s="1509">
        <v>0.15563993300000001</v>
      </c>
      <c r="S64" s="1509">
        <v>1</v>
      </c>
      <c r="T64" s="1509">
        <v>2.9119556000000001E-2</v>
      </c>
      <c r="U64" s="1509">
        <v>2.8091017999999999E-2</v>
      </c>
      <c r="V64" s="1509">
        <v>4.2520365999999997E-2</v>
      </c>
      <c r="W64" s="1509">
        <v>3.7448479999999999E-2</v>
      </c>
      <c r="X64" s="1509">
        <v>1</v>
      </c>
      <c r="Y64" s="1509">
        <v>1</v>
      </c>
      <c r="Z64" s="1509">
        <v>5.8451528000000003E-2</v>
      </c>
      <c r="AA64" s="1509">
        <v>0</v>
      </c>
      <c r="AB64" s="1509">
        <v>5.6327373E-2</v>
      </c>
      <c r="AC64" s="1509">
        <v>1</v>
      </c>
      <c r="AD64" s="1509">
        <v>4.6150061999999999E-2</v>
      </c>
      <c r="AE64" s="1509">
        <v>0.12760624500000001</v>
      </c>
      <c r="AF64" s="1509">
        <v>2.2232821999999999E-2</v>
      </c>
      <c r="AG64" s="1509">
        <v>5.1933726E-2</v>
      </c>
      <c r="AH64" s="1509">
        <v>2.7271169000000001E-2</v>
      </c>
      <c r="AI64" s="1509">
        <v>1</v>
      </c>
      <c r="AJ64" s="1509">
        <v>3.1158000000000002E-2</v>
      </c>
      <c r="AK64" s="1509">
        <v>0.148650161</v>
      </c>
      <c r="AL64" s="1509">
        <v>0</v>
      </c>
      <c r="AM64" s="1509">
        <v>0</v>
      </c>
      <c r="AN64" s="1509">
        <v>0</v>
      </c>
      <c r="AO64" s="1509">
        <v>0.22934824200000001</v>
      </c>
      <c r="AP64" s="1509">
        <v>0</v>
      </c>
      <c r="AQ64" s="1509">
        <v>0</v>
      </c>
      <c r="AR64" s="1509">
        <v>2.1799622000000001E-2</v>
      </c>
      <c r="AS64" s="1509">
        <v>2.1814995E-2</v>
      </c>
      <c r="AT64" s="1509">
        <v>2.5051117000000001E-2</v>
      </c>
      <c r="AU64" s="1509">
        <v>0</v>
      </c>
      <c r="AV64" s="1509">
        <v>4.5460644000000001E-2</v>
      </c>
      <c r="AW64" s="1509">
        <v>5.4546063999999998E-2</v>
      </c>
      <c r="AX64" s="1509">
        <v>0.42195650899999998</v>
      </c>
      <c r="AY64" s="1509">
        <v>0</v>
      </c>
      <c r="AZ64" s="1509">
        <v>4.4470862999999999E-2</v>
      </c>
      <c r="BA64" s="1509">
        <v>3.4547476000000001E-2</v>
      </c>
      <c r="BB64" s="1509">
        <v>5.0326927E-2</v>
      </c>
      <c r="BC64" s="1509">
        <v>3.1077529E-2</v>
      </c>
      <c r="BD64" s="1509">
        <v>2.9555551999999999E-2</v>
      </c>
      <c r="BE64" s="1509">
        <v>2.1780138000000001E-2</v>
      </c>
      <c r="BF64" s="1509">
        <v>3.1077529E-2</v>
      </c>
      <c r="BG64" s="1509">
        <v>1</v>
      </c>
      <c r="BH64" s="1509">
        <v>2.4036491E-2</v>
      </c>
      <c r="BI64" s="1509">
        <v>2.5456321000000001E-2</v>
      </c>
      <c r="BJ64" s="1509">
        <v>4.4003548000000003E-2</v>
      </c>
      <c r="BK64" s="1509">
        <v>2.2046493E-2</v>
      </c>
      <c r="BL64" s="1509">
        <v>0</v>
      </c>
      <c r="BM64" s="1509">
        <v>0</v>
      </c>
      <c r="BN64" s="1509">
        <v>3.1690902E-2</v>
      </c>
      <c r="BO64" s="1509">
        <v>2.2102391999999998E-2</v>
      </c>
      <c r="BP64" s="1509">
        <v>2.9339424999999999E-2</v>
      </c>
      <c r="BQ64" s="1509">
        <v>4.0213607999999998E-2</v>
      </c>
      <c r="BR64" s="1509">
        <v>5.8451528000000003E-2</v>
      </c>
      <c r="BS64" s="1509">
        <v>0</v>
      </c>
      <c r="BT64" s="1509">
        <v>3.2978886999999998E-2</v>
      </c>
      <c r="BU64" s="1509">
        <v>3.3633841999999997E-2</v>
      </c>
      <c r="BV64" s="1509">
        <v>6.1307047000000003E-2</v>
      </c>
      <c r="BW64" s="1509">
        <v>0</v>
      </c>
      <c r="BX64" s="1509">
        <v>0.42680162300000002</v>
      </c>
      <c r="BY64" s="1509">
        <v>0</v>
      </c>
      <c r="BZ64" s="1509">
        <v>0</v>
      </c>
      <c r="CA64" s="1509">
        <v>0</v>
      </c>
      <c r="CB64" s="1509">
        <v>0</v>
      </c>
      <c r="CC64" s="1509">
        <v>0.13846762100000001</v>
      </c>
      <c r="CD64" s="1509">
        <v>0.14495013200000001</v>
      </c>
      <c r="CE64" s="1509">
        <v>0</v>
      </c>
      <c r="CF64" s="1509">
        <v>0.99998508100000005</v>
      </c>
      <c r="CG64" s="1509">
        <v>2.4554486E-2</v>
      </c>
      <c r="CH64" s="1509">
        <v>2.9849968000000001E-2</v>
      </c>
      <c r="CI64" s="1509">
        <v>5.5306288000000002E-2</v>
      </c>
      <c r="CJ64" s="1509">
        <v>6.2479360999999997E-2</v>
      </c>
      <c r="CK64" s="1509">
        <v>1</v>
      </c>
      <c r="CL64" s="1509">
        <v>1</v>
      </c>
      <c r="CM64" s="1509">
        <v>1</v>
      </c>
      <c r="CN64" s="1509">
        <v>0.116327124</v>
      </c>
      <c r="CO64" s="1509">
        <v>0</v>
      </c>
      <c r="CP64" s="1509">
        <v>0</v>
      </c>
      <c r="CQ64" s="1509">
        <v>2.6097294E-2</v>
      </c>
      <c r="CR64" s="1509">
        <v>0</v>
      </c>
      <c r="CS64" s="1509">
        <v>3.0502120000000001E-2</v>
      </c>
      <c r="CT64" s="1509">
        <v>4.1320404999999998E-2</v>
      </c>
      <c r="CU64" s="1509">
        <v>5.8451528000000003E-2</v>
      </c>
      <c r="CV64" s="1509">
        <v>7.2953129000000005E-2</v>
      </c>
      <c r="CW64" s="1509">
        <v>7.2953129000000005E-2</v>
      </c>
      <c r="CX64" s="1509">
        <v>1</v>
      </c>
      <c r="CY64" s="1509">
        <v>2.9786672E-2</v>
      </c>
      <c r="CZ64" s="1509">
        <v>0</v>
      </c>
      <c r="DA64" s="1509">
        <v>0.437824669</v>
      </c>
      <c r="DB64" s="1509">
        <v>0.43610592399999998</v>
      </c>
      <c r="DC64" s="1509">
        <v>0.47852721199999998</v>
      </c>
      <c r="DD64" s="1509">
        <v>0.35511732099999999</v>
      </c>
      <c r="DE64" s="1509">
        <v>0</v>
      </c>
      <c r="DF64" s="1509">
        <v>0.47832485600000002</v>
      </c>
      <c r="DG64" s="1509">
        <v>0</v>
      </c>
      <c r="DH64" s="1509">
        <v>0.48066115399999998</v>
      </c>
      <c r="DI64" s="1509">
        <v>0.40641470200000002</v>
      </c>
      <c r="DJ64" s="1509">
        <v>0.42269392700000002</v>
      </c>
      <c r="DK64" s="1509">
        <v>0.34263755600000001</v>
      </c>
      <c r="DL64" s="1509">
        <v>0</v>
      </c>
      <c r="DM64" s="1509">
        <v>0</v>
      </c>
      <c r="DN64" s="1509">
        <v>1</v>
      </c>
      <c r="DO64" s="1509">
        <v>4.5890847999999998E-2</v>
      </c>
      <c r="DP64" s="1509">
        <v>0.38269305399999998</v>
      </c>
      <c r="DQ64" s="1509">
        <v>0.33671089399999998</v>
      </c>
      <c r="DR64" s="1509">
        <v>0.49351890799999998</v>
      </c>
      <c r="DS64" s="1509">
        <v>0</v>
      </c>
      <c r="DT64" s="1509">
        <v>0.49244282299999997</v>
      </c>
      <c r="DU64" s="1509">
        <v>4.6015905000000003E-2</v>
      </c>
      <c r="DV64" s="1509">
        <v>1</v>
      </c>
      <c r="DW64" s="1509">
        <v>1</v>
      </c>
      <c r="DX64" s="1509">
        <v>2.1607452999999999E-2</v>
      </c>
      <c r="DY64" s="1509">
        <v>4.9341743E-2</v>
      </c>
      <c r="DZ64" s="1509">
        <v>1</v>
      </c>
      <c r="EA64" s="1509">
        <v>7.2953129000000005E-2</v>
      </c>
      <c r="EB64" s="1509">
        <v>5.8451528000000003E-2</v>
      </c>
      <c r="EC64" s="1509">
        <v>5.8451528000000003E-2</v>
      </c>
      <c r="ED64" s="1509">
        <v>3.5928031999999999E-2</v>
      </c>
      <c r="EE64" s="1509">
        <v>0</v>
      </c>
      <c r="EF64" s="1509">
        <v>0</v>
      </c>
      <c r="EG64" s="1509">
        <v>1</v>
      </c>
      <c r="EH64" s="1509">
        <v>7.2193601999999996E-2</v>
      </c>
      <c r="EI64" s="1509">
        <v>0</v>
      </c>
      <c r="EJ64" s="1509">
        <v>0.17245417900000001</v>
      </c>
      <c r="EK64" s="1509">
        <v>1</v>
      </c>
      <c r="EL64" s="1509">
        <v>0.462274303</v>
      </c>
      <c r="EM64" s="1509">
        <v>0</v>
      </c>
      <c r="EN64" s="1509">
        <v>0.46973390100000001</v>
      </c>
      <c r="EO64" s="1509">
        <v>1</v>
      </c>
      <c r="EP64" s="1509">
        <v>1</v>
      </c>
      <c r="EQ64" s="1509">
        <v>0</v>
      </c>
      <c r="ER64" s="1509">
        <v>3.0936970000000001E-2</v>
      </c>
      <c r="ES64" s="1509">
        <v>3.4305308E-2</v>
      </c>
      <c r="ET64" s="1509">
        <v>0</v>
      </c>
      <c r="EU64" s="1509">
        <v>1</v>
      </c>
      <c r="EV64" s="1509">
        <v>5.1154869999999998E-2</v>
      </c>
      <c r="EW64" s="1509">
        <v>0</v>
      </c>
      <c r="EX64" s="1509">
        <v>7.2953129000000005E-2</v>
      </c>
      <c r="EY64" s="1509">
        <v>6.6629241000000006E-2</v>
      </c>
      <c r="EZ64" s="1509">
        <v>0</v>
      </c>
      <c r="FA64" s="1509">
        <v>0.12971735100000001</v>
      </c>
      <c r="FB64" s="1509">
        <v>0.21591343900000001</v>
      </c>
      <c r="FC64" s="1509">
        <v>1</v>
      </c>
      <c r="FD64" s="1509">
        <v>7.2953129000000005E-2</v>
      </c>
      <c r="FE64" s="1509">
        <v>0</v>
      </c>
      <c r="FF64" s="1509">
        <v>1</v>
      </c>
      <c r="FG64" s="1509">
        <v>0</v>
      </c>
      <c r="FH64" s="1509">
        <v>0</v>
      </c>
      <c r="FI64" s="1509">
        <v>1</v>
      </c>
      <c r="FJ64" s="1509">
        <v>4.9061048000000003E-2</v>
      </c>
      <c r="FK64" s="1509">
        <v>0</v>
      </c>
      <c r="FL64" s="1509">
        <v>0</v>
      </c>
      <c r="FM64" s="1509">
        <v>3.8782598000000001E-2</v>
      </c>
      <c r="FN64" s="1509">
        <v>2.6447592999999998E-2</v>
      </c>
      <c r="FO64" s="1509">
        <v>0</v>
      </c>
      <c r="FP64" s="1509">
        <v>0.230857532</v>
      </c>
      <c r="FQ64" s="1509">
        <v>0</v>
      </c>
      <c r="FR64" s="1509">
        <v>7.2953129000000005E-2</v>
      </c>
      <c r="FS64" s="1509">
        <v>0.17201649599999999</v>
      </c>
      <c r="FT64" s="1509">
        <v>0</v>
      </c>
      <c r="FU64" s="1509">
        <v>5.5943535000000003E-2</v>
      </c>
    </row>
    <row r="65" spans="1:177" s="1509" customFormat="1" x14ac:dyDescent="0.2">
      <c r="A65" s="1512" t="s">
        <v>664</v>
      </c>
      <c r="B65" s="1512" t="s">
        <v>1026</v>
      </c>
      <c r="C65" s="1509">
        <v>1</v>
      </c>
      <c r="D65" s="1509">
        <v>1</v>
      </c>
      <c r="E65" s="1509">
        <v>1</v>
      </c>
      <c r="F65" s="1509">
        <v>1</v>
      </c>
      <c r="G65" s="1509">
        <v>1</v>
      </c>
      <c r="H65" s="1509">
        <v>1</v>
      </c>
      <c r="I65" s="1509">
        <v>0</v>
      </c>
      <c r="J65" s="1509">
        <v>0</v>
      </c>
      <c r="K65" s="1509">
        <v>1</v>
      </c>
      <c r="L65" s="1509">
        <v>6.0147130000000049E-3</v>
      </c>
      <c r="M65" s="1509">
        <v>1</v>
      </c>
      <c r="N65" s="1509">
        <v>1</v>
      </c>
      <c r="O65" s="1509">
        <v>0</v>
      </c>
      <c r="P65" s="1509">
        <v>6.0147130000000049E-3</v>
      </c>
      <c r="Q65" s="1509">
        <v>1</v>
      </c>
      <c r="R65" s="1509">
        <v>1</v>
      </c>
      <c r="S65" s="1509">
        <v>1.2983431999999961E-2</v>
      </c>
      <c r="T65" s="1509">
        <v>1</v>
      </c>
      <c r="U65" s="1509">
        <v>1</v>
      </c>
      <c r="V65" s="1509">
        <v>1</v>
      </c>
      <c r="W65" s="1509">
        <v>6.0147130000000049E-3</v>
      </c>
      <c r="X65" s="1509">
        <v>1</v>
      </c>
      <c r="Y65" s="1509">
        <v>1</v>
      </c>
      <c r="Z65" s="1509">
        <v>1</v>
      </c>
      <c r="AA65" s="1509">
        <v>1</v>
      </c>
      <c r="AB65" s="1509">
        <v>1</v>
      </c>
      <c r="AC65" s="1509">
        <v>1</v>
      </c>
      <c r="AD65" s="1509">
        <v>1</v>
      </c>
      <c r="AE65" s="1509">
        <v>1</v>
      </c>
      <c r="AF65" s="1509">
        <v>1</v>
      </c>
      <c r="AG65" s="1509">
        <v>1</v>
      </c>
      <c r="AH65" s="1509">
        <v>1</v>
      </c>
      <c r="AI65" s="1509">
        <v>1</v>
      </c>
      <c r="AJ65" s="1509">
        <v>1</v>
      </c>
      <c r="AK65" s="1509">
        <v>1</v>
      </c>
      <c r="AL65" s="1509">
        <v>1</v>
      </c>
      <c r="AM65" s="1509">
        <v>1</v>
      </c>
      <c r="AN65" s="1509">
        <v>1</v>
      </c>
      <c r="AO65" s="1509">
        <v>1</v>
      </c>
      <c r="AP65" s="1509">
        <v>0</v>
      </c>
      <c r="AQ65" s="1509">
        <v>1</v>
      </c>
      <c r="AR65" s="1509">
        <v>1.3605547000000051E-2</v>
      </c>
      <c r="AS65" s="1509">
        <v>1</v>
      </c>
      <c r="AT65" s="1509">
        <v>1</v>
      </c>
      <c r="AU65" s="1509">
        <v>1</v>
      </c>
      <c r="AV65" s="1509">
        <v>1</v>
      </c>
      <c r="AW65" s="1509">
        <v>1</v>
      </c>
      <c r="AX65" s="1509">
        <v>8.1662310000000238E-3</v>
      </c>
      <c r="AY65" s="1509">
        <v>1</v>
      </c>
      <c r="AZ65" s="1509">
        <v>1</v>
      </c>
      <c r="BA65" s="1509">
        <v>1</v>
      </c>
      <c r="BB65" s="1509">
        <v>1</v>
      </c>
      <c r="BC65" s="1509">
        <v>1</v>
      </c>
      <c r="BD65" s="1509">
        <v>1</v>
      </c>
      <c r="BE65" s="1509">
        <v>0</v>
      </c>
      <c r="BF65" s="1509">
        <v>1</v>
      </c>
      <c r="BG65" s="1509">
        <v>1</v>
      </c>
      <c r="BH65" s="1509">
        <v>1</v>
      </c>
      <c r="BI65" s="1509">
        <v>6.0147130000000049E-3</v>
      </c>
      <c r="BJ65" s="1509">
        <v>1</v>
      </c>
      <c r="BK65" s="1509">
        <v>0</v>
      </c>
      <c r="BL65" s="1509">
        <v>1</v>
      </c>
      <c r="BM65" s="1509" t="s">
        <v>2372</v>
      </c>
      <c r="BN65" s="1509">
        <v>1</v>
      </c>
      <c r="BO65" s="1509">
        <v>6.0147130000000049E-3</v>
      </c>
      <c r="BP65" s="1509">
        <v>1</v>
      </c>
      <c r="BQ65" s="1509">
        <v>1</v>
      </c>
      <c r="BR65" s="1509">
        <v>1</v>
      </c>
      <c r="BS65" s="1509">
        <v>1</v>
      </c>
      <c r="BT65" s="1509">
        <v>1</v>
      </c>
      <c r="BU65" s="1509">
        <v>1</v>
      </c>
      <c r="BV65" s="1509">
        <v>1</v>
      </c>
      <c r="BW65" s="1509">
        <v>1</v>
      </c>
      <c r="BX65" s="1509">
        <v>1</v>
      </c>
      <c r="BY65" s="1509">
        <v>1</v>
      </c>
      <c r="BZ65" s="1509">
        <v>1</v>
      </c>
      <c r="CA65" s="1509">
        <v>1</v>
      </c>
      <c r="CB65" s="1509">
        <v>1</v>
      </c>
      <c r="CC65" s="1509">
        <v>1</v>
      </c>
      <c r="CD65" s="1509">
        <v>1</v>
      </c>
      <c r="CE65" s="1509">
        <v>1</v>
      </c>
      <c r="CF65" s="1509">
        <v>1</v>
      </c>
      <c r="CG65" s="1509">
        <v>1</v>
      </c>
      <c r="CH65" s="1509">
        <v>1</v>
      </c>
      <c r="CI65" s="1509">
        <v>1</v>
      </c>
      <c r="CJ65" s="1509">
        <v>1</v>
      </c>
      <c r="CK65" s="1509">
        <v>1</v>
      </c>
      <c r="CL65" s="1509">
        <v>1</v>
      </c>
      <c r="CM65" s="1509">
        <v>1</v>
      </c>
      <c r="CN65" s="1509">
        <v>1</v>
      </c>
      <c r="CO65" s="1509">
        <v>1</v>
      </c>
      <c r="CP65" s="1509">
        <v>1</v>
      </c>
      <c r="CQ65" s="1509">
        <v>0</v>
      </c>
      <c r="CR65" s="1509">
        <v>1</v>
      </c>
      <c r="CS65" s="1509">
        <v>1</v>
      </c>
      <c r="CT65" s="1509">
        <v>1</v>
      </c>
      <c r="CU65" s="1509">
        <v>1</v>
      </c>
      <c r="CV65" s="1509">
        <v>1</v>
      </c>
      <c r="CW65" s="1509">
        <v>1</v>
      </c>
      <c r="CX65" s="1509">
        <v>1</v>
      </c>
      <c r="CY65" s="1509">
        <v>1</v>
      </c>
      <c r="CZ65" s="1509">
        <v>1</v>
      </c>
      <c r="DA65" s="1509">
        <v>1</v>
      </c>
      <c r="DB65" s="1509">
        <v>1</v>
      </c>
      <c r="DC65" s="1509">
        <v>1</v>
      </c>
      <c r="DD65" s="1509">
        <v>1</v>
      </c>
      <c r="DE65" s="1509" t="s">
        <v>2372</v>
      </c>
      <c r="DF65" s="1509">
        <v>1</v>
      </c>
      <c r="DG65" s="1509">
        <v>1</v>
      </c>
      <c r="DH65" s="1509">
        <v>1</v>
      </c>
      <c r="DI65" s="1509">
        <v>1</v>
      </c>
      <c r="DJ65" s="1509">
        <v>1</v>
      </c>
      <c r="DK65" s="1509">
        <v>8.1662310000000238E-3</v>
      </c>
      <c r="DL65" s="1509">
        <v>1</v>
      </c>
      <c r="DM65" s="1509" t="s">
        <v>2372</v>
      </c>
      <c r="DN65" s="1509">
        <v>1</v>
      </c>
      <c r="DO65" s="1509">
        <v>1</v>
      </c>
      <c r="DP65" s="1509">
        <v>1</v>
      </c>
      <c r="DQ65" s="1509">
        <v>0</v>
      </c>
      <c r="DR65" s="1509">
        <v>1</v>
      </c>
      <c r="DS65" s="1509">
        <v>1</v>
      </c>
      <c r="DT65" s="1509">
        <v>1</v>
      </c>
      <c r="DU65" s="1509">
        <v>1</v>
      </c>
      <c r="DV65" s="1509">
        <v>1</v>
      </c>
      <c r="DW65" s="1509">
        <v>1</v>
      </c>
      <c r="DX65" s="1509">
        <v>1</v>
      </c>
      <c r="DY65" s="1509">
        <v>1</v>
      </c>
      <c r="DZ65" s="1509">
        <v>1</v>
      </c>
      <c r="EA65" s="1509">
        <v>1</v>
      </c>
      <c r="EB65" s="1509">
        <v>1</v>
      </c>
      <c r="EC65" s="1509">
        <v>1</v>
      </c>
      <c r="ED65" s="1509">
        <v>1</v>
      </c>
      <c r="EE65" s="1509">
        <v>1</v>
      </c>
      <c r="EF65" s="1509">
        <v>1</v>
      </c>
      <c r="EG65" s="1509">
        <v>1</v>
      </c>
      <c r="EH65" s="1509">
        <v>1</v>
      </c>
      <c r="EI65" s="1509">
        <v>1</v>
      </c>
      <c r="EJ65" s="1509">
        <v>1</v>
      </c>
      <c r="EK65" s="1509">
        <v>1</v>
      </c>
      <c r="EL65" s="1509">
        <v>1</v>
      </c>
      <c r="EM65" s="1509">
        <v>1</v>
      </c>
      <c r="EN65" s="1509">
        <v>1</v>
      </c>
      <c r="EO65" s="1509">
        <v>1</v>
      </c>
      <c r="EP65" s="1509">
        <v>1</v>
      </c>
      <c r="EQ65" s="1509">
        <v>1</v>
      </c>
      <c r="ER65" s="1509">
        <v>1</v>
      </c>
      <c r="ES65" s="1509">
        <v>1</v>
      </c>
      <c r="ET65" s="1509">
        <v>1</v>
      </c>
      <c r="EU65" s="1509">
        <v>1</v>
      </c>
      <c r="EV65" s="1509">
        <v>1</v>
      </c>
      <c r="EW65" s="1509">
        <v>1</v>
      </c>
      <c r="EX65" s="1509">
        <v>1</v>
      </c>
      <c r="EY65" s="1509">
        <v>1</v>
      </c>
      <c r="EZ65" s="1509">
        <v>1</v>
      </c>
      <c r="FA65" s="1509">
        <v>1</v>
      </c>
      <c r="FB65" s="1509">
        <v>1</v>
      </c>
      <c r="FC65" s="1509">
        <v>1</v>
      </c>
      <c r="FD65" s="1509">
        <v>1</v>
      </c>
      <c r="FE65" s="1509">
        <v>1</v>
      </c>
      <c r="FF65" s="1509">
        <v>1</v>
      </c>
      <c r="FG65" s="1509">
        <v>1</v>
      </c>
      <c r="FH65" s="1509">
        <v>8.1662310000000238E-3</v>
      </c>
      <c r="FI65" s="1509">
        <v>1</v>
      </c>
      <c r="FJ65" s="1509">
        <v>0</v>
      </c>
      <c r="FK65" s="1509">
        <v>1</v>
      </c>
      <c r="FL65" s="1509">
        <v>1</v>
      </c>
      <c r="FM65" s="1509">
        <v>1</v>
      </c>
      <c r="FN65" s="1509">
        <v>6.0147130000000049E-3</v>
      </c>
      <c r="FO65" s="1509">
        <v>1</v>
      </c>
      <c r="FP65" s="1509">
        <v>1</v>
      </c>
      <c r="FQ65" s="1509">
        <v>1</v>
      </c>
      <c r="FR65" s="1509">
        <v>1</v>
      </c>
      <c r="FS65" s="1509">
        <v>1</v>
      </c>
      <c r="FT65" s="1509">
        <v>1</v>
      </c>
      <c r="FU65" s="1509">
        <v>1</v>
      </c>
    </row>
    <row r="66" spans="1:177" s="1509" customFormat="1" x14ac:dyDescent="0.2">
      <c r="A66" s="1512" t="s">
        <v>664</v>
      </c>
      <c r="B66" s="1512" t="s">
        <v>1211</v>
      </c>
      <c r="C66" s="1509">
        <v>1</v>
      </c>
      <c r="D66" s="1509">
        <v>0.97853858100000002</v>
      </c>
      <c r="E66" s="1509" t="s">
        <v>2372</v>
      </c>
      <c r="F66" s="1509" t="s">
        <v>2372</v>
      </c>
      <c r="G66" s="1509" t="s">
        <v>2372</v>
      </c>
      <c r="H66" s="1509" t="s">
        <v>2372</v>
      </c>
      <c r="I66" s="1509">
        <v>0.971148758</v>
      </c>
      <c r="J66" s="1509">
        <v>0.97994350500000005</v>
      </c>
      <c r="K66" s="1509">
        <v>0.97736843299999998</v>
      </c>
      <c r="L66" s="1509">
        <v>0.973943699</v>
      </c>
      <c r="M66" s="1509">
        <v>1</v>
      </c>
      <c r="N66" s="1509">
        <v>0.97377972899999998</v>
      </c>
      <c r="O66" s="1509">
        <v>0.96852523999999995</v>
      </c>
      <c r="P66" s="1509">
        <v>0.96564458799999997</v>
      </c>
      <c r="Q66" s="1509">
        <v>0.73588804399999996</v>
      </c>
      <c r="R66" s="1509">
        <v>0.77062057500000003</v>
      </c>
      <c r="S66" s="1509" t="s">
        <v>2372</v>
      </c>
      <c r="T66" s="1509">
        <v>1</v>
      </c>
      <c r="U66" s="1509" t="s">
        <v>2372</v>
      </c>
      <c r="V66" s="1509" t="s">
        <v>2372</v>
      </c>
      <c r="W66" s="1509" t="s">
        <v>2372</v>
      </c>
      <c r="X66" s="1509" t="s">
        <v>2372</v>
      </c>
      <c r="Y66" s="1509" t="s">
        <v>2372</v>
      </c>
      <c r="Z66" s="1509" t="s">
        <v>2372</v>
      </c>
      <c r="AA66" s="1509" t="s">
        <v>2372</v>
      </c>
      <c r="AB66" s="1509" t="s">
        <v>2372</v>
      </c>
      <c r="AC66" s="1509" t="s">
        <v>2372</v>
      </c>
      <c r="AD66" s="1509" t="s">
        <v>2372</v>
      </c>
      <c r="AE66" s="1509">
        <v>0.736745914</v>
      </c>
      <c r="AF66" s="1509">
        <v>0.97616474499999994</v>
      </c>
      <c r="AG66" s="1509">
        <v>0.958251038</v>
      </c>
      <c r="AH66" s="1509" t="s">
        <v>2372</v>
      </c>
      <c r="AI66" s="1509" t="s">
        <v>2372</v>
      </c>
      <c r="AJ66" s="1509" t="s">
        <v>2372</v>
      </c>
      <c r="AK66" s="1509">
        <v>0.73545537999999999</v>
      </c>
      <c r="AL66" s="1509" t="s">
        <v>2372</v>
      </c>
      <c r="AM66" s="1509">
        <v>0.718827628</v>
      </c>
      <c r="AN66" s="1509">
        <v>0.78761385399999995</v>
      </c>
      <c r="AO66" s="1509">
        <v>1</v>
      </c>
      <c r="AP66" s="1509">
        <v>0.58809149299999997</v>
      </c>
      <c r="AQ66" s="1509">
        <v>0.98362164699999999</v>
      </c>
      <c r="AR66" s="1509" t="s">
        <v>2372</v>
      </c>
      <c r="AS66" s="1509" t="s">
        <v>2372</v>
      </c>
      <c r="AT66" s="1509">
        <v>1</v>
      </c>
      <c r="AU66" s="1509">
        <v>0.99192891299999997</v>
      </c>
      <c r="AV66" s="1509" t="s">
        <v>2372</v>
      </c>
      <c r="AW66" s="1509">
        <v>0.96818984699999999</v>
      </c>
      <c r="AX66" s="1509">
        <v>0.16333007399999999</v>
      </c>
      <c r="AY66" s="1509" t="s">
        <v>2372</v>
      </c>
      <c r="AZ66" s="1509" t="s">
        <v>2372</v>
      </c>
      <c r="BA66" s="1509" t="s">
        <v>2372</v>
      </c>
      <c r="BB66" s="1509">
        <v>0.93010699399999996</v>
      </c>
      <c r="BC66" s="1509" t="s">
        <v>2372</v>
      </c>
      <c r="BD66" s="1509">
        <v>0.99133703299999998</v>
      </c>
      <c r="BE66" s="1509" t="s">
        <v>2372</v>
      </c>
      <c r="BF66" s="1509" t="s">
        <v>2372</v>
      </c>
      <c r="BG66" s="1509" t="s">
        <v>2372</v>
      </c>
      <c r="BH66" s="1509" t="s">
        <v>2372</v>
      </c>
      <c r="BI66" s="1509" t="s">
        <v>2372</v>
      </c>
      <c r="BJ66" s="1509" t="s">
        <v>2372</v>
      </c>
      <c r="BK66" s="1509" t="s">
        <v>2372</v>
      </c>
      <c r="BL66" s="1509" t="s">
        <v>2372</v>
      </c>
      <c r="BM66" s="1509" t="s">
        <v>2372</v>
      </c>
      <c r="BN66" s="1509" t="s">
        <v>2372</v>
      </c>
      <c r="BO66" s="1509">
        <v>0.95423377600000003</v>
      </c>
      <c r="BP66" s="1509" t="s">
        <v>2372</v>
      </c>
      <c r="BQ66" s="1509" t="s">
        <v>2372</v>
      </c>
      <c r="BR66" s="1509" t="s">
        <v>2372</v>
      </c>
      <c r="BS66" s="1509" t="s">
        <v>2372</v>
      </c>
      <c r="BT66" s="1509" t="s">
        <v>2372</v>
      </c>
      <c r="BU66" s="1509" t="s">
        <v>2372</v>
      </c>
      <c r="BV66" s="1509" t="s">
        <v>2372</v>
      </c>
      <c r="BW66" s="1509">
        <v>1</v>
      </c>
      <c r="BX66" s="1509">
        <v>1</v>
      </c>
      <c r="BY66" s="1509">
        <v>1</v>
      </c>
      <c r="BZ66" s="1509">
        <v>0.148204795</v>
      </c>
      <c r="CA66" s="1509">
        <v>0.72008086400000004</v>
      </c>
      <c r="CB66" s="1509" t="s">
        <v>2372</v>
      </c>
      <c r="CC66" s="1509">
        <v>0.74857705500000005</v>
      </c>
      <c r="CD66" s="1509">
        <v>0.72599643400000002</v>
      </c>
      <c r="CE66" s="1509" t="s">
        <v>2372</v>
      </c>
      <c r="CF66" s="1509">
        <v>0.77959463799999995</v>
      </c>
      <c r="CG66" s="1509">
        <v>0.96210805600000004</v>
      </c>
      <c r="CH66" s="1509">
        <v>0.96819730000000004</v>
      </c>
      <c r="CI66" s="1509" t="s">
        <v>2372</v>
      </c>
      <c r="CJ66" s="1509" t="s">
        <v>2372</v>
      </c>
      <c r="CK66" s="1509" t="s">
        <v>2372</v>
      </c>
      <c r="CL66" s="1509" t="s">
        <v>2372</v>
      </c>
      <c r="CM66" s="1509" t="s">
        <v>2372</v>
      </c>
      <c r="CN66" s="1509" t="s">
        <v>2372</v>
      </c>
      <c r="CO66" s="1509" t="s">
        <v>2372</v>
      </c>
      <c r="CP66" s="1509" t="s">
        <v>2372</v>
      </c>
      <c r="CQ66" s="1509">
        <v>0.95407726000000004</v>
      </c>
      <c r="CR66" s="1509">
        <v>0.96547316500000002</v>
      </c>
      <c r="CS66" s="1509" t="s">
        <v>2372</v>
      </c>
      <c r="CT66" s="1509" t="s">
        <v>2372</v>
      </c>
      <c r="CU66" s="1509" t="s">
        <v>2372</v>
      </c>
      <c r="CV66" s="1509">
        <v>1</v>
      </c>
      <c r="CW66" s="1509" t="s">
        <v>2372</v>
      </c>
      <c r="CX66" s="1509" t="s">
        <v>2372</v>
      </c>
      <c r="CY66" s="1509">
        <v>0.92554432799999997</v>
      </c>
      <c r="CZ66" s="1509">
        <v>0.21782259300000001</v>
      </c>
      <c r="DA66" s="1509">
        <v>0.15250913599999999</v>
      </c>
      <c r="DB66" s="1509">
        <v>0.247472843</v>
      </c>
      <c r="DC66" s="1509">
        <v>1</v>
      </c>
      <c r="DD66" s="1509">
        <v>0.133031025</v>
      </c>
      <c r="DE66" s="1509">
        <v>1</v>
      </c>
      <c r="DF66" s="1509" t="s">
        <v>2372</v>
      </c>
      <c r="DG66" s="1509">
        <v>0.27909564999999997</v>
      </c>
      <c r="DH66" s="1509" t="s">
        <v>2372</v>
      </c>
      <c r="DI66" s="1509">
        <v>0.27840579799999998</v>
      </c>
      <c r="DJ66" s="1509">
        <v>1</v>
      </c>
      <c r="DK66" s="1509">
        <v>0.14392776600000001</v>
      </c>
      <c r="DL66" s="1509">
        <v>1</v>
      </c>
      <c r="DM66" s="1509">
        <v>0.72034195400000001</v>
      </c>
      <c r="DN66" s="1509">
        <v>1</v>
      </c>
      <c r="DO66" s="1509">
        <v>0.93698126500000001</v>
      </c>
      <c r="DP66" s="1509">
        <v>0.16543854599999999</v>
      </c>
      <c r="DQ66" s="1509">
        <v>0.15141666300000001</v>
      </c>
      <c r="DR66" s="1509">
        <v>0.151706169</v>
      </c>
      <c r="DS66" s="1509">
        <v>0.16414942799999999</v>
      </c>
      <c r="DT66" s="1509">
        <v>0.26877003999999999</v>
      </c>
      <c r="DU66" s="1509" t="s">
        <v>2372</v>
      </c>
      <c r="DV66" s="1509">
        <v>0.96682219000000003</v>
      </c>
      <c r="DW66" s="1509">
        <v>0.72841290800000003</v>
      </c>
      <c r="DX66" s="1509">
        <v>0.98941534600000003</v>
      </c>
      <c r="DY66" s="1509" t="s">
        <v>2372</v>
      </c>
      <c r="DZ66" s="1509" t="s">
        <v>2372</v>
      </c>
      <c r="EA66" s="1509" t="s">
        <v>2372</v>
      </c>
      <c r="EB66" s="1509" t="s">
        <v>2372</v>
      </c>
      <c r="EC66" s="1509" t="s">
        <v>2372</v>
      </c>
      <c r="ED66" s="1509" t="s">
        <v>2372</v>
      </c>
      <c r="EE66" s="1509">
        <v>0.78477915499999995</v>
      </c>
      <c r="EF66" s="1509" t="s">
        <v>2372</v>
      </c>
      <c r="EG66" s="1509" t="s">
        <v>2372</v>
      </c>
      <c r="EH66" s="1509" t="s">
        <v>2372</v>
      </c>
      <c r="EI66" s="1509">
        <v>0.78149687099999998</v>
      </c>
      <c r="EJ66" s="1509">
        <v>1</v>
      </c>
      <c r="EK66" s="1509">
        <v>0.98184033800000003</v>
      </c>
      <c r="EL66" s="1509">
        <v>0.199459156</v>
      </c>
      <c r="EM66" s="1509">
        <v>0.15085679599999999</v>
      </c>
      <c r="EN66" s="1509">
        <v>1</v>
      </c>
      <c r="EO66" s="1509" t="s">
        <v>2372</v>
      </c>
      <c r="EP66" s="1509">
        <v>1</v>
      </c>
      <c r="EQ66" s="1509">
        <v>0.723370607</v>
      </c>
      <c r="ER66" s="1509">
        <v>0.93932038799999995</v>
      </c>
      <c r="ES66" s="1509">
        <v>0.94318407000000004</v>
      </c>
      <c r="ET66" s="1509">
        <v>0.72927125800000003</v>
      </c>
      <c r="EU66" s="1509">
        <v>1</v>
      </c>
      <c r="EV66" s="1509" t="s">
        <v>2372</v>
      </c>
      <c r="EW66" s="1509">
        <v>0.76733557200000002</v>
      </c>
      <c r="EX66" s="1509">
        <v>1</v>
      </c>
      <c r="EY66" s="1509">
        <v>0.95636571800000003</v>
      </c>
      <c r="EZ66" s="1509">
        <v>0.30189926299999997</v>
      </c>
      <c r="FA66" s="1509" t="s">
        <v>2372</v>
      </c>
      <c r="FB66" s="1509" t="s">
        <v>2372</v>
      </c>
      <c r="FC66" s="1509" t="s">
        <v>2372</v>
      </c>
      <c r="FD66" s="1509" t="s">
        <v>2372</v>
      </c>
      <c r="FE66" s="1509">
        <v>1</v>
      </c>
      <c r="FF66" s="1509">
        <v>0.76508226700000004</v>
      </c>
      <c r="FG66" s="1509">
        <v>0.16152650399999999</v>
      </c>
      <c r="FH66" s="1509">
        <v>0.19312179400000001</v>
      </c>
      <c r="FI66" s="1509" t="s">
        <v>2372</v>
      </c>
      <c r="FJ66" s="1509">
        <v>0.93423485900000003</v>
      </c>
      <c r="FK66" s="1509">
        <v>1</v>
      </c>
      <c r="FL66" s="1509">
        <v>0.20273365300000001</v>
      </c>
      <c r="FM66" s="1509" t="s">
        <v>2372</v>
      </c>
      <c r="FN66" s="1509" t="s">
        <v>2372</v>
      </c>
      <c r="FO66" s="1509">
        <v>0.23085032599999999</v>
      </c>
      <c r="FP66" s="1509">
        <v>0.77694400699999999</v>
      </c>
      <c r="FQ66" s="1509">
        <v>1</v>
      </c>
      <c r="FR66" s="1509" t="s">
        <v>2372</v>
      </c>
      <c r="FS66" s="1509" t="s">
        <v>2372</v>
      </c>
      <c r="FT66" s="1509">
        <v>0.27896687799999997</v>
      </c>
      <c r="FU66" s="1509" t="s">
        <v>2372</v>
      </c>
    </row>
    <row r="67" spans="1:177" s="1509" customFormat="1" x14ac:dyDescent="0.2">
      <c r="A67" s="1512" t="s">
        <v>664</v>
      </c>
      <c r="B67" s="1512" t="s">
        <v>1012</v>
      </c>
      <c r="C67" s="1509">
        <v>5.0182230000000001E-2</v>
      </c>
      <c r="D67" s="1509">
        <v>8.6121440000000004E-3</v>
      </c>
      <c r="E67" s="1509">
        <v>9.7450269000000006E-2</v>
      </c>
      <c r="F67" s="1509">
        <v>0.29248398399999997</v>
      </c>
      <c r="G67" s="1509">
        <v>3.9676979000000001E-2</v>
      </c>
      <c r="H67" s="1509">
        <v>0.27767550400000002</v>
      </c>
      <c r="I67" s="1509">
        <v>2.6522125000000001E-2</v>
      </c>
      <c r="J67" s="1509">
        <v>2.7178003999999999E-2</v>
      </c>
      <c r="K67" s="1509">
        <v>1.1925081000000001E-2</v>
      </c>
      <c r="L67" s="1509">
        <v>5.0260487999999999E-2</v>
      </c>
      <c r="M67" s="1509">
        <v>3.7418667000000003E-2</v>
      </c>
      <c r="N67" s="1509">
        <v>8.3512829999999993E-3</v>
      </c>
      <c r="O67" s="1509">
        <v>3.3464760000000001E-3</v>
      </c>
      <c r="P67" s="1509">
        <v>2.3183102000000001E-2</v>
      </c>
      <c r="Q67" s="1509">
        <v>0.36371435200000002</v>
      </c>
      <c r="R67" s="1509">
        <v>2.3826396999999999E-2</v>
      </c>
      <c r="S67" s="1509">
        <v>2.0347170000000001E-3</v>
      </c>
      <c r="T67" s="1509">
        <v>0.39512264200000002</v>
      </c>
      <c r="U67" s="1509">
        <v>0.172011836</v>
      </c>
      <c r="V67" s="1509">
        <v>0.106755558</v>
      </c>
      <c r="W67" s="1509">
        <v>3.5372770999999997E-2</v>
      </c>
      <c r="X67" s="1509">
        <v>0.36151254700000002</v>
      </c>
      <c r="Y67" s="1509">
        <v>6.6016501000000005E-2</v>
      </c>
      <c r="Z67" s="1509">
        <v>0.22481758399999999</v>
      </c>
      <c r="AA67" s="1509">
        <v>6.1824089999999998E-2</v>
      </c>
      <c r="AB67" s="1509">
        <v>8.0304238999999999E-2</v>
      </c>
      <c r="AC67" s="1509">
        <v>0.195768832</v>
      </c>
      <c r="AD67" s="1509">
        <v>0.26685722000000001</v>
      </c>
      <c r="AE67" s="1509">
        <v>2.3043125000000001E-2</v>
      </c>
      <c r="AF67" s="1509">
        <v>8.0494290000000003E-3</v>
      </c>
      <c r="AG67" s="1509">
        <v>1.1199999999999999E-5</v>
      </c>
      <c r="AH67" s="1509">
        <v>3.2495845000000002E-2</v>
      </c>
      <c r="AI67" s="1509">
        <v>0.12510527599999999</v>
      </c>
      <c r="AJ67" s="1509">
        <v>9.3183325999999997E-2</v>
      </c>
      <c r="AK67" s="1509">
        <v>2.5780847999999999E-2</v>
      </c>
      <c r="AL67" s="1509">
        <v>0.37221845100000001</v>
      </c>
      <c r="AM67" s="1509">
        <v>6.460131E-3</v>
      </c>
      <c r="AN67" s="1509">
        <v>0.30212677100000002</v>
      </c>
      <c r="AO67" s="1509">
        <v>0.233365928</v>
      </c>
      <c r="AP67" s="1509">
        <v>3.1886399999999997E-4</v>
      </c>
      <c r="AQ67" s="1509">
        <v>0.285922442</v>
      </c>
      <c r="AR67" s="1509">
        <v>4.3076545000000001E-2</v>
      </c>
      <c r="AS67" s="1509">
        <v>0.26013497899999999</v>
      </c>
      <c r="AT67" s="1509">
        <v>0.96829984499999999</v>
      </c>
      <c r="AU67" s="1509">
        <v>0.40743616199999999</v>
      </c>
      <c r="AV67" s="1509">
        <v>0.266130535</v>
      </c>
      <c r="AW67" s="1509">
        <v>2.7863696E-2</v>
      </c>
      <c r="AX67" s="1509">
        <v>3.2774200000000001E-4</v>
      </c>
      <c r="AY67" s="1509">
        <v>0.27163551499999999</v>
      </c>
      <c r="AZ67" s="1509">
        <v>4.4250709999999999E-2</v>
      </c>
      <c r="BA67" s="1509">
        <v>2.1745591000000002E-2</v>
      </c>
      <c r="BB67" s="1509">
        <v>1.7237962999999999E-2</v>
      </c>
      <c r="BC67" s="1509">
        <v>0.96726981999999995</v>
      </c>
      <c r="BD67" s="1509">
        <v>1.298292E-2</v>
      </c>
      <c r="BE67" s="1509">
        <v>6.9900000000000005E-5</v>
      </c>
      <c r="BF67" s="1509">
        <v>0.84491982700000001</v>
      </c>
      <c r="BG67" s="1509">
        <v>0.64002515100000001</v>
      </c>
      <c r="BH67" s="1509">
        <v>3.7802506E-2</v>
      </c>
      <c r="BI67" s="1509">
        <v>9.0761043999999999E-2</v>
      </c>
      <c r="BJ67" s="1509">
        <v>0.42946314800000002</v>
      </c>
      <c r="BK67" s="1509">
        <v>1.15524E-4</v>
      </c>
      <c r="BL67" s="1509">
        <v>4.1350217000000002E-2</v>
      </c>
      <c r="BM67" s="1509">
        <v>1.19356E-4</v>
      </c>
      <c r="BN67" s="1509">
        <v>9.3872743999999994E-2</v>
      </c>
      <c r="BO67" s="1509">
        <v>1.67696E-4</v>
      </c>
      <c r="BP67" s="1509">
        <v>1.1328829999999999E-3</v>
      </c>
      <c r="BQ67" s="1509">
        <v>3.1303339999999998E-3</v>
      </c>
      <c r="BR67" s="1509">
        <v>0.546865567</v>
      </c>
      <c r="BS67" s="1509">
        <v>8.5413390000000002E-3</v>
      </c>
      <c r="BT67" s="1509">
        <v>3.625366E-2</v>
      </c>
      <c r="BU67" s="1509">
        <v>0.19897408799999999</v>
      </c>
      <c r="BV67" s="1509">
        <v>2.4756180999999999E-2</v>
      </c>
      <c r="BW67" s="1509">
        <v>0.27515236500000001</v>
      </c>
      <c r="BX67" s="1509">
        <v>5.5983744000000002E-2</v>
      </c>
      <c r="BY67" s="1509">
        <v>0.196776114</v>
      </c>
      <c r="BZ67" s="1509">
        <v>2.40344E-4</v>
      </c>
      <c r="CA67" s="1509">
        <v>5.8484330000000001E-3</v>
      </c>
      <c r="CB67" s="1509">
        <v>0.44515229099999998</v>
      </c>
      <c r="CC67" s="1509">
        <v>0.19994330599999999</v>
      </c>
      <c r="CD67" s="1509">
        <v>2.0887299999999999E-4</v>
      </c>
      <c r="CE67" s="1509">
        <v>5.7342991000000003E-2</v>
      </c>
      <c r="CF67" s="1509">
        <v>0.48517377499999997</v>
      </c>
      <c r="CG67" s="1509">
        <v>2.5508493E-2</v>
      </c>
      <c r="CH67" s="1509">
        <v>1.2893990000000001E-3</v>
      </c>
      <c r="CI67" s="1509">
        <v>1.8483880000000001E-3</v>
      </c>
      <c r="CJ67" s="1509">
        <v>1.4320939E-2</v>
      </c>
      <c r="CK67" s="1509">
        <v>0.36194769199999999</v>
      </c>
      <c r="CL67" s="1509">
        <v>0.57709750599999998</v>
      </c>
      <c r="CM67" s="1509">
        <v>7.4741494000000006E-2</v>
      </c>
      <c r="CN67" s="1509">
        <v>1.2524897E-2</v>
      </c>
      <c r="CO67" s="1509">
        <v>0.56710405600000002</v>
      </c>
      <c r="CP67" s="1509">
        <v>0.20767159299999999</v>
      </c>
      <c r="CQ67" s="1509">
        <v>1.1199999999999999E-5</v>
      </c>
      <c r="CR67" s="1509">
        <v>5.0681599999999999E-4</v>
      </c>
      <c r="CS67" s="1509">
        <v>0.21870225300000001</v>
      </c>
      <c r="CT67" s="1509">
        <v>0.49090712600000003</v>
      </c>
      <c r="CU67" s="1509">
        <v>0.29416938100000001</v>
      </c>
      <c r="CV67" s="1509">
        <v>4.7107191999999999E-2</v>
      </c>
      <c r="CW67" s="1509">
        <v>0.22748937799999999</v>
      </c>
      <c r="CX67" s="1509">
        <v>2.317108E-3</v>
      </c>
      <c r="CY67" s="1509">
        <v>2.5317599999999998E-4</v>
      </c>
      <c r="CZ67" s="1509">
        <v>9.3406380000000001E-3</v>
      </c>
      <c r="DA67" s="1509">
        <v>1.9293061E-2</v>
      </c>
      <c r="DB67" s="1509">
        <v>2.3427368E-2</v>
      </c>
      <c r="DC67" s="1509">
        <v>0.45405127000000001</v>
      </c>
      <c r="DD67" s="1509">
        <v>1.5360700000000001E-3</v>
      </c>
      <c r="DE67" s="1509">
        <v>0.33960945199999998</v>
      </c>
      <c r="DF67" s="1509">
        <v>0.17389784699999999</v>
      </c>
      <c r="DG67" s="1509">
        <v>8.4125130000000006E-2</v>
      </c>
      <c r="DH67" s="1509">
        <v>0.78070990399999995</v>
      </c>
      <c r="DI67" s="1509">
        <v>0.81178082900000004</v>
      </c>
      <c r="DJ67" s="1509">
        <v>8.1875338000000006E-2</v>
      </c>
      <c r="DK67" s="1509">
        <v>2.5126899999999998E-4</v>
      </c>
      <c r="DL67" s="1509">
        <v>0.26549200699999997</v>
      </c>
      <c r="DM67" s="1509">
        <v>3.9536600000000002E-4</v>
      </c>
      <c r="DN67" s="1509">
        <v>0.92085795699999995</v>
      </c>
      <c r="DO67" s="1509">
        <v>3.7811241000000002E-2</v>
      </c>
      <c r="DP67" s="1509">
        <v>8.6796930000000005E-3</v>
      </c>
      <c r="DQ67" s="1509">
        <v>1.20172E-4</v>
      </c>
      <c r="DR67" s="1509">
        <v>2.4241960999999999E-2</v>
      </c>
      <c r="DS67" s="1509">
        <v>6.5766829999999998E-3</v>
      </c>
      <c r="DT67" s="1509">
        <v>2.0991856E-2</v>
      </c>
      <c r="DU67" s="1509">
        <v>0.215139635</v>
      </c>
      <c r="DV67" s="1509">
        <v>0.141394191</v>
      </c>
      <c r="DW67" s="1509">
        <v>0.63324263400000003</v>
      </c>
      <c r="DX67" s="1509">
        <v>7.5829784999999997E-2</v>
      </c>
      <c r="DY67" s="1509">
        <v>0.49393479099999998</v>
      </c>
      <c r="DZ67" s="1509">
        <v>0.72124771300000001</v>
      </c>
      <c r="EA67" s="1509">
        <v>0.43792792200000003</v>
      </c>
      <c r="EB67" s="1509">
        <v>0.767274597</v>
      </c>
      <c r="EC67" s="1509">
        <v>0.25123536400000002</v>
      </c>
      <c r="ED67" s="1509">
        <v>9.3354749000000001E-2</v>
      </c>
      <c r="EE67" s="1509">
        <v>3.6336373999999998E-2</v>
      </c>
      <c r="EF67" s="1509">
        <v>2.1894195000000002E-2</v>
      </c>
      <c r="EG67" s="1509">
        <v>0.99928443099999997</v>
      </c>
      <c r="EH67" s="1509">
        <v>2.7959399999999998E-3</v>
      </c>
      <c r="EI67" s="1509">
        <v>0.30757237799999998</v>
      </c>
      <c r="EJ67" s="1509">
        <v>0.35835080200000002</v>
      </c>
      <c r="EK67" s="1509">
        <v>1.6594495000000001E-2</v>
      </c>
      <c r="EL67" s="1509">
        <v>0.43120337800000003</v>
      </c>
      <c r="EM67" s="1509">
        <v>1.9398632999999998E-2</v>
      </c>
      <c r="EN67" s="1509">
        <v>1.8405247E-2</v>
      </c>
      <c r="EO67" s="1509">
        <v>0.92569836000000005</v>
      </c>
      <c r="EP67" s="1509">
        <v>0.47766167199999998</v>
      </c>
      <c r="EQ67" s="1509">
        <v>1.2920263E-2</v>
      </c>
      <c r="ER67" s="1509">
        <v>4.6122009999999998E-3</v>
      </c>
      <c r="ES67" s="1509">
        <v>3.4674060000000001E-3</v>
      </c>
      <c r="ET67" s="1509">
        <v>5.9401877999999998E-2</v>
      </c>
      <c r="EU67" s="1509">
        <v>0.99906047399999998</v>
      </c>
      <c r="EV67" s="1509">
        <v>0.14664868</v>
      </c>
      <c r="EW67" s="1509">
        <v>9.3108289999999996E-3</v>
      </c>
      <c r="EX67" s="1509">
        <v>0.910882152</v>
      </c>
      <c r="EY67" s="1509">
        <v>0.196557911</v>
      </c>
      <c r="EZ67" s="1509">
        <v>5.5153464999999999E-2</v>
      </c>
      <c r="FA67" s="1509">
        <v>3.7723884999999999E-2</v>
      </c>
      <c r="FB67" s="1509">
        <v>4.5427490000000001E-2</v>
      </c>
      <c r="FC67" s="1509">
        <v>0.11321357</v>
      </c>
      <c r="FD67" s="1509">
        <v>0.14127204300000001</v>
      </c>
      <c r="FE67" s="1509">
        <v>5.338705E-3</v>
      </c>
      <c r="FF67" s="1509">
        <v>0.233365928</v>
      </c>
      <c r="FG67" s="1509">
        <v>0.20905269500000001</v>
      </c>
      <c r="FH67" s="1509">
        <v>0.105035751</v>
      </c>
      <c r="FI67" s="1509">
        <v>0.34305514199999998</v>
      </c>
      <c r="FJ67" s="1509">
        <v>4.2379400000000002E-4</v>
      </c>
      <c r="FK67" s="1509">
        <v>2.2510392000000001E-2</v>
      </c>
      <c r="FL67" s="1509">
        <v>2.5754499999999997E-4</v>
      </c>
      <c r="FM67" s="1509">
        <v>0.89025944499999998</v>
      </c>
      <c r="FN67" s="1509">
        <v>1.855841E-3</v>
      </c>
      <c r="FO67" s="1509">
        <v>4.0530719999999996E-3</v>
      </c>
      <c r="FP67" s="1509">
        <v>0.34305514199999998</v>
      </c>
      <c r="FQ67" s="1509">
        <v>2.3641101000000001E-2</v>
      </c>
      <c r="FR67" s="1509">
        <v>0.68836272399999998</v>
      </c>
      <c r="FS67" s="1509">
        <v>0.233365928</v>
      </c>
      <c r="FT67" s="1509">
        <v>0.99925496000000003</v>
      </c>
      <c r="FU67" s="1509">
        <v>8.4928929999999996E-3</v>
      </c>
    </row>
    <row r="68" spans="1:177" s="1509" customFormat="1" x14ac:dyDescent="0.2">
      <c r="A68" s="1512" t="s">
        <v>665</v>
      </c>
      <c r="B68" s="1512" t="s">
        <v>1330</v>
      </c>
      <c r="C68" s="1509">
        <v>0</v>
      </c>
      <c r="D68" s="1509">
        <v>0</v>
      </c>
      <c r="E68" s="1509">
        <v>0</v>
      </c>
      <c r="F68" s="1509">
        <v>0</v>
      </c>
      <c r="G68" s="1509">
        <v>0</v>
      </c>
      <c r="H68" s="1509">
        <v>0</v>
      </c>
      <c r="I68" s="1509">
        <v>0</v>
      </c>
      <c r="J68" s="1509">
        <v>0</v>
      </c>
      <c r="K68" s="1509">
        <v>1</v>
      </c>
      <c r="L68" s="1509">
        <v>0</v>
      </c>
      <c r="M68" s="1509">
        <v>0</v>
      </c>
      <c r="N68" s="1509">
        <v>1</v>
      </c>
      <c r="O68" s="1509">
        <v>0</v>
      </c>
      <c r="P68" s="1509">
        <v>1</v>
      </c>
      <c r="Q68" s="1509">
        <v>0</v>
      </c>
      <c r="R68" s="1509">
        <v>0</v>
      </c>
      <c r="S68" s="1509">
        <v>0</v>
      </c>
      <c r="T68" s="1509">
        <v>0</v>
      </c>
      <c r="U68" s="1509">
        <v>0</v>
      </c>
      <c r="V68" s="1509">
        <v>0</v>
      </c>
      <c r="W68" s="1509">
        <v>0</v>
      </c>
      <c r="X68" s="1509">
        <v>0</v>
      </c>
      <c r="Y68" s="1509">
        <v>0</v>
      </c>
      <c r="Z68" s="1509">
        <v>0</v>
      </c>
      <c r="AA68" s="1509">
        <v>1</v>
      </c>
      <c r="AB68" s="1509">
        <v>0</v>
      </c>
      <c r="AC68" s="1509">
        <v>0</v>
      </c>
      <c r="AD68" s="1509">
        <v>0</v>
      </c>
      <c r="AE68" s="1509">
        <v>1</v>
      </c>
      <c r="AF68" s="1509">
        <v>0</v>
      </c>
      <c r="AG68" s="1509">
        <v>1</v>
      </c>
      <c r="AH68" s="1509">
        <v>0</v>
      </c>
      <c r="AI68" s="1509">
        <v>0</v>
      </c>
      <c r="AJ68" s="1509">
        <v>0</v>
      </c>
      <c r="AK68" s="1509">
        <v>0</v>
      </c>
      <c r="AL68" s="1509">
        <v>1</v>
      </c>
      <c r="AM68" s="1509">
        <v>1</v>
      </c>
      <c r="AN68" s="1509">
        <v>0</v>
      </c>
      <c r="AO68" s="1509">
        <v>0</v>
      </c>
      <c r="AP68" s="1509">
        <v>0</v>
      </c>
      <c r="AQ68" s="1509">
        <v>0</v>
      </c>
      <c r="AR68" s="1509">
        <v>1</v>
      </c>
      <c r="AS68" s="1509">
        <v>0</v>
      </c>
      <c r="AT68" s="1509">
        <v>0</v>
      </c>
      <c r="AU68" s="1509">
        <v>0</v>
      </c>
      <c r="AV68" s="1509">
        <v>1</v>
      </c>
      <c r="AW68" s="1509">
        <v>0</v>
      </c>
      <c r="AX68" s="1509">
        <v>0</v>
      </c>
      <c r="AY68" s="1509">
        <v>1</v>
      </c>
      <c r="AZ68" s="1509">
        <v>1</v>
      </c>
      <c r="BA68" s="1509">
        <v>1</v>
      </c>
      <c r="BB68" s="1509">
        <v>1</v>
      </c>
      <c r="BC68" s="1509">
        <v>0</v>
      </c>
      <c r="BD68" s="1509">
        <v>1</v>
      </c>
      <c r="BE68" s="1509">
        <v>1</v>
      </c>
      <c r="BF68" s="1509">
        <v>0</v>
      </c>
      <c r="BG68" s="1509">
        <v>0</v>
      </c>
      <c r="BH68" s="1509">
        <v>0</v>
      </c>
      <c r="BI68" s="1509">
        <v>0</v>
      </c>
      <c r="BJ68" s="1509">
        <v>0</v>
      </c>
      <c r="BK68" s="1509">
        <v>1</v>
      </c>
      <c r="BL68" s="1509">
        <v>1</v>
      </c>
      <c r="BM68" s="1509">
        <v>1</v>
      </c>
      <c r="BN68" s="1509">
        <v>0</v>
      </c>
      <c r="BO68" s="1509">
        <v>1</v>
      </c>
      <c r="BP68" s="1509">
        <v>1</v>
      </c>
      <c r="BQ68" s="1509">
        <v>0</v>
      </c>
      <c r="BR68" s="1509">
        <v>0</v>
      </c>
      <c r="BS68" s="1509">
        <v>0</v>
      </c>
      <c r="BT68" s="1509">
        <v>0</v>
      </c>
      <c r="BU68" s="1509">
        <v>0</v>
      </c>
      <c r="BV68" s="1509">
        <v>0</v>
      </c>
      <c r="BW68" s="1509">
        <v>0</v>
      </c>
      <c r="BX68" s="1509">
        <v>1</v>
      </c>
      <c r="BY68" s="1509">
        <v>0</v>
      </c>
      <c r="BZ68" s="1509">
        <v>1</v>
      </c>
      <c r="CA68" s="1509">
        <v>1</v>
      </c>
      <c r="CB68" s="1509">
        <v>1</v>
      </c>
      <c r="CC68" s="1509">
        <v>1</v>
      </c>
      <c r="CD68" s="1509">
        <v>1</v>
      </c>
      <c r="CE68" s="1509">
        <v>0</v>
      </c>
      <c r="CF68" s="1509">
        <v>0</v>
      </c>
      <c r="CG68" s="1509">
        <v>0</v>
      </c>
      <c r="CH68" s="1509">
        <v>1</v>
      </c>
      <c r="CI68" s="1509">
        <v>0</v>
      </c>
      <c r="CJ68" s="1509">
        <v>1</v>
      </c>
      <c r="CK68" s="1509">
        <v>0</v>
      </c>
      <c r="CL68" s="1509">
        <v>0</v>
      </c>
      <c r="CM68" s="1509">
        <v>0</v>
      </c>
      <c r="CN68" s="1509">
        <v>0</v>
      </c>
      <c r="CO68" s="1509">
        <v>0</v>
      </c>
      <c r="CP68" s="1509">
        <v>1</v>
      </c>
      <c r="CQ68" s="1509">
        <v>1</v>
      </c>
      <c r="CR68" s="1509">
        <v>1</v>
      </c>
      <c r="CS68" s="1509">
        <v>0</v>
      </c>
      <c r="CT68" s="1509">
        <v>0</v>
      </c>
      <c r="CU68" s="1509">
        <v>0</v>
      </c>
      <c r="CV68" s="1509">
        <v>0</v>
      </c>
      <c r="CW68" s="1509">
        <v>0</v>
      </c>
      <c r="CX68" s="1509">
        <v>1</v>
      </c>
      <c r="CY68" s="1509">
        <v>1</v>
      </c>
      <c r="CZ68" s="1509">
        <v>1</v>
      </c>
      <c r="DA68" s="1509">
        <v>1</v>
      </c>
      <c r="DB68" s="1509">
        <v>1</v>
      </c>
      <c r="DC68" s="1509">
        <v>1</v>
      </c>
      <c r="DD68" s="1509">
        <v>1</v>
      </c>
      <c r="DE68" s="1509">
        <v>0</v>
      </c>
      <c r="DF68" s="1509">
        <v>1</v>
      </c>
      <c r="DG68" s="1509">
        <v>1</v>
      </c>
      <c r="DH68" s="1509">
        <v>0</v>
      </c>
      <c r="DI68" s="1509">
        <v>1</v>
      </c>
      <c r="DJ68" s="1509">
        <v>1</v>
      </c>
      <c r="DK68" s="1509">
        <v>1</v>
      </c>
      <c r="DL68" s="1509">
        <v>1</v>
      </c>
      <c r="DM68" s="1509">
        <v>1</v>
      </c>
      <c r="DN68" s="1509">
        <v>0</v>
      </c>
      <c r="DO68" s="1509">
        <v>0</v>
      </c>
      <c r="DP68" s="1509">
        <v>0</v>
      </c>
      <c r="DQ68" s="1509">
        <v>1</v>
      </c>
      <c r="DR68" s="1509">
        <v>1</v>
      </c>
      <c r="DS68" s="1509">
        <v>1</v>
      </c>
      <c r="DT68" s="1509">
        <v>1</v>
      </c>
      <c r="DU68" s="1509">
        <v>0</v>
      </c>
      <c r="DV68" s="1509">
        <v>0</v>
      </c>
      <c r="DW68" s="1509">
        <v>0</v>
      </c>
      <c r="DX68" s="1509">
        <v>0</v>
      </c>
      <c r="DY68" s="1509">
        <v>0</v>
      </c>
      <c r="DZ68" s="1509">
        <v>0</v>
      </c>
      <c r="EA68" s="1509">
        <v>0</v>
      </c>
      <c r="EB68" s="1509">
        <v>1</v>
      </c>
      <c r="EC68" s="1509">
        <v>0</v>
      </c>
      <c r="ED68" s="1509">
        <v>1</v>
      </c>
      <c r="EE68" s="1509">
        <v>0</v>
      </c>
      <c r="EF68" s="1509">
        <v>1</v>
      </c>
      <c r="EG68" s="1509">
        <v>0</v>
      </c>
      <c r="EH68" s="1509">
        <v>1</v>
      </c>
      <c r="EI68" s="1509">
        <v>0</v>
      </c>
      <c r="EJ68" s="1509">
        <v>0</v>
      </c>
      <c r="EK68" s="1509">
        <v>0</v>
      </c>
      <c r="EL68" s="1509">
        <v>1</v>
      </c>
      <c r="EM68" s="1509">
        <v>1</v>
      </c>
      <c r="EN68" s="1509">
        <v>1</v>
      </c>
      <c r="EO68" s="1509">
        <v>0</v>
      </c>
      <c r="EP68" s="1509">
        <v>0</v>
      </c>
      <c r="EQ68" s="1509">
        <v>1</v>
      </c>
      <c r="ER68" s="1509">
        <v>0</v>
      </c>
      <c r="ES68" s="1509">
        <v>0</v>
      </c>
      <c r="ET68" s="1509">
        <v>0</v>
      </c>
      <c r="EU68" s="1509">
        <v>1</v>
      </c>
      <c r="EV68" s="1509">
        <v>0</v>
      </c>
      <c r="EW68" s="1509">
        <v>0</v>
      </c>
      <c r="EX68" s="1509">
        <v>0</v>
      </c>
      <c r="EY68" s="1509">
        <v>0</v>
      </c>
      <c r="EZ68" s="1509">
        <v>0</v>
      </c>
      <c r="FA68" s="1509">
        <v>1</v>
      </c>
      <c r="FB68" s="1509">
        <v>0</v>
      </c>
      <c r="FC68" s="1509">
        <v>0</v>
      </c>
      <c r="FD68" s="1509">
        <v>1</v>
      </c>
      <c r="FE68" s="1509">
        <v>1</v>
      </c>
      <c r="FF68" s="1509">
        <v>0</v>
      </c>
      <c r="FG68" s="1509">
        <v>0</v>
      </c>
      <c r="FH68" s="1509">
        <v>0</v>
      </c>
      <c r="FI68" s="1509">
        <v>0</v>
      </c>
      <c r="FJ68" s="1509">
        <v>1</v>
      </c>
      <c r="FK68" s="1509">
        <v>0</v>
      </c>
      <c r="FL68" s="1509">
        <v>1</v>
      </c>
      <c r="FM68" s="1509">
        <v>0</v>
      </c>
      <c r="FN68" s="1509">
        <v>0</v>
      </c>
      <c r="FO68" s="1509">
        <v>1</v>
      </c>
      <c r="FP68" s="1509">
        <v>0</v>
      </c>
      <c r="FQ68" s="1509">
        <v>0</v>
      </c>
      <c r="FR68" s="1509">
        <v>0</v>
      </c>
      <c r="FS68" s="1509">
        <v>0</v>
      </c>
      <c r="FT68" s="1509">
        <v>0</v>
      </c>
      <c r="FU68" s="1509">
        <v>0</v>
      </c>
    </row>
    <row r="69" spans="1:177" s="1509" customFormat="1" x14ac:dyDescent="0.2">
      <c r="A69" s="1512" t="s">
        <v>665</v>
      </c>
      <c r="B69" s="1512" t="s">
        <v>1250</v>
      </c>
      <c r="C69" s="1509">
        <v>2.1938421999999999E-2</v>
      </c>
      <c r="D69" s="1509">
        <v>4.3045815000000001E-2</v>
      </c>
      <c r="E69" s="1509">
        <v>1</v>
      </c>
      <c r="F69" s="1509">
        <v>1</v>
      </c>
      <c r="G69" s="1509">
        <v>5.2146141999999999E-2</v>
      </c>
      <c r="H69" s="1509">
        <v>5.2146141999999999E-2</v>
      </c>
      <c r="I69" s="1509">
        <v>3.8052187000000001E-2</v>
      </c>
      <c r="J69" s="1509">
        <v>3.5555373000000001E-2</v>
      </c>
      <c r="K69" s="1509">
        <v>3.9252148000000001E-2</v>
      </c>
      <c r="L69" s="1509">
        <v>3.1512025999999999E-2</v>
      </c>
      <c r="M69" s="1509">
        <v>4.1327858000000002E-2</v>
      </c>
      <c r="N69" s="1509">
        <v>2.6801618999999999E-2</v>
      </c>
      <c r="O69" s="1509">
        <v>2.9268619999999999E-2</v>
      </c>
      <c r="P69" s="1509">
        <v>2.7084838999999999E-2</v>
      </c>
      <c r="Q69" s="1509">
        <v>0.99998508100000005</v>
      </c>
      <c r="R69" s="1509">
        <v>0.19139444799999999</v>
      </c>
      <c r="S69" s="1509">
        <v>1</v>
      </c>
      <c r="T69" s="1509">
        <v>2.3376885E-2</v>
      </c>
      <c r="U69" s="1509">
        <v>2.2452691E-2</v>
      </c>
      <c r="V69" s="1509">
        <v>3.5864680000000003E-2</v>
      </c>
      <c r="W69" s="1509">
        <v>3.1068562000000001E-2</v>
      </c>
      <c r="X69" s="1509">
        <v>1</v>
      </c>
      <c r="Y69" s="1509">
        <v>1</v>
      </c>
      <c r="Z69" s="1509">
        <v>5.2146141999999999E-2</v>
      </c>
      <c r="AA69" s="1509">
        <v>2.2348347000000001E-2</v>
      </c>
      <c r="AB69" s="1509">
        <v>4.9742492999999999E-2</v>
      </c>
      <c r="AC69" s="1509">
        <v>1</v>
      </c>
      <c r="AD69" s="1509">
        <v>3.9319226999999998E-2</v>
      </c>
      <c r="AE69" s="1509">
        <v>0.15168627300000001</v>
      </c>
      <c r="AF69" s="1509">
        <v>1.7820542000000002E-2</v>
      </c>
      <c r="AG69" s="1509">
        <v>4.5035813000000001E-2</v>
      </c>
      <c r="AH69" s="1509">
        <v>2.1729733000000001E-2</v>
      </c>
      <c r="AI69" s="1509">
        <v>1</v>
      </c>
      <c r="AJ69" s="1509">
        <v>2.5225272E-2</v>
      </c>
      <c r="AK69" s="1509">
        <v>0.18215183500000001</v>
      </c>
      <c r="AL69" s="1509">
        <v>0.172334823</v>
      </c>
      <c r="AM69" s="1509">
        <v>0.14604671299999999</v>
      </c>
      <c r="AN69" s="1509">
        <v>0.99998508100000005</v>
      </c>
      <c r="AO69" s="1509">
        <v>0</v>
      </c>
      <c r="AP69" s="1509">
        <v>0</v>
      </c>
      <c r="AQ69" s="1509">
        <v>1</v>
      </c>
      <c r="AR69" s="1509">
        <v>2.1799622000000001E-2</v>
      </c>
      <c r="AS69" s="1509">
        <v>2.1814995E-2</v>
      </c>
      <c r="AT69" s="1509">
        <v>2.5051117000000001E-2</v>
      </c>
      <c r="AU69" s="1509">
        <v>0</v>
      </c>
      <c r="AV69" s="1509">
        <v>3.8655894000000003E-2</v>
      </c>
      <c r="AW69" s="1509">
        <v>4.7752494999999999E-2</v>
      </c>
      <c r="AX69" s="1509">
        <v>0.59344735100000001</v>
      </c>
      <c r="AY69" s="1509">
        <v>4.3562732999999999E-2</v>
      </c>
      <c r="AZ69" s="1509">
        <v>2.6875151E-2</v>
      </c>
      <c r="BA69" s="1509">
        <v>1.855888E-2</v>
      </c>
      <c r="BB69" s="1509">
        <v>3.2384475000000003E-2</v>
      </c>
      <c r="BC69" s="1509">
        <v>3.1077529E-2</v>
      </c>
      <c r="BD69" s="1509">
        <v>2.9555551999999999E-2</v>
      </c>
      <c r="BE69" s="1509">
        <v>1.6854718000000001E-2</v>
      </c>
      <c r="BF69" s="1509">
        <v>3.1077529E-2</v>
      </c>
      <c r="BG69" s="1509">
        <v>1</v>
      </c>
      <c r="BH69" s="1509">
        <v>1.9009324000000001E-2</v>
      </c>
      <c r="BI69" s="1509">
        <v>2.0160839999999999E-2</v>
      </c>
      <c r="BJ69" s="1509">
        <v>3.7262151E-2</v>
      </c>
      <c r="BK69" s="1509">
        <v>1.7731104000000001E-2</v>
      </c>
      <c r="BL69" s="1509">
        <v>0</v>
      </c>
      <c r="BM69" s="1509">
        <v>0</v>
      </c>
      <c r="BN69" s="1509">
        <v>2.5713455E-2</v>
      </c>
      <c r="BO69" s="1509">
        <v>1.7757189999999999E-2</v>
      </c>
      <c r="BP69" s="1509">
        <v>2.3593026999999999E-2</v>
      </c>
      <c r="BQ69" s="1509">
        <v>3.3636181000000001E-2</v>
      </c>
      <c r="BR69" s="1509">
        <v>5.2146141999999999E-2</v>
      </c>
      <c r="BS69" s="1509">
        <v>0</v>
      </c>
      <c r="BT69" s="1509">
        <v>1.7469123999999999E-2</v>
      </c>
      <c r="BU69" s="1509">
        <v>1.7942452000000001E-2</v>
      </c>
      <c r="BV69" s="1509">
        <v>4.3309556999999999E-2</v>
      </c>
      <c r="BW69" s="1509">
        <v>0</v>
      </c>
      <c r="BX69" s="1509">
        <v>0.59888240100000001</v>
      </c>
      <c r="BY69" s="1509">
        <v>0</v>
      </c>
      <c r="BZ69" s="1509">
        <v>0</v>
      </c>
      <c r="CA69" s="1509">
        <v>0</v>
      </c>
      <c r="CB69" s="1509">
        <v>0</v>
      </c>
      <c r="CC69" s="1509">
        <v>0.168142451</v>
      </c>
      <c r="CD69" s="1509">
        <v>0.177549178</v>
      </c>
      <c r="CE69" s="1509">
        <v>0.15487904</v>
      </c>
      <c r="CF69" s="1509">
        <v>0</v>
      </c>
      <c r="CG69" s="1509">
        <v>1.9430428E-2</v>
      </c>
      <c r="CH69" s="1509">
        <v>0</v>
      </c>
      <c r="CI69" s="1509">
        <v>4.8605884000000002E-2</v>
      </c>
      <c r="CJ69" s="1509">
        <v>4.4525901E-2</v>
      </c>
      <c r="CK69" s="1509">
        <v>1</v>
      </c>
      <c r="CL69" s="1509">
        <v>1</v>
      </c>
      <c r="CM69" s="1509">
        <v>0</v>
      </c>
      <c r="CN69" s="1509">
        <v>0.135259935</v>
      </c>
      <c r="CO69" s="1509">
        <v>0</v>
      </c>
      <c r="CP69" s="1509">
        <v>0</v>
      </c>
      <c r="CQ69" s="1509">
        <v>2.0690014999999999E-2</v>
      </c>
      <c r="CR69" s="1509">
        <v>5.2023163999999997E-2</v>
      </c>
      <c r="CS69" s="1509">
        <v>2.4629017999999999E-2</v>
      </c>
      <c r="CT69" s="1509">
        <v>3.4709438000000002E-2</v>
      </c>
      <c r="CU69" s="1509">
        <v>5.2146141999999999E-2</v>
      </c>
      <c r="CV69" s="1509">
        <v>5.5973846000000001E-2</v>
      </c>
      <c r="CW69" s="1509">
        <v>5.5973846000000001E-2</v>
      </c>
      <c r="CX69" s="1509">
        <v>1</v>
      </c>
      <c r="CY69" s="1509">
        <v>1.5542787000000001E-2</v>
      </c>
      <c r="CZ69" s="1509">
        <v>0.61126557500000001</v>
      </c>
      <c r="DA69" s="1509">
        <v>0.61104707999999996</v>
      </c>
      <c r="DB69" s="1509">
        <v>0</v>
      </c>
      <c r="DC69" s="1509">
        <v>0</v>
      </c>
      <c r="DD69" s="1509">
        <v>0</v>
      </c>
      <c r="DE69" s="1509">
        <v>0</v>
      </c>
      <c r="DF69" s="1509">
        <v>0.67597200099999999</v>
      </c>
      <c r="DG69" s="1509">
        <v>0.67339655399999998</v>
      </c>
      <c r="DH69" s="1509">
        <v>0</v>
      </c>
      <c r="DI69" s="1509">
        <v>0</v>
      </c>
      <c r="DJ69" s="1509">
        <v>0</v>
      </c>
      <c r="DK69" s="1509">
        <v>0</v>
      </c>
      <c r="DL69" s="1509">
        <v>0</v>
      </c>
      <c r="DM69" s="1509">
        <v>0</v>
      </c>
      <c r="DN69" s="1509">
        <v>1</v>
      </c>
      <c r="DO69" s="1509">
        <v>2.8174053000000001E-2</v>
      </c>
      <c r="DP69" s="1509">
        <v>0.55649447500000004</v>
      </c>
      <c r="DQ69" s="1509">
        <v>0</v>
      </c>
      <c r="DR69" s="1509">
        <v>0.68748190600000003</v>
      </c>
      <c r="DS69" s="1509">
        <v>0.64783062300000005</v>
      </c>
      <c r="DT69" s="1509">
        <v>0</v>
      </c>
      <c r="DU69" s="1509">
        <v>3.9185070000000002E-2</v>
      </c>
      <c r="DV69" s="1509">
        <v>1</v>
      </c>
      <c r="DW69" s="1509">
        <v>1</v>
      </c>
      <c r="DX69" s="1509">
        <v>0</v>
      </c>
      <c r="DY69" s="1509">
        <v>3.1437817999999999E-2</v>
      </c>
      <c r="DZ69" s="1509">
        <v>1</v>
      </c>
      <c r="EA69" s="1509">
        <v>5.5973846000000001E-2</v>
      </c>
      <c r="EB69" s="1509">
        <v>5.2146141999999999E-2</v>
      </c>
      <c r="EC69" s="1509">
        <v>5.2146141999999999E-2</v>
      </c>
      <c r="ED69" s="1509">
        <v>2.9667365000000001E-2</v>
      </c>
      <c r="EE69" s="1509">
        <v>0.21091657799999999</v>
      </c>
      <c r="EF69" s="1509">
        <v>5.5973846000000001E-2</v>
      </c>
      <c r="EG69" s="1509">
        <v>1</v>
      </c>
      <c r="EH69" s="1509">
        <v>5.5098739000000001E-2</v>
      </c>
      <c r="EI69" s="1509">
        <v>0.21091657799999999</v>
      </c>
      <c r="EJ69" s="1509">
        <v>0</v>
      </c>
      <c r="EK69" s="1509">
        <v>0</v>
      </c>
      <c r="EL69" s="1509">
        <v>0.66088724099999996</v>
      </c>
      <c r="EM69" s="1509">
        <v>0</v>
      </c>
      <c r="EN69" s="1509">
        <v>0</v>
      </c>
      <c r="EO69" s="1509">
        <v>1</v>
      </c>
      <c r="EP69" s="1509">
        <v>0</v>
      </c>
      <c r="EQ69" s="1509">
        <v>0</v>
      </c>
      <c r="ER69" s="1509">
        <v>1.6170222000000001E-2</v>
      </c>
      <c r="ES69" s="1509">
        <v>1.8393764999999999E-2</v>
      </c>
      <c r="ET69" s="1509">
        <v>0</v>
      </c>
      <c r="EU69" s="1509">
        <v>0</v>
      </c>
      <c r="EV69" s="1509">
        <v>4.4260682000000003E-2</v>
      </c>
      <c r="EW69" s="1509">
        <v>0.172484163</v>
      </c>
      <c r="EX69" s="1509">
        <v>5.5973846000000001E-2</v>
      </c>
      <c r="EY69" s="1509">
        <v>4.8956475999999999E-2</v>
      </c>
      <c r="EZ69" s="1509">
        <v>0.69267114900000004</v>
      </c>
      <c r="FA69" s="1509">
        <v>0.154685087</v>
      </c>
      <c r="FB69" s="1509">
        <v>0.15216189799999999</v>
      </c>
      <c r="FC69" s="1509">
        <v>1</v>
      </c>
      <c r="FD69" s="1509">
        <v>5.5973846000000001E-2</v>
      </c>
      <c r="FE69" s="1509">
        <v>5.0503049000000001E-2</v>
      </c>
      <c r="FF69" s="1509">
        <v>1</v>
      </c>
      <c r="FG69" s="1509">
        <v>0</v>
      </c>
      <c r="FH69" s="1509">
        <v>0</v>
      </c>
      <c r="FI69" s="1509">
        <v>1</v>
      </c>
      <c r="FJ69" s="1509">
        <v>3.1190145999999998E-2</v>
      </c>
      <c r="FK69" s="1509">
        <v>0.69267114900000004</v>
      </c>
      <c r="FL69" s="1509">
        <v>0.67745288299999995</v>
      </c>
      <c r="FM69" s="1509">
        <v>3.2316969000000001E-2</v>
      </c>
      <c r="FN69" s="1509">
        <v>2.1003048E-2</v>
      </c>
      <c r="FO69" s="1509">
        <v>0</v>
      </c>
      <c r="FP69" s="1509">
        <v>0</v>
      </c>
      <c r="FQ69" s="1509">
        <v>0.69267114900000004</v>
      </c>
      <c r="FR69" s="1509">
        <v>5.5973846000000001E-2</v>
      </c>
      <c r="FS69" s="1509">
        <v>0.12784320399999999</v>
      </c>
      <c r="FT69" s="1509">
        <v>1</v>
      </c>
      <c r="FU69" s="1509">
        <v>4.9328841999999998E-2</v>
      </c>
    </row>
    <row r="70" spans="1:177" s="1509" customFormat="1" x14ac:dyDescent="0.2">
      <c r="A70" s="1512" t="s">
        <v>665</v>
      </c>
      <c r="B70" s="1512" t="s">
        <v>1078</v>
      </c>
      <c r="C70" s="1509">
        <v>6.3229014E-2</v>
      </c>
      <c r="D70" s="1509">
        <v>0.12803437400000001</v>
      </c>
      <c r="E70" s="1509">
        <v>0.47024692400000001</v>
      </c>
      <c r="F70" s="1509">
        <v>0.516913238</v>
      </c>
      <c r="G70" s="1509">
        <v>0.55080457000000005</v>
      </c>
      <c r="H70" s="1509">
        <v>0.55080457000000005</v>
      </c>
      <c r="I70" s="1509">
        <v>1.7678932000000001E-2</v>
      </c>
      <c r="J70" s="1509">
        <v>1.7678932000000001E-2</v>
      </c>
      <c r="K70" s="1509">
        <v>6.3229014E-2</v>
      </c>
      <c r="L70" s="1509">
        <v>6.3229014E-2</v>
      </c>
      <c r="M70" s="1509">
        <v>6.3229014E-2</v>
      </c>
      <c r="N70" s="1509">
        <v>1.7678932000000001E-2</v>
      </c>
      <c r="O70" s="1509">
        <v>1.7678932000000001E-2</v>
      </c>
      <c r="P70" s="1509">
        <v>6.3229014E-2</v>
      </c>
      <c r="Q70" s="1509">
        <v>0.26353755600000001</v>
      </c>
      <c r="R70" s="1509">
        <v>0.26353755600000001</v>
      </c>
      <c r="S70" s="1509">
        <v>0.39371399200000001</v>
      </c>
      <c r="T70" s="1509">
        <v>2.8612740000000001E-2</v>
      </c>
      <c r="U70" s="1509">
        <v>0.25465264500000001</v>
      </c>
      <c r="V70" s="1509">
        <v>0.21642530800000001</v>
      </c>
      <c r="W70" s="1509">
        <v>0.21642530800000001</v>
      </c>
      <c r="X70" s="1509">
        <v>0.21642530800000001</v>
      </c>
      <c r="Y70" s="1509">
        <v>0.29699786099999997</v>
      </c>
      <c r="Z70" s="1509">
        <v>0.67109136800000002</v>
      </c>
      <c r="AA70" s="1509">
        <v>9.484911E-2</v>
      </c>
      <c r="AB70" s="1509">
        <v>4.1529093000000003E-2</v>
      </c>
      <c r="AC70" s="1509">
        <v>4.1529093000000003E-2</v>
      </c>
      <c r="AD70" s="1509">
        <v>4.1529093000000003E-2</v>
      </c>
      <c r="AE70" s="1509">
        <v>0.62006818200000002</v>
      </c>
      <c r="AF70" s="1509">
        <v>4.1529093000000003E-2</v>
      </c>
      <c r="AG70" s="1509">
        <v>4.1529093000000003E-2</v>
      </c>
      <c r="AH70" s="1509">
        <v>0.114134202</v>
      </c>
      <c r="AI70" s="1509">
        <v>0.114134202</v>
      </c>
      <c r="AJ70" s="1509">
        <v>8.6818313999999994E-2</v>
      </c>
      <c r="AK70" s="1509">
        <v>0.32746003400000001</v>
      </c>
      <c r="AL70" s="1509">
        <v>0.13201494899999999</v>
      </c>
      <c r="AM70" s="1509">
        <v>9.6424547999999999E-2</v>
      </c>
      <c r="AN70" s="1509">
        <v>0.26353755600000001</v>
      </c>
      <c r="AO70" s="1509">
        <v>0.27464818699999999</v>
      </c>
      <c r="AP70" s="1509">
        <v>0.647612772</v>
      </c>
      <c r="AQ70" s="1509">
        <v>2.284398E-3</v>
      </c>
      <c r="AR70" s="1509">
        <v>8.6806463E-2</v>
      </c>
      <c r="AS70" s="1509">
        <v>7.227082E-2</v>
      </c>
      <c r="AT70" s="1509">
        <v>8.6806463E-2</v>
      </c>
      <c r="AU70" s="1509">
        <v>7.8443279000000005E-2</v>
      </c>
      <c r="AV70" s="1509">
        <v>5.3293931000000003E-2</v>
      </c>
      <c r="AW70" s="1509">
        <v>2.3648926000000001E-2</v>
      </c>
      <c r="AX70" s="1509">
        <v>0.65177991099999999</v>
      </c>
      <c r="AY70" s="1509">
        <v>0.862294432</v>
      </c>
      <c r="AZ70" s="1509">
        <v>0.862294432</v>
      </c>
      <c r="BA70" s="1509">
        <v>0.81339299499999995</v>
      </c>
      <c r="BB70" s="1509">
        <v>0.97395592499999994</v>
      </c>
      <c r="BC70" s="1509">
        <v>0.13134349000000001</v>
      </c>
      <c r="BD70" s="1509">
        <v>0.13134349000000001</v>
      </c>
      <c r="BE70" s="1509">
        <v>0.59716351700000003</v>
      </c>
      <c r="BF70" s="1509">
        <v>0.13134349000000001</v>
      </c>
      <c r="BG70" s="1509">
        <v>0.55884305000000001</v>
      </c>
      <c r="BH70" s="1509">
        <v>0.158502955</v>
      </c>
      <c r="BI70" s="1509">
        <v>0.173856497</v>
      </c>
      <c r="BJ70" s="1509">
        <v>0.29699786099999997</v>
      </c>
      <c r="BK70" s="1509">
        <v>0.158502955</v>
      </c>
      <c r="BL70" s="1509">
        <v>0.85182714599999998</v>
      </c>
      <c r="BM70" s="1509">
        <v>0.26353755600000001</v>
      </c>
      <c r="BN70" s="1509">
        <v>0.63893091700000004</v>
      </c>
      <c r="BO70" s="1509">
        <v>0.91489964300000004</v>
      </c>
      <c r="BP70" s="1509">
        <v>0.85182714599999998</v>
      </c>
      <c r="BQ70" s="1509">
        <v>0.77798108399999999</v>
      </c>
      <c r="BR70" s="1509">
        <v>0.71288132299999996</v>
      </c>
      <c r="BS70" s="1509">
        <v>0.63893091700000004</v>
      </c>
      <c r="BT70" s="1509">
        <v>0.28427228500000001</v>
      </c>
      <c r="BU70" s="1509">
        <v>0.65699095200000002</v>
      </c>
      <c r="BV70" s="1509">
        <v>0.65699095200000002</v>
      </c>
      <c r="BW70" s="1509">
        <v>0.35800765400000001</v>
      </c>
      <c r="BX70" s="1509">
        <v>0.70491230199999999</v>
      </c>
      <c r="BY70" s="1509">
        <v>0.70491230199999999</v>
      </c>
      <c r="BZ70" s="1509">
        <v>0.70491230199999999</v>
      </c>
      <c r="CA70" s="1509">
        <v>0.82325647300000004</v>
      </c>
      <c r="CB70" s="1509">
        <v>0.32746003400000001</v>
      </c>
      <c r="CC70" s="1509">
        <v>0.35800765400000001</v>
      </c>
      <c r="CD70" s="1509">
        <v>0.80107121800000003</v>
      </c>
      <c r="CE70" s="1509">
        <v>0.84500160400000002</v>
      </c>
      <c r="CF70" s="1509">
        <v>0.90012905300000001</v>
      </c>
      <c r="CG70" s="1509">
        <v>4.6541354E-2</v>
      </c>
      <c r="CH70" s="1509">
        <v>0.114134202</v>
      </c>
      <c r="CI70" s="1509">
        <v>0.34477271500000001</v>
      </c>
      <c r="CJ70" s="1509">
        <v>0.81339299499999995</v>
      </c>
      <c r="CK70" s="1509">
        <v>0.12942231900000001</v>
      </c>
      <c r="CL70" s="1509">
        <v>0.12942231900000001</v>
      </c>
      <c r="CM70" s="1509">
        <v>0.96761365799999999</v>
      </c>
      <c r="CN70" s="1509">
        <v>0.45375336599999999</v>
      </c>
      <c r="CO70" s="1509">
        <v>0.26353755600000001</v>
      </c>
      <c r="CP70" s="1509">
        <v>0.45375336599999999</v>
      </c>
      <c r="CQ70" s="1509">
        <v>9.484911E-2</v>
      </c>
      <c r="CR70" s="1509">
        <v>1.2346185000000001E-2</v>
      </c>
      <c r="CS70" s="1509">
        <v>0.47024692400000001</v>
      </c>
      <c r="CT70" s="1509">
        <v>0.29699786099999997</v>
      </c>
      <c r="CU70" s="1509">
        <v>0.47024692400000001</v>
      </c>
      <c r="CV70" s="1509">
        <v>0.28427228500000001</v>
      </c>
      <c r="CW70" s="1509">
        <v>0.28427228500000001</v>
      </c>
      <c r="CX70" s="1509">
        <v>0.77743654100000004</v>
      </c>
      <c r="CY70" s="1509">
        <v>0.84029016099999998</v>
      </c>
      <c r="CZ70" s="1509">
        <v>0.70491230199999999</v>
      </c>
      <c r="DA70" s="1509">
        <v>0.75159910600000002</v>
      </c>
      <c r="DB70" s="1509">
        <v>0.794736891</v>
      </c>
      <c r="DC70" s="1509">
        <v>0.41557593399999998</v>
      </c>
      <c r="DD70" s="1509">
        <v>0.88996403599999996</v>
      </c>
      <c r="DE70" s="1509">
        <v>0.68842612599999997</v>
      </c>
      <c r="DF70" s="1509">
        <v>0.65359320799999998</v>
      </c>
      <c r="DG70" s="1509">
        <v>0.60591984799999998</v>
      </c>
      <c r="DH70" s="1509">
        <v>0.68842612599999997</v>
      </c>
      <c r="DI70" s="1509">
        <v>0.68842612599999997</v>
      </c>
      <c r="DJ70" s="1509">
        <v>0.90556669300000003</v>
      </c>
      <c r="DK70" s="1509">
        <v>0.96761365799999999</v>
      </c>
      <c r="DL70" s="1509">
        <v>0.62006818200000002</v>
      </c>
      <c r="DM70" s="1509">
        <v>0.91310899400000001</v>
      </c>
      <c r="DN70" s="1509">
        <v>0.81624930900000003</v>
      </c>
      <c r="DO70" s="1509">
        <v>8.894173E-3</v>
      </c>
      <c r="DP70" s="1509">
        <v>0.67996569600000001</v>
      </c>
      <c r="DQ70" s="1509">
        <v>0.56619016700000002</v>
      </c>
      <c r="DR70" s="1509">
        <v>0.75159910600000002</v>
      </c>
      <c r="DS70" s="1509">
        <v>0.76248013100000001</v>
      </c>
      <c r="DT70" s="1509">
        <v>0.94387969699999996</v>
      </c>
      <c r="DU70" s="1509">
        <v>0.25465264500000001</v>
      </c>
      <c r="DV70" s="1509">
        <v>4.1529093000000003E-2</v>
      </c>
      <c r="DW70" s="1509">
        <v>0.87997959299999995</v>
      </c>
      <c r="DX70" s="1509">
        <v>5.3615077999999997E-2</v>
      </c>
      <c r="DY70" s="1509">
        <v>0.77743654100000004</v>
      </c>
      <c r="DZ70" s="1509">
        <v>0.13134349000000001</v>
      </c>
      <c r="EA70" s="1509">
        <v>0.97395592499999994</v>
      </c>
      <c r="EB70" s="1509">
        <v>0.34477271500000001</v>
      </c>
      <c r="EC70" s="1509">
        <v>0.34477271500000001</v>
      </c>
      <c r="ED70" s="1509">
        <v>0.63893091700000004</v>
      </c>
      <c r="EE70" s="1509">
        <v>0.39723840599999999</v>
      </c>
      <c r="EF70" s="1509">
        <v>0.65699095200000002</v>
      </c>
      <c r="EG70" s="1509">
        <v>0.70491230199999999</v>
      </c>
      <c r="EH70" s="1509">
        <v>0.69930982100000005</v>
      </c>
      <c r="EI70" s="1509">
        <v>0.90012905300000001</v>
      </c>
      <c r="EJ70" s="1509">
        <v>0.90012905300000001</v>
      </c>
      <c r="EK70" s="1509">
        <v>3.700502E-3</v>
      </c>
      <c r="EL70" s="1509">
        <v>0.794736891</v>
      </c>
      <c r="EM70" s="1509">
        <v>0.70016280500000005</v>
      </c>
      <c r="EN70" s="1509">
        <v>0.71477846599999995</v>
      </c>
      <c r="EO70" s="1509">
        <v>0.95809380099999997</v>
      </c>
      <c r="EP70" s="1509">
        <v>0.70491230199999999</v>
      </c>
      <c r="EQ70" s="1509">
        <v>9.6424547999999999E-2</v>
      </c>
      <c r="ER70" s="1509">
        <v>8.894173E-3</v>
      </c>
      <c r="ES70" s="1509">
        <v>8.894173E-3</v>
      </c>
      <c r="ET70" s="1509">
        <v>0.87132701199999996</v>
      </c>
      <c r="EU70" s="1509">
        <v>0.78045129999999996</v>
      </c>
      <c r="EV70" s="1509">
        <v>4.1529093000000003E-2</v>
      </c>
      <c r="EW70" s="1509">
        <v>0.59576548600000001</v>
      </c>
      <c r="EX70" s="1509">
        <v>0.77743654100000004</v>
      </c>
      <c r="EY70" s="1509">
        <v>0.93746560099999998</v>
      </c>
      <c r="EZ70" s="1509">
        <v>0.70491230199999999</v>
      </c>
      <c r="FA70" s="1509">
        <v>0.53935383800000003</v>
      </c>
      <c r="FB70" s="1509">
        <v>0.48465201299999999</v>
      </c>
      <c r="FC70" s="1509">
        <v>0.862294432</v>
      </c>
      <c r="FD70" s="1509">
        <v>0.97395592499999994</v>
      </c>
      <c r="FE70" s="1509">
        <v>0.77743654100000004</v>
      </c>
      <c r="FF70" s="1509">
        <v>0.27464818699999999</v>
      </c>
      <c r="FG70" s="1509">
        <v>0.928494559</v>
      </c>
      <c r="FH70" s="1509">
        <v>0.67996569600000001</v>
      </c>
      <c r="FI70" s="1509">
        <v>0.78406530299999999</v>
      </c>
      <c r="FJ70" s="1509">
        <v>0.69930982100000005</v>
      </c>
      <c r="FK70" s="1509">
        <v>0.75159910600000002</v>
      </c>
      <c r="FL70" s="1509">
        <v>0.68842612599999997</v>
      </c>
      <c r="FM70" s="1509">
        <v>0.158502955</v>
      </c>
      <c r="FN70" s="1509">
        <v>0.80623607200000003</v>
      </c>
      <c r="FO70" s="1509">
        <v>0.892315003</v>
      </c>
      <c r="FP70" s="1509">
        <v>0.45151141500000003</v>
      </c>
      <c r="FQ70" s="1509">
        <v>0.70491230199999999</v>
      </c>
      <c r="FR70" s="1509">
        <v>0.983884816</v>
      </c>
      <c r="FS70" s="1509">
        <v>0.89972790300000005</v>
      </c>
      <c r="FT70" s="1509">
        <v>0.71477846599999995</v>
      </c>
      <c r="FU70" s="1509">
        <v>0.114134202</v>
      </c>
    </row>
    <row r="71" spans="1:177" s="1509" customFormat="1" x14ac:dyDescent="0.2">
      <c r="A71" s="1512" t="s">
        <v>665</v>
      </c>
      <c r="B71" s="1512" t="s">
        <v>1024</v>
      </c>
      <c r="C71" s="1509" t="s">
        <v>2372</v>
      </c>
      <c r="D71" s="1509">
        <v>0.50900900900000001</v>
      </c>
      <c r="E71" s="1509" t="s">
        <v>2372</v>
      </c>
      <c r="F71" s="1509" t="s">
        <v>2372</v>
      </c>
      <c r="G71" s="1509">
        <v>0</v>
      </c>
      <c r="H71" s="1509" t="s">
        <v>2372</v>
      </c>
      <c r="I71" s="1509">
        <v>0.70720720699999995</v>
      </c>
      <c r="J71" s="1509">
        <v>0.61711711700000005</v>
      </c>
      <c r="K71" s="1509">
        <v>0.71171171200000005</v>
      </c>
      <c r="L71" s="1509">
        <v>0.78828828799999995</v>
      </c>
      <c r="M71" s="1509">
        <v>0.76126126100000002</v>
      </c>
      <c r="N71" s="1509">
        <v>0</v>
      </c>
      <c r="O71" s="1509">
        <v>0</v>
      </c>
      <c r="P71" s="1509">
        <v>0</v>
      </c>
      <c r="Q71" s="1509" t="s">
        <v>2372</v>
      </c>
      <c r="R71" s="1509">
        <v>0</v>
      </c>
      <c r="S71" s="1509">
        <v>0</v>
      </c>
      <c r="T71" s="1509" t="s">
        <v>2372</v>
      </c>
      <c r="U71" s="1509" t="s">
        <v>2372</v>
      </c>
      <c r="V71" s="1509" t="s">
        <v>2372</v>
      </c>
      <c r="W71" s="1509">
        <v>0</v>
      </c>
      <c r="X71" s="1509" t="s">
        <v>2372</v>
      </c>
      <c r="Y71" s="1509">
        <v>0.44144144099999999</v>
      </c>
      <c r="Z71" s="1509" t="s">
        <v>2372</v>
      </c>
      <c r="AA71" s="1509">
        <v>0.94594594600000004</v>
      </c>
      <c r="AB71" s="1509" t="s">
        <v>2372</v>
      </c>
      <c r="AC71" s="1509" t="s">
        <v>2372</v>
      </c>
      <c r="AD71" s="1509" t="s">
        <v>2372</v>
      </c>
      <c r="AE71" s="1509">
        <v>0</v>
      </c>
      <c r="AF71" s="1509">
        <v>0</v>
      </c>
      <c r="AG71" s="1509">
        <v>0.65315315299999999</v>
      </c>
      <c r="AH71" s="1509">
        <v>0</v>
      </c>
      <c r="AI71" s="1509" t="s">
        <v>2372</v>
      </c>
      <c r="AJ71" s="1509" t="s">
        <v>2372</v>
      </c>
      <c r="AK71" s="1509">
        <v>0</v>
      </c>
      <c r="AL71" s="1509" t="s">
        <v>2372</v>
      </c>
      <c r="AM71" s="1509">
        <v>0</v>
      </c>
      <c r="AN71" s="1509" t="s">
        <v>2372</v>
      </c>
      <c r="AO71" s="1509">
        <v>0.26645767999999997</v>
      </c>
      <c r="AP71" s="1509">
        <v>0</v>
      </c>
      <c r="AQ71" s="1509">
        <v>0.78828828799999995</v>
      </c>
      <c r="AR71" s="1509">
        <v>0.97169811299999997</v>
      </c>
      <c r="AS71" s="1509" t="s">
        <v>2372</v>
      </c>
      <c r="AT71" s="1509" t="s">
        <v>2372</v>
      </c>
      <c r="AU71" s="1509" t="s">
        <v>2372</v>
      </c>
      <c r="AV71" s="1509" t="s">
        <v>2372</v>
      </c>
      <c r="AW71" s="1509">
        <v>0</v>
      </c>
      <c r="AX71" s="1509">
        <v>0.58695652200000004</v>
      </c>
      <c r="AY71" s="1509">
        <v>0.92929292900000005</v>
      </c>
      <c r="AZ71" s="1509">
        <v>0.71380471400000001</v>
      </c>
      <c r="BA71" s="1509">
        <v>0</v>
      </c>
      <c r="BB71" s="1509">
        <v>0.91582491600000004</v>
      </c>
      <c r="BC71" s="1509" t="s">
        <v>2372</v>
      </c>
      <c r="BD71" s="1509">
        <v>0.92452830200000002</v>
      </c>
      <c r="BE71" s="1509">
        <v>0</v>
      </c>
      <c r="BF71" s="1509" t="s">
        <v>2372</v>
      </c>
      <c r="BG71" s="1509" t="s">
        <v>2372</v>
      </c>
      <c r="BH71" s="1509">
        <v>0</v>
      </c>
      <c r="BI71" s="1509" t="s">
        <v>2372</v>
      </c>
      <c r="BJ71" s="1509" t="s">
        <v>2372</v>
      </c>
      <c r="BK71" s="1509">
        <v>0</v>
      </c>
      <c r="BL71" s="1509">
        <v>0</v>
      </c>
      <c r="BM71" s="1509">
        <v>0</v>
      </c>
      <c r="BN71" s="1509">
        <v>0.80630630599999997</v>
      </c>
      <c r="BO71" s="1509">
        <v>0</v>
      </c>
      <c r="BP71" s="1509">
        <v>0.45045045</v>
      </c>
      <c r="BQ71" s="1509">
        <v>0</v>
      </c>
      <c r="BR71" s="1509" t="s">
        <v>2372</v>
      </c>
      <c r="BS71" s="1509">
        <v>0</v>
      </c>
      <c r="BT71" s="1509">
        <v>0</v>
      </c>
      <c r="BU71" s="1509" t="s">
        <v>2372</v>
      </c>
      <c r="BV71" s="1509">
        <v>0</v>
      </c>
      <c r="BW71" s="1509" t="s">
        <v>2372</v>
      </c>
      <c r="BX71" s="1509">
        <v>0.71875</v>
      </c>
      <c r="BY71" s="1509" t="s">
        <v>2372</v>
      </c>
      <c r="BZ71" s="1509">
        <v>0</v>
      </c>
      <c r="CA71" s="1509">
        <v>0</v>
      </c>
      <c r="CB71" s="1509" t="s">
        <v>2372</v>
      </c>
      <c r="CC71" s="1509">
        <v>0.99769053100000005</v>
      </c>
      <c r="CD71" s="1509">
        <v>0</v>
      </c>
      <c r="CE71" s="1509">
        <v>1</v>
      </c>
      <c r="CF71" s="1509" t="s">
        <v>2372</v>
      </c>
      <c r="CG71" s="1509">
        <v>0.68918918900000004</v>
      </c>
      <c r="CH71" s="1509">
        <v>0</v>
      </c>
      <c r="CI71" s="1509">
        <v>0.94594594600000004</v>
      </c>
      <c r="CJ71" s="1509">
        <v>0</v>
      </c>
      <c r="CK71" s="1509" t="s">
        <v>2372</v>
      </c>
      <c r="CL71" s="1509" t="s">
        <v>2372</v>
      </c>
      <c r="CM71" s="1509">
        <v>0.85054347799999996</v>
      </c>
      <c r="CN71" s="1509">
        <v>0.99769053100000005</v>
      </c>
      <c r="CO71" s="1509" t="s">
        <v>2372</v>
      </c>
      <c r="CP71" s="1509">
        <v>1</v>
      </c>
      <c r="CQ71" s="1509">
        <v>0</v>
      </c>
      <c r="CR71" s="1509">
        <v>0.72072072099999995</v>
      </c>
      <c r="CS71" s="1509">
        <v>0.44594594599999998</v>
      </c>
      <c r="CT71" s="1509" t="s">
        <v>2372</v>
      </c>
      <c r="CU71" s="1509" t="s">
        <v>2372</v>
      </c>
      <c r="CV71" s="1509">
        <v>0</v>
      </c>
      <c r="CW71" s="1509" t="s">
        <v>2372</v>
      </c>
      <c r="CX71" s="1509">
        <v>0.683501684</v>
      </c>
      <c r="CY71" s="1509">
        <v>0.58585858599999996</v>
      </c>
      <c r="CZ71" s="1509">
        <v>0</v>
      </c>
      <c r="DA71" s="1509">
        <v>0.70244565199999998</v>
      </c>
      <c r="DB71" s="1509">
        <v>0</v>
      </c>
      <c r="DC71" s="1509" t="s">
        <v>2372</v>
      </c>
      <c r="DD71" s="1509">
        <v>0</v>
      </c>
      <c r="DE71" s="1509">
        <v>0.75</v>
      </c>
      <c r="DF71" s="1509">
        <v>0.7</v>
      </c>
      <c r="DG71" s="1509">
        <v>0.65</v>
      </c>
      <c r="DH71" s="1509" t="s">
        <v>2372</v>
      </c>
      <c r="DI71" s="1509">
        <v>0.95</v>
      </c>
      <c r="DJ71" s="1509">
        <v>0.75407608699999995</v>
      </c>
      <c r="DK71" s="1509">
        <v>0</v>
      </c>
      <c r="DL71" s="1509" t="s">
        <v>2372</v>
      </c>
      <c r="DM71" s="1509">
        <v>0</v>
      </c>
      <c r="DN71" s="1509" t="s">
        <v>2372</v>
      </c>
      <c r="DO71" s="1509">
        <v>0.58922558899999999</v>
      </c>
      <c r="DP71" s="1509">
        <v>0.807065217</v>
      </c>
      <c r="DQ71" s="1509">
        <v>0</v>
      </c>
      <c r="DR71" s="1509">
        <v>0</v>
      </c>
      <c r="DS71" s="1509">
        <v>0</v>
      </c>
      <c r="DT71" s="1509">
        <v>0.92391304299999999</v>
      </c>
      <c r="DU71" s="1509" t="s">
        <v>2372</v>
      </c>
      <c r="DV71" s="1509" t="s">
        <v>2372</v>
      </c>
      <c r="DW71" s="1509" t="s">
        <v>2372</v>
      </c>
      <c r="DX71" s="1509">
        <v>0</v>
      </c>
      <c r="DY71" s="1509" t="s">
        <v>2372</v>
      </c>
      <c r="DZ71" s="1509" t="s">
        <v>2372</v>
      </c>
      <c r="EA71" s="1509">
        <v>0.74410774400000002</v>
      </c>
      <c r="EB71" s="1509" t="s">
        <v>2372</v>
      </c>
      <c r="EC71" s="1509" t="s">
        <v>2372</v>
      </c>
      <c r="ED71" s="1509">
        <v>0.986486486</v>
      </c>
      <c r="EE71" s="1509">
        <v>0.99769053100000005</v>
      </c>
      <c r="EF71" s="1509">
        <v>0.73063973100000001</v>
      </c>
      <c r="EG71" s="1509" t="s">
        <v>2372</v>
      </c>
      <c r="EH71" s="1509">
        <v>0.97643097599999995</v>
      </c>
      <c r="EI71" s="1509" t="s">
        <v>2372</v>
      </c>
      <c r="EJ71" s="1509" t="s">
        <v>2372</v>
      </c>
      <c r="EK71" s="1509">
        <v>0.99549549500000001</v>
      </c>
      <c r="EL71" s="1509">
        <v>0.5</v>
      </c>
      <c r="EM71" s="1509">
        <v>0.85</v>
      </c>
      <c r="EN71" s="1509">
        <v>0.5</v>
      </c>
      <c r="EO71" s="1509" t="s">
        <v>2372</v>
      </c>
      <c r="EP71" s="1509" t="s">
        <v>2372</v>
      </c>
      <c r="EQ71" s="1509">
        <v>0</v>
      </c>
      <c r="ER71" s="1509">
        <v>0</v>
      </c>
      <c r="ES71" s="1509">
        <v>0</v>
      </c>
      <c r="ET71" s="1509">
        <v>1</v>
      </c>
      <c r="EU71" s="1509" t="s">
        <v>2372</v>
      </c>
      <c r="EV71" s="1509" t="s">
        <v>2372</v>
      </c>
      <c r="EW71" s="1509">
        <v>0.75235109700000002</v>
      </c>
      <c r="EX71" s="1509" t="s">
        <v>2372</v>
      </c>
      <c r="EY71" s="1509">
        <v>0.88888888899999996</v>
      </c>
      <c r="EZ71" s="1509">
        <v>0.93478260899999999</v>
      </c>
      <c r="FA71" s="1509">
        <v>1</v>
      </c>
      <c r="FB71" s="1509">
        <v>0.80877742900000005</v>
      </c>
      <c r="FC71" s="1509" t="s">
        <v>2372</v>
      </c>
      <c r="FD71" s="1509">
        <v>0.93602693599999998</v>
      </c>
      <c r="FE71" s="1509">
        <v>0</v>
      </c>
      <c r="FF71" s="1509">
        <v>0.47335423199999999</v>
      </c>
      <c r="FG71" s="1509">
        <v>0.55000000000000004</v>
      </c>
      <c r="FH71" s="1509">
        <v>0.77038043499999997</v>
      </c>
      <c r="FI71" s="1509">
        <v>0.42006269600000001</v>
      </c>
      <c r="FJ71" s="1509">
        <v>0</v>
      </c>
      <c r="FK71" s="1509">
        <v>0.87228260899999999</v>
      </c>
      <c r="FL71" s="1509">
        <v>0.75</v>
      </c>
      <c r="FM71" s="1509" t="s">
        <v>2372</v>
      </c>
      <c r="FN71" s="1509">
        <v>0</v>
      </c>
      <c r="FO71" s="1509">
        <v>0.72282608699999995</v>
      </c>
      <c r="FP71" s="1509">
        <v>0.29467084599999999</v>
      </c>
      <c r="FQ71" s="1509">
        <v>0.87092391300000005</v>
      </c>
      <c r="FR71" s="1509" t="s">
        <v>2372</v>
      </c>
      <c r="FS71" s="1509">
        <v>0.78369906</v>
      </c>
      <c r="FT71" s="1509" t="s">
        <v>2372</v>
      </c>
      <c r="FU71" s="1509">
        <v>0</v>
      </c>
    </row>
    <row r="72" spans="1:177" s="1509" customFormat="1" x14ac:dyDescent="0.2">
      <c r="A72" s="1512" t="s">
        <v>665</v>
      </c>
      <c r="B72" s="1512" t="s">
        <v>1032</v>
      </c>
      <c r="C72" s="1509">
        <v>0</v>
      </c>
      <c r="D72" s="1509">
        <v>0</v>
      </c>
      <c r="E72" s="1509">
        <v>0.98186548500000004</v>
      </c>
      <c r="F72" s="1509">
        <v>0</v>
      </c>
      <c r="G72" s="1509">
        <v>0.98186548500000004</v>
      </c>
      <c r="H72" s="1509">
        <v>0</v>
      </c>
      <c r="I72" s="1509">
        <v>0</v>
      </c>
      <c r="J72" s="1509">
        <v>0.99998841999999999</v>
      </c>
      <c r="K72" s="1509">
        <v>0.99998841999999999</v>
      </c>
      <c r="L72" s="1509">
        <v>0</v>
      </c>
      <c r="M72" s="1509">
        <v>0</v>
      </c>
      <c r="N72" s="1509">
        <v>0.98186548500000004</v>
      </c>
      <c r="O72" s="1509">
        <v>0.99998841999999999</v>
      </c>
      <c r="P72" s="1509">
        <v>0.99998841999999999</v>
      </c>
      <c r="Q72" s="1509">
        <v>0</v>
      </c>
      <c r="R72" s="1509">
        <v>0.99786484600000003</v>
      </c>
      <c r="S72" s="1509">
        <v>0</v>
      </c>
      <c r="T72" s="1509">
        <v>0</v>
      </c>
      <c r="U72" s="1509">
        <v>0</v>
      </c>
      <c r="V72" s="1509">
        <v>0</v>
      </c>
      <c r="W72" s="1509">
        <v>0</v>
      </c>
      <c r="X72" s="1509">
        <v>0</v>
      </c>
      <c r="Y72" s="1509">
        <v>0</v>
      </c>
      <c r="Z72" s="1509">
        <v>0</v>
      </c>
      <c r="AA72" s="1509">
        <v>0</v>
      </c>
      <c r="AB72" s="1509">
        <v>0</v>
      </c>
      <c r="AC72" s="1509">
        <v>0</v>
      </c>
      <c r="AD72" s="1509">
        <v>0</v>
      </c>
      <c r="AE72" s="1509">
        <v>0.99786484600000003</v>
      </c>
      <c r="AF72" s="1509">
        <v>0</v>
      </c>
      <c r="AG72" s="1509">
        <v>1</v>
      </c>
      <c r="AH72" s="1509">
        <v>0.98186548500000004</v>
      </c>
      <c r="AI72" s="1509">
        <v>0</v>
      </c>
      <c r="AJ72" s="1509">
        <v>0</v>
      </c>
      <c r="AK72" s="1509">
        <v>0.99786484600000003</v>
      </c>
      <c r="AL72" s="1509">
        <v>0</v>
      </c>
      <c r="AM72" s="1509">
        <v>0.99982856399999998</v>
      </c>
      <c r="AN72" s="1509">
        <v>0</v>
      </c>
      <c r="AO72" s="1509">
        <v>0</v>
      </c>
      <c r="AP72" s="1509">
        <v>0.99506823700000002</v>
      </c>
      <c r="AQ72" s="1509">
        <v>0</v>
      </c>
      <c r="AR72" s="1509">
        <v>0.97861900800000001</v>
      </c>
      <c r="AS72" s="1509">
        <v>0.99997670900000002</v>
      </c>
      <c r="AT72" s="1509">
        <v>0</v>
      </c>
      <c r="AU72" s="1509">
        <v>0.99997670900000002</v>
      </c>
      <c r="AV72" s="1509">
        <v>0</v>
      </c>
      <c r="AW72" s="1509">
        <v>0</v>
      </c>
      <c r="AX72" s="1509">
        <v>0.99489016900000005</v>
      </c>
      <c r="AY72" s="1509">
        <v>0</v>
      </c>
      <c r="AZ72" s="1509">
        <v>0</v>
      </c>
      <c r="BA72" s="1509">
        <v>0</v>
      </c>
      <c r="BB72" s="1509">
        <v>0.98581662000000003</v>
      </c>
      <c r="BC72" s="1509">
        <v>0</v>
      </c>
      <c r="BD72" s="1509">
        <v>0.97861900800000001</v>
      </c>
      <c r="BE72" s="1509">
        <v>0.98404796100000003</v>
      </c>
      <c r="BF72" s="1509">
        <v>0</v>
      </c>
      <c r="BG72" s="1509">
        <v>0</v>
      </c>
      <c r="BH72" s="1509">
        <v>0.98186548500000004</v>
      </c>
      <c r="BI72" s="1509">
        <v>0</v>
      </c>
      <c r="BJ72" s="1509">
        <v>0.98186548500000004</v>
      </c>
      <c r="BK72" s="1509">
        <v>0.98186548500000004</v>
      </c>
      <c r="BL72" s="1509">
        <v>0.98186548500000004</v>
      </c>
      <c r="BM72" s="1509">
        <v>0.99786484600000003</v>
      </c>
      <c r="BN72" s="1509">
        <v>0</v>
      </c>
      <c r="BO72" s="1509">
        <v>0.99998841999999999</v>
      </c>
      <c r="BP72" s="1509">
        <v>0.98186548500000004</v>
      </c>
      <c r="BQ72" s="1509">
        <v>0.98186548500000004</v>
      </c>
      <c r="BR72" s="1509">
        <v>0.98186548500000004</v>
      </c>
      <c r="BS72" s="1509">
        <v>0.98186548500000004</v>
      </c>
      <c r="BT72" s="1509">
        <v>0</v>
      </c>
      <c r="BU72" s="1509">
        <v>0.98581662000000003</v>
      </c>
      <c r="BV72" s="1509">
        <v>0</v>
      </c>
      <c r="BW72" s="1509">
        <v>0.99786484600000003</v>
      </c>
      <c r="BX72" s="1509">
        <v>0.99968794900000002</v>
      </c>
      <c r="BY72" s="1509">
        <v>0.99968794900000002</v>
      </c>
      <c r="BZ72" s="1509">
        <v>0.99996099400000005</v>
      </c>
      <c r="CA72" s="1509">
        <v>0.95410978099999999</v>
      </c>
      <c r="CB72" s="1509">
        <v>0</v>
      </c>
      <c r="CC72" s="1509">
        <v>0</v>
      </c>
      <c r="CD72" s="1509">
        <v>0.95410978099999999</v>
      </c>
      <c r="CE72" s="1509">
        <v>0.99786484600000003</v>
      </c>
      <c r="CF72" s="1509">
        <v>0</v>
      </c>
      <c r="CG72" s="1509">
        <v>0.98186548500000004</v>
      </c>
      <c r="CH72" s="1509">
        <v>0</v>
      </c>
      <c r="CI72" s="1509">
        <v>0</v>
      </c>
      <c r="CJ72" s="1509">
        <v>1</v>
      </c>
      <c r="CK72" s="1509">
        <v>0</v>
      </c>
      <c r="CL72" s="1509">
        <v>0</v>
      </c>
      <c r="CM72" s="1509">
        <v>0</v>
      </c>
      <c r="CN72" s="1509">
        <v>0.95410978099999999</v>
      </c>
      <c r="CO72" s="1509">
        <v>0.99786484600000003</v>
      </c>
      <c r="CP72" s="1509">
        <v>0.99786484600000003</v>
      </c>
      <c r="CQ72" s="1509">
        <v>0.98186548500000004</v>
      </c>
      <c r="CR72" s="1509">
        <v>0</v>
      </c>
      <c r="CS72" s="1509">
        <v>0.98186548500000004</v>
      </c>
      <c r="CT72" s="1509">
        <v>0</v>
      </c>
      <c r="CU72" s="1509">
        <v>0</v>
      </c>
      <c r="CV72" s="1509">
        <v>0</v>
      </c>
      <c r="CW72" s="1509">
        <v>0</v>
      </c>
      <c r="CX72" s="1509">
        <v>0</v>
      </c>
      <c r="CY72" s="1509">
        <v>1</v>
      </c>
      <c r="CZ72" s="1509">
        <v>0.99489016900000005</v>
      </c>
      <c r="DA72" s="1509">
        <v>0.99489016900000005</v>
      </c>
      <c r="DB72" s="1509">
        <v>0.99833720000000004</v>
      </c>
      <c r="DC72" s="1509">
        <v>0</v>
      </c>
      <c r="DD72" s="1509">
        <v>0.93868909499999997</v>
      </c>
      <c r="DE72" s="1509">
        <v>0</v>
      </c>
      <c r="DF72" s="1509">
        <v>0</v>
      </c>
      <c r="DG72" s="1509">
        <v>0</v>
      </c>
      <c r="DH72" s="1509">
        <v>0</v>
      </c>
      <c r="DI72" s="1509">
        <v>0</v>
      </c>
      <c r="DJ72" s="1509">
        <v>0.99489016900000005</v>
      </c>
      <c r="DK72" s="1509">
        <v>0.99489016900000005</v>
      </c>
      <c r="DL72" s="1509">
        <v>0.99786484600000003</v>
      </c>
      <c r="DM72" s="1509">
        <v>0.99982856399999998</v>
      </c>
      <c r="DN72" s="1509">
        <v>0</v>
      </c>
      <c r="DO72" s="1509">
        <v>0.99997132399999999</v>
      </c>
      <c r="DP72" s="1509">
        <v>0.99996099400000005</v>
      </c>
      <c r="DQ72" s="1509">
        <v>1</v>
      </c>
      <c r="DR72" s="1509">
        <v>0.99489016900000005</v>
      </c>
      <c r="DS72" s="1509">
        <v>0.99489016900000005</v>
      </c>
      <c r="DT72" s="1509">
        <v>0.99489016900000005</v>
      </c>
      <c r="DU72" s="1509">
        <v>0</v>
      </c>
      <c r="DV72" s="1509">
        <v>0</v>
      </c>
      <c r="DW72" s="1509">
        <v>0</v>
      </c>
      <c r="DX72" s="1509">
        <v>0.97861900800000001</v>
      </c>
      <c r="DY72" s="1509">
        <v>0.98581662000000003</v>
      </c>
      <c r="DZ72" s="1509">
        <v>0</v>
      </c>
      <c r="EA72" s="1509">
        <v>0</v>
      </c>
      <c r="EB72" s="1509">
        <v>0</v>
      </c>
      <c r="EC72" s="1509">
        <v>0</v>
      </c>
      <c r="ED72" s="1509">
        <v>0.98186548500000004</v>
      </c>
      <c r="EE72" s="1509">
        <v>0</v>
      </c>
      <c r="EF72" s="1509">
        <v>0</v>
      </c>
      <c r="EG72" s="1509">
        <v>0</v>
      </c>
      <c r="EH72" s="1509">
        <v>0.98581662000000003</v>
      </c>
      <c r="EI72" s="1509">
        <v>0</v>
      </c>
      <c r="EJ72" s="1509">
        <v>0</v>
      </c>
      <c r="EK72" s="1509">
        <v>0</v>
      </c>
      <c r="EL72" s="1509">
        <v>0</v>
      </c>
      <c r="EM72" s="1509">
        <v>0</v>
      </c>
      <c r="EN72" s="1509">
        <v>0</v>
      </c>
      <c r="EO72" s="1509">
        <v>0</v>
      </c>
      <c r="EP72" s="1509">
        <v>0</v>
      </c>
      <c r="EQ72" s="1509">
        <v>0.99786484600000003</v>
      </c>
      <c r="ER72" s="1509">
        <v>1</v>
      </c>
      <c r="ES72" s="1509">
        <v>0.98581662000000003</v>
      </c>
      <c r="ET72" s="1509">
        <v>0</v>
      </c>
      <c r="EU72" s="1509">
        <v>0</v>
      </c>
      <c r="EV72" s="1509">
        <v>0</v>
      </c>
      <c r="EW72" s="1509">
        <v>0</v>
      </c>
      <c r="EX72" s="1509">
        <v>0</v>
      </c>
      <c r="EY72" s="1509">
        <v>0</v>
      </c>
      <c r="EZ72" s="1509">
        <v>0</v>
      </c>
      <c r="FA72" s="1509">
        <v>0.99961816599999997</v>
      </c>
      <c r="FB72" s="1509">
        <v>0</v>
      </c>
      <c r="FC72" s="1509">
        <v>0.98581662000000003</v>
      </c>
      <c r="FD72" s="1509">
        <v>0</v>
      </c>
      <c r="FE72" s="1509">
        <v>0.98581662000000003</v>
      </c>
      <c r="FF72" s="1509">
        <v>0</v>
      </c>
      <c r="FG72" s="1509">
        <v>0</v>
      </c>
      <c r="FH72" s="1509">
        <v>0</v>
      </c>
      <c r="FI72" s="1509">
        <v>0</v>
      </c>
      <c r="FJ72" s="1509">
        <v>1</v>
      </c>
      <c r="FK72" s="1509">
        <v>0</v>
      </c>
      <c r="FL72" s="1509">
        <v>0</v>
      </c>
      <c r="FM72" s="1509">
        <v>0</v>
      </c>
      <c r="FN72" s="1509">
        <v>1</v>
      </c>
      <c r="FO72" s="1509">
        <v>0</v>
      </c>
      <c r="FP72" s="1509">
        <v>0</v>
      </c>
      <c r="FQ72" s="1509">
        <v>0</v>
      </c>
      <c r="FR72" s="1509">
        <v>0</v>
      </c>
      <c r="FS72" s="1509">
        <v>0</v>
      </c>
      <c r="FT72" s="1509">
        <v>0</v>
      </c>
      <c r="FU72" s="1509">
        <v>0</v>
      </c>
    </row>
    <row r="73" spans="1:177" s="1509" customFormat="1" x14ac:dyDescent="0.2">
      <c r="A73" s="1512" t="s">
        <v>665</v>
      </c>
      <c r="B73" s="1512" t="s">
        <v>1205</v>
      </c>
      <c r="C73" s="1509">
        <v>2.1938421999999957E-2</v>
      </c>
      <c r="D73" s="1509">
        <v>4.3045815000000043E-2</v>
      </c>
      <c r="E73" s="1509">
        <v>1</v>
      </c>
      <c r="F73" s="1509">
        <v>1</v>
      </c>
      <c r="G73" s="1509">
        <v>1</v>
      </c>
      <c r="H73" s="1509">
        <v>1</v>
      </c>
      <c r="I73" s="1509">
        <v>3.8052187000000015E-2</v>
      </c>
      <c r="J73" s="1509">
        <v>3.5555373000000001E-2</v>
      </c>
      <c r="K73" s="1509">
        <v>3.9252147999999987E-2</v>
      </c>
      <c r="L73" s="1509">
        <v>3.1512026000000026E-2</v>
      </c>
      <c r="M73" s="1509">
        <v>4.1327858000000051E-2</v>
      </c>
      <c r="N73" s="1509">
        <v>2.6801618999999999E-2</v>
      </c>
      <c r="O73" s="1509">
        <v>2.9268619999999967E-2</v>
      </c>
      <c r="P73" s="1509">
        <v>2.7084839000000027E-2</v>
      </c>
      <c r="Q73" s="1509">
        <v>1</v>
      </c>
      <c r="R73" s="1509">
        <v>4.6524663999999993E-2</v>
      </c>
      <c r="S73" s="1509">
        <v>1</v>
      </c>
      <c r="T73" s="1509">
        <v>2.3373157999999949E-2</v>
      </c>
      <c r="U73" s="1509">
        <v>2.2452691000000025E-2</v>
      </c>
      <c r="V73" s="1509">
        <v>3.5864679999999982E-2</v>
      </c>
      <c r="W73" s="1509">
        <v>3.1068561999999966E-2</v>
      </c>
      <c r="X73" s="1509">
        <v>1</v>
      </c>
      <c r="Y73" s="1509">
        <v>1</v>
      </c>
      <c r="Z73" s="1509">
        <v>1</v>
      </c>
      <c r="AA73" s="1509">
        <v>2.2348346999999991E-2</v>
      </c>
      <c r="AB73" s="1509">
        <v>4.9708953E-2</v>
      </c>
      <c r="AC73" s="1509">
        <v>1</v>
      </c>
      <c r="AD73" s="1509">
        <v>3.9319227000000012E-2</v>
      </c>
      <c r="AE73" s="1509">
        <v>4.6026408000000019E-2</v>
      </c>
      <c r="AF73" s="1509">
        <v>1.782054200000005E-2</v>
      </c>
      <c r="AG73" s="1509">
        <v>4.5032085999999971E-2</v>
      </c>
      <c r="AH73" s="1509">
        <v>2.1729733000000029E-2</v>
      </c>
      <c r="AI73" s="1509">
        <v>1</v>
      </c>
      <c r="AJ73" s="1509">
        <v>2.5225272000000021E-2</v>
      </c>
      <c r="AK73" s="1509">
        <v>4.6353387999999995E-2</v>
      </c>
      <c r="AL73" s="1509">
        <v>4.6267750000000052E-2</v>
      </c>
      <c r="AM73" s="1509">
        <v>4.6026408000000019E-2</v>
      </c>
      <c r="AN73" s="1509">
        <v>1</v>
      </c>
      <c r="AO73" s="1509">
        <v>3.9879113999999993E-2</v>
      </c>
      <c r="AP73" s="1509">
        <v>0</v>
      </c>
      <c r="AQ73" s="1509">
        <v>1</v>
      </c>
      <c r="AR73" s="1509">
        <v>2.1791934999999985E-2</v>
      </c>
      <c r="AS73" s="1509">
        <v>2.1807309000000052E-2</v>
      </c>
      <c r="AT73" s="1509">
        <v>2.5043429999999978E-2</v>
      </c>
      <c r="AU73" s="1509">
        <v>2.1223116000000042E-2</v>
      </c>
      <c r="AV73" s="1509">
        <v>3.8655894000000024E-2</v>
      </c>
      <c r="AW73" s="1509">
        <v>4.7741315000000006E-2</v>
      </c>
      <c r="AX73" s="1509">
        <v>9.4225740000000169E-3</v>
      </c>
      <c r="AY73" s="1509">
        <v>4.1465776999999981E-2</v>
      </c>
      <c r="AZ73" s="1509">
        <v>2.4849746000000006E-2</v>
      </c>
      <c r="BA73" s="1509">
        <v>1.6748122999999948E-2</v>
      </c>
      <c r="BB73" s="1509">
        <v>3.0304031000000009E-2</v>
      </c>
      <c r="BC73" s="1509">
        <v>1</v>
      </c>
      <c r="BD73" s="1509">
        <v>2.9547864999999951E-2</v>
      </c>
      <c r="BE73" s="1509">
        <v>1.6854718000000046E-2</v>
      </c>
      <c r="BF73" s="1509">
        <v>1</v>
      </c>
      <c r="BG73" s="1509">
        <v>1</v>
      </c>
      <c r="BH73" s="1509">
        <v>1.9009323999999994E-2</v>
      </c>
      <c r="BI73" s="1509">
        <v>2.0160839999999958E-2</v>
      </c>
      <c r="BJ73" s="1509">
        <v>3.7262150999999966E-2</v>
      </c>
      <c r="BK73" s="1509">
        <v>1.7731103999999998E-2</v>
      </c>
      <c r="BL73" s="1509">
        <v>1.7555954999999956E-2</v>
      </c>
      <c r="BM73" s="1509">
        <v>0</v>
      </c>
      <c r="BN73" s="1509">
        <v>2.5713454999999996E-2</v>
      </c>
      <c r="BO73" s="1509">
        <v>1.7757189999999978E-2</v>
      </c>
      <c r="BP73" s="1509">
        <v>2.3593026999999989E-2</v>
      </c>
      <c r="BQ73" s="1509">
        <v>3.3632454000000034E-2</v>
      </c>
      <c r="BR73" s="1509">
        <v>1</v>
      </c>
      <c r="BS73" s="1509">
        <v>1.7555954999999956E-2</v>
      </c>
      <c r="BT73" s="1509">
        <v>1.5724413000000048E-2</v>
      </c>
      <c r="BU73" s="1509">
        <v>1.6175725999999946E-2</v>
      </c>
      <c r="BV73" s="1509">
        <v>4.1212601999999987E-2</v>
      </c>
      <c r="BW73" s="1509">
        <v>0</v>
      </c>
      <c r="BX73" s="1509">
        <v>9.7284659999999912E-3</v>
      </c>
      <c r="BY73" s="1509">
        <v>4.9980609999999981E-3</v>
      </c>
      <c r="BZ73" s="1509">
        <v>4.9980609999999981E-3</v>
      </c>
      <c r="CA73" s="1509">
        <v>0</v>
      </c>
      <c r="CB73" s="1509">
        <v>0</v>
      </c>
      <c r="CC73" s="1509">
        <v>4.623660900000004E-2</v>
      </c>
      <c r="CD73" s="1509">
        <v>4.6291105999999971E-2</v>
      </c>
      <c r="CE73" s="1509">
        <v>4.6057549000000031E-2</v>
      </c>
      <c r="CF73" s="1509">
        <v>1</v>
      </c>
      <c r="CG73" s="1509">
        <v>1.9430428000000055E-2</v>
      </c>
      <c r="CH73" s="1509">
        <v>2.4058849999999965E-2</v>
      </c>
      <c r="CI73" s="1509">
        <v>4.8583523999999989E-2</v>
      </c>
      <c r="CJ73" s="1509">
        <v>4.243995300000003E-2</v>
      </c>
      <c r="CK73" s="1509">
        <v>1</v>
      </c>
      <c r="CL73" s="1509">
        <v>1</v>
      </c>
      <c r="CM73" s="1509">
        <v>1</v>
      </c>
      <c r="CN73" s="1509">
        <v>4.595634000000004E-2</v>
      </c>
      <c r="CO73" s="1509">
        <v>4.5909628999999952E-2</v>
      </c>
      <c r="CP73" s="1509">
        <v>4.5909628999999952E-2</v>
      </c>
      <c r="CQ73" s="1509">
        <v>2.0690015000000006E-2</v>
      </c>
      <c r="CR73" s="1509">
        <v>5.1982171999999993E-2</v>
      </c>
      <c r="CS73" s="1509">
        <v>2.4629017999999947E-2</v>
      </c>
      <c r="CT73" s="1509">
        <v>3.4709438000000037E-2</v>
      </c>
      <c r="CU73" s="1509">
        <v>1</v>
      </c>
      <c r="CV73" s="1509">
        <v>1</v>
      </c>
      <c r="CW73" s="1509">
        <v>1</v>
      </c>
      <c r="CX73" s="1509">
        <v>1</v>
      </c>
      <c r="CY73" s="1509">
        <v>1.4045748000000025E-2</v>
      </c>
      <c r="CZ73" s="1509">
        <v>1.0602443999999989E-2</v>
      </c>
      <c r="DA73" s="1509">
        <v>1.0586057000000038E-2</v>
      </c>
      <c r="DB73" s="1509">
        <v>7.9406543000000052E-2</v>
      </c>
      <c r="DC73" s="1509">
        <v>0.10140821799999999</v>
      </c>
      <c r="DD73" s="1509">
        <v>6.4671308999999955E-2</v>
      </c>
      <c r="DE73" s="1509">
        <v>8.1954395999999985E-2</v>
      </c>
      <c r="DF73" s="1509">
        <v>0.10121505900000005</v>
      </c>
      <c r="DG73" s="1509">
        <v>9.7489858999999957E-2</v>
      </c>
      <c r="DH73" s="1509">
        <v>1</v>
      </c>
      <c r="DI73" s="1509">
        <v>7.2839153999999962E-2</v>
      </c>
      <c r="DJ73" s="1509">
        <v>9.4826599999999761E-3</v>
      </c>
      <c r="DK73" s="1509">
        <v>5.9758239999999629E-3</v>
      </c>
      <c r="DL73" s="1509">
        <v>4.6057549000000031E-2</v>
      </c>
      <c r="DM73" s="1509">
        <v>4.5909628999999952E-2</v>
      </c>
      <c r="DN73" s="1509">
        <v>1</v>
      </c>
      <c r="DO73" s="1509">
        <v>2.6126631999999983E-2</v>
      </c>
      <c r="DP73" s="1509">
        <v>7.701929999999968E-3</v>
      </c>
      <c r="DQ73" s="1509">
        <v>5.8064899999999975E-3</v>
      </c>
      <c r="DR73" s="1509">
        <v>2.0380071000000055E-2</v>
      </c>
      <c r="DS73" s="1509">
        <v>1.3737839000000029E-2</v>
      </c>
      <c r="DT73" s="1509">
        <v>1.9713662999999992E-2</v>
      </c>
      <c r="DU73" s="1509">
        <v>3.9185070000000044E-2</v>
      </c>
      <c r="DV73" s="1509">
        <v>1</v>
      </c>
      <c r="DW73" s="1509">
        <v>1</v>
      </c>
      <c r="DX73" s="1509">
        <v>2.159976600000002E-2</v>
      </c>
      <c r="DY73" s="1509">
        <v>2.9346365999999957E-2</v>
      </c>
      <c r="DZ73" s="1509">
        <v>1</v>
      </c>
      <c r="EA73" s="1509">
        <v>1</v>
      </c>
      <c r="EB73" s="1509">
        <v>1</v>
      </c>
      <c r="EC73" s="1509">
        <v>1</v>
      </c>
      <c r="ED73" s="1509">
        <v>2.9667365000000001E-2</v>
      </c>
      <c r="EE73" s="1509">
        <v>1</v>
      </c>
      <c r="EF73" s="1509">
        <v>1</v>
      </c>
      <c r="EG73" s="1509">
        <v>1</v>
      </c>
      <c r="EH73" s="1509">
        <v>5.3106356000000021E-2</v>
      </c>
      <c r="EI73" s="1509">
        <v>1</v>
      </c>
      <c r="EJ73" s="1509">
        <v>1</v>
      </c>
      <c r="EK73" s="1509">
        <v>1</v>
      </c>
      <c r="EL73" s="1509">
        <v>8.8549380000000011E-2</v>
      </c>
      <c r="EM73" s="1509">
        <v>0.10241080199999997</v>
      </c>
      <c r="EN73" s="1509">
        <v>9.3120797999999949E-2</v>
      </c>
      <c r="EO73" s="1509">
        <v>1</v>
      </c>
      <c r="EP73" s="1509">
        <v>1</v>
      </c>
      <c r="EQ73" s="1509">
        <v>4.6781576999999963E-2</v>
      </c>
      <c r="ER73" s="1509">
        <v>1.4579617999999961E-2</v>
      </c>
      <c r="ES73" s="1509">
        <v>1.6583008999999982E-2</v>
      </c>
      <c r="ET73" s="1509">
        <v>1</v>
      </c>
      <c r="EU73" s="1509">
        <v>1</v>
      </c>
      <c r="EV73" s="1509">
        <v>4.4260681999999996E-2</v>
      </c>
      <c r="EW73" s="1509">
        <v>1</v>
      </c>
      <c r="EX73" s="1509">
        <v>1</v>
      </c>
      <c r="EY73" s="1509">
        <v>4.6892543000000009E-2</v>
      </c>
      <c r="EZ73" s="1509">
        <v>1</v>
      </c>
      <c r="FA73" s="1509">
        <v>4.6057549000000031E-2</v>
      </c>
      <c r="FB73" s="1509">
        <v>3.9528721000000044E-2</v>
      </c>
      <c r="FC73" s="1509">
        <v>1</v>
      </c>
      <c r="FD73" s="1509">
        <v>1</v>
      </c>
      <c r="FE73" s="1509">
        <v>4.8455628000000028E-2</v>
      </c>
      <c r="FF73" s="1509">
        <v>1</v>
      </c>
      <c r="FG73" s="1509">
        <v>1</v>
      </c>
      <c r="FH73" s="1509">
        <v>1</v>
      </c>
      <c r="FI73" s="1509">
        <v>1</v>
      </c>
      <c r="FJ73" s="1509">
        <v>2.9098693999999981E-2</v>
      </c>
      <c r="FK73" s="1509">
        <v>2.4662563000000026E-2</v>
      </c>
      <c r="FL73" s="1509">
        <v>1</v>
      </c>
      <c r="FM73" s="1509">
        <v>3.2313241999999964E-2</v>
      </c>
      <c r="FN73" s="1509">
        <v>2.1003047999999969E-2</v>
      </c>
      <c r="FO73" s="1509">
        <v>2.0500242999999974E-2</v>
      </c>
      <c r="FP73" s="1509">
        <v>1</v>
      </c>
      <c r="FQ73" s="1509">
        <v>1</v>
      </c>
      <c r="FR73" s="1509">
        <v>1</v>
      </c>
      <c r="FS73" s="1509">
        <v>3.8827935000000036E-2</v>
      </c>
      <c r="FT73" s="1509">
        <v>1</v>
      </c>
      <c r="FU73" s="1509">
        <v>4.929902900000005E-2</v>
      </c>
    </row>
    <row r="74" spans="1:177" s="1509" customFormat="1" x14ac:dyDescent="0.2">
      <c r="A74" s="1512" t="s">
        <v>665</v>
      </c>
      <c r="B74" s="1512" t="s">
        <v>1077</v>
      </c>
      <c r="C74" s="1509">
        <v>0</v>
      </c>
      <c r="D74" s="1509">
        <v>0</v>
      </c>
      <c r="E74" s="1509">
        <v>0</v>
      </c>
      <c r="F74" s="1509">
        <v>0</v>
      </c>
      <c r="G74" s="1509">
        <v>0</v>
      </c>
      <c r="H74" s="1509">
        <v>0</v>
      </c>
      <c r="I74" s="1509">
        <v>0</v>
      </c>
      <c r="J74" s="1509">
        <v>0</v>
      </c>
      <c r="K74" s="1509">
        <v>1</v>
      </c>
      <c r="L74" s="1509">
        <v>0</v>
      </c>
      <c r="M74" s="1509">
        <v>0</v>
      </c>
      <c r="N74" s="1509">
        <v>1</v>
      </c>
      <c r="O74" s="1509">
        <v>1</v>
      </c>
      <c r="P74" s="1509">
        <v>1</v>
      </c>
      <c r="Q74" s="1509">
        <v>0</v>
      </c>
      <c r="R74" s="1509">
        <v>0</v>
      </c>
      <c r="S74" s="1509">
        <v>0</v>
      </c>
      <c r="T74" s="1509">
        <v>0</v>
      </c>
      <c r="U74" s="1509">
        <v>0</v>
      </c>
      <c r="V74" s="1509">
        <v>0</v>
      </c>
      <c r="W74" s="1509">
        <v>0</v>
      </c>
      <c r="X74" s="1509">
        <v>0</v>
      </c>
      <c r="Y74" s="1509">
        <v>1</v>
      </c>
      <c r="Z74" s="1509">
        <v>0</v>
      </c>
      <c r="AA74" s="1509">
        <v>1</v>
      </c>
      <c r="AB74" s="1509">
        <v>1</v>
      </c>
      <c r="AC74" s="1509">
        <v>0</v>
      </c>
      <c r="AD74" s="1509">
        <v>0</v>
      </c>
      <c r="AE74" s="1509">
        <v>1</v>
      </c>
      <c r="AF74" s="1509">
        <v>0</v>
      </c>
      <c r="AG74" s="1509">
        <v>1</v>
      </c>
      <c r="AH74" s="1509">
        <v>1</v>
      </c>
      <c r="AI74" s="1509">
        <v>0</v>
      </c>
      <c r="AJ74" s="1509">
        <v>0</v>
      </c>
      <c r="AK74" s="1509">
        <v>0</v>
      </c>
      <c r="AL74" s="1509">
        <v>1</v>
      </c>
      <c r="AM74" s="1509">
        <v>1</v>
      </c>
      <c r="AN74" s="1509">
        <v>0</v>
      </c>
      <c r="AO74" s="1509">
        <v>1</v>
      </c>
      <c r="AP74" s="1509">
        <v>0</v>
      </c>
      <c r="AQ74" s="1509">
        <v>0</v>
      </c>
      <c r="AR74" s="1509">
        <v>1</v>
      </c>
      <c r="AS74" s="1509">
        <v>1</v>
      </c>
      <c r="AT74" s="1509">
        <v>0</v>
      </c>
      <c r="AU74" s="1509">
        <v>1</v>
      </c>
      <c r="AV74" s="1509">
        <v>1</v>
      </c>
      <c r="AW74" s="1509">
        <v>0</v>
      </c>
      <c r="AX74" s="1509">
        <v>1</v>
      </c>
      <c r="AY74" s="1509">
        <v>1</v>
      </c>
      <c r="AZ74" s="1509">
        <v>1</v>
      </c>
      <c r="BA74" s="1509">
        <v>1</v>
      </c>
      <c r="BB74" s="1509">
        <v>1</v>
      </c>
      <c r="BC74" s="1509">
        <v>0</v>
      </c>
      <c r="BD74" s="1509">
        <v>1</v>
      </c>
      <c r="BE74" s="1509">
        <v>1</v>
      </c>
      <c r="BF74" s="1509">
        <v>0</v>
      </c>
      <c r="BG74" s="1509">
        <v>0</v>
      </c>
      <c r="BH74" s="1509">
        <v>0</v>
      </c>
      <c r="BI74" s="1509">
        <v>0</v>
      </c>
      <c r="BJ74" s="1509">
        <v>0</v>
      </c>
      <c r="BK74" s="1509">
        <v>1</v>
      </c>
      <c r="BL74" s="1509">
        <v>1</v>
      </c>
      <c r="BM74" s="1509">
        <v>0</v>
      </c>
      <c r="BN74" s="1509">
        <v>0</v>
      </c>
      <c r="BO74" s="1509">
        <v>1</v>
      </c>
      <c r="BP74" s="1509">
        <v>1</v>
      </c>
      <c r="BQ74" s="1509">
        <v>0</v>
      </c>
      <c r="BR74" s="1509">
        <v>0</v>
      </c>
      <c r="BS74" s="1509">
        <v>1</v>
      </c>
      <c r="BT74" s="1509">
        <v>1</v>
      </c>
      <c r="BU74" s="1509">
        <v>0</v>
      </c>
      <c r="BV74" s="1509">
        <v>0</v>
      </c>
      <c r="BW74" s="1509">
        <v>0</v>
      </c>
      <c r="BX74" s="1509">
        <v>1</v>
      </c>
      <c r="BY74" s="1509">
        <v>0</v>
      </c>
      <c r="BZ74" s="1509">
        <v>1</v>
      </c>
      <c r="CA74" s="1509">
        <v>1</v>
      </c>
      <c r="CB74" s="1509">
        <v>1</v>
      </c>
      <c r="CC74" s="1509">
        <v>1</v>
      </c>
      <c r="CD74" s="1509">
        <v>1</v>
      </c>
      <c r="CE74" s="1509">
        <v>1</v>
      </c>
      <c r="CF74" s="1509">
        <v>0</v>
      </c>
      <c r="CG74" s="1509">
        <v>0</v>
      </c>
      <c r="CH74" s="1509">
        <v>1</v>
      </c>
      <c r="CI74" s="1509">
        <v>1</v>
      </c>
      <c r="CJ74" s="1509">
        <v>1</v>
      </c>
      <c r="CK74" s="1509">
        <v>0</v>
      </c>
      <c r="CL74" s="1509">
        <v>0</v>
      </c>
      <c r="CM74" s="1509">
        <v>0</v>
      </c>
      <c r="CN74" s="1509">
        <v>0</v>
      </c>
      <c r="CO74" s="1509">
        <v>0</v>
      </c>
      <c r="CP74" s="1509">
        <v>1</v>
      </c>
      <c r="CQ74" s="1509">
        <v>1</v>
      </c>
      <c r="CR74" s="1509">
        <v>1</v>
      </c>
      <c r="CS74" s="1509">
        <v>0</v>
      </c>
      <c r="CT74" s="1509">
        <v>0</v>
      </c>
      <c r="CU74" s="1509">
        <v>0</v>
      </c>
      <c r="CV74" s="1509">
        <v>0</v>
      </c>
      <c r="CW74" s="1509">
        <v>0</v>
      </c>
      <c r="CX74" s="1509">
        <v>1</v>
      </c>
      <c r="CY74" s="1509">
        <v>1</v>
      </c>
      <c r="CZ74" s="1509">
        <v>1</v>
      </c>
      <c r="DA74" s="1509">
        <v>1</v>
      </c>
      <c r="DB74" s="1509">
        <v>1</v>
      </c>
      <c r="DC74" s="1509">
        <v>1</v>
      </c>
      <c r="DD74" s="1509">
        <v>1</v>
      </c>
      <c r="DE74" s="1509">
        <v>0</v>
      </c>
      <c r="DF74" s="1509">
        <v>1</v>
      </c>
      <c r="DG74" s="1509">
        <v>1</v>
      </c>
      <c r="DH74" s="1509">
        <v>0</v>
      </c>
      <c r="DI74" s="1509">
        <v>1</v>
      </c>
      <c r="DJ74" s="1509">
        <v>1</v>
      </c>
      <c r="DK74" s="1509">
        <v>1</v>
      </c>
      <c r="DL74" s="1509">
        <v>1</v>
      </c>
      <c r="DM74" s="1509">
        <v>1</v>
      </c>
      <c r="DN74" s="1509">
        <v>0</v>
      </c>
      <c r="DO74" s="1509">
        <v>0</v>
      </c>
      <c r="DP74" s="1509">
        <v>1</v>
      </c>
      <c r="DQ74" s="1509">
        <v>1</v>
      </c>
      <c r="DR74" s="1509">
        <v>1</v>
      </c>
      <c r="DS74" s="1509">
        <v>1</v>
      </c>
      <c r="DT74" s="1509">
        <v>1</v>
      </c>
      <c r="DU74" s="1509">
        <v>0</v>
      </c>
      <c r="DV74" s="1509">
        <v>1</v>
      </c>
      <c r="DW74" s="1509">
        <v>0</v>
      </c>
      <c r="DX74" s="1509">
        <v>0</v>
      </c>
      <c r="DY74" s="1509">
        <v>1</v>
      </c>
      <c r="DZ74" s="1509">
        <v>0</v>
      </c>
      <c r="EA74" s="1509">
        <v>1</v>
      </c>
      <c r="EB74" s="1509">
        <v>1</v>
      </c>
      <c r="EC74" s="1509">
        <v>0</v>
      </c>
      <c r="ED74" s="1509">
        <v>1</v>
      </c>
      <c r="EE74" s="1509">
        <v>1</v>
      </c>
      <c r="EF74" s="1509">
        <v>1</v>
      </c>
      <c r="EG74" s="1509">
        <v>1</v>
      </c>
      <c r="EH74" s="1509">
        <v>1</v>
      </c>
      <c r="EI74" s="1509">
        <v>0</v>
      </c>
      <c r="EJ74" s="1509">
        <v>0</v>
      </c>
      <c r="EK74" s="1509">
        <v>0</v>
      </c>
      <c r="EL74" s="1509">
        <v>1</v>
      </c>
      <c r="EM74" s="1509">
        <v>1</v>
      </c>
      <c r="EN74" s="1509">
        <v>1</v>
      </c>
      <c r="EO74" s="1509">
        <v>1</v>
      </c>
      <c r="EP74" s="1509">
        <v>1</v>
      </c>
      <c r="EQ74" s="1509">
        <v>1</v>
      </c>
      <c r="ER74" s="1509">
        <v>0</v>
      </c>
      <c r="ES74" s="1509">
        <v>0</v>
      </c>
      <c r="ET74" s="1509">
        <v>0</v>
      </c>
      <c r="EU74" s="1509">
        <v>1</v>
      </c>
      <c r="EV74" s="1509">
        <v>0</v>
      </c>
      <c r="EW74" s="1509">
        <v>1</v>
      </c>
      <c r="EX74" s="1509">
        <v>0</v>
      </c>
      <c r="EY74" s="1509">
        <v>0</v>
      </c>
      <c r="EZ74" s="1509">
        <v>0</v>
      </c>
      <c r="FA74" s="1509">
        <v>1</v>
      </c>
      <c r="FB74" s="1509">
        <v>1</v>
      </c>
      <c r="FC74" s="1509">
        <v>0</v>
      </c>
      <c r="FD74" s="1509">
        <v>1</v>
      </c>
      <c r="FE74" s="1509">
        <v>1</v>
      </c>
      <c r="FF74" s="1509">
        <v>0</v>
      </c>
      <c r="FG74" s="1509">
        <v>0</v>
      </c>
      <c r="FH74" s="1509">
        <v>1</v>
      </c>
      <c r="FI74" s="1509">
        <v>0</v>
      </c>
      <c r="FJ74" s="1509">
        <v>1</v>
      </c>
      <c r="FK74" s="1509">
        <v>1</v>
      </c>
      <c r="FL74" s="1509">
        <v>1</v>
      </c>
      <c r="FM74" s="1509">
        <v>0</v>
      </c>
      <c r="FN74" s="1509">
        <v>0</v>
      </c>
      <c r="FO74" s="1509">
        <v>1</v>
      </c>
      <c r="FP74" s="1509">
        <v>0</v>
      </c>
      <c r="FQ74" s="1509">
        <v>1</v>
      </c>
      <c r="FR74" s="1509">
        <v>1</v>
      </c>
      <c r="FS74" s="1509">
        <v>0</v>
      </c>
      <c r="FT74" s="1509">
        <v>1</v>
      </c>
      <c r="FU74" s="1509">
        <v>0</v>
      </c>
    </row>
    <row r="75" spans="1:177" s="1509" customFormat="1" x14ac:dyDescent="0.2">
      <c r="A75" s="1512" t="s">
        <v>665</v>
      </c>
      <c r="B75" s="1512" t="s">
        <v>1034</v>
      </c>
      <c r="C75" s="1509">
        <v>0.79110239900000001</v>
      </c>
      <c r="D75" s="1509">
        <v>0.79110239900000001</v>
      </c>
      <c r="E75" s="1509">
        <v>0.74655849600000002</v>
      </c>
      <c r="F75" s="1509">
        <v>0.697306431</v>
      </c>
      <c r="G75" s="1509">
        <v>0.74655849600000002</v>
      </c>
      <c r="H75" s="1509">
        <v>0.74655849600000002</v>
      </c>
      <c r="I75" s="1509">
        <v>0.32368395599999999</v>
      </c>
      <c r="J75" s="1509">
        <v>0.32368395599999999</v>
      </c>
      <c r="K75" s="1509">
        <v>0.32368395599999999</v>
      </c>
      <c r="L75" s="1509">
        <v>0.32368395599999999</v>
      </c>
      <c r="M75" s="1509">
        <v>0.32368395599999999</v>
      </c>
      <c r="N75" s="1509">
        <v>0.32368395599999999</v>
      </c>
      <c r="O75" s="1509">
        <v>0.32368395599999999</v>
      </c>
      <c r="P75" s="1509">
        <v>0.32368395599999999</v>
      </c>
      <c r="Q75" s="1509">
        <v>0.61959821900000001</v>
      </c>
      <c r="R75" s="1509">
        <v>0.61959821900000001</v>
      </c>
      <c r="S75" s="1509">
        <v>0.32368395599999999</v>
      </c>
      <c r="T75" s="1509">
        <v>7.5470854000000004E-2</v>
      </c>
      <c r="U75" s="1509">
        <v>0.96569303399999995</v>
      </c>
      <c r="V75" s="1509">
        <v>0.74655849600000002</v>
      </c>
      <c r="W75" s="1509">
        <v>0.74655849600000002</v>
      </c>
      <c r="X75" s="1509">
        <v>0.26203128799999997</v>
      </c>
      <c r="Y75" s="1509">
        <v>0.26203128799999997</v>
      </c>
      <c r="Z75" s="1509">
        <v>0.26203128799999997</v>
      </c>
      <c r="AA75" s="1509">
        <v>0.96569303399999995</v>
      </c>
      <c r="AB75" s="1509">
        <v>0.98306638499999999</v>
      </c>
      <c r="AC75" s="1509">
        <v>0.98306638499999999</v>
      </c>
      <c r="AD75" s="1509">
        <v>0.98306638499999999</v>
      </c>
      <c r="AE75" s="1509">
        <v>0.61959821900000001</v>
      </c>
      <c r="AF75" s="1509">
        <v>0.96569303399999995</v>
      </c>
      <c r="AG75" s="1509">
        <v>0</v>
      </c>
      <c r="AH75" s="1509">
        <v>0.96569303399999995</v>
      </c>
      <c r="AI75" s="1509">
        <v>0.96901714999999999</v>
      </c>
      <c r="AJ75" s="1509">
        <v>0.96569303399999995</v>
      </c>
      <c r="AK75" s="1509">
        <v>0.61959821900000001</v>
      </c>
      <c r="AL75" s="1509">
        <v>0.61959821900000001</v>
      </c>
      <c r="AM75" s="1509">
        <v>0.61959821900000001</v>
      </c>
      <c r="AN75" s="1509">
        <v>0.203054016</v>
      </c>
      <c r="AO75" s="1509">
        <v>0.41144083999999997</v>
      </c>
      <c r="AP75" s="1509">
        <v>0</v>
      </c>
      <c r="AQ75" s="1509">
        <v>0.992502106</v>
      </c>
      <c r="AR75" s="1509">
        <v>0</v>
      </c>
      <c r="AS75" s="1509">
        <v>0.89005642100000004</v>
      </c>
      <c r="AT75" s="1509">
        <v>0</v>
      </c>
      <c r="AU75" s="1509">
        <v>0</v>
      </c>
      <c r="AV75" s="1509">
        <v>0.96569303399999995</v>
      </c>
      <c r="AW75" s="1509">
        <v>0.79110239900000001</v>
      </c>
      <c r="AX75" s="1509">
        <v>0.58070366100000004</v>
      </c>
      <c r="AY75" s="1509">
        <v>0.697306431</v>
      </c>
      <c r="AZ75" s="1509">
        <v>0.27484424200000002</v>
      </c>
      <c r="BA75" s="1509">
        <v>0.96801179999999998</v>
      </c>
      <c r="BB75" s="1509">
        <v>0.96801179999999998</v>
      </c>
      <c r="BC75" s="1509">
        <v>0</v>
      </c>
      <c r="BD75" s="1509">
        <v>0</v>
      </c>
      <c r="BE75" s="1509">
        <v>0</v>
      </c>
      <c r="BF75" s="1509">
        <v>0</v>
      </c>
      <c r="BG75" s="1509">
        <v>0.38762357200000003</v>
      </c>
      <c r="BH75" s="1509">
        <v>0</v>
      </c>
      <c r="BI75" s="1509">
        <v>0</v>
      </c>
      <c r="BJ75" s="1509">
        <v>0.74655849600000002</v>
      </c>
      <c r="BK75" s="1509">
        <v>0</v>
      </c>
      <c r="BL75" s="1509">
        <v>2.6704728E-2</v>
      </c>
      <c r="BM75" s="1509">
        <v>0.61959821900000001</v>
      </c>
      <c r="BN75" s="1509">
        <v>0.26203128799999997</v>
      </c>
      <c r="BO75" s="1509">
        <v>0.992502106</v>
      </c>
      <c r="BP75" s="1509">
        <v>0.74655849600000002</v>
      </c>
      <c r="BQ75" s="1509">
        <v>6.8245001E-2</v>
      </c>
      <c r="BR75" s="1509">
        <v>0.74655849600000002</v>
      </c>
      <c r="BS75" s="1509">
        <v>0.74655849600000002</v>
      </c>
      <c r="BT75" s="1509">
        <v>0.697306431</v>
      </c>
      <c r="BU75" s="1509">
        <v>0.697306431</v>
      </c>
      <c r="BV75" s="1509">
        <v>0.697306431</v>
      </c>
      <c r="BW75" s="1509">
        <v>0.203054016</v>
      </c>
      <c r="BX75" s="1509">
        <v>0.210655975</v>
      </c>
      <c r="BY75" s="1509">
        <v>0.210655975</v>
      </c>
      <c r="BZ75" s="1509">
        <v>0.54018932500000005</v>
      </c>
      <c r="CA75" s="1509">
        <v>0.203054016</v>
      </c>
      <c r="CB75" s="1509">
        <v>0.203054016</v>
      </c>
      <c r="CC75" s="1509">
        <v>0</v>
      </c>
      <c r="CD75" s="1509">
        <v>0.96249244700000003</v>
      </c>
      <c r="CE75" s="1509">
        <v>0.36437826800000001</v>
      </c>
      <c r="CF75" s="1509">
        <v>0.73163599499999998</v>
      </c>
      <c r="CG75" s="1509">
        <v>0.96569303399999995</v>
      </c>
      <c r="CH75" s="1509">
        <v>7.5470854000000004E-2</v>
      </c>
      <c r="CI75" s="1509">
        <v>0.74655849600000002</v>
      </c>
      <c r="CJ75" s="1509">
        <v>2.2631706000000001E-2</v>
      </c>
      <c r="CK75" s="1509">
        <v>8.0042049000000004E-2</v>
      </c>
      <c r="CL75" s="1509">
        <v>8.0042049000000004E-2</v>
      </c>
      <c r="CM75" s="1509">
        <v>0.58070366100000004</v>
      </c>
      <c r="CN75" s="1509">
        <v>0.67401699299999995</v>
      </c>
      <c r="CO75" s="1509">
        <v>0.203054016</v>
      </c>
      <c r="CP75" s="1509">
        <v>0.203054016</v>
      </c>
      <c r="CQ75" s="1509">
        <v>0</v>
      </c>
      <c r="CR75" s="1509">
        <v>1</v>
      </c>
      <c r="CS75" s="1509">
        <v>0.74655849600000002</v>
      </c>
      <c r="CT75" s="1509">
        <v>0.74655849600000002</v>
      </c>
      <c r="CU75" s="1509">
        <v>0.74655849600000002</v>
      </c>
      <c r="CV75" s="1509">
        <v>0.96801179999999998</v>
      </c>
      <c r="CW75" s="1509">
        <v>0.96801179999999998</v>
      </c>
      <c r="CX75" s="1509">
        <v>0.96801179999999998</v>
      </c>
      <c r="CY75" s="1509">
        <v>2.2631706000000001E-2</v>
      </c>
      <c r="CZ75" s="1509">
        <v>0.58070366100000004</v>
      </c>
      <c r="DA75" s="1509">
        <v>0.54018932500000005</v>
      </c>
      <c r="DB75" s="1509" t="s">
        <v>2372</v>
      </c>
      <c r="DC75" s="1509" t="s">
        <v>2372</v>
      </c>
      <c r="DD75" s="1509" t="s">
        <v>2372</v>
      </c>
      <c r="DE75" s="1509" t="s">
        <v>2372</v>
      </c>
      <c r="DF75" s="1509" t="s">
        <v>2372</v>
      </c>
      <c r="DG75" s="1509" t="s">
        <v>2372</v>
      </c>
      <c r="DH75" s="1509" t="s">
        <v>2372</v>
      </c>
      <c r="DI75" s="1509" t="s">
        <v>2372</v>
      </c>
      <c r="DJ75" s="1509">
        <v>1</v>
      </c>
      <c r="DK75" s="1509">
        <v>0.54018932500000005</v>
      </c>
      <c r="DL75" s="1509">
        <v>0</v>
      </c>
      <c r="DM75" s="1509">
        <v>0</v>
      </c>
      <c r="DN75" s="1509">
        <v>0.60603290700000001</v>
      </c>
      <c r="DO75" s="1509">
        <v>4.7965788000000002E-2</v>
      </c>
      <c r="DP75" s="1509">
        <v>0.58070366100000004</v>
      </c>
      <c r="DQ75" s="1509">
        <v>0.54018932500000005</v>
      </c>
      <c r="DR75" s="1509">
        <v>0.54018932500000005</v>
      </c>
      <c r="DS75" s="1509">
        <v>9.3504706000000007E-2</v>
      </c>
      <c r="DT75" s="1509">
        <v>0.54018932500000005</v>
      </c>
      <c r="DU75" s="1509">
        <v>0.96569303399999995</v>
      </c>
      <c r="DV75" s="1509">
        <v>0.98306638499999999</v>
      </c>
      <c r="DW75" s="1509">
        <v>0.94041494800000003</v>
      </c>
      <c r="DX75" s="1509">
        <v>0</v>
      </c>
      <c r="DY75" s="1509">
        <v>0.697306431</v>
      </c>
      <c r="DZ75" s="1509">
        <v>0</v>
      </c>
      <c r="EA75" s="1509">
        <v>2.2631706000000001E-2</v>
      </c>
      <c r="EB75" s="1509">
        <v>2.6704728E-2</v>
      </c>
      <c r="EC75" s="1509">
        <v>0.74655849600000002</v>
      </c>
      <c r="ED75" s="1509">
        <v>0.74655849600000002</v>
      </c>
      <c r="EE75" s="1509">
        <v>0.203054016</v>
      </c>
      <c r="EF75" s="1509">
        <v>0.697306431</v>
      </c>
      <c r="EG75" s="1509">
        <v>0.210655975</v>
      </c>
      <c r="EH75" s="1509">
        <v>0.15681482899999999</v>
      </c>
      <c r="EI75" s="1509">
        <v>0.73163599499999998</v>
      </c>
      <c r="EJ75" s="1509">
        <v>0.73163599499999998</v>
      </c>
      <c r="EK75" s="1509">
        <v>0.992502106</v>
      </c>
      <c r="EL75" s="1509" t="s">
        <v>2372</v>
      </c>
      <c r="EM75" s="1509" t="s">
        <v>2372</v>
      </c>
      <c r="EN75" s="1509" t="s">
        <v>2372</v>
      </c>
      <c r="EO75" s="1509" t="s">
        <v>2372</v>
      </c>
      <c r="EP75" s="1509">
        <v>0.54018932500000005</v>
      </c>
      <c r="EQ75" s="1509">
        <v>0.99789635399999999</v>
      </c>
      <c r="ER75" s="1509">
        <v>4.7965788000000002E-2</v>
      </c>
      <c r="ES75" s="1509">
        <v>4.7965788000000002E-2</v>
      </c>
      <c r="ET75" s="1509">
        <v>0.97539779000000004</v>
      </c>
      <c r="EU75" s="1509">
        <v>0.210655975</v>
      </c>
      <c r="EV75" s="1509">
        <v>0.98306638499999999</v>
      </c>
      <c r="EW75" s="1509">
        <v>0</v>
      </c>
      <c r="EX75" s="1509">
        <v>4.7965788000000002E-2</v>
      </c>
      <c r="EY75" s="1509">
        <v>8.0042049000000004E-2</v>
      </c>
      <c r="EZ75" s="1509">
        <v>0.210655975</v>
      </c>
      <c r="FA75" s="1509">
        <v>0</v>
      </c>
      <c r="FB75" s="1509">
        <v>0.98934994300000001</v>
      </c>
      <c r="FC75" s="1509">
        <v>0.697306431</v>
      </c>
      <c r="FD75" s="1509">
        <v>0.99228914899999998</v>
      </c>
      <c r="FE75" s="1509">
        <v>0.99597120400000005</v>
      </c>
      <c r="FF75" s="1509">
        <v>0.87230559900000004</v>
      </c>
      <c r="FG75" s="1509">
        <v>0</v>
      </c>
      <c r="FH75" s="1509">
        <v>0.58070366100000004</v>
      </c>
      <c r="FI75" s="1509">
        <v>0</v>
      </c>
      <c r="FJ75" s="1509">
        <v>0.15681482899999999</v>
      </c>
      <c r="FK75" s="1509">
        <v>0.210655975</v>
      </c>
      <c r="FL75" s="1509" t="s">
        <v>2372</v>
      </c>
      <c r="FM75" s="1509">
        <v>0.74655849600000002</v>
      </c>
      <c r="FN75" s="1509">
        <v>6.8245001E-2</v>
      </c>
      <c r="FO75" s="1509">
        <v>0.60511495500000001</v>
      </c>
      <c r="FP75" s="1509">
        <v>0.87230559900000004</v>
      </c>
      <c r="FQ75" s="1509">
        <v>0.210655975</v>
      </c>
      <c r="FR75" s="1509">
        <v>2.2631706000000001E-2</v>
      </c>
      <c r="FS75" s="1509">
        <v>0.66249309099999998</v>
      </c>
      <c r="FT75" s="1509" t="s">
        <v>2372</v>
      </c>
      <c r="FU75" s="1509">
        <v>0.32368395599999999</v>
      </c>
    </row>
    <row r="76" spans="1:177" s="1509" customFormat="1" x14ac:dyDescent="0.2">
      <c r="A76" s="1512" t="s">
        <v>665</v>
      </c>
      <c r="B76" s="1512" t="s">
        <v>1399</v>
      </c>
      <c r="C76" s="1509">
        <v>0.5</v>
      </c>
      <c r="D76" s="1509">
        <v>0.5</v>
      </c>
      <c r="E76" s="1509">
        <v>0.5</v>
      </c>
      <c r="F76" s="1509">
        <v>0.5</v>
      </c>
      <c r="G76" s="1509">
        <v>0.5</v>
      </c>
      <c r="H76" s="1509">
        <v>0.5</v>
      </c>
      <c r="I76" s="1509">
        <v>0.5</v>
      </c>
      <c r="J76" s="1509">
        <v>0.5</v>
      </c>
      <c r="K76" s="1509">
        <v>0.5</v>
      </c>
      <c r="L76" s="1509">
        <v>0.5</v>
      </c>
      <c r="M76" s="1509">
        <v>0.5</v>
      </c>
      <c r="N76" s="1509">
        <v>0.5</v>
      </c>
      <c r="O76" s="1509">
        <v>0.5</v>
      </c>
      <c r="P76" s="1509">
        <v>0.5</v>
      </c>
      <c r="Q76" s="1509">
        <v>0.5</v>
      </c>
      <c r="R76" s="1509">
        <v>0.5</v>
      </c>
      <c r="S76" s="1509">
        <v>0.1</v>
      </c>
      <c r="T76" s="1509">
        <v>0.1</v>
      </c>
      <c r="U76" s="1509">
        <v>0.5</v>
      </c>
      <c r="V76" s="1509">
        <v>0.5</v>
      </c>
      <c r="W76" s="1509">
        <v>0.5</v>
      </c>
      <c r="X76" s="1509">
        <v>1</v>
      </c>
      <c r="Y76" s="1509">
        <v>0.5</v>
      </c>
      <c r="Z76" s="1509">
        <v>0.5</v>
      </c>
      <c r="AA76" s="1509">
        <v>0.5</v>
      </c>
      <c r="AB76" s="1509">
        <v>1</v>
      </c>
      <c r="AC76" s="1509">
        <v>1</v>
      </c>
      <c r="AD76" s="1509">
        <v>1</v>
      </c>
      <c r="AE76" s="1509">
        <v>0.5</v>
      </c>
      <c r="AF76" s="1509">
        <v>0.1</v>
      </c>
      <c r="AG76" s="1509">
        <v>0.5</v>
      </c>
      <c r="AH76" s="1509">
        <v>0.5</v>
      </c>
      <c r="AI76" s="1509">
        <v>1</v>
      </c>
      <c r="AJ76" s="1509">
        <v>0.5</v>
      </c>
      <c r="AK76" s="1509">
        <v>0.5</v>
      </c>
      <c r="AL76" s="1509">
        <v>0.5</v>
      </c>
      <c r="AM76" s="1509">
        <v>0.5</v>
      </c>
      <c r="AN76" s="1509">
        <v>0.5</v>
      </c>
      <c r="AO76" s="1509">
        <v>0.1</v>
      </c>
      <c r="AP76" s="1509">
        <v>0.1</v>
      </c>
      <c r="AQ76" s="1509" t="s">
        <v>2372</v>
      </c>
      <c r="AR76" s="1509">
        <v>0.5</v>
      </c>
      <c r="AS76" s="1509" t="s">
        <v>2372</v>
      </c>
      <c r="AT76" s="1509">
        <v>0.5</v>
      </c>
      <c r="AU76" s="1509">
        <v>0.6</v>
      </c>
      <c r="AV76" s="1509">
        <v>0.4</v>
      </c>
      <c r="AW76" s="1509">
        <v>0.5</v>
      </c>
      <c r="AX76" s="1509">
        <v>0.5</v>
      </c>
      <c r="AY76" s="1509">
        <v>0.5</v>
      </c>
      <c r="AZ76" s="1509">
        <v>0.5</v>
      </c>
      <c r="BA76" s="1509">
        <v>1</v>
      </c>
      <c r="BB76" s="1509">
        <v>1</v>
      </c>
      <c r="BC76" s="1509">
        <v>0.5</v>
      </c>
      <c r="BD76" s="1509">
        <v>0.5</v>
      </c>
      <c r="BE76" s="1509">
        <v>0.2</v>
      </c>
      <c r="BF76" s="1509">
        <v>0.5</v>
      </c>
      <c r="BG76" s="1509">
        <v>0.1</v>
      </c>
      <c r="BH76" s="1509">
        <v>0.5</v>
      </c>
      <c r="BI76" s="1509">
        <v>0.1</v>
      </c>
      <c r="BJ76" s="1509">
        <v>0.5</v>
      </c>
      <c r="BK76" s="1509">
        <v>0.5</v>
      </c>
      <c r="BL76" s="1509" t="s">
        <v>2372</v>
      </c>
      <c r="BM76" s="1509">
        <v>0.5</v>
      </c>
      <c r="BN76" s="1509">
        <v>0.5</v>
      </c>
      <c r="BO76" s="1509" t="s">
        <v>2372</v>
      </c>
      <c r="BP76" s="1509">
        <v>0.5</v>
      </c>
      <c r="BQ76" s="1509">
        <v>0.1</v>
      </c>
      <c r="BR76" s="1509">
        <v>0.5</v>
      </c>
      <c r="BS76" s="1509">
        <v>0.5</v>
      </c>
      <c r="BT76" s="1509">
        <v>0.5</v>
      </c>
      <c r="BU76" s="1509">
        <v>0.5</v>
      </c>
      <c r="BV76" s="1509">
        <v>0.5</v>
      </c>
      <c r="BW76" s="1509">
        <v>0.5</v>
      </c>
      <c r="BX76" s="1509">
        <v>0.5</v>
      </c>
      <c r="BY76" s="1509">
        <v>0.5</v>
      </c>
      <c r="BZ76" s="1509">
        <v>0.5</v>
      </c>
      <c r="CA76" s="1509">
        <v>0.5</v>
      </c>
      <c r="CB76" s="1509">
        <v>0.5</v>
      </c>
      <c r="CC76" s="1509">
        <v>0.1</v>
      </c>
      <c r="CD76" s="1509">
        <v>0.5</v>
      </c>
      <c r="CE76" s="1509">
        <v>0.5</v>
      </c>
      <c r="CF76" s="1509">
        <v>0.1</v>
      </c>
      <c r="CG76" s="1509">
        <v>0.5</v>
      </c>
      <c r="CH76" s="1509">
        <v>0.1</v>
      </c>
      <c r="CI76" s="1509">
        <v>0.5</v>
      </c>
      <c r="CJ76" s="1509" t="s">
        <v>2372</v>
      </c>
      <c r="CK76" s="1509">
        <v>0.1</v>
      </c>
      <c r="CL76" s="1509">
        <v>0.1</v>
      </c>
      <c r="CM76" s="1509">
        <v>0.5</v>
      </c>
      <c r="CN76" s="1509">
        <v>0.6</v>
      </c>
      <c r="CO76" s="1509">
        <v>0.5</v>
      </c>
      <c r="CP76" s="1509">
        <v>0.5</v>
      </c>
      <c r="CQ76" s="1509">
        <v>0.1</v>
      </c>
      <c r="CR76" s="1509">
        <v>0.9</v>
      </c>
      <c r="CS76" s="1509">
        <v>0.5</v>
      </c>
      <c r="CT76" s="1509">
        <v>0.5</v>
      </c>
      <c r="CU76" s="1509">
        <v>0.5</v>
      </c>
      <c r="CV76" s="1509">
        <v>0.5</v>
      </c>
      <c r="CW76" s="1509">
        <v>0.5</v>
      </c>
      <c r="CX76" s="1509">
        <v>0.5</v>
      </c>
      <c r="CY76" s="1509" t="s">
        <v>2372</v>
      </c>
      <c r="CZ76" s="1509">
        <v>0.5</v>
      </c>
      <c r="DA76" s="1509">
        <v>0.5</v>
      </c>
      <c r="DB76" s="1509">
        <v>0.5</v>
      </c>
      <c r="DC76" s="1509">
        <v>0.5</v>
      </c>
      <c r="DD76" s="1509">
        <v>0.6</v>
      </c>
      <c r="DE76" s="1509">
        <v>0.6</v>
      </c>
      <c r="DF76" s="1509">
        <v>0.6</v>
      </c>
      <c r="DG76" s="1509">
        <v>0.5</v>
      </c>
      <c r="DH76" s="1509">
        <v>0.6</v>
      </c>
      <c r="DI76" s="1509">
        <v>0.6</v>
      </c>
      <c r="DJ76" s="1509">
        <v>0.4</v>
      </c>
      <c r="DK76" s="1509">
        <v>0.5</v>
      </c>
      <c r="DL76" s="1509">
        <v>0.5</v>
      </c>
      <c r="DM76" s="1509">
        <v>0.6</v>
      </c>
      <c r="DN76" s="1509">
        <v>0.5</v>
      </c>
      <c r="DO76" s="1509">
        <v>0.5</v>
      </c>
      <c r="DP76" s="1509">
        <v>0.5</v>
      </c>
      <c r="DQ76" s="1509">
        <v>0.5</v>
      </c>
      <c r="DR76" s="1509">
        <v>0.5</v>
      </c>
      <c r="DS76" s="1509">
        <v>0.1</v>
      </c>
      <c r="DT76" s="1509">
        <v>0.5</v>
      </c>
      <c r="DU76" s="1509">
        <v>0.5</v>
      </c>
      <c r="DV76" s="1509">
        <v>1</v>
      </c>
      <c r="DW76" s="1509">
        <v>0.1</v>
      </c>
      <c r="DX76" s="1509">
        <v>0.5</v>
      </c>
      <c r="DY76" s="1509">
        <v>0.5</v>
      </c>
      <c r="DZ76" s="1509">
        <v>0.5</v>
      </c>
      <c r="EA76" s="1509" t="s">
        <v>2372</v>
      </c>
      <c r="EB76" s="1509" t="s">
        <v>2372</v>
      </c>
      <c r="EC76" s="1509">
        <v>0.5</v>
      </c>
      <c r="ED76" s="1509">
        <v>0.5</v>
      </c>
      <c r="EE76" s="1509">
        <v>0.5</v>
      </c>
      <c r="EF76" s="1509">
        <v>0.5</v>
      </c>
      <c r="EG76" s="1509">
        <v>0.5</v>
      </c>
      <c r="EH76" s="1509">
        <v>0.5</v>
      </c>
      <c r="EI76" s="1509">
        <v>0.1</v>
      </c>
      <c r="EJ76" s="1509">
        <v>0.1</v>
      </c>
      <c r="EK76" s="1509" t="s">
        <v>2372</v>
      </c>
      <c r="EL76" s="1509">
        <v>0.6</v>
      </c>
      <c r="EM76" s="1509">
        <v>0.6</v>
      </c>
      <c r="EN76" s="1509">
        <v>0.6</v>
      </c>
      <c r="EO76" s="1509" t="s">
        <v>2372</v>
      </c>
      <c r="EP76" s="1509">
        <v>0.5</v>
      </c>
      <c r="EQ76" s="1509">
        <v>0.4</v>
      </c>
      <c r="ER76" s="1509">
        <v>0.5</v>
      </c>
      <c r="ES76" s="1509">
        <v>0.5</v>
      </c>
      <c r="ET76" s="1509">
        <v>0.1</v>
      </c>
      <c r="EU76" s="1509">
        <v>0.5</v>
      </c>
      <c r="EV76" s="1509">
        <v>1</v>
      </c>
      <c r="EW76" s="1509">
        <v>0.6</v>
      </c>
      <c r="EX76" s="1509">
        <v>0.5</v>
      </c>
      <c r="EY76" s="1509">
        <v>0.1</v>
      </c>
      <c r="EZ76" s="1509">
        <v>0.5</v>
      </c>
      <c r="FA76" s="1509">
        <v>0.5</v>
      </c>
      <c r="FB76" s="1509">
        <v>0.5</v>
      </c>
      <c r="FC76" s="1509">
        <v>0.5</v>
      </c>
      <c r="FD76" s="1509">
        <v>1</v>
      </c>
      <c r="FE76" s="1509">
        <v>0.1</v>
      </c>
      <c r="FF76" s="1509">
        <v>0.5</v>
      </c>
      <c r="FG76" s="1509">
        <v>0.1</v>
      </c>
      <c r="FH76" s="1509">
        <v>0.5</v>
      </c>
      <c r="FI76" s="1509">
        <v>0.1</v>
      </c>
      <c r="FJ76" s="1509">
        <v>0.5</v>
      </c>
      <c r="FK76" s="1509">
        <v>0.5</v>
      </c>
      <c r="FL76" s="1509">
        <v>0.6</v>
      </c>
      <c r="FM76" s="1509">
        <v>0.5</v>
      </c>
      <c r="FN76" s="1509">
        <v>0.1</v>
      </c>
      <c r="FO76" s="1509">
        <v>0.1</v>
      </c>
      <c r="FP76" s="1509">
        <v>0.5</v>
      </c>
      <c r="FQ76" s="1509">
        <v>0.5</v>
      </c>
      <c r="FR76" s="1509" t="s">
        <v>2372</v>
      </c>
      <c r="FS76" s="1509">
        <v>0.6</v>
      </c>
      <c r="FT76" s="1509">
        <v>0.6</v>
      </c>
      <c r="FU76" s="1509">
        <v>0.1</v>
      </c>
    </row>
    <row r="77" spans="1:177" s="1509" customFormat="1" x14ac:dyDescent="0.2">
      <c r="A77" s="1512" t="s">
        <v>665</v>
      </c>
      <c r="B77" s="1512" t="s">
        <v>1011</v>
      </c>
      <c r="C77" s="1509">
        <v>0.68050845599999998</v>
      </c>
      <c r="D77" s="1509">
        <v>0.98817553700000005</v>
      </c>
      <c r="E77" s="1509">
        <v>0.85599347100000001</v>
      </c>
      <c r="F77" s="1509">
        <v>0.65511965299999997</v>
      </c>
      <c r="G77" s="1509">
        <v>0.91849952700000004</v>
      </c>
      <c r="H77" s="1509">
        <v>0.70084444499999998</v>
      </c>
      <c r="I77" s="1509">
        <v>0.91948334600000003</v>
      </c>
      <c r="J77" s="1509">
        <v>0.90925758899999998</v>
      </c>
      <c r="K77" s="1509">
        <v>0.934482861</v>
      </c>
      <c r="L77" s="1509">
        <v>0.88882843499999997</v>
      </c>
      <c r="M77" s="1509">
        <v>0.93471018299999997</v>
      </c>
      <c r="N77" s="1509">
        <v>0.979142289</v>
      </c>
      <c r="O77" s="1509">
        <v>0.95608961699999995</v>
      </c>
      <c r="P77" s="1509">
        <v>0.93911128300000002</v>
      </c>
      <c r="Q77" s="1509">
        <v>0.79165703099999996</v>
      </c>
      <c r="R77" s="1509">
        <v>0.96203740299999996</v>
      </c>
      <c r="S77" s="1509">
        <v>0.98418063499999997</v>
      </c>
      <c r="T77" s="1509">
        <v>0.48846621099999998</v>
      </c>
      <c r="U77" s="1509">
        <v>0.50755751999999998</v>
      </c>
      <c r="V77" s="1509">
        <v>0.72068107100000001</v>
      </c>
      <c r="W77" s="1509">
        <v>0.83343643599999995</v>
      </c>
      <c r="X77" s="1509">
        <v>0.62348793700000005</v>
      </c>
      <c r="Y77" s="1509">
        <v>0.95408843899999995</v>
      </c>
      <c r="Z77" s="1509">
        <v>0.729636061</v>
      </c>
      <c r="AA77" s="1509">
        <v>0.94749237900000005</v>
      </c>
      <c r="AB77" s="1509">
        <v>0.82425412300000001</v>
      </c>
      <c r="AC77" s="1509">
        <v>0.77927793599999995</v>
      </c>
      <c r="AD77" s="1509">
        <v>0.59727139200000001</v>
      </c>
      <c r="AE77" s="1509">
        <v>0.88380715099999996</v>
      </c>
      <c r="AF77" s="1509">
        <v>0.75523026599999998</v>
      </c>
      <c r="AG77" s="1509">
        <v>0.99996273400000002</v>
      </c>
      <c r="AH77" s="1509">
        <v>0.75657183699999997</v>
      </c>
      <c r="AI77" s="1509">
        <v>0.77334148199999997</v>
      </c>
      <c r="AJ77" s="1509">
        <v>0.75228998800000002</v>
      </c>
      <c r="AK77" s="1509">
        <v>0.92289616799999996</v>
      </c>
      <c r="AL77" s="1509">
        <v>0.657075933</v>
      </c>
      <c r="AM77" s="1509">
        <v>0.97480101200000002</v>
      </c>
      <c r="AN77" s="1509">
        <v>0.76201949999999996</v>
      </c>
      <c r="AO77" s="1509">
        <v>0.61277156600000005</v>
      </c>
      <c r="AP77" s="1509">
        <v>0</v>
      </c>
      <c r="AQ77" s="1509">
        <v>0.91576048499999996</v>
      </c>
      <c r="AR77" s="1509">
        <v>0.55402247599999999</v>
      </c>
      <c r="AS77" s="1509">
        <v>0.154319185</v>
      </c>
      <c r="AT77" s="1509">
        <v>2.745707E-2</v>
      </c>
      <c r="AU77" s="1509">
        <v>2.1230802E-2</v>
      </c>
      <c r="AV77" s="1509">
        <v>0.74900313799999996</v>
      </c>
      <c r="AW77" s="1509">
        <v>0.930655656</v>
      </c>
      <c r="AX77" s="1509">
        <v>0.990451792</v>
      </c>
      <c r="AY77" s="1509">
        <v>0.86183211100000001</v>
      </c>
      <c r="AZ77" s="1509">
        <v>0.87591638599999999</v>
      </c>
      <c r="BA77" s="1509">
        <v>0.87709420299999996</v>
      </c>
      <c r="BB77" s="1509">
        <v>0.951748013</v>
      </c>
      <c r="BC77" s="1509">
        <v>6.1194212999999997E-2</v>
      </c>
      <c r="BD77" s="1509">
        <v>0.97893830599999998</v>
      </c>
      <c r="BE77" s="1509">
        <v>0.99975547600000003</v>
      </c>
      <c r="BF77" s="1509">
        <v>0.13354189999999999</v>
      </c>
      <c r="BG77" s="1509">
        <v>0.25124882100000001</v>
      </c>
      <c r="BH77" s="1509">
        <v>0.71104038899999999</v>
      </c>
      <c r="BI77" s="1509">
        <v>0.59664905199999996</v>
      </c>
      <c r="BJ77" s="1509">
        <v>0.51278592199999995</v>
      </c>
      <c r="BK77" s="1509">
        <v>0.97589643100000001</v>
      </c>
      <c r="BL77" s="1509">
        <v>1.7559681000000001E-2</v>
      </c>
      <c r="BM77" s="1509">
        <v>0</v>
      </c>
      <c r="BN77" s="1509">
        <v>0.89992994000000004</v>
      </c>
      <c r="BO77" s="1509">
        <v>0.982268896</v>
      </c>
      <c r="BP77" s="1509">
        <v>0.985324698</v>
      </c>
      <c r="BQ77" s="1509">
        <v>0.97512129999999997</v>
      </c>
      <c r="BR77" s="1509">
        <v>0.40784148599999998</v>
      </c>
      <c r="BS77" s="1509">
        <v>1.7559681000000001E-2</v>
      </c>
      <c r="BT77" s="1509">
        <v>0.87595491299999995</v>
      </c>
      <c r="BU77" s="1509">
        <v>0.56564956099999997</v>
      </c>
      <c r="BV77" s="1509">
        <v>0.91104176299999995</v>
      </c>
      <c r="BW77" s="1509">
        <v>0</v>
      </c>
      <c r="BX77" s="1509">
        <v>0.89766265499999998</v>
      </c>
      <c r="BY77" s="1509">
        <v>5.0035230000000002E-3</v>
      </c>
      <c r="BZ77" s="1509">
        <v>5.0035230000000002E-3</v>
      </c>
      <c r="CA77" s="1509">
        <v>0</v>
      </c>
      <c r="CB77" s="1509">
        <v>0</v>
      </c>
      <c r="CC77" s="1509">
        <v>0.85016374100000003</v>
      </c>
      <c r="CD77" s="1509">
        <v>0.99643424599999997</v>
      </c>
      <c r="CE77" s="1509">
        <v>0.83443115800000001</v>
      </c>
      <c r="CF77" s="1509">
        <v>0.52433738900000004</v>
      </c>
      <c r="CG77" s="1509">
        <v>0.78305669600000005</v>
      </c>
      <c r="CH77" s="1509">
        <v>0.970627036</v>
      </c>
      <c r="CI77" s="1509">
        <v>0.98713581900000003</v>
      </c>
      <c r="CJ77" s="1509">
        <v>0.96746141799999996</v>
      </c>
      <c r="CK77" s="1509">
        <v>0.56985998299999996</v>
      </c>
      <c r="CL77" s="1509">
        <v>0.493307355</v>
      </c>
      <c r="CM77" s="1509">
        <v>0.81393011500000001</v>
      </c>
      <c r="CN77" s="1509">
        <v>0.841010645</v>
      </c>
      <c r="CO77" s="1509">
        <v>4.3997522999999997E-2</v>
      </c>
      <c r="CP77" s="1509">
        <v>4.3997522999999997E-2</v>
      </c>
      <c r="CQ77" s="1509">
        <v>0.99986956900000001</v>
      </c>
      <c r="CR77" s="1509">
        <v>0.99967578700000004</v>
      </c>
      <c r="CS77" s="1509">
        <v>0.797154378</v>
      </c>
      <c r="CT77" s="1509">
        <v>0.38095788200000003</v>
      </c>
      <c r="CU77" s="1509">
        <v>0.544603528</v>
      </c>
      <c r="CV77" s="1509">
        <v>0.88224027500000002</v>
      </c>
      <c r="CW77" s="1509">
        <v>0.68419633199999996</v>
      </c>
      <c r="CX77" s="1509">
        <v>0.98521123700000002</v>
      </c>
      <c r="CY77" s="1509">
        <v>0.99706646399999999</v>
      </c>
      <c r="CZ77" s="1509">
        <v>0.90623310099999999</v>
      </c>
      <c r="DA77" s="1509">
        <v>0.97111503200000004</v>
      </c>
      <c r="DB77" s="1509">
        <v>0.96487274499999998</v>
      </c>
      <c r="DC77" s="1509">
        <v>0.57415907099999997</v>
      </c>
      <c r="DD77" s="1509">
        <v>0.92735400400000001</v>
      </c>
      <c r="DE77" s="1509">
        <v>0.687184393</v>
      </c>
      <c r="DF77" s="1509">
        <v>0.77595452499999995</v>
      </c>
      <c r="DG77" s="1509">
        <v>0.88606407300000001</v>
      </c>
      <c r="DH77" s="1509">
        <v>0.227264784</v>
      </c>
      <c r="DI77" s="1509">
        <v>0.47442489399999999</v>
      </c>
      <c r="DJ77" s="1509">
        <v>0.89071453199999995</v>
      </c>
      <c r="DK77" s="1509">
        <v>0.99383299400000003</v>
      </c>
      <c r="DL77" s="1509">
        <v>0.73173297100000001</v>
      </c>
      <c r="DM77" s="1509">
        <v>4.3997522999999997E-2</v>
      </c>
      <c r="DN77" s="1509">
        <v>0.123400366</v>
      </c>
      <c r="DO77" s="1509">
        <v>0.95677299999999998</v>
      </c>
      <c r="DP77" s="1509">
        <v>0.94785083400000003</v>
      </c>
      <c r="DQ77" s="1509">
        <v>0.99719780899999999</v>
      </c>
      <c r="DR77" s="1509">
        <v>0.97177597800000004</v>
      </c>
      <c r="DS77" s="1509">
        <v>0.96578376700000002</v>
      </c>
      <c r="DT77" s="1509">
        <v>0.98961605100000005</v>
      </c>
      <c r="DU77" s="1509">
        <v>0.70606912099999997</v>
      </c>
      <c r="DV77" s="1509">
        <v>0.84065110899999995</v>
      </c>
      <c r="DW77" s="1509">
        <v>0.48154840399999999</v>
      </c>
      <c r="DX77" s="1509">
        <v>0.33894722300000002</v>
      </c>
      <c r="DY77" s="1509">
        <v>0.58709794599999998</v>
      </c>
      <c r="DZ77" s="1509">
        <v>0.19649638</v>
      </c>
      <c r="EA77" s="1509">
        <v>0.91830130099999996</v>
      </c>
      <c r="EB77" s="1509">
        <v>0.43671881400000001</v>
      </c>
      <c r="EC77" s="1509">
        <v>0.77937482800000002</v>
      </c>
      <c r="ED77" s="1509">
        <v>0.96503342700000005</v>
      </c>
      <c r="EE77" s="1509">
        <v>0.96158981899999996</v>
      </c>
      <c r="EF77" s="1509">
        <v>0.96452788199999995</v>
      </c>
      <c r="EG77" s="1509">
        <v>0.24273096199999999</v>
      </c>
      <c r="EH77" s="1509">
        <v>0.99175527799999996</v>
      </c>
      <c r="EI77" s="1509">
        <v>0.74489194599999997</v>
      </c>
      <c r="EJ77" s="1509">
        <v>0.59021431800000002</v>
      </c>
      <c r="EK77" s="1509">
        <v>0.944097458</v>
      </c>
      <c r="EL77" s="1509">
        <v>0.68726717500000001</v>
      </c>
      <c r="EM77" s="1509">
        <v>0.94177650599999996</v>
      </c>
      <c r="EN77" s="1509">
        <v>0.96298715000000001</v>
      </c>
      <c r="EO77" s="1509">
        <v>0.47434211100000001</v>
      </c>
      <c r="EP77" s="1509">
        <v>0.52558843300000002</v>
      </c>
      <c r="EQ77" s="1509">
        <v>0.96916145099999995</v>
      </c>
      <c r="ER77" s="1509">
        <v>0.96977852600000003</v>
      </c>
      <c r="ES77" s="1509">
        <v>0.96507275999999997</v>
      </c>
      <c r="ET77" s="1509">
        <v>0.908886784</v>
      </c>
      <c r="EU77" s="1509">
        <v>0.42949456800000002</v>
      </c>
      <c r="EV77" s="1509">
        <v>0.69942834099999995</v>
      </c>
      <c r="EW77" s="1509">
        <v>0.97559627599999998</v>
      </c>
      <c r="EX77" s="1509">
        <v>0.30470246400000001</v>
      </c>
      <c r="EY77" s="1509">
        <v>0.93444400400000005</v>
      </c>
      <c r="EZ77" s="1509">
        <v>0.90874578699999997</v>
      </c>
      <c r="FA77" s="1509">
        <v>0.83555757799999997</v>
      </c>
      <c r="FB77" s="1509">
        <v>0.75145614599999999</v>
      </c>
      <c r="FC77" s="1509">
        <v>0.83149505800000001</v>
      </c>
      <c r="FD77" s="1509">
        <v>0.88831098799999997</v>
      </c>
      <c r="FE77" s="1509">
        <v>0.98503511399999999</v>
      </c>
      <c r="FF77" s="1509">
        <v>0.65896432999999999</v>
      </c>
      <c r="FG77" s="1509">
        <v>0.75501062399999996</v>
      </c>
      <c r="FH77" s="1509">
        <v>0.84968127100000002</v>
      </c>
      <c r="FI77" s="1509">
        <v>0.62522851899999998</v>
      </c>
      <c r="FJ77" s="1509">
        <v>0.99837086900000005</v>
      </c>
      <c r="FK77" s="1509">
        <v>0.96580015399999997</v>
      </c>
      <c r="FL77" s="1509">
        <v>0.99541938399999996</v>
      </c>
      <c r="FM77" s="1509">
        <v>0.29683016400000001</v>
      </c>
      <c r="FN77" s="1509">
        <v>0.96029320799999995</v>
      </c>
      <c r="FO77" s="1509">
        <v>0.99507294999999996</v>
      </c>
      <c r="FP77" s="1509">
        <v>0.57535819099999996</v>
      </c>
      <c r="FQ77" s="1509">
        <v>0.95438381800000005</v>
      </c>
      <c r="FR77" s="1509">
        <v>0.700162913</v>
      </c>
      <c r="FS77" s="1509">
        <v>0.37430381400000001</v>
      </c>
      <c r="FT77" s="1509">
        <v>0.37172895299999997</v>
      </c>
      <c r="FU77" s="1509">
        <v>0.96402724900000003</v>
      </c>
    </row>
    <row r="78" spans="1:177" s="1509" customFormat="1" x14ac:dyDescent="0.2">
      <c r="A78" s="1512" t="s">
        <v>1058</v>
      </c>
      <c r="B78" s="1512" t="s">
        <v>1330</v>
      </c>
      <c r="C78" s="1509">
        <v>0</v>
      </c>
      <c r="D78" s="1509">
        <v>0</v>
      </c>
      <c r="E78" s="1509">
        <v>0</v>
      </c>
      <c r="F78" s="1509">
        <v>0</v>
      </c>
      <c r="G78" s="1509">
        <v>0</v>
      </c>
      <c r="H78" s="1509">
        <v>0</v>
      </c>
      <c r="I78" s="1509">
        <v>0</v>
      </c>
      <c r="J78" s="1509">
        <v>0</v>
      </c>
      <c r="K78" s="1509">
        <v>1</v>
      </c>
      <c r="L78" s="1509">
        <v>0</v>
      </c>
      <c r="M78" s="1509">
        <v>0</v>
      </c>
      <c r="N78" s="1509">
        <v>1</v>
      </c>
      <c r="O78" s="1509">
        <v>0</v>
      </c>
      <c r="P78" s="1509">
        <v>1</v>
      </c>
      <c r="Q78" s="1509">
        <v>0</v>
      </c>
      <c r="R78" s="1509">
        <v>0</v>
      </c>
      <c r="S78" s="1509">
        <v>0</v>
      </c>
      <c r="T78" s="1509">
        <v>0</v>
      </c>
      <c r="U78" s="1509">
        <v>0</v>
      </c>
      <c r="V78" s="1509">
        <v>0</v>
      </c>
      <c r="W78" s="1509">
        <v>0</v>
      </c>
      <c r="X78" s="1509">
        <v>0</v>
      </c>
      <c r="Y78" s="1509">
        <v>0</v>
      </c>
      <c r="Z78" s="1509">
        <v>0</v>
      </c>
      <c r="AA78" s="1509">
        <v>1</v>
      </c>
      <c r="AB78" s="1509">
        <v>0</v>
      </c>
      <c r="AC78" s="1509">
        <v>0</v>
      </c>
      <c r="AD78" s="1509">
        <v>0</v>
      </c>
      <c r="AE78" s="1509">
        <v>1</v>
      </c>
      <c r="AF78" s="1509">
        <v>0</v>
      </c>
      <c r="AG78" s="1509">
        <v>1</v>
      </c>
      <c r="AH78" s="1509">
        <v>0</v>
      </c>
      <c r="AI78" s="1509">
        <v>0</v>
      </c>
      <c r="AJ78" s="1509">
        <v>0</v>
      </c>
      <c r="AK78" s="1509">
        <v>0</v>
      </c>
      <c r="AL78" s="1509">
        <v>1</v>
      </c>
      <c r="AM78" s="1509">
        <v>1</v>
      </c>
      <c r="AN78" s="1509">
        <v>0</v>
      </c>
      <c r="AO78" s="1509">
        <v>0</v>
      </c>
      <c r="AP78" s="1509">
        <v>0</v>
      </c>
      <c r="AQ78" s="1509">
        <v>0</v>
      </c>
      <c r="AR78" s="1509">
        <v>1</v>
      </c>
      <c r="AS78" s="1509">
        <v>0</v>
      </c>
      <c r="AT78" s="1509">
        <v>0</v>
      </c>
      <c r="AU78" s="1509">
        <v>0</v>
      </c>
      <c r="AV78" s="1509">
        <v>1</v>
      </c>
      <c r="AW78" s="1509">
        <v>0</v>
      </c>
      <c r="AX78" s="1509">
        <v>0</v>
      </c>
      <c r="AY78" s="1509">
        <v>1</v>
      </c>
      <c r="AZ78" s="1509">
        <v>1</v>
      </c>
      <c r="BA78" s="1509">
        <v>1</v>
      </c>
      <c r="BB78" s="1509">
        <v>1</v>
      </c>
      <c r="BC78" s="1509">
        <v>0</v>
      </c>
      <c r="BD78" s="1509">
        <v>1</v>
      </c>
      <c r="BE78" s="1509">
        <v>1</v>
      </c>
      <c r="BF78" s="1509">
        <v>0</v>
      </c>
      <c r="BG78" s="1509">
        <v>0</v>
      </c>
      <c r="BH78" s="1509">
        <v>0</v>
      </c>
      <c r="BI78" s="1509">
        <v>0</v>
      </c>
      <c r="BJ78" s="1509">
        <v>0</v>
      </c>
      <c r="BK78" s="1509">
        <v>1</v>
      </c>
      <c r="BL78" s="1509">
        <v>1</v>
      </c>
      <c r="BM78" s="1509">
        <v>1</v>
      </c>
      <c r="BN78" s="1509">
        <v>0</v>
      </c>
      <c r="BO78" s="1509">
        <v>1</v>
      </c>
      <c r="BP78" s="1509">
        <v>1</v>
      </c>
      <c r="BQ78" s="1509">
        <v>0</v>
      </c>
      <c r="BR78" s="1509">
        <v>0</v>
      </c>
      <c r="BS78" s="1509">
        <v>0</v>
      </c>
      <c r="BT78" s="1509">
        <v>0</v>
      </c>
      <c r="BU78" s="1509">
        <v>0</v>
      </c>
      <c r="BV78" s="1509">
        <v>0</v>
      </c>
      <c r="BW78" s="1509">
        <v>0</v>
      </c>
      <c r="BX78" s="1509">
        <v>1</v>
      </c>
      <c r="BY78" s="1509">
        <v>0</v>
      </c>
      <c r="BZ78" s="1509">
        <v>1</v>
      </c>
      <c r="CA78" s="1509">
        <v>1</v>
      </c>
      <c r="CB78" s="1509">
        <v>1</v>
      </c>
      <c r="CC78" s="1509">
        <v>1</v>
      </c>
      <c r="CD78" s="1509">
        <v>1</v>
      </c>
      <c r="CE78" s="1509">
        <v>0</v>
      </c>
      <c r="CF78" s="1509">
        <v>0</v>
      </c>
      <c r="CG78" s="1509">
        <v>0</v>
      </c>
      <c r="CH78" s="1509">
        <v>1</v>
      </c>
      <c r="CI78" s="1509">
        <v>0</v>
      </c>
      <c r="CJ78" s="1509">
        <v>1</v>
      </c>
      <c r="CK78" s="1509">
        <v>0</v>
      </c>
      <c r="CL78" s="1509">
        <v>0</v>
      </c>
      <c r="CM78" s="1509">
        <v>0</v>
      </c>
      <c r="CN78" s="1509">
        <v>0</v>
      </c>
      <c r="CO78" s="1509">
        <v>0</v>
      </c>
      <c r="CP78" s="1509">
        <v>1</v>
      </c>
      <c r="CQ78" s="1509">
        <v>1</v>
      </c>
      <c r="CR78" s="1509">
        <v>1</v>
      </c>
      <c r="CS78" s="1509">
        <v>0</v>
      </c>
      <c r="CT78" s="1509">
        <v>0</v>
      </c>
      <c r="CU78" s="1509">
        <v>0</v>
      </c>
      <c r="CV78" s="1509">
        <v>0</v>
      </c>
      <c r="CW78" s="1509">
        <v>0</v>
      </c>
      <c r="CX78" s="1509">
        <v>1</v>
      </c>
      <c r="CY78" s="1509">
        <v>1</v>
      </c>
      <c r="CZ78" s="1509">
        <v>1</v>
      </c>
      <c r="DA78" s="1509">
        <v>1</v>
      </c>
      <c r="DB78" s="1509">
        <v>1</v>
      </c>
      <c r="DC78" s="1509">
        <v>1</v>
      </c>
      <c r="DD78" s="1509">
        <v>1</v>
      </c>
      <c r="DE78" s="1509">
        <v>0</v>
      </c>
      <c r="DF78" s="1509">
        <v>1</v>
      </c>
      <c r="DG78" s="1509">
        <v>1</v>
      </c>
      <c r="DH78" s="1509">
        <v>0</v>
      </c>
      <c r="DI78" s="1509">
        <v>1</v>
      </c>
      <c r="DJ78" s="1509">
        <v>1</v>
      </c>
      <c r="DK78" s="1509">
        <v>1</v>
      </c>
      <c r="DL78" s="1509">
        <v>1</v>
      </c>
      <c r="DM78" s="1509">
        <v>1</v>
      </c>
      <c r="DN78" s="1509">
        <v>0</v>
      </c>
      <c r="DO78" s="1509">
        <v>0</v>
      </c>
      <c r="DP78" s="1509">
        <v>0</v>
      </c>
      <c r="DQ78" s="1509">
        <v>1</v>
      </c>
      <c r="DR78" s="1509">
        <v>1</v>
      </c>
      <c r="DS78" s="1509">
        <v>1</v>
      </c>
      <c r="DT78" s="1509">
        <v>1</v>
      </c>
      <c r="DU78" s="1509">
        <v>0</v>
      </c>
      <c r="DV78" s="1509">
        <v>0</v>
      </c>
      <c r="DW78" s="1509">
        <v>0</v>
      </c>
      <c r="DX78" s="1509">
        <v>0</v>
      </c>
      <c r="DY78" s="1509">
        <v>0</v>
      </c>
      <c r="DZ78" s="1509">
        <v>0</v>
      </c>
      <c r="EA78" s="1509">
        <v>0</v>
      </c>
      <c r="EB78" s="1509">
        <v>1</v>
      </c>
      <c r="EC78" s="1509">
        <v>0</v>
      </c>
      <c r="ED78" s="1509">
        <v>1</v>
      </c>
      <c r="EE78" s="1509">
        <v>0</v>
      </c>
      <c r="EF78" s="1509">
        <v>1</v>
      </c>
      <c r="EG78" s="1509">
        <v>0</v>
      </c>
      <c r="EH78" s="1509">
        <v>1</v>
      </c>
      <c r="EI78" s="1509">
        <v>0</v>
      </c>
      <c r="EJ78" s="1509">
        <v>0</v>
      </c>
      <c r="EK78" s="1509">
        <v>0</v>
      </c>
      <c r="EL78" s="1509">
        <v>1</v>
      </c>
      <c r="EM78" s="1509">
        <v>1</v>
      </c>
      <c r="EN78" s="1509">
        <v>1</v>
      </c>
      <c r="EO78" s="1509">
        <v>0</v>
      </c>
      <c r="EP78" s="1509">
        <v>0</v>
      </c>
      <c r="EQ78" s="1509">
        <v>1</v>
      </c>
      <c r="ER78" s="1509">
        <v>0</v>
      </c>
      <c r="ES78" s="1509">
        <v>0</v>
      </c>
      <c r="ET78" s="1509">
        <v>0</v>
      </c>
      <c r="EU78" s="1509">
        <v>1</v>
      </c>
      <c r="EV78" s="1509">
        <v>0</v>
      </c>
      <c r="EW78" s="1509">
        <v>0</v>
      </c>
      <c r="EX78" s="1509">
        <v>0</v>
      </c>
      <c r="EY78" s="1509">
        <v>0</v>
      </c>
      <c r="EZ78" s="1509">
        <v>0</v>
      </c>
      <c r="FA78" s="1509">
        <v>1</v>
      </c>
      <c r="FB78" s="1509">
        <v>0</v>
      </c>
      <c r="FC78" s="1509">
        <v>0</v>
      </c>
      <c r="FD78" s="1509">
        <v>1</v>
      </c>
      <c r="FE78" s="1509">
        <v>1</v>
      </c>
      <c r="FF78" s="1509">
        <v>0</v>
      </c>
      <c r="FG78" s="1509">
        <v>0</v>
      </c>
      <c r="FH78" s="1509">
        <v>0</v>
      </c>
      <c r="FI78" s="1509">
        <v>0</v>
      </c>
      <c r="FJ78" s="1509">
        <v>1</v>
      </c>
      <c r="FK78" s="1509">
        <v>0</v>
      </c>
      <c r="FL78" s="1509">
        <v>1</v>
      </c>
      <c r="FM78" s="1509">
        <v>0</v>
      </c>
      <c r="FN78" s="1509">
        <v>0</v>
      </c>
      <c r="FO78" s="1509">
        <v>1</v>
      </c>
      <c r="FP78" s="1509">
        <v>0</v>
      </c>
      <c r="FQ78" s="1509">
        <v>0</v>
      </c>
      <c r="FR78" s="1509">
        <v>0</v>
      </c>
      <c r="FS78" s="1509">
        <v>0</v>
      </c>
      <c r="FT78" s="1509">
        <v>0</v>
      </c>
      <c r="FU78" s="1509">
        <v>0</v>
      </c>
    </row>
    <row r="79" spans="1:177" s="1509" customFormat="1" x14ac:dyDescent="0.2">
      <c r="A79" s="1512" t="s">
        <v>1058</v>
      </c>
      <c r="B79" s="1512" t="s">
        <v>1270</v>
      </c>
      <c r="C79" s="1509">
        <v>0.86777321500000004</v>
      </c>
      <c r="D79" s="1509">
        <v>0.58464943999999996</v>
      </c>
      <c r="E79" s="1509">
        <v>0.69298879800000002</v>
      </c>
      <c r="F79" s="1509">
        <v>0.43306804900000001</v>
      </c>
      <c r="G79" s="1509">
        <v>0.25677307300000002</v>
      </c>
      <c r="H79" s="1509">
        <v>0.14533692100000001</v>
      </c>
      <c r="I79" s="1509">
        <v>0.20921063400000001</v>
      </c>
      <c r="J79" s="1509">
        <v>0.48400548599999998</v>
      </c>
      <c r="K79" s="1509">
        <v>0.42020257700000002</v>
      </c>
      <c r="L79" s="1509">
        <v>0.88729680799999999</v>
      </c>
      <c r="M79" s="1509">
        <v>0.96078884399999998</v>
      </c>
      <c r="N79" s="1509">
        <v>0.89991503399999995</v>
      </c>
      <c r="O79" s="1509">
        <v>0.56653449700000003</v>
      </c>
      <c r="P79" s="1509">
        <v>0.65260004000000005</v>
      </c>
      <c r="Q79" s="1509">
        <v>0.24315009700000001</v>
      </c>
      <c r="R79" s="1509">
        <v>0.89292294800000005</v>
      </c>
      <c r="S79" s="1509">
        <v>0.713362053</v>
      </c>
      <c r="T79" s="1509">
        <v>0.440404409</v>
      </c>
      <c r="U79" s="1509">
        <v>0.12845920499999999</v>
      </c>
      <c r="V79" s="1509">
        <v>0.47666783400000001</v>
      </c>
      <c r="W79" s="1509">
        <v>0.81142348200000003</v>
      </c>
      <c r="X79" s="1509">
        <v>0.78734599900000002</v>
      </c>
      <c r="Y79" s="1509">
        <v>0.85847910500000002</v>
      </c>
      <c r="Z79" s="1509">
        <v>0.283600778</v>
      </c>
      <c r="AA79" s="1509">
        <v>0.246688927</v>
      </c>
      <c r="AB79" s="1509">
        <v>0.54787919900000004</v>
      </c>
      <c r="AC79" s="1509">
        <v>0.43891377399999998</v>
      </c>
      <c r="AD79" s="1509">
        <v>0.45453563000000002</v>
      </c>
      <c r="AE79" s="1509">
        <v>0.481443907</v>
      </c>
      <c r="AF79" s="1509">
        <v>0.25021055199999997</v>
      </c>
      <c r="AG79" s="1509">
        <v>0.95341019999999999</v>
      </c>
      <c r="AH79" s="1509">
        <v>0.12267926799999999</v>
      </c>
      <c r="AI79" s="1509">
        <v>0.573667186</v>
      </c>
      <c r="AJ79" s="1509">
        <v>0.14312332799999999</v>
      </c>
      <c r="AK79" s="1509">
        <v>0.46126531999999998</v>
      </c>
      <c r="AL79" s="1509">
        <v>0.164763191</v>
      </c>
      <c r="AM79" s="1509">
        <v>0.60655113999999999</v>
      </c>
      <c r="AN79" s="1509">
        <v>0.18579964600000001</v>
      </c>
      <c r="AO79" s="1509">
        <v>0.24584413899999999</v>
      </c>
      <c r="AP79" s="1509">
        <v>0.65694485800000002</v>
      </c>
      <c r="AQ79" s="1509">
        <v>0.12775115300000001</v>
      </c>
      <c r="AR79" s="1509">
        <v>0.255276954</v>
      </c>
      <c r="AS79" s="1509">
        <v>7.2378434000000005E-2</v>
      </c>
      <c r="AT79" s="1509">
        <v>1.9239934E-2</v>
      </c>
      <c r="AU79" s="1509">
        <v>0.183528833</v>
      </c>
      <c r="AV79" s="1509">
        <v>6.7194103000000005E-2</v>
      </c>
      <c r="AW79" s="1509">
        <v>0.185099612</v>
      </c>
      <c r="AX79" s="1509">
        <v>0.87374297400000001</v>
      </c>
      <c r="AY79" s="1509">
        <v>0.30434471499999999</v>
      </c>
      <c r="AZ79" s="1509">
        <v>0.114138212</v>
      </c>
      <c r="BA79" s="1509">
        <v>0.205397046</v>
      </c>
      <c r="BB79" s="1509">
        <v>0.389428263</v>
      </c>
      <c r="BC79" s="1509">
        <v>2.348302E-2</v>
      </c>
      <c r="BD79" s="1509">
        <v>0.42224084099999998</v>
      </c>
      <c r="BE79" s="1509">
        <v>0.896688441</v>
      </c>
      <c r="BF79" s="1509">
        <v>0.131535659</v>
      </c>
      <c r="BG79" s="1509">
        <v>8.5269152000000001E-2</v>
      </c>
      <c r="BH79" s="1509">
        <v>0.150904443</v>
      </c>
      <c r="BI79" s="1509">
        <v>7.4255986999999996E-2</v>
      </c>
      <c r="BJ79" s="1509">
        <v>8.9315127999999994E-2</v>
      </c>
      <c r="BK79" s="1509">
        <v>0.69087582299999994</v>
      </c>
      <c r="BL79" s="1509">
        <v>0.237063151</v>
      </c>
      <c r="BM79" s="1509">
        <v>0.97489798800000005</v>
      </c>
      <c r="BN79" s="1509">
        <v>0.16596731000000001</v>
      </c>
      <c r="BO79" s="1509">
        <v>0.60313704199999996</v>
      </c>
      <c r="BP79" s="1509">
        <v>0.49228969</v>
      </c>
      <c r="BQ79" s="1509">
        <v>0.27602835199999998</v>
      </c>
      <c r="BR79" s="1509">
        <v>5.0670412999999997E-2</v>
      </c>
      <c r="BS79" s="1509">
        <v>0.58134395699999997</v>
      </c>
      <c r="BT79" s="1509">
        <v>0.17453712900000001</v>
      </c>
      <c r="BU79" s="1509">
        <v>3.2301917999999999E-2</v>
      </c>
      <c r="BV79" s="1509">
        <v>0.118970566</v>
      </c>
      <c r="BW79" s="1509">
        <v>0.20230804199999999</v>
      </c>
      <c r="BX79" s="1509">
        <v>0.82362034399999995</v>
      </c>
      <c r="BY79" s="1509">
        <v>0.78818054199999998</v>
      </c>
      <c r="BZ79" s="1509">
        <v>0.83934102099999996</v>
      </c>
      <c r="CA79" s="1509">
        <v>0.41260546199999998</v>
      </c>
      <c r="CB79" s="1509">
        <v>0.52130873600000005</v>
      </c>
      <c r="CC79" s="1509">
        <v>0.39957330299999999</v>
      </c>
      <c r="CD79" s="1509">
        <v>0.97267498699999999</v>
      </c>
      <c r="CE79" s="1509">
        <v>0.20585141700000001</v>
      </c>
      <c r="CF79" s="1509">
        <v>0.16289825699999999</v>
      </c>
      <c r="CG79" s="1509">
        <v>0.34110202699999997</v>
      </c>
      <c r="CH79" s="1509">
        <v>0.37611331799999997</v>
      </c>
      <c r="CI79" s="1509">
        <v>0.301626283</v>
      </c>
      <c r="CJ79" s="1509">
        <v>0.78222486400000002</v>
      </c>
      <c r="CK79" s="1509">
        <v>5.6810425999999997E-2</v>
      </c>
      <c r="CL79" s="1509">
        <v>1.6742619E-2</v>
      </c>
      <c r="CM79" s="1509">
        <v>0.78269086899999996</v>
      </c>
      <c r="CN79" s="1509">
        <v>0.269542644</v>
      </c>
      <c r="CO79" s="1509">
        <v>6.7853759E-2</v>
      </c>
      <c r="CP79" s="1509">
        <v>0.198928782</v>
      </c>
      <c r="CQ79" s="1509">
        <v>0.99569579100000005</v>
      </c>
      <c r="CR79" s="1509">
        <v>0.41869330900000001</v>
      </c>
      <c r="CS79" s="1509">
        <v>0.103602865</v>
      </c>
      <c r="CT79" s="1509">
        <v>9.8892458000000003E-2</v>
      </c>
      <c r="CU79" s="1509">
        <v>6.5524592000000006E-2</v>
      </c>
      <c r="CV79" s="1509">
        <v>0.29178499899999999</v>
      </c>
      <c r="CW79" s="1509">
        <v>0.35256918300000001</v>
      </c>
      <c r="CX79" s="1509">
        <v>0.34767628699999997</v>
      </c>
      <c r="CY79" s="1509">
        <v>0.84769830300000004</v>
      </c>
      <c r="CZ79" s="1509">
        <v>0.82477836500000001</v>
      </c>
      <c r="DA79" s="1509">
        <v>0.83470347600000006</v>
      </c>
      <c r="DB79" s="1509">
        <v>0.397888134</v>
      </c>
      <c r="DC79" s="1509">
        <v>3.4593769000000003E-2</v>
      </c>
      <c r="DD79" s="1509">
        <v>0.25381947999999999</v>
      </c>
      <c r="DE79" s="1509">
        <v>0.31327550799999998</v>
      </c>
      <c r="DF79" s="1509">
        <v>8.2819009999999998E-2</v>
      </c>
      <c r="DG79" s="1509">
        <v>0.224211039</v>
      </c>
      <c r="DH79" s="1509">
        <v>0.121395524</v>
      </c>
      <c r="DI79" s="1509">
        <v>0.139966335</v>
      </c>
      <c r="DJ79" s="1509">
        <v>0.78791834900000002</v>
      </c>
      <c r="DK79" s="1509">
        <v>0.88809259799999996</v>
      </c>
      <c r="DL79" s="1509">
        <v>0.98879547599999995</v>
      </c>
      <c r="DM79" s="1509">
        <v>0.79596129900000001</v>
      </c>
      <c r="DN79" s="1509">
        <v>9.3831045000000002E-2</v>
      </c>
      <c r="DO79" s="1509">
        <v>0.44034409899999999</v>
      </c>
      <c r="DP79" s="1509">
        <v>0.802759585</v>
      </c>
      <c r="DQ79" s="1509">
        <v>0.92361433500000001</v>
      </c>
      <c r="DR79" s="1509">
        <v>0.85246161300000001</v>
      </c>
      <c r="DS79" s="1509">
        <v>0.822462323</v>
      </c>
      <c r="DT79" s="1509">
        <v>0.86640156000000002</v>
      </c>
      <c r="DU79" s="1509">
        <v>7.3301980000000003E-2</v>
      </c>
      <c r="DV79" s="1509">
        <v>0.28566903399999999</v>
      </c>
      <c r="DW79" s="1509">
        <v>0.86497172700000002</v>
      </c>
      <c r="DX79" s="1509">
        <v>0.169646563</v>
      </c>
      <c r="DY79" s="1509">
        <v>0.108381217</v>
      </c>
      <c r="DZ79" s="1509">
        <v>0.101849432</v>
      </c>
      <c r="EA79" s="1509">
        <v>0.26829469700000003</v>
      </c>
      <c r="EB79" s="1509">
        <v>0.112569035</v>
      </c>
      <c r="EC79" s="1509">
        <v>0.14418167900000001</v>
      </c>
      <c r="ED79" s="1509">
        <v>0.46655014900000003</v>
      </c>
      <c r="EE79" s="1509">
        <v>0.882852305</v>
      </c>
      <c r="EF79" s="1509">
        <v>0.15509213399999999</v>
      </c>
      <c r="EG79" s="1509">
        <v>0.76748365399999996</v>
      </c>
      <c r="EH79" s="1509">
        <v>0.67105321100000004</v>
      </c>
      <c r="EI79" s="1509">
        <v>0.426323917</v>
      </c>
      <c r="EJ79" s="1509">
        <v>0.24629810599999999</v>
      </c>
      <c r="EK79" s="1509">
        <v>0.245500145</v>
      </c>
      <c r="EL79" s="1509">
        <v>9.7995751000000006E-2</v>
      </c>
      <c r="EM79" s="1509">
        <v>0.275508421</v>
      </c>
      <c r="EN79" s="1509">
        <v>0.37516901400000002</v>
      </c>
      <c r="EO79" s="1509">
        <v>7.3749758999999998E-2</v>
      </c>
      <c r="EP79" s="1509">
        <v>0.782778266</v>
      </c>
      <c r="EQ79" s="1509">
        <v>0.96957173699999999</v>
      </c>
      <c r="ER79" s="1509">
        <v>0.84116526899999999</v>
      </c>
      <c r="ES79" s="1509">
        <v>0.80847258</v>
      </c>
      <c r="ET79" s="1509">
        <v>0.281045557</v>
      </c>
      <c r="EU79" s="1509">
        <v>0.85850844800000004</v>
      </c>
      <c r="EV79" s="1509">
        <v>0.66355620800000004</v>
      </c>
      <c r="EW79" s="1509">
        <v>0.653947536</v>
      </c>
      <c r="EX79" s="1509">
        <v>4.1278649999999997E-3</v>
      </c>
      <c r="EY79" s="1509">
        <v>0.38887237699999999</v>
      </c>
      <c r="EZ79" s="1509">
        <v>0.79678376100000003</v>
      </c>
      <c r="FA79" s="1509">
        <v>0.18626214999999999</v>
      </c>
      <c r="FB79" s="1509">
        <v>0.26584753999999999</v>
      </c>
      <c r="FC79" s="1509">
        <v>0.11950994</v>
      </c>
      <c r="FD79" s="1509">
        <v>4.8835391999999998E-2</v>
      </c>
      <c r="FE79" s="1509">
        <v>0.33537525000000001</v>
      </c>
      <c r="FF79" s="1509">
        <v>0.58645465799999996</v>
      </c>
      <c r="FG79" s="1509">
        <v>0.30826258499999998</v>
      </c>
      <c r="FH79" s="1509">
        <v>0.83229457399999995</v>
      </c>
      <c r="FI79" s="1509">
        <v>0.13294502799999999</v>
      </c>
      <c r="FJ79" s="1509">
        <v>0.82780199499999996</v>
      </c>
      <c r="FK79" s="1509">
        <v>0.84258020099999997</v>
      </c>
      <c r="FL79" s="1509">
        <v>0.44017145099999999</v>
      </c>
      <c r="FM79" s="1509">
        <v>0.549198411</v>
      </c>
      <c r="FN79" s="1509">
        <v>0.30238650700000003</v>
      </c>
      <c r="FO79" s="1509">
        <v>0.80919970900000004</v>
      </c>
      <c r="FP79" s="1509">
        <v>0.12590876200000001</v>
      </c>
      <c r="FQ79" s="1509">
        <v>0.807970678</v>
      </c>
      <c r="FR79" s="1509">
        <v>0.22400545999999999</v>
      </c>
      <c r="FS79" s="1509">
        <v>0.20932358300000001</v>
      </c>
      <c r="FT79" s="1509">
        <v>0.14315805000000001</v>
      </c>
      <c r="FU79" s="1509">
        <v>0.200635756</v>
      </c>
    </row>
    <row r="80" spans="1:177" s="1509" customFormat="1" x14ac:dyDescent="0.2">
      <c r="A80" s="1512" t="s">
        <v>1058</v>
      </c>
      <c r="B80" s="1512" t="s">
        <v>1044</v>
      </c>
      <c r="C80" s="1509" t="s">
        <v>2372</v>
      </c>
      <c r="D80" s="1509" t="s">
        <v>2372</v>
      </c>
      <c r="E80" s="1509" t="s">
        <v>2372</v>
      </c>
      <c r="F80" s="1509" t="s">
        <v>2372</v>
      </c>
      <c r="G80" s="1509" t="s">
        <v>2372</v>
      </c>
      <c r="H80" s="1509" t="s">
        <v>2372</v>
      </c>
      <c r="I80" s="1509" t="s">
        <v>2372</v>
      </c>
      <c r="J80" s="1509" t="s">
        <v>2372</v>
      </c>
      <c r="K80" s="1509" t="s">
        <v>2372</v>
      </c>
      <c r="L80" s="1509" t="s">
        <v>2372</v>
      </c>
      <c r="M80" s="1509" t="s">
        <v>2372</v>
      </c>
      <c r="N80" s="1509" t="s">
        <v>2372</v>
      </c>
      <c r="O80" s="1509" t="s">
        <v>2372</v>
      </c>
      <c r="P80" s="1509" t="s">
        <v>2372</v>
      </c>
      <c r="Q80" s="1509" t="s">
        <v>2372</v>
      </c>
      <c r="R80" s="1509" t="s">
        <v>2372</v>
      </c>
      <c r="S80" s="1509" t="s">
        <v>2372</v>
      </c>
      <c r="T80" s="1509" t="s">
        <v>2372</v>
      </c>
      <c r="U80" s="1509" t="s">
        <v>2372</v>
      </c>
      <c r="V80" s="1509" t="s">
        <v>2372</v>
      </c>
      <c r="W80" s="1509" t="s">
        <v>2372</v>
      </c>
      <c r="X80" s="1509" t="s">
        <v>2372</v>
      </c>
      <c r="Y80" s="1509" t="s">
        <v>2372</v>
      </c>
      <c r="Z80" s="1509" t="s">
        <v>2372</v>
      </c>
      <c r="AA80" s="1509" t="s">
        <v>2372</v>
      </c>
      <c r="AB80" s="1509" t="s">
        <v>2372</v>
      </c>
      <c r="AC80" s="1509" t="s">
        <v>2372</v>
      </c>
      <c r="AD80" s="1509" t="s">
        <v>2372</v>
      </c>
      <c r="AE80" s="1509" t="s">
        <v>2372</v>
      </c>
      <c r="AF80" s="1509" t="s">
        <v>2372</v>
      </c>
      <c r="AG80" s="1509" t="s">
        <v>2372</v>
      </c>
      <c r="AH80" s="1509" t="s">
        <v>2372</v>
      </c>
      <c r="AI80" s="1509" t="s">
        <v>2372</v>
      </c>
      <c r="AJ80" s="1509" t="s">
        <v>2372</v>
      </c>
      <c r="AK80" s="1509" t="s">
        <v>2372</v>
      </c>
      <c r="AL80" s="1509" t="s">
        <v>2372</v>
      </c>
      <c r="AM80" s="1509" t="s">
        <v>2372</v>
      </c>
      <c r="AN80" s="1509" t="s">
        <v>2372</v>
      </c>
      <c r="AO80" s="1509" t="s">
        <v>2372</v>
      </c>
      <c r="AP80" s="1509" t="s">
        <v>2372</v>
      </c>
      <c r="AQ80" s="1509" t="s">
        <v>2372</v>
      </c>
      <c r="AR80" s="1509" t="s">
        <v>2372</v>
      </c>
      <c r="AS80" s="1509" t="s">
        <v>2372</v>
      </c>
      <c r="AT80" s="1509" t="s">
        <v>2372</v>
      </c>
      <c r="AU80" s="1509" t="s">
        <v>2372</v>
      </c>
      <c r="AV80" s="1509" t="s">
        <v>2372</v>
      </c>
      <c r="AW80" s="1509" t="s">
        <v>2372</v>
      </c>
      <c r="AX80" s="1509" t="s">
        <v>2372</v>
      </c>
      <c r="AY80" s="1509" t="s">
        <v>2372</v>
      </c>
      <c r="AZ80" s="1509" t="s">
        <v>2372</v>
      </c>
      <c r="BA80" s="1509" t="s">
        <v>2372</v>
      </c>
      <c r="BB80" s="1509" t="s">
        <v>2372</v>
      </c>
      <c r="BC80" s="1509" t="s">
        <v>2372</v>
      </c>
      <c r="BD80" s="1509" t="s">
        <v>2372</v>
      </c>
      <c r="BE80" s="1509" t="s">
        <v>2372</v>
      </c>
      <c r="BF80" s="1509" t="s">
        <v>2372</v>
      </c>
      <c r="BG80" s="1509" t="s">
        <v>2372</v>
      </c>
      <c r="BH80" s="1509" t="s">
        <v>2372</v>
      </c>
      <c r="BI80" s="1509" t="s">
        <v>2372</v>
      </c>
      <c r="BJ80" s="1509" t="s">
        <v>2372</v>
      </c>
      <c r="BK80" s="1509" t="s">
        <v>2372</v>
      </c>
      <c r="BL80" s="1509" t="s">
        <v>2372</v>
      </c>
      <c r="BM80" s="1509" t="s">
        <v>2372</v>
      </c>
      <c r="BN80" s="1509" t="s">
        <v>2372</v>
      </c>
      <c r="BO80" s="1509" t="s">
        <v>2372</v>
      </c>
      <c r="BP80" s="1509" t="s">
        <v>2372</v>
      </c>
      <c r="BQ80" s="1509" t="s">
        <v>2372</v>
      </c>
      <c r="BR80" s="1509" t="s">
        <v>2372</v>
      </c>
      <c r="BS80" s="1509" t="s">
        <v>2372</v>
      </c>
      <c r="BT80" s="1509" t="s">
        <v>2372</v>
      </c>
      <c r="BU80" s="1509" t="s">
        <v>2372</v>
      </c>
      <c r="BV80" s="1509" t="s">
        <v>2372</v>
      </c>
      <c r="BW80" s="1509" t="s">
        <v>2372</v>
      </c>
      <c r="BX80" s="1509" t="s">
        <v>2372</v>
      </c>
      <c r="BY80" s="1509" t="s">
        <v>2372</v>
      </c>
      <c r="BZ80" s="1509" t="s">
        <v>2372</v>
      </c>
      <c r="CA80" s="1509" t="s">
        <v>2372</v>
      </c>
      <c r="CB80" s="1509" t="s">
        <v>2372</v>
      </c>
      <c r="CC80" s="1509" t="s">
        <v>2372</v>
      </c>
      <c r="CD80" s="1509" t="s">
        <v>2372</v>
      </c>
      <c r="CE80" s="1509" t="s">
        <v>2372</v>
      </c>
      <c r="CF80" s="1509" t="s">
        <v>2372</v>
      </c>
      <c r="CG80" s="1509" t="s">
        <v>2372</v>
      </c>
      <c r="CH80" s="1509" t="s">
        <v>2372</v>
      </c>
      <c r="CI80" s="1509" t="s">
        <v>2372</v>
      </c>
      <c r="CJ80" s="1509" t="s">
        <v>2372</v>
      </c>
      <c r="CK80" s="1509" t="s">
        <v>2372</v>
      </c>
      <c r="CL80" s="1509" t="s">
        <v>2372</v>
      </c>
      <c r="CM80" s="1509" t="s">
        <v>2372</v>
      </c>
      <c r="CN80" s="1509" t="s">
        <v>2372</v>
      </c>
      <c r="CO80" s="1509" t="s">
        <v>2372</v>
      </c>
      <c r="CP80" s="1509" t="s">
        <v>2372</v>
      </c>
      <c r="CQ80" s="1509" t="s">
        <v>2372</v>
      </c>
      <c r="CR80" s="1509" t="s">
        <v>2372</v>
      </c>
      <c r="CS80" s="1509" t="s">
        <v>2372</v>
      </c>
      <c r="CT80" s="1509" t="s">
        <v>2372</v>
      </c>
      <c r="CU80" s="1509" t="s">
        <v>2372</v>
      </c>
      <c r="CV80" s="1509" t="s">
        <v>2372</v>
      </c>
      <c r="CW80" s="1509" t="s">
        <v>2372</v>
      </c>
      <c r="CX80" s="1509" t="s">
        <v>2372</v>
      </c>
      <c r="CY80" s="1509" t="s">
        <v>2372</v>
      </c>
      <c r="CZ80" s="1509" t="s">
        <v>2372</v>
      </c>
      <c r="DA80" s="1509" t="s">
        <v>2372</v>
      </c>
      <c r="DB80" s="1509" t="s">
        <v>2372</v>
      </c>
      <c r="DC80" s="1509" t="s">
        <v>2372</v>
      </c>
      <c r="DD80" s="1509" t="s">
        <v>2372</v>
      </c>
      <c r="DE80" s="1509" t="s">
        <v>2372</v>
      </c>
      <c r="DF80" s="1509" t="s">
        <v>2372</v>
      </c>
      <c r="DG80" s="1509" t="s">
        <v>2372</v>
      </c>
      <c r="DH80" s="1509" t="s">
        <v>2372</v>
      </c>
      <c r="DI80" s="1509" t="s">
        <v>2372</v>
      </c>
      <c r="DJ80" s="1509" t="s">
        <v>2372</v>
      </c>
      <c r="DK80" s="1509" t="s">
        <v>2372</v>
      </c>
      <c r="DL80" s="1509" t="s">
        <v>2372</v>
      </c>
      <c r="DM80" s="1509" t="s">
        <v>2372</v>
      </c>
      <c r="DN80" s="1509" t="s">
        <v>2372</v>
      </c>
      <c r="DO80" s="1509" t="s">
        <v>2372</v>
      </c>
      <c r="DP80" s="1509" t="s">
        <v>2372</v>
      </c>
      <c r="DQ80" s="1509" t="s">
        <v>2372</v>
      </c>
      <c r="DR80" s="1509" t="s">
        <v>2372</v>
      </c>
      <c r="DS80" s="1509" t="s">
        <v>2372</v>
      </c>
      <c r="DT80" s="1509" t="s">
        <v>2372</v>
      </c>
      <c r="DU80" s="1509" t="s">
        <v>2372</v>
      </c>
      <c r="DV80" s="1509" t="s">
        <v>2372</v>
      </c>
      <c r="DW80" s="1509" t="s">
        <v>2372</v>
      </c>
      <c r="DX80" s="1509" t="s">
        <v>2372</v>
      </c>
      <c r="DY80" s="1509" t="s">
        <v>2372</v>
      </c>
      <c r="DZ80" s="1509" t="s">
        <v>2372</v>
      </c>
      <c r="EA80" s="1509" t="s">
        <v>2372</v>
      </c>
      <c r="EB80" s="1509" t="s">
        <v>2372</v>
      </c>
      <c r="EC80" s="1509" t="s">
        <v>2372</v>
      </c>
      <c r="ED80" s="1509" t="s">
        <v>2372</v>
      </c>
      <c r="EE80" s="1509" t="s">
        <v>2372</v>
      </c>
      <c r="EF80" s="1509" t="s">
        <v>2372</v>
      </c>
      <c r="EG80" s="1509" t="s">
        <v>2372</v>
      </c>
      <c r="EH80" s="1509" t="s">
        <v>2372</v>
      </c>
      <c r="EI80" s="1509" t="s">
        <v>2372</v>
      </c>
      <c r="EJ80" s="1509" t="s">
        <v>2372</v>
      </c>
      <c r="EK80" s="1509" t="s">
        <v>2372</v>
      </c>
      <c r="EL80" s="1509" t="s">
        <v>2372</v>
      </c>
      <c r="EM80" s="1509" t="s">
        <v>2372</v>
      </c>
      <c r="EN80" s="1509" t="s">
        <v>2372</v>
      </c>
      <c r="EO80" s="1509" t="s">
        <v>2372</v>
      </c>
      <c r="EP80" s="1509" t="s">
        <v>2372</v>
      </c>
      <c r="EQ80" s="1509" t="s">
        <v>2372</v>
      </c>
      <c r="ER80" s="1509" t="s">
        <v>2372</v>
      </c>
      <c r="ES80" s="1509" t="s">
        <v>2372</v>
      </c>
      <c r="ET80" s="1509" t="s">
        <v>2372</v>
      </c>
      <c r="EU80" s="1509" t="s">
        <v>2372</v>
      </c>
      <c r="EV80" s="1509" t="s">
        <v>2372</v>
      </c>
      <c r="EW80" s="1509" t="s">
        <v>2372</v>
      </c>
      <c r="EX80" s="1509" t="s">
        <v>2372</v>
      </c>
      <c r="EY80" s="1509" t="s">
        <v>2372</v>
      </c>
      <c r="EZ80" s="1509" t="s">
        <v>2372</v>
      </c>
      <c r="FA80" s="1509" t="s">
        <v>2372</v>
      </c>
      <c r="FB80" s="1509" t="s">
        <v>2372</v>
      </c>
      <c r="FC80" s="1509" t="s">
        <v>2372</v>
      </c>
      <c r="FD80" s="1509" t="s">
        <v>2372</v>
      </c>
      <c r="FE80" s="1509" t="s">
        <v>2372</v>
      </c>
      <c r="FF80" s="1509" t="s">
        <v>2372</v>
      </c>
      <c r="FG80" s="1509" t="s">
        <v>2372</v>
      </c>
      <c r="FH80" s="1509" t="s">
        <v>2372</v>
      </c>
      <c r="FI80" s="1509">
        <v>1</v>
      </c>
      <c r="FJ80" s="1509" t="s">
        <v>2372</v>
      </c>
      <c r="FK80" s="1509" t="s">
        <v>2372</v>
      </c>
      <c r="FL80" s="1509" t="s">
        <v>2372</v>
      </c>
      <c r="FM80" s="1509" t="s">
        <v>2372</v>
      </c>
      <c r="FN80" s="1509" t="s">
        <v>2372</v>
      </c>
      <c r="FO80" s="1509" t="s">
        <v>2372</v>
      </c>
      <c r="FP80" s="1509" t="s">
        <v>2372</v>
      </c>
      <c r="FQ80" s="1509" t="s">
        <v>2372</v>
      </c>
      <c r="FR80" s="1509" t="s">
        <v>2372</v>
      </c>
      <c r="FS80" s="1509" t="s">
        <v>2372</v>
      </c>
      <c r="FT80" s="1509" t="s">
        <v>2372</v>
      </c>
      <c r="FU80" s="1509" t="s">
        <v>2372</v>
      </c>
    </row>
    <row r="81" spans="1:177" s="1509" customFormat="1" x14ac:dyDescent="0.2">
      <c r="A81" s="1512" t="s">
        <v>1058</v>
      </c>
      <c r="B81" s="1512" t="s">
        <v>1078</v>
      </c>
      <c r="C81" s="1509">
        <v>6.3229014E-2</v>
      </c>
      <c r="D81" s="1509">
        <v>0.12803437400000001</v>
      </c>
      <c r="E81" s="1509">
        <v>0.47024692400000001</v>
      </c>
      <c r="F81" s="1509">
        <v>0.516913238</v>
      </c>
      <c r="G81" s="1509">
        <v>0.55080457000000005</v>
      </c>
      <c r="H81" s="1509">
        <v>0.55080457000000005</v>
      </c>
      <c r="I81" s="1509">
        <v>1.7678932000000001E-2</v>
      </c>
      <c r="J81" s="1509">
        <v>1.7678932000000001E-2</v>
      </c>
      <c r="K81" s="1509">
        <v>6.3229014E-2</v>
      </c>
      <c r="L81" s="1509">
        <v>6.3229014E-2</v>
      </c>
      <c r="M81" s="1509">
        <v>6.3229014E-2</v>
      </c>
      <c r="N81" s="1509">
        <v>1.7678932000000001E-2</v>
      </c>
      <c r="O81" s="1509">
        <v>1.7678932000000001E-2</v>
      </c>
      <c r="P81" s="1509">
        <v>6.3229014E-2</v>
      </c>
      <c r="Q81" s="1509">
        <v>0.26353755600000001</v>
      </c>
      <c r="R81" s="1509">
        <v>0.26353755600000001</v>
      </c>
      <c r="S81" s="1509">
        <v>0.39371399200000001</v>
      </c>
      <c r="T81" s="1509">
        <v>2.8612740000000001E-2</v>
      </c>
      <c r="U81" s="1509">
        <v>0.25465264500000001</v>
      </c>
      <c r="V81" s="1509">
        <v>0.21642530800000001</v>
      </c>
      <c r="W81" s="1509">
        <v>0.21642530800000001</v>
      </c>
      <c r="X81" s="1509">
        <v>0.21642530800000001</v>
      </c>
      <c r="Y81" s="1509">
        <v>0.29699786099999997</v>
      </c>
      <c r="Z81" s="1509">
        <v>0.67109136800000002</v>
      </c>
      <c r="AA81" s="1509">
        <v>9.484911E-2</v>
      </c>
      <c r="AB81" s="1509">
        <v>4.1529093000000003E-2</v>
      </c>
      <c r="AC81" s="1509">
        <v>4.1529093000000003E-2</v>
      </c>
      <c r="AD81" s="1509">
        <v>4.1529093000000003E-2</v>
      </c>
      <c r="AE81" s="1509">
        <v>0.62006818200000002</v>
      </c>
      <c r="AF81" s="1509">
        <v>4.1529093000000003E-2</v>
      </c>
      <c r="AG81" s="1509">
        <v>4.1529093000000003E-2</v>
      </c>
      <c r="AH81" s="1509">
        <v>0.114134202</v>
      </c>
      <c r="AI81" s="1509">
        <v>0.114134202</v>
      </c>
      <c r="AJ81" s="1509">
        <v>8.6818313999999994E-2</v>
      </c>
      <c r="AK81" s="1509">
        <v>0.32746003400000001</v>
      </c>
      <c r="AL81" s="1509">
        <v>0.13201494899999999</v>
      </c>
      <c r="AM81" s="1509">
        <v>9.6424547999999999E-2</v>
      </c>
      <c r="AN81" s="1509">
        <v>0.26353755600000001</v>
      </c>
      <c r="AO81" s="1509">
        <v>0.27464818699999999</v>
      </c>
      <c r="AP81" s="1509">
        <v>0.647612772</v>
      </c>
      <c r="AQ81" s="1509">
        <v>2.284398E-3</v>
      </c>
      <c r="AR81" s="1509">
        <v>8.6806463E-2</v>
      </c>
      <c r="AS81" s="1509">
        <v>7.227082E-2</v>
      </c>
      <c r="AT81" s="1509">
        <v>8.6806463E-2</v>
      </c>
      <c r="AU81" s="1509">
        <v>7.8443279000000005E-2</v>
      </c>
      <c r="AV81" s="1509">
        <v>5.3293931000000003E-2</v>
      </c>
      <c r="AW81" s="1509">
        <v>2.3648926000000001E-2</v>
      </c>
      <c r="AX81" s="1509">
        <v>0.65177991099999999</v>
      </c>
      <c r="AY81" s="1509">
        <v>0.862294432</v>
      </c>
      <c r="AZ81" s="1509">
        <v>0.862294432</v>
      </c>
      <c r="BA81" s="1509">
        <v>0.81339299499999995</v>
      </c>
      <c r="BB81" s="1509">
        <v>0.97395592499999994</v>
      </c>
      <c r="BC81" s="1509">
        <v>0.13134349000000001</v>
      </c>
      <c r="BD81" s="1509">
        <v>0.13134349000000001</v>
      </c>
      <c r="BE81" s="1509">
        <v>0.59716351700000003</v>
      </c>
      <c r="BF81" s="1509">
        <v>0.13134349000000001</v>
      </c>
      <c r="BG81" s="1509">
        <v>0.55884305000000001</v>
      </c>
      <c r="BH81" s="1509">
        <v>0.158502955</v>
      </c>
      <c r="BI81" s="1509">
        <v>0.173856497</v>
      </c>
      <c r="BJ81" s="1509">
        <v>0.29699786099999997</v>
      </c>
      <c r="BK81" s="1509">
        <v>0.158502955</v>
      </c>
      <c r="BL81" s="1509">
        <v>0.85182714599999998</v>
      </c>
      <c r="BM81" s="1509">
        <v>0.26353755600000001</v>
      </c>
      <c r="BN81" s="1509">
        <v>0.63893091700000004</v>
      </c>
      <c r="BO81" s="1509">
        <v>0.91489964300000004</v>
      </c>
      <c r="BP81" s="1509">
        <v>0.85182714599999998</v>
      </c>
      <c r="BQ81" s="1509">
        <v>0.77798108399999999</v>
      </c>
      <c r="BR81" s="1509">
        <v>0.71288132299999996</v>
      </c>
      <c r="BS81" s="1509">
        <v>0.63893091700000004</v>
      </c>
      <c r="BT81" s="1509">
        <v>0.28427228500000001</v>
      </c>
      <c r="BU81" s="1509">
        <v>0.65699095200000002</v>
      </c>
      <c r="BV81" s="1509">
        <v>0.65699095200000002</v>
      </c>
      <c r="BW81" s="1509">
        <v>0.35800765400000001</v>
      </c>
      <c r="BX81" s="1509">
        <v>0.70491230199999999</v>
      </c>
      <c r="BY81" s="1509">
        <v>0.70491230199999999</v>
      </c>
      <c r="BZ81" s="1509">
        <v>0.70491230199999999</v>
      </c>
      <c r="CA81" s="1509">
        <v>0.82325647300000004</v>
      </c>
      <c r="CB81" s="1509">
        <v>0.32746003400000001</v>
      </c>
      <c r="CC81" s="1509">
        <v>0.35800765400000001</v>
      </c>
      <c r="CD81" s="1509">
        <v>0.80107121800000003</v>
      </c>
      <c r="CE81" s="1509">
        <v>0.84500160400000002</v>
      </c>
      <c r="CF81" s="1509">
        <v>0.90012905300000001</v>
      </c>
      <c r="CG81" s="1509">
        <v>4.6541354E-2</v>
      </c>
      <c r="CH81" s="1509">
        <v>0.114134202</v>
      </c>
      <c r="CI81" s="1509">
        <v>0.34477271500000001</v>
      </c>
      <c r="CJ81" s="1509">
        <v>0.81339299499999995</v>
      </c>
      <c r="CK81" s="1509">
        <v>0.12942231900000001</v>
      </c>
      <c r="CL81" s="1509">
        <v>0.12942231900000001</v>
      </c>
      <c r="CM81" s="1509">
        <v>0.96761365799999999</v>
      </c>
      <c r="CN81" s="1509">
        <v>0.45375336599999999</v>
      </c>
      <c r="CO81" s="1509">
        <v>0.26353755600000001</v>
      </c>
      <c r="CP81" s="1509">
        <v>0.45375336599999999</v>
      </c>
      <c r="CQ81" s="1509">
        <v>9.484911E-2</v>
      </c>
      <c r="CR81" s="1509">
        <v>1.2346185000000001E-2</v>
      </c>
      <c r="CS81" s="1509">
        <v>0.47024692400000001</v>
      </c>
      <c r="CT81" s="1509">
        <v>0.29699786099999997</v>
      </c>
      <c r="CU81" s="1509">
        <v>0.47024692400000001</v>
      </c>
      <c r="CV81" s="1509">
        <v>0.28427228500000001</v>
      </c>
      <c r="CW81" s="1509">
        <v>0.28427228500000001</v>
      </c>
      <c r="CX81" s="1509">
        <v>0.77743654100000004</v>
      </c>
      <c r="CY81" s="1509">
        <v>0.84029016099999998</v>
      </c>
      <c r="CZ81" s="1509">
        <v>0.70491230199999999</v>
      </c>
      <c r="DA81" s="1509">
        <v>0.75159910600000002</v>
      </c>
      <c r="DB81" s="1509">
        <v>0.794736891</v>
      </c>
      <c r="DC81" s="1509">
        <v>0.41557593399999998</v>
      </c>
      <c r="DD81" s="1509">
        <v>0.88996403599999996</v>
      </c>
      <c r="DE81" s="1509">
        <v>0.68842612599999997</v>
      </c>
      <c r="DF81" s="1509">
        <v>0.65359320799999998</v>
      </c>
      <c r="DG81" s="1509">
        <v>0.60591984799999998</v>
      </c>
      <c r="DH81" s="1509">
        <v>0.68842612599999997</v>
      </c>
      <c r="DI81" s="1509">
        <v>0.68842612599999997</v>
      </c>
      <c r="DJ81" s="1509">
        <v>0.90556669300000003</v>
      </c>
      <c r="DK81" s="1509">
        <v>0.96761365799999999</v>
      </c>
      <c r="DL81" s="1509">
        <v>0.62006818200000002</v>
      </c>
      <c r="DM81" s="1509">
        <v>0.91310899400000001</v>
      </c>
      <c r="DN81" s="1509">
        <v>0.81624930900000003</v>
      </c>
      <c r="DO81" s="1509">
        <v>8.894173E-3</v>
      </c>
      <c r="DP81" s="1509">
        <v>0.67996569600000001</v>
      </c>
      <c r="DQ81" s="1509">
        <v>0.56619016700000002</v>
      </c>
      <c r="DR81" s="1509">
        <v>0.75159910600000002</v>
      </c>
      <c r="DS81" s="1509">
        <v>0.76248013100000001</v>
      </c>
      <c r="DT81" s="1509">
        <v>0.94387969699999996</v>
      </c>
      <c r="DU81" s="1509">
        <v>0.25465264500000001</v>
      </c>
      <c r="DV81" s="1509">
        <v>4.1529093000000003E-2</v>
      </c>
      <c r="DW81" s="1509">
        <v>0.87997959299999995</v>
      </c>
      <c r="DX81" s="1509">
        <v>5.3615077999999997E-2</v>
      </c>
      <c r="DY81" s="1509">
        <v>0.77743654100000004</v>
      </c>
      <c r="DZ81" s="1509">
        <v>0.13134349000000001</v>
      </c>
      <c r="EA81" s="1509">
        <v>0.97395592499999994</v>
      </c>
      <c r="EB81" s="1509">
        <v>0.34477271500000001</v>
      </c>
      <c r="EC81" s="1509">
        <v>0.34477271500000001</v>
      </c>
      <c r="ED81" s="1509">
        <v>0.63893091700000004</v>
      </c>
      <c r="EE81" s="1509">
        <v>0.39723840599999999</v>
      </c>
      <c r="EF81" s="1509">
        <v>0.65699095200000002</v>
      </c>
      <c r="EG81" s="1509">
        <v>0.70491230199999999</v>
      </c>
      <c r="EH81" s="1509">
        <v>0.69930982100000005</v>
      </c>
      <c r="EI81" s="1509">
        <v>0.90012905300000001</v>
      </c>
      <c r="EJ81" s="1509">
        <v>0.90012905300000001</v>
      </c>
      <c r="EK81" s="1509">
        <v>3.700502E-3</v>
      </c>
      <c r="EL81" s="1509">
        <v>0.794736891</v>
      </c>
      <c r="EM81" s="1509">
        <v>0.70016280500000005</v>
      </c>
      <c r="EN81" s="1509">
        <v>0.71477846599999995</v>
      </c>
      <c r="EO81" s="1509">
        <v>0.95809380099999997</v>
      </c>
      <c r="EP81" s="1509">
        <v>0.70491230199999999</v>
      </c>
      <c r="EQ81" s="1509">
        <v>9.6424547999999999E-2</v>
      </c>
      <c r="ER81" s="1509">
        <v>8.894173E-3</v>
      </c>
      <c r="ES81" s="1509">
        <v>8.894173E-3</v>
      </c>
      <c r="ET81" s="1509">
        <v>0.87132701199999996</v>
      </c>
      <c r="EU81" s="1509">
        <v>0.78045129999999996</v>
      </c>
      <c r="EV81" s="1509">
        <v>4.1529093000000003E-2</v>
      </c>
      <c r="EW81" s="1509">
        <v>0.59576548600000001</v>
      </c>
      <c r="EX81" s="1509">
        <v>0.77743654100000004</v>
      </c>
      <c r="EY81" s="1509">
        <v>0.93746560099999998</v>
      </c>
      <c r="EZ81" s="1509">
        <v>0.70491230199999999</v>
      </c>
      <c r="FA81" s="1509">
        <v>0.53935383800000003</v>
      </c>
      <c r="FB81" s="1509">
        <v>0.48465201299999999</v>
      </c>
      <c r="FC81" s="1509">
        <v>0.862294432</v>
      </c>
      <c r="FD81" s="1509">
        <v>0.97395592499999994</v>
      </c>
      <c r="FE81" s="1509">
        <v>0.77743654100000004</v>
      </c>
      <c r="FF81" s="1509">
        <v>0.27464818699999999</v>
      </c>
      <c r="FG81" s="1509">
        <v>0.928494559</v>
      </c>
      <c r="FH81" s="1509">
        <v>0.67996569600000001</v>
      </c>
      <c r="FI81" s="1509">
        <v>0.78406530299999999</v>
      </c>
      <c r="FJ81" s="1509">
        <v>0.69930982100000005</v>
      </c>
      <c r="FK81" s="1509">
        <v>0.75159910600000002</v>
      </c>
      <c r="FL81" s="1509">
        <v>0.68842612599999997</v>
      </c>
      <c r="FM81" s="1509">
        <v>0.158502955</v>
      </c>
      <c r="FN81" s="1509">
        <v>0.80623607200000003</v>
      </c>
      <c r="FO81" s="1509">
        <v>0.892315003</v>
      </c>
      <c r="FP81" s="1509">
        <v>0.45151141500000003</v>
      </c>
      <c r="FQ81" s="1509">
        <v>0.70491230199999999</v>
      </c>
      <c r="FR81" s="1509">
        <v>0.983884816</v>
      </c>
      <c r="FS81" s="1509">
        <v>0.89972790300000005</v>
      </c>
      <c r="FT81" s="1509">
        <v>0.71477846599999995</v>
      </c>
      <c r="FU81" s="1509">
        <v>0.114134202</v>
      </c>
    </row>
    <row r="82" spans="1:177" s="1509" customFormat="1" x14ac:dyDescent="0.2">
      <c r="A82" s="1512" t="s">
        <v>1058</v>
      </c>
      <c r="B82" s="1512" t="s">
        <v>1032</v>
      </c>
      <c r="C82" s="1509">
        <v>0</v>
      </c>
      <c r="D82" s="1509">
        <v>0</v>
      </c>
      <c r="E82" s="1509">
        <v>0.98186548500000004</v>
      </c>
      <c r="F82" s="1509">
        <v>0</v>
      </c>
      <c r="G82" s="1509">
        <v>0.98186548500000004</v>
      </c>
      <c r="H82" s="1509">
        <v>0</v>
      </c>
      <c r="I82" s="1509">
        <v>0</v>
      </c>
      <c r="J82" s="1509">
        <v>0.99998841999999999</v>
      </c>
      <c r="K82" s="1509">
        <v>0.99998841999999999</v>
      </c>
      <c r="L82" s="1509">
        <v>0</v>
      </c>
      <c r="M82" s="1509">
        <v>0</v>
      </c>
      <c r="N82" s="1509">
        <v>0.98186548500000004</v>
      </c>
      <c r="O82" s="1509">
        <v>0.99998841999999999</v>
      </c>
      <c r="P82" s="1509">
        <v>0.99998841999999999</v>
      </c>
      <c r="Q82" s="1509">
        <v>0</v>
      </c>
      <c r="R82" s="1509">
        <v>0.99786484600000003</v>
      </c>
      <c r="S82" s="1509">
        <v>0</v>
      </c>
      <c r="T82" s="1509">
        <v>0</v>
      </c>
      <c r="U82" s="1509">
        <v>0</v>
      </c>
      <c r="V82" s="1509">
        <v>0</v>
      </c>
      <c r="W82" s="1509">
        <v>0</v>
      </c>
      <c r="X82" s="1509">
        <v>0</v>
      </c>
      <c r="Y82" s="1509">
        <v>0</v>
      </c>
      <c r="Z82" s="1509">
        <v>0</v>
      </c>
      <c r="AA82" s="1509">
        <v>0</v>
      </c>
      <c r="AB82" s="1509">
        <v>0</v>
      </c>
      <c r="AC82" s="1509">
        <v>0</v>
      </c>
      <c r="AD82" s="1509">
        <v>0</v>
      </c>
      <c r="AE82" s="1509">
        <v>0.99786484600000003</v>
      </c>
      <c r="AF82" s="1509">
        <v>0</v>
      </c>
      <c r="AG82" s="1509">
        <v>1</v>
      </c>
      <c r="AH82" s="1509">
        <v>0.98186548500000004</v>
      </c>
      <c r="AI82" s="1509">
        <v>0</v>
      </c>
      <c r="AJ82" s="1509">
        <v>0</v>
      </c>
      <c r="AK82" s="1509">
        <v>0.99786484600000003</v>
      </c>
      <c r="AL82" s="1509">
        <v>0</v>
      </c>
      <c r="AM82" s="1509">
        <v>0.99982856399999998</v>
      </c>
      <c r="AN82" s="1509">
        <v>0</v>
      </c>
      <c r="AO82" s="1509">
        <v>0</v>
      </c>
      <c r="AP82" s="1509">
        <v>0.99506823700000002</v>
      </c>
      <c r="AQ82" s="1509">
        <v>0</v>
      </c>
      <c r="AR82" s="1509">
        <v>0.97861900800000001</v>
      </c>
      <c r="AS82" s="1509">
        <v>0.99997670900000002</v>
      </c>
      <c r="AT82" s="1509">
        <v>0</v>
      </c>
      <c r="AU82" s="1509">
        <v>0.99997670900000002</v>
      </c>
      <c r="AV82" s="1509">
        <v>0</v>
      </c>
      <c r="AW82" s="1509">
        <v>0</v>
      </c>
      <c r="AX82" s="1509">
        <v>0.99489016900000005</v>
      </c>
      <c r="AY82" s="1509">
        <v>0</v>
      </c>
      <c r="AZ82" s="1509">
        <v>0</v>
      </c>
      <c r="BA82" s="1509">
        <v>0</v>
      </c>
      <c r="BB82" s="1509">
        <v>0.98581662000000003</v>
      </c>
      <c r="BC82" s="1509">
        <v>0</v>
      </c>
      <c r="BD82" s="1509">
        <v>0.97861900800000001</v>
      </c>
      <c r="BE82" s="1509">
        <v>0.98404796100000003</v>
      </c>
      <c r="BF82" s="1509">
        <v>0</v>
      </c>
      <c r="BG82" s="1509">
        <v>0</v>
      </c>
      <c r="BH82" s="1509">
        <v>0.98186548500000004</v>
      </c>
      <c r="BI82" s="1509">
        <v>0</v>
      </c>
      <c r="BJ82" s="1509">
        <v>0.98186548500000004</v>
      </c>
      <c r="BK82" s="1509">
        <v>0.98186548500000004</v>
      </c>
      <c r="BL82" s="1509">
        <v>0.98186548500000004</v>
      </c>
      <c r="BM82" s="1509">
        <v>0.99786484600000003</v>
      </c>
      <c r="BN82" s="1509">
        <v>0</v>
      </c>
      <c r="BO82" s="1509">
        <v>0.99998841999999999</v>
      </c>
      <c r="BP82" s="1509">
        <v>0.98186548500000004</v>
      </c>
      <c r="BQ82" s="1509">
        <v>0.98186548500000004</v>
      </c>
      <c r="BR82" s="1509">
        <v>0.98186548500000004</v>
      </c>
      <c r="BS82" s="1509">
        <v>0.98186548500000004</v>
      </c>
      <c r="BT82" s="1509">
        <v>0</v>
      </c>
      <c r="BU82" s="1509">
        <v>0.98581662000000003</v>
      </c>
      <c r="BV82" s="1509">
        <v>0</v>
      </c>
      <c r="BW82" s="1509">
        <v>0.99786484600000003</v>
      </c>
      <c r="BX82" s="1509">
        <v>0.99968794900000002</v>
      </c>
      <c r="BY82" s="1509">
        <v>0.99968794900000002</v>
      </c>
      <c r="BZ82" s="1509">
        <v>0.99996099400000005</v>
      </c>
      <c r="CA82" s="1509">
        <v>0.95410978099999999</v>
      </c>
      <c r="CB82" s="1509">
        <v>0</v>
      </c>
      <c r="CC82" s="1509">
        <v>0</v>
      </c>
      <c r="CD82" s="1509">
        <v>0.95410978099999999</v>
      </c>
      <c r="CE82" s="1509">
        <v>0.99786484600000003</v>
      </c>
      <c r="CF82" s="1509">
        <v>0</v>
      </c>
      <c r="CG82" s="1509">
        <v>0.98186548500000004</v>
      </c>
      <c r="CH82" s="1509">
        <v>0</v>
      </c>
      <c r="CI82" s="1509">
        <v>0</v>
      </c>
      <c r="CJ82" s="1509">
        <v>1</v>
      </c>
      <c r="CK82" s="1509">
        <v>0</v>
      </c>
      <c r="CL82" s="1509">
        <v>0</v>
      </c>
      <c r="CM82" s="1509">
        <v>0</v>
      </c>
      <c r="CN82" s="1509">
        <v>0.95410978099999999</v>
      </c>
      <c r="CO82" s="1509">
        <v>0.99786484600000003</v>
      </c>
      <c r="CP82" s="1509">
        <v>0.99786484600000003</v>
      </c>
      <c r="CQ82" s="1509">
        <v>0.98186548500000004</v>
      </c>
      <c r="CR82" s="1509">
        <v>0</v>
      </c>
      <c r="CS82" s="1509">
        <v>0.98186548500000004</v>
      </c>
      <c r="CT82" s="1509">
        <v>0</v>
      </c>
      <c r="CU82" s="1509">
        <v>0</v>
      </c>
      <c r="CV82" s="1509">
        <v>0</v>
      </c>
      <c r="CW82" s="1509">
        <v>0</v>
      </c>
      <c r="CX82" s="1509">
        <v>0</v>
      </c>
      <c r="CY82" s="1509">
        <v>1</v>
      </c>
      <c r="CZ82" s="1509">
        <v>0.99489016900000005</v>
      </c>
      <c r="DA82" s="1509">
        <v>0.99489016900000005</v>
      </c>
      <c r="DB82" s="1509">
        <v>0.99833720000000004</v>
      </c>
      <c r="DC82" s="1509">
        <v>0</v>
      </c>
      <c r="DD82" s="1509">
        <v>0.93868909499999997</v>
      </c>
      <c r="DE82" s="1509">
        <v>0</v>
      </c>
      <c r="DF82" s="1509">
        <v>0</v>
      </c>
      <c r="DG82" s="1509">
        <v>0</v>
      </c>
      <c r="DH82" s="1509">
        <v>0</v>
      </c>
      <c r="DI82" s="1509">
        <v>0</v>
      </c>
      <c r="DJ82" s="1509">
        <v>0.99489016900000005</v>
      </c>
      <c r="DK82" s="1509">
        <v>0.99489016900000005</v>
      </c>
      <c r="DL82" s="1509">
        <v>0.99786484600000003</v>
      </c>
      <c r="DM82" s="1509">
        <v>0.99982856399999998</v>
      </c>
      <c r="DN82" s="1509">
        <v>0</v>
      </c>
      <c r="DO82" s="1509">
        <v>0.99997132399999999</v>
      </c>
      <c r="DP82" s="1509">
        <v>0.99996099400000005</v>
      </c>
      <c r="DQ82" s="1509">
        <v>1</v>
      </c>
      <c r="DR82" s="1509">
        <v>0.99489016900000005</v>
      </c>
      <c r="DS82" s="1509">
        <v>0.99489016900000005</v>
      </c>
      <c r="DT82" s="1509">
        <v>0.99489016900000005</v>
      </c>
      <c r="DU82" s="1509">
        <v>0</v>
      </c>
      <c r="DV82" s="1509">
        <v>0</v>
      </c>
      <c r="DW82" s="1509">
        <v>0</v>
      </c>
      <c r="DX82" s="1509">
        <v>0.97861900800000001</v>
      </c>
      <c r="DY82" s="1509">
        <v>0.98581662000000003</v>
      </c>
      <c r="DZ82" s="1509">
        <v>0</v>
      </c>
      <c r="EA82" s="1509">
        <v>0</v>
      </c>
      <c r="EB82" s="1509">
        <v>0</v>
      </c>
      <c r="EC82" s="1509">
        <v>0</v>
      </c>
      <c r="ED82" s="1509">
        <v>0.98186548500000004</v>
      </c>
      <c r="EE82" s="1509">
        <v>0</v>
      </c>
      <c r="EF82" s="1509">
        <v>0</v>
      </c>
      <c r="EG82" s="1509">
        <v>0</v>
      </c>
      <c r="EH82" s="1509">
        <v>0.98581662000000003</v>
      </c>
      <c r="EI82" s="1509">
        <v>0</v>
      </c>
      <c r="EJ82" s="1509">
        <v>0</v>
      </c>
      <c r="EK82" s="1509">
        <v>0</v>
      </c>
      <c r="EL82" s="1509">
        <v>0</v>
      </c>
      <c r="EM82" s="1509">
        <v>0</v>
      </c>
      <c r="EN82" s="1509">
        <v>0</v>
      </c>
      <c r="EO82" s="1509">
        <v>0</v>
      </c>
      <c r="EP82" s="1509">
        <v>0</v>
      </c>
      <c r="EQ82" s="1509">
        <v>0.99786484600000003</v>
      </c>
      <c r="ER82" s="1509">
        <v>1</v>
      </c>
      <c r="ES82" s="1509">
        <v>0.98581662000000003</v>
      </c>
      <c r="ET82" s="1509">
        <v>0</v>
      </c>
      <c r="EU82" s="1509">
        <v>0</v>
      </c>
      <c r="EV82" s="1509">
        <v>0</v>
      </c>
      <c r="EW82" s="1509">
        <v>0</v>
      </c>
      <c r="EX82" s="1509">
        <v>0</v>
      </c>
      <c r="EY82" s="1509">
        <v>0</v>
      </c>
      <c r="EZ82" s="1509">
        <v>0</v>
      </c>
      <c r="FA82" s="1509">
        <v>0.99961816599999997</v>
      </c>
      <c r="FB82" s="1509">
        <v>0</v>
      </c>
      <c r="FC82" s="1509">
        <v>0.98581662000000003</v>
      </c>
      <c r="FD82" s="1509">
        <v>0</v>
      </c>
      <c r="FE82" s="1509">
        <v>0.98581662000000003</v>
      </c>
      <c r="FF82" s="1509">
        <v>0</v>
      </c>
      <c r="FG82" s="1509">
        <v>0</v>
      </c>
      <c r="FH82" s="1509">
        <v>0</v>
      </c>
      <c r="FI82" s="1509">
        <v>0</v>
      </c>
      <c r="FJ82" s="1509">
        <v>1</v>
      </c>
      <c r="FK82" s="1509">
        <v>0</v>
      </c>
      <c r="FL82" s="1509">
        <v>0</v>
      </c>
      <c r="FM82" s="1509">
        <v>0</v>
      </c>
      <c r="FN82" s="1509">
        <v>1</v>
      </c>
      <c r="FO82" s="1509">
        <v>0</v>
      </c>
      <c r="FP82" s="1509">
        <v>0</v>
      </c>
      <c r="FQ82" s="1509">
        <v>0</v>
      </c>
      <c r="FR82" s="1509">
        <v>0</v>
      </c>
      <c r="FS82" s="1509">
        <v>0</v>
      </c>
      <c r="FT82" s="1509">
        <v>0</v>
      </c>
      <c r="FU82" s="1509">
        <v>0</v>
      </c>
    </row>
    <row r="83" spans="1:177" s="1509" customFormat="1" x14ac:dyDescent="0.2">
      <c r="A83" s="1512" t="s">
        <v>1058</v>
      </c>
      <c r="B83" s="1512" t="s">
        <v>1205</v>
      </c>
      <c r="C83" s="1509">
        <v>0.97806157800000004</v>
      </c>
      <c r="D83" s="1509">
        <v>0.95695418499999996</v>
      </c>
      <c r="E83" s="1509">
        <v>0</v>
      </c>
      <c r="F83" s="1509">
        <v>0</v>
      </c>
      <c r="G83" s="1509">
        <v>0</v>
      </c>
      <c r="H83" s="1509">
        <v>0</v>
      </c>
      <c r="I83" s="1509">
        <v>0.96194781299999998</v>
      </c>
      <c r="J83" s="1509">
        <v>0.964444627</v>
      </c>
      <c r="K83" s="1509">
        <v>0.96074785200000001</v>
      </c>
      <c r="L83" s="1509">
        <v>0.96848797399999997</v>
      </c>
      <c r="M83" s="1509">
        <v>0.95867214199999995</v>
      </c>
      <c r="N83" s="1509">
        <v>0.973198381</v>
      </c>
      <c r="O83" s="1509">
        <v>0.97073138000000003</v>
      </c>
      <c r="P83" s="1509">
        <v>0.97291516099999997</v>
      </c>
      <c r="Q83" s="1509">
        <v>0</v>
      </c>
      <c r="R83" s="1509">
        <v>0.95347533600000001</v>
      </c>
      <c r="S83" s="1509">
        <v>0</v>
      </c>
      <c r="T83" s="1509">
        <v>0.97662684200000005</v>
      </c>
      <c r="U83" s="1509">
        <v>0.97754730899999998</v>
      </c>
      <c r="V83" s="1509">
        <v>0.96413532000000002</v>
      </c>
      <c r="W83" s="1509">
        <v>0.96893143800000003</v>
      </c>
      <c r="X83" s="1509">
        <v>0</v>
      </c>
      <c r="Y83" s="1509">
        <v>0</v>
      </c>
      <c r="Z83" s="1509">
        <v>0</v>
      </c>
      <c r="AA83" s="1509">
        <v>0.97765165300000001</v>
      </c>
      <c r="AB83" s="1509">
        <v>0.950291047</v>
      </c>
      <c r="AC83" s="1509">
        <v>0</v>
      </c>
      <c r="AD83" s="1509">
        <v>0.96068077299999999</v>
      </c>
      <c r="AE83" s="1509">
        <v>0.95397359199999998</v>
      </c>
      <c r="AF83" s="1509">
        <v>0.98217945799999995</v>
      </c>
      <c r="AG83" s="1509">
        <v>0.95496791400000003</v>
      </c>
      <c r="AH83" s="1509">
        <v>0.97827026699999997</v>
      </c>
      <c r="AI83" s="1509">
        <v>0</v>
      </c>
      <c r="AJ83" s="1509">
        <v>0.97477472799999998</v>
      </c>
      <c r="AK83" s="1509">
        <v>0.953646612</v>
      </c>
      <c r="AL83" s="1509">
        <v>0.95373224999999995</v>
      </c>
      <c r="AM83" s="1509">
        <v>0.95397359199999998</v>
      </c>
      <c r="AN83" s="1509">
        <v>0</v>
      </c>
      <c r="AO83" s="1509">
        <v>0.96012088600000001</v>
      </c>
      <c r="AP83" s="1509">
        <v>1</v>
      </c>
      <c r="AQ83" s="1509">
        <v>0</v>
      </c>
      <c r="AR83" s="1509">
        <v>0.97820806500000002</v>
      </c>
      <c r="AS83" s="1509">
        <v>0.97819269099999995</v>
      </c>
      <c r="AT83" s="1509">
        <v>0.97495657000000002</v>
      </c>
      <c r="AU83" s="1509">
        <v>0.97877688399999996</v>
      </c>
      <c r="AV83" s="1509">
        <v>0.96134410599999998</v>
      </c>
      <c r="AW83" s="1509">
        <v>0.95225868499999999</v>
      </c>
      <c r="AX83" s="1509">
        <v>0.99057742599999998</v>
      </c>
      <c r="AY83" s="1509">
        <v>0.95853422300000002</v>
      </c>
      <c r="AZ83" s="1509">
        <v>0.97515025399999999</v>
      </c>
      <c r="BA83" s="1509">
        <v>0.98325187700000005</v>
      </c>
      <c r="BB83" s="1509">
        <v>0.96969596899999999</v>
      </c>
      <c r="BC83" s="1509">
        <v>0</v>
      </c>
      <c r="BD83" s="1509">
        <v>0.97045213500000005</v>
      </c>
      <c r="BE83" s="1509">
        <v>0.98314528199999995</v>
      </c>
      <c r="BF83" s="1509">
        <v>0</v>
      </c>
      <c r="BG83" s="1509">
        <v>0</v>
      </c>
      <c r="BH83" s="1509">
        <v>0.98099067600000001</v>
      </c>
      <c r="BI83" s="1509">
        <v>0.97983916000000004</v>
      </c>
      <c r="BJ83" s="1509">
        <v>0.96273784900000003</v>
      </c>
      <c r="BK83" s="1509">
        <v>0.982268896</v>
      </c>
      <c r="BL83" s="1509">
        <v>0.98244404500000004</v>
      </c>
      <c r="BM83" s="1509">
        <v>1</v>
      </c>
      <c r="BN83" s="1509">
        <v>0.974286545</v>
      </c>
      <c r="BO83" s="1509">
        <v>0.98224281000000002</v>
      </c>
      <c r="BP83" s="1509">
        <v>0.97640697300000001</v>
      </c>
      <c r="BQ83" s="1509">
        <v>0.96636754599999997</v>
      </c>
      <c r="BR83" s="1509">
        <v>0</v>
      </c>
      <c r="BS83" s="1509">
        <v>0.98244404500000004</v>
      </c>
      <c r="BT83" s="1509">
        <v>0.98427558699999995</v>
      </c>
      <c r="BU83" s="1509">
        <v>0.98382427400000005</v>
      </c>
      <c r="BV83" s="1509">
        <v>0.95878739800000001</v>
      </c>
      <c r="BW83" s="1509">
        <v>1</v>
      </c>
      <c r="BX83" s="1509">
        <v>0.99027153400000001</v>
      </c>
      <c r="BY83" s="1509">
        <v>0.995001939</v>
      </c>
      <c r="BZ83" s="1509">
        <v>0.995001939</v>
      </c>
      <c r="CA83" s="1509">
        <v>1</v>
      </c>
      <c r="CB83" s="1509">
        <v>1</v>
      </c>
      <c r="CC83" s="1509">
        <v>0.95376339099999996</v>
      </c>
      <c r="CD83" s="1509">
        <v>0.95370889400000003</v>
      </c>
      <c r="CE83" s="1509">
        <v>0.95394245099999997</v>
      </c>
      <c r="CF83" s="1509">
        <v>0</v>
      </c>
      <c r="CG83" s="1509">
        <v>0.98056957199999994</v>
      </c>
      <c r="CH83" s="1509">
        <v>0.97594115000000004</v>
      </c>
      <c r="CI83" s="1509">
        <v>0.95141647600000001</v>
      </c>
      <c r="CJ83" s="1509">
        <v>0.95756004699999997</v>
      </c>
      <c r="CK83" s="1509">
        <v>0</v>
      </c>
      <c r="CL83" s="1509">
        <v>0</v>
      </c>
      <c r="CM83" s="1509">
        <v>0</v>
      </c>
      <c r="CN83" s="1509">
        <v>0.95404365999999996</v>
      </c>
      <c r="CO83" s="1509">
        <v>0.95409037100000005</v>
      </c>
      <c r="CP83" s="1509">
        <v>0.95409037100000005</v>
      </c>
      <c r="CQ83" s="1509">
        <v>0.97930998499999999</v>
      </c>
      <c r="CR83" s="1509">
        <v>0.94801782800000001</v>
      </c>
      <c r="CS83" s="1509">
        <v>0.97537098200000005</v>
      </c>
      <c r="CT83" s="1509">
        <v>0.96529056199999996</v>
      </c>
      <c r="CU83" s="1509">
        <v>0</v>
      </c>
      <c r="CV83" s="1509">
        <v>0</v>
      </c>
      <c r="CW83" s="1509">
        <v>0</v>
      </c>
      <c r="CX83" s="1509">
        <v>0</v>
      </c>
      <c r="CY83" s="1509">
        <v>0.98595425199999998</v>
      </c>
      <c r="CZ83" s="1509">
        <v>0.98939755600000001</v>
      </c>
      <c r="DA83" s="1509">
        <v>0.98941394299999996</v>
      </c>
      <c r="DB83" s="1509">
        <v>0.92059345699999995</v>
      </c>
      <c r="DC83" s="1509">
        <v>0.89859178200000001</v>
      </c>
      <c r="DD83" s="1509">
        <v>0.93532869100000005</v>
      </c>
      <c r="DE83" s="1509">
        <v>0.91804560400000002</v>
      </c>
      <c r="DF83" s="1509">
        <v>0.89878494099999995</v>
      </c>
      <c r="DG83" s="1509">
        <v>0.90251014100000004</v>
      </c>
      <c r="DH83" s="1509">
        <v>0</v>
      </c>
      <c r="DI83" s="1509">
        <v>0.92716084600000004</v>
      </c>
      <c r="DJ83" s="1509">
        <v>0.99051734000000002</v>
      </c>
      <c r="DK83" s="1509">
        <v>0.99402417600000004</v>
      </c>
      <c r="DL83" s="1509">
        <v>0.95394245099999997</v>
      </c>
      <c r="DM83" s="1509">
        <v>0.95409037100000005</v>
      </c>
      <c r="DN83" s="1509">
        <v>0</v>
      </c>
      <c r="DO83" s="1509">
        <v>0.97387336800000002</v>
      </c>
      <c r="DP83" s="1509">
        <v>0.99229807000000003</v>
      </c>
      <c r="DQ83" s="1509">
        <v>0.99419351</v>
      </c>
      <c r="DR83" s="1509">
        <v>0.97961992899999994</v>
      </c>
      <c r="DS83" s="1509">
        <v>0.98626216099999997</v>
      </c>
      <c r="DT83" s="1509">
        <v>0.98028633700000001</v>
      </c>
      <c r="DU83" s="1509">
        <v>0.96081492999999996</v>
      </c>
      <c r="DV83" s="1509">
        <v>0</v>
      </c>
      <c r="DW83" s="1509">
        <v>0</v>
      </c>
      <c r="DX83" s="1509">
        <v>0.97840023399999998</v>
      </c>
      <c r="DY83" s="1509">
        <v>0.97065363400000004</v>
      </c>
      <c r="DZ83" s="1509">
        <v>0</v>
      </c>
      <c r="EA83" s="1509">
        <v>0</v>
      </c>
      <c r="EB83" s="1509">
        <v>0</v>
      </c>
      <c r="EC83" s="1509">
        <v>0</v>
      </c>
      <c r="ED83" s="1509">
        <v>0.970332635</v>
      </c>
      <c r="EE83" s="1509">
        <v>0</v>
      </c>
      <c r="EF83" s="1509">
        <v>0</v>
      </c>
      <c r="EG83" s="1509">
        <v>0</v>
      </c>
      <c r="EH83" s="1509">
        <v>0.94689364399999998</v>
      </c>
      <c r="EI83" s="1509">
        <v>0</v>
      </c>
      <c r="EJ83" s="1509">
        <v>0</v>
      </c>
      <c r="EK83" s="1509">
        <v>0</v>
      </c>
      <c r="EL83" s="1509">
        <v>0.91145061999999999</v>
      </c>
      <c r="EM83" s="1509">
        <v>0.89758919800000003</v>
      </c>
      <c r="EN83" s="1509">
        <v>0.90687920200000005</v>
      </c>
      <c r="EO83" s="1509">
        <v>0</v>
      </c>
      <c r="EP83" s="1509">
        <v>0</v>
      </c>
      <c r="EQ83" s="1509">
        <v>0.95321842300000004</v>
      </c>
      <c r="ER83" s="1509">
        <v>0.98542038200000004</v>
      </c>
      <c r="ES83" s="1509">
        <v>0.98341699100000002</v>
      </c>
      <c r="ET83" s="1509">
        <v>0</v>
      </c>
      <c r="EU83" s="1509">
        <v>0</v>
      </c>
      <c r="EV83" s="1509">
        <v>0.955739318</v>
      </c>
      <c r="EW83" s="1509">
        <v>0</v>
      </c>
      <c r="EX83" s="1509">
        <v>0</v>
      </c>
      <c r="EY83" s="1509">
        <v>0.95310745699999999</v>
      </c>
      <c r="EZ83" s="1509">
        <v>0</v>
      </c>
      <c r="FA83" s="1509">
        <v>0.95394245099999997</v>
      </c>
      <c r="FB83" s="1509">
        <v>0.96047127899999996</v>
      </c>
      <c r="FC83" s="1509">
        <v>0</v>
      </c>
      <c r="FD83" s="1509">
        <v>0</v>
      </c>
      <c r="FE83" s="1509">
        <v>0.95154437199999997</v>
      </c>
      <c r="FF83" s="1509">
        <v>0</v>
      </c>
      <c r="FG83" s="1509">
        <v>0</v>
      </c>
      <c r="FH83" s="1509">
        <v>0</v>
      </c>
      <c r="FI83" s="1509">
        <v>0</v>
      </c>
      <c r="FJ83" s="1509">
        <v>0.97090130600000002</v>
      </c>
      <c r="FK83" s="1509">
        <v>0.97533743699999997</v>
      </c>
      <c r="FL83" s="1509">
        <v>0</v>
      </c>
      <c r="FM83" s="1509">
        <v>0.96768675800000004</v>
      </c>
      <c r="FN83" s="1509">
        <v>0.97899695200000003</v>
      </c>
      <c r="FO83" s="1509">
        <v>0.97949975700000003</v>
      </c>
      <c r="FP83" s="1509">
        <v>0</v>
      </c>
      <c r="FQ83" s="1509">
        <v>0</v>
      </c>
      <c r="FR83" s="1509">
        <v>0</v>
      </c>
      <c r="FS83" s="1509">
        <v>0.96117206499999996</v>
      </c>
      <c r="FT83" s="1509">
        <v>0</v>
      </c>
      <c r="FU83" s="1509">
        <v>0.95070097099999995</v>
      </c>
    </row>
    <row r="84" spans="1:177" s="1509" customFormat="1" x14ac:dyDescent="0.2">
      <c r="A84" s="1512" t="s">
        <v>1058</v>
      </c>
      <c r="B84" s="1512" t="s">
        <v>1064</v>
      </c>
      <c r="C84" s="1509">
        <v>1</v>
      </c>
      <c r="D84" s="1509">
        <v>0.90836320800000003</v>
      </c>
      <c r="E84" s="1509">
        <v>0</v>
      </c>
      <c r="F84" s="1509">
        <v>1</v>
      </c>
      <c r="G84" s="1509">
        <v>0</v>
      </c>
      <c r="H84" s="1509">
        <v>0</v>
      </c>
      <c r="I84" s="1509">
        <v>1</v>
      </c>
      <c r="J84" s="1509">
        <v>1</v>
      </c>
      <c r="K84" s="1509">
        <v>1</v>
      </c>
      <c r="L84" s="1509">
        <v>1</v>
      </c>
      <c r="M84" s="1509">
        <v>1</v>
      </c>
      <c r="N84" s="1509">
        <v>1</v>
      </c>
      <c r="O84" s="1509">
        <v>1</v>
      </c>
      <c r="P84" s="1509">
        <v>1</v>
      </c>
      <c r="Q84" s="1509">
        <v>1</v>
      </c>
      <c r="R84" s="1509">
        <v>1</v>
      </c>
      <c r="S84" s="1509">
        <v>0.83462521700000003</v>
      </c>
      <c r="T84" s="1509">
        <v>1</v>
      </c>
      <c r="U84" s="1509">
        <v>0</v>
      </c>
      <c r="V84" s="1509">
        <v>0</v>
      </c>
      <c r="W84" s="1509">
        <v>0.82952351800000002</v>
      </c>
      <c r="X84" s="1509">
        <v>0.907442741</v>
      </c>
      <c r="Y84" s="1509">
        <v>0</v>
      </c>
      <c r="Z84" s="1509">
        <v>0</v>
      </c>
      <c r="AA84" s="1509">
        <v>0</v>
      </c>
      <c r="AB84" s="1509">
        <v>0.78265049799999997</v>
      </c>
      <c r="AC84" s="1509">
        <v>0.76660753800000003</v>
      </c>
      <c r="AD84" s="1509">
        <v>0</v>
      </c>
      <c r="AE84" s="1509">
        <v>1</v>
      </c>
      <c r="AF84" s="1509">
        <v>0.83749841599999997</v>
      </c>
      <c r="AG84" s="1509">
        <v>0.79482525999999998</v>
      </c>
      <c r="AH84" s="1509">
        <v>0</v>
      </c>
      <c r="AI84" s="1509">
        <v>0.86704652999999998</v>
      </c>
      <c r="AJ84" s="1509">
        <v>0.892566203</v>
      </c>
      <c r="AK84" s="1509">
        <v>1</v>
      </c>
      <c r="AL84" s="1509">
        <v>0</v>
      </c>
      <c r="AM84" s="1509">
        <v>0.72604119300000003</v>
      </c>
      <c r="AN84" s="1509">
        <v>0.83070129000000004</v>
      </c>
      <c r="AO84" s="1509">
        <v>0.60758471199999997</v>
      </c>
      <c r="AP84" s="1509">
        <v>0.654415203</v>
      </c>
      <c r="AQ84" s="1509">
        <v>1</v>
      </c>
      <c r="AR84" s="1509">
        <v>0.50290559099999999</v>
      </c>
      <c r="AS84" s="1509">
        <v>0</v>
      </c>
      <c r="AT84" s="1509">
        <v>1</v>
      </c>
      <c r="AU84" s="1509">
        <v>0.53096991400000004</v>
      </c>
      <c r="AV84" s="1509">
        <v>0</v>
      </c>
      <c r="AW84" s="1509">
        <v>0.88886570099999995</v>
      </c>
      <c r="AX84" s="1509">
        <v>1</v>
      </c>
      <c r="AY84" s="1509">
        <v>1</v>
      </c>
      <c r="AZ84" s="1509">
        <v>0.77130528600000003</v>
      </c>
      <c r="BA84" s="1509">
        <v>0</v>
      </c>
      <c r="BB84" s="1509">
        <v>1</v>
      </c>
      <c r="BC84" s="1509">
        <v>0</v>
      </c>
      <c r="BD84" s="1509">
        <v>0.57071040900000003</v>
      </c>
      <c r="BE84" s="1509">
        <v>1</v>
      </c>
      <c r="BF84" s="1509">
        <v>0</v>
      </c>
      <c r="BG84" s="1509">
        <v>0</v>
      </c>
      <c r="BH84" s="1509">
        <v>0</v>
      </c>
      <c r="BI84" s="1509">
        <v>1</v>
      </c>
      <c r="BJ84" s="1509">
        <v>0.89738095399999995</v>
      </c>
      <c r="BK84" s="1509">
        <v>0.85342585199999998</v>
      </c>
      <c r="BL84" s="1509">
        <v>1</v>
      </c>
      <c r="BM84" s="1509">
        <v>0.826419401</v>
      </c>
      <c r="BN84" s="1509">
        <v>0</v>
      </c>
      <c r="BO84" s="1509">
        <v>0.86358080400000004</v>
      </c>
      <c r="BP84" s="1509">
        <v>0.77416133099999995</v>
      </c>
      <c r="BQ84" s="1509">
        <v>0.79428490500000004</v>
      </c>
      <c r="BR84" s="1509">
        <v>0</v>
      </c>
      <c r="BS84" s="1509">
        <v>0.823672776</v>
      </c>
      <c r="BT84" s="1509">
        <v>0</v>
      </c>
      <c r="BU84" s="1509">
        <v>0</v>
      </c>
      <c r="BV84" s="1509">
        <v>0.80218171400000005</v>
      </c>
      <c r="BW84" s="1509">
        <v>1</v>
      </c>
      <c r="BX84" s="1509">
        <v>1</v>
      </c>
      <c r="BY84" s="1509">
        <v>1</v>
      </c>
      <c r="BZ84" s="1509">
        <v>1</v>
      </c>
      <c r="CA84" s="1509">
        <v>0.798989952</v>
      </c>
      <c r="CB84" s="1509">
        <v>1</v>
      </c>
      <c r="CC84" s="1509">
        <v>1</v>
      </c>
      <c r="CD84" s="1509">
        <v>0.75301559799999995</v>
      </c>
      <c r="CE84" s="1509">
        <v>0</v>
      </c>
      <c r="CF84" s="1509">
        <v>1</v>
      </c>
      <c r="CG84" s="1509">
        <v>0.78903414299999997</v>
      </c>
      <c r="CH84" s="1509">
        <v>0.78903041600000001</v>
      </c>
      <c r="CI84" s="1509">
        <v>0.77611033699999998</v>
      </c>
      <c r="CJ84" s="1509">
        <v>1</v>
      </c>
      <c r="CK84" s="1509">
        <v>0.863747441</v>
      </c>
      <c r="CL84" s="1509">
        <v>0</v>
      </c>
      <c r="CM84" s="1509">
        <v>0.44206346200000002</v>
      </c>
      <c r="CN84" s="1509">
        <v>0</v>
      </c>
      <c r="CO84" s="1509">
        <v>0</v>
      </c>
      <c r="CP84" s="1509">
        <v>0</v>
      </c>
      <c r="CQ84" s="1509">
        <v>0.788188208</v>
      </c>
      <c r="CR84" s="1509">
        <v>0.90434221999999997</v>
      </c>
      <c r="CS84" s="1509">
        <v>0.79767237300000005</v>
      </c>
      <c r="CT84" s="1509">
        <v>1</v>
      </c>
      <c r="CU84" s="1509">
        <v>0</v>
      </c>
      <c r="CV84" s="1509">
        <v>0.88319243599999997</v>
      </c>
      <c r="CW84" s="1509">
        <v>0.89729872499999996</v>
      </c>
      <c r="CX84" s="1509">
        <v>0.77099156800000002</v>
      </c>
      <c r="CY84" s="1509">
        <v>0.88090835000000001</v>
      </c>
      <c r="CZ84" s="1509">
        <v>1</v>
      </c>
      <c r="DA84" s="1509">
        <v>1</v>
      </c>
      <c r="DB84" s="1509">
        <v>0.40750006900000002</v>
      </c>
      <c r="DC84" s="1509">
        <v>0.41714879599999999</v>
      </c>
      <c r="DD84" s="1509">
        <v>0.41363515099999998</v>
      </c>
      <c r="DE84" s="1509">
        <v>0</v>
      </c>
      <c r="DF84" s="1509">
        <v>0.422134126</v>
      </c>
      <c r="DG84" s="1509">
        <v>0</v>
      </c>
      <c r="DH84" s="1509">
        <v>0</v>
      </c>
      <c r="DI84" s="1509">
        <v>0.41202549700000002</v>
      </c>
      <c r="DJ84" s="1509">
        <v>1</v>
      </c>
      <c r="DK84" s="1509">
        <v>1</v>
      </c>
      <c r="DL84" s="1509">
        <v>1</v>
      </c>
      <c r="DM84" s="1509">
        <v>0.75435089099999997</v>
      </c>
      <c r="DN84" s="1509">
        <v>1</v>
      </c>
      <c r="DO84" s="1509">
        <v>1</v>
      </c>
      <c r="DP84" s="1509">
        <v>1</v>
      </c>
      <c r="DQ84" s="1509">
        <v>0.54007461599999995</v>
      </c>
      <c r="DR84" s="1509">
        <v>0.54007461599999995</v>
      </c>
      <c r="DS84" s="1509">
        <v>1</v>
      </c>
      <c r="DT84" s="1509">
        <v>1</v>
      </c>
      <c r="DU84" s="1509">
        <v>0</v>
      </c>
      <c r="DV84" s="1509">
        <v>0.80485723399999998</v>
      </c>
      <c r="DW84" s="1509">
        <v>1</v>
      </c>
      <c r="DX84" s="1509">
        <v>0.53634295200000004</v>
      </c>
      <c r="DY84" s="1509">
        <v>0</v>
      </c>
      <c r="DZ84" s="1509">
        <v>0</v>
      </c>
      <c r="EA84" s="1509">
        <v>0</v>
      </c>
      <c r="EB84" s="1509">
        <v>1</v>
      </c>
      <c r="EC84" s="1509">
        <v>0</v>
      </c>
      <c r="ED84" s="1509">
        <v>0</v>
      </c>
      <c r="EE84" s="1509">
        <v>1</v>
      </c>
      <c r="EF84" s="1509">
        <v>0</v>
      </c>
      <c r="EG84" s="1509">
        <v>1</v>
      </c>
      <c r="EH84" s="1509">
        <v>0</v>
      </c>
      <c r="EI84" s="1509">
        <v>1</v>
      </c>
      <c r="EJ84" s="1509">
        <v>1</v>
      </c>
      <c r="EK84" s="1509">
        <v>1</v>
      </c>
      <c r="EL84" s="1509">
        <v>0.45751892500000002</v>
      </c>
      <c r="EM84" s="1509">
        <v>0</v>
      </c>
      <c r="EN84" s="1509">
        <v>0.48146138199999999</v>
      </c>
      <c r="EO84" s="1509">
        <v>0</v>
      </c>
      <c r="EP84" s="1509">
        <v>1</v>
      </c>
      <c r="EQ84" s="1509">
        <v>0</v>
      </c>
      <c r="ER84" s="1509">
        <v>1</v>
      </c>
      <c r="ES84" s="1509">
        <v>1</v>
      </c>
      <c r="ET84" s="1509">
        <v>1</v>
      </c>
      <c r="EU84" s="1509">
        <v>1</v>
      </c>
      <c r="EV84" s="1509">
        <v>0</v>
      </c>
      <c r="EW84" s="1509">
        <v>0.86512053099999997</v>
      </c>
      <c r="EX84" s="1509">
        <v>1</v>
      </c>
      <c r="EY84" s="1509">
        <v>1</v>
      </c>
      <c r="EZ84" s="1509">
        <v>1</v>
      </c>
      <c r="FA84" s="1509">
        <v>0.70810052700000004</v>
      </c>
      <c r="FB84" s="1509">
        <v>0.64344628199999998</v>
      </c>
      <c r="FC84" s="1509">
        <v>0.85081346499999999</v>
      </c>
      <c r="FD84" s="1509">
        <v>0.85087950999999995</v>
      </c>
      <c r="FE84" s="1509">
        <v>1</v>
      </c>
      <c r="FF84" s="1509">
        <v>1</v>
      </c>
      <c r="FG84" s="1509">
        <v>1</v>
      </c>
      <c r="FH84" s="1509">
        <v>1</v>
      </c>
      <c r="FI84" s="1509">
        <v>0.79303601000000001</v>
      </c>
      <c r="FJ84" s="1509">
        <v>0.76603812999999998</v>
      </c>
      <c r="FK84" s="1509">
        <v>1</v>
      </c>
      <c r="FL84" s="1509">
        <v>0.40546730600000003</v>
      </c>
      <c r="FM84" s="1509">
        <v>0.90836320800000003</v>
      </c>
      <c r="FN84" s="1509">
        <v>1</v>
      </c>
      <c r="FO84" s="1509">
        <v>0.454118894</v>
      </c>
      <c r="FP84" s="1509">
        <v>0.88733472199999996</v>
      </c>
      <c r="FQ84" s="1509">
        <v>1</v>
      </c>
      <c r="FR84" s="1509">
        <v>0.890661119</v>
      </c>
      <c r="FS84" s="1509">
        <v>0</v>
      </c>
      <c r="FT84" s="1509">
        <v>1</v>
      </c>
      <c r="FU84" s="1509">
        <v>0.78268776399999995</v>
      </c>
    </row>
    <row r="85" spans="1:177" s="1509" customFormat="1" x14ac:dyDescent="0.2">
      <c r="A85" s="1512" t="s">
        <v>1058</v>
      </c>
      <c r="B85" s="1512" t="s">
        <v>1065</v>
      </c>
      <c r="C85" s="1509">
        <v>0.18663869199999999</v>
      </c>
      <c r="D85" s="1509">
        <v>0.18663869199999999</v>
      </c>
      <c r="E85" s="1509">
        <v>0.467649492</v>
      </c>
      <c r="F85" s="1509">
        <v>0.83200140899999997</v>
      </c>
      <c r="G85" s="1509">
        <v>0.79598422899999999</v>
      </c>
      <c r="H85" s="1509">
        <v>0.84979615600000002</v>
      </c>
      <c r="I85" s="1509">
        <v>0.968081776</v>
      </c>
      <c r="J85" s="1509">
        <v>0.96258878599999997</v>
      </c>
      <c r="K85" s="1509">
        <v>0.467649492</v>
      </c>
      <c r="L85" s="1509">
        <v>8.7228238999999999E-2</v>
      </c>
      <c r="M85" s="1509">
        <v>5.4363462000000001E-2</v>
      </c>
      <c r="N85" s="1509">
        <v>0.88723345600000003</v>
      </c>
      <c r="O85" s="1509">
        <v>0.95526976799999996</v>
      </c>
      <c r="P85" s="1509">
        <v>0.11600867500000001</v>
      </c>
      <c r="Q85" s="1509">
        <v>0.58117311800000004</v>
      </c>
      <c r="R85" s="1509">
        <v>3.8171469E-2</v>
      </c>
      <c r="S85" s="1509">
        <v>0.72381140499999996</v>
      </c>
      <c r="T85" s="1509">
        <v>0.72381140499999996</v>
      </c>
      <c r="U85" s="1509">
        <v>0.72381140499999996</v>
      </c>
      <c r="V85" s="1509">
        <v>0.72381140499999996</v>
      </c>
      <c r="W85" s="1509">
        <v>4.1823494000000003E-2</v>
      </c>
      <c r="X85" s="1509">
        <v>0.54604944399999999</v>
      </c>
      <c r="Y85" s="1509">
        <v>0.467649492</v>
      </c>
      <c r="Z85" s="1509">
        <v>0.467649492</v>
      </c>
      <c r="AA85" s="1509">
        <v>0.467649492</v>
      </c>
      <c r="AB85" s="1509">
        <v>0.326676405</v>
      </c>
      <c r="AC85" s="1509">
        <v>0.326676405</v>
      </c>
      <c r="AD85" s="1509">
        <v>0.25678798000000003</v>
      </c>
      <c r="AE85" s="1509">
        <v>5.6716373E-2</v>
      </c>
      <c r="AF85" s="1509">
        <v>0.99929194799999999</v>
      </c>
      <c r="AG85" s="1509">
        <v>0.18663869199999999</v>
      </c>
      <c r="AH85" s="1509">
        <v>0.91359906400000002</v>
      </c>
      <c r="AI85" s="1509">
        <v>0.18663869199999999</v>
      </c>
      <c r="AJ85" s="1509">
        <v>0.72381140499999996</v>
      </c>
      <c r="AK85" s="1509">
        <v>9.1471284E-2</v>
      </c>
      <c r="AL85" s="1509">
        <v>0.86545620000000001</v>
      </c>
      <c r="AM85" s="1509">
        <v>0.92872968199999995</v>
      </c>
      <c r="AN85" s="1509">
        <v>0.95323491500000002</v>
      </c>
      <c r="AO85" s="1509">
        <v>0.92291994399999999</v>
      </c>
      <c r="AP85" s="1509">
        <v>0.62163598499999995</v>
      </c>
      <c r="AQ85" s="1509">
        <v>0.18663869199999999</v>
      </c>
      <c r="AR85" s="1509">
        <v>0.95700801000000002</v>
      </c>
      <c r="AS85" s="1509">
        <v>0.99091426199999999</v>
      </c>
      <c r="AT85" s="1509">
        <v>0.99940812000000001</v>
      </c>
      <c r="AU85" s="1509">
        <v>0.94271065499999995</v>
      </c>
      <c r="AV85" s="1509">
        <v>0.98411355700000003</v>
      </c>
      <c r="AW85" s="1509">
        <v>0.79598422899999999</v>
      </c>
      <c r="AX85" s="1509">
        <v>0.64191488500000005</v>
      </c>
      <c r="AY85" s="1509">
        <v>0.97567862100000002</v>
      </c>
      <c r="AZ85" s="1509">
        <v>0.67417387699999998</v>
      </c>
      <c r="BA85" s="1509">
        <v>0.94858882099999997</v>
      </c>
      <c r="BB85" s="1509">
        <v>0.575616978</v>
      </c>
      <c r="BC85" s="1509">
        <v>0.98701707999999999</v>
      </c>
      <c r="BD85" s="1509">
        <v>0.96015189000000001</v>
      </c>
      <c r="BE85" s="1509">
        <v>0.46049184300000001</v>
      </c>
      <c r="BF85" s="1509">
        <v>0.98781650200000004</v>
      </c>
      <c r="BG85" s="1509">
        <v>0.59705872100000001</v>
      </c>
      <c r="BH85" s="1509">
        <v>0.99929194799999999</v>
      </c>
      <c r="BI85" s="1509">
        <v>0.79598422899999999</v>
      </c>
      <c r="BJ85" s="1509">
        <v>0.326676405</v>
      </c>
      <c r="BK85" s="1509">
        <v>0.91359906400000002</v>
      </c>
      <c r="BL85" s="1509">
        <v>0.54604944399999999</v>
      </c>
      <c r="BM85" s="1509">
        <v>0.14051904800000001</v>
      </c>
      <c r="BN85" s="1509">
        <v>0.54604944399999999</v>
      </c>
      <c r="BO85" s="1509">
        <v>0.72381140499999996</v>
      </c>
      <c r="BP85" s="1509">
        <v>0.99291948299999999</v>
      </c>
      <c r="BQ85" s="1509">
        <v>0.326676405</v>
      </c>
      <c r="BR85" s="1509">
        <v>0.99369461400000003</v>
      </c>
      <c r="BS85" s="1509">
        <v>0.11600867500000001</v>
      </c>
      <c r="BT85" s="1509">
        <v>0.99925148100000005</v>
      </c>
      <c r="BU85" s="1509">
        <v>0.93820861700000002</v>
      </c>
      <c r="BV85" s="1509">
        <v>0.35781982699999998</v>
      </c>
      <c r="BW85" s="1509">
        <v>0.30084369599999999</v>
      </c>
      <c r="BX85" s="1509">
        <v>0.95767215999999999</v>
      </c>
      <c r="BY85" s="1509">
        <v>0.95767215999999999</v>
      </c>
      <c r="BZ85" s="1509">
        <v>0.71328610199999998</v>
      </c>
      <c r="CA85" s="1509">
        <v>0.83893683799999996</v>
      </c>
      <c r="CB85" s="1509">
        <v>0.30084369599999999</v>
      </c>
      <c r="CC85" s="1509">
        <v>0.43306005800000003</v>
      </c>
      <c r="CD85" s="1509">
        <v>3.1688959000000003E-2</v>
      </c>
      <c r="CE85" s="1509">
        <v>0.43306005800000003</v>
      </c>
      <c r="CF85" s="1509">
        <v>0.63656165799999997</v>
      </c>
      <c r="CG85" s="1509">
        <v>0.98411355700000003</v>
      </c>
      <c r="CH85" s="1509">
        <v>0.968081776</v>
      </c>
      <c r="CI85" s="1509">
        <v>0.18663869199999999</v>
      </c>
      <c r="CJ85" s="1509">
        <v>0.95606300799999999</v>
      </c>
      <c r="CK85" s="1509">
        <v>0.98654866500000005</v>
      </c>
      <c r="CL85" s="1509">
        <v>0.98853004</v>
      </c>
      <c r="CM85" s="1509">
        <v>0.97259533200000003</v>
      </c>
      <c r="CN85" s="1509">
        <v>0.98008250500000005</v>
      </c>
      <c r="CO85" s="1509">
        <v>0.98008250500000005</v>
      </c>
      <c r="CP85" s="1509">
        <v>0.99981350700000005</v>
      </c>
      <c r="CQ85" s="1509">
        <v>0.93193760199999998</v>
      </c>
      <c r="CR85" s="1509">
        <v>0.98411355700000003</v>
      </c>
      <c r="CS85" s="1509">
        <v>0.84979615600000002</v>
      </c>
      <c r="CT85" s="1509">
        <v>0.95526976799999996</v>
      </c>
      <c r="CU85" s="1509">
        <v>0.72381140499999996</v>
      </c>
      <c r="CV85" s="1509">
        <v>0.575616978</v>
      </c>
      <c r="CW85" s="1509">
        <v>0.67417387699999998</v>
      </c>
      <c r="CX85" s="1509">
        <v>0.575616978</v>
      </c>
      <c r="CY85" s="1509">
        <v>0.96730180700000001</v>
      </c>
      <c r="CZ85" s="1509">
        <v>0.93190073799999995</v>
      </c>
      <c r="DA85" s="1509">
        <v>0.94642515699999996</v>
      </c>
      <c r="DB85" s="1509">
        <v>0.72999199800000003</v>
      </c>
      <c r="DC85" s="1509">
        <v>0.88200774500000001</v>
      </c>
      <c r="DD85" s="1509">
        <v>0.99575051299999995</v>
      </c>
      <c r="DE85" s="1509">
        <v>0.68852730399999995</v>
      </c>
      <c r="DF85" s="1509">
        <v>0.85533347400000004</v>
      </c>
      <c r="DG85" s="1509">
        <v>0.82741747099999996</v>
      </c>
      <c r="DH85" s="1509">
        <v>0.55754743900000003</v>
      </c>
      <c r="DI85" s="1509">
        <v>0.82741747099999996</v>
      </c>
      <c r="DJ85" s="1509">
        <v>0.97259533200000003</v>
      </c>
      <c r="DK85" s="1509">
        <v>0.76207045399999995</v>
      </c>
      <c r="DL85" s="1509">
        <v>0</v>
      </c>
      <c r="DM85" s="1509">
        <v>0.14051904800000001</v>
      </c>
      <c r="DN85" s="1509">
        <v>0.97893371900000004</v>
      </c>
      <c r="DO85" s="1509">
        <v>0.90537282900000005</v>
      </c>
      <c r="DP85" s="1509">
        <v>0.97728749999999998</v>
      </c>
      <c r="DQ85" s="1509">
        <v>0.66184704299999997</v>
      </c>
      <c r="DR85" s="1509">
        <v>0.71328610199999998</v>
      </c>
      <c r="DS85" s="1509">
        <v>0.71328610199999998</v>
      </c>
      <c r="DT85" s="1509">
        <v>0.82451070900000001</v>
      </c>
      <c r="DU85" s="1509">
        <v>0.97285180900000001</v>
      </c>
      <c r="DV85" s="1509">
        <v>0.326676405</v>
      </c>
      <c r="DW85" s="1509">
        <v>0.804706433</v>
      </c>
      <c r="DX85" s="1509">
        <v>0.94806831999999996</v>
      </c>
      <c r="DY85" s="1509">
        <v>0.99948264099999995</v>
      </c>
      <c r="DZ85" s="1509">
        <v>0.99653327599999997</v>
      </c>
      <c r="EA85" s="1509">
        <v>0.28261563499999998</v>
      </c>
      <c r="EB85" s="1509">
        <v>0.968081776</v>
      </c>
      <c r="EC85" s="1509">
        <v>0.99214435300000003</v>
      </c>
      <c r="ED85" s="1509">
        <v>0.638073801</v>
      </c>
      <c r="EE85" s="1509">
        <v>0.19524367200000001</v>
      </c>
      <c r="EF85" s="1509">
        <v>0.49701142599999998</v>
      </c>
      <c r="EG85" s="1509">
        <v>0.95767215999999999</v>
      </c>
      <c r="EH85" s="1509">
        <v>0.35781982699999998</v>
      </c>
      <c r="EI85" s="1509">
        <v>0.89683184999999999</v>
      </c>
      <c r="EJ85" s="1509">
        <v>0.63656165799999997</v>
      </c>
      <c r="EK85" s="1509">
        <v>0.91359906400000002</v>
      </c>
      <c r="EL85" s="1509">
        <v>0.92620425100000003</v>
      </c>
      <c r="EM85" s="1509">
        <v>0.98410581399999997</v>
      </c>
      <c r="EN85" s="1509">
        <v>0.76398789499999997</v>
      </c>
      <c r="EO85" s="1509">
        <v>0.99944811899999997</v>
      </c>
      <c r="EP85" s="1509">
        <v>0.89487685100000003</v>
      </c>
      <c r="EQ85" s="1509">
        <v>2.1237868999999999E-2</v>
      </c>
      <c r="ER85" s="1509">
        <v>0.28261563499999998</v>
      </c>
      <c r="ES85" s="1509">
        <v>0.12462849199999999</v>
      </c>
      <c r="ET85" s="1509">
        <v>0.71064429699999998</v>
      </c>
      <c r="EU85" s="1509">
        <v>0.71328610199999998</v>
      </c>
      <c r="EV85" s="1509">
        <v>0.18663869199999999</v>
      </c>
      <c r="EW85" s="1509">
        <v>0.31008460500000001</v>
      </c>
      <c r="EX85" s="1509">
        <v>0.94858882099999997</v>
      </c>
      <c r="EY85" s="1509">
        <v>0.97167183999999995</v>
      </c>
      <c r="EZ85" s="1509">
        <v>0.95767215999999999</v>
      </c>
      <c r="FA85" s="1509">
        <v>0.736253571</v>
      </c>
      <c r="FB85" s="1509">
        <v>0.36909570200000003</v>
      </c>
      <c r="FC85" s="1509">
        <v>0.204411862</v>
      </c>
      <c r="FD85" s="1509">
        <v>0.67417387699999998</v>
      </c>
      <c r="FE85" s="1509">
        <v>0.92488937299999996</v>
      </c>
      <c r="FF85" s="1509">
        <v>0.256706773</v>
      </c>
      <c r="FG85" s="1509">
        <v>0.50310433300000001</v>
      </c>
      <c r="FH85" s="1509">
        <v>0.96633000300000005</v>
      </c>
      <c r="FI85" s="1509">
        <v>0.97648909500000003</v>
      </c>
      <c r="FJ85" s="1509">
        <v>0.28261563499999998</v>
      </c>
      <c r="FK85" s="1509">
        <v>0.79629761099999996</v>
      </c>
      <c r="FL85" s="1509">
        <v>0.59046716799999999</v>
      </c>
      <c r="FM85" s="1509">
        <v>0.79598422899999999</v>
      </c>
      <c r="FN85" s="1509">
        <v>0.326676405</v>
      </c>
      <c r="FO85" s="1509">
        <v>0.97259533200000003</v>
      </c>
      <c r="FP85" s="1509">
        <v>0.76975893900000003</v>
      </c>
      <c r="FQ85" s="1509">
        <v>0.97259533200000003</v>
      </c>
      <c r="FR85" s="1509">
        <v>0.204411862</v>
      </c>
      <c r="FS85" s="1509">
        <v>0.89785723399999995</v>
      </c>
      <c r="FT85" s="1509">
        <v>0.82741747099999996</v>
      </c>
      <c r="FU85" s="1509">
        <v>0.93193760199999998</v>
      </c>
    </row>
    <row r="86" spans="1:177" s="1509" customFormat="1" x14ac:dyDescent="0.2">
      <c r="A86" s="1512" t="s">
        <v>1058</v>
      </c>
      <c r="B86" s="1512" t="s">
        <v>1077</v>
      </c>
      <c r="C86" s="1509" t="s">
        <v>2372</v>
      </c>
      <c r="D86" s="1509" t="s">
        <v>2372</v>
      </c>
      <c r="E86" s="1509" t="s">
        <v>2372</v>
      </c>
      <c r="F86" s="1509" t="s">
        <v>2372</v>
      </c>
      <c r="G86" s="1509" t="s">
        <v>2372</v>
      </c>
      <c r="H86" s="1509" t="s">
        <v>2372</v>
      </c>
      <c r="I86" s="1509" t="s">
        <v>2372</v>
      </c>
      <c r="J86" s="1509" t="s">
        <v>2372</v>
      </c>
      <c r="K86" s="1509">
        <v>1</v>
      </c>
      <c r="L86" s="1509" t="s">
        <v>2372</v>
      </c>
      <c r="M86" s="1509" t="s">
        <v>2372</v>
      </c>
      <c r="N86" s="1509">
        <v>1</v>
      </c>
      <c r="O86" s="1509">
        <v>1</v>
      </c>
      <c r="P86" s="1509">
        <v>1</v>
      </c>
      <c r="Q86" s="1509" t="s">
        <v>2372</v>
      </c>
      <c r="R86" s="1509" t="s">
        <v>2372</v>
      </c>
      <c r="S86" s="1509" t="s">
        <v>2372</v>
      </c>
      <c r="T86" s="1509" t="s">
        <v>2372</v>
      </c>
      <c r="U86" s="1509" t="s">
        <v>2372</v>
      </c>
      <c r="V86" s="1509" t="s">
        <v>2372</v>
      </c>
      <c r="W86" s="1509" t="s">
        <v>2372</v>
      </c>
      <c r="X86" s="1509" t="s">
        <v>2372</v>
      </c>
      <c r="Y86" s="1509">
        <v>1</v>
      </c>
      <c r="Z86" s="1509" t="s">
        <v>2372</v>
      </c>
      <c r="AA86" s="1509">
        <v>1</v>
      </c>
      <c r="AB86" s="1509">
        <v>1</v>
      </c>
      <c r="AC86" s="1509" t="s">
        <v>2372</v>
      </c>
      <c r="AD86" s="1509" t="s">
        <v>2372</v>
      </c>
      <c r="AE86" s="1509">
        <v>1</v>
      </c>
      <c r="AF86" s="1509" t="s">
        <v>2372</v>
      </c>
      <c r="AG86" s="1509">
        <v>1</v>
      </c>
      <c r="AH86" s="1509">
        <v>1</v>
      </c>
      <c r="AI86" s="1509" t="s">
        <v>2372</v>
      </c>
      <c r="AJ86" s="1509" t="s">
        <v>2372</v>
      </c>
      <c r="AK86" s="1509" t="s">
        <v>2372</v>
      </c>
      <c r="AL86" s="1509">
        <v>1</v>
      </c>
      <c r="AM86" s="1509">
        <v>1</v>
      </c>
      <c r="AN86" s="1509" t="s">
        <v>2372</v>
      </c>
      <c r="AO86" s="1509">
        <v>1</v>
      </c>
      <c r="AP86" s="1509" t="s">
        <v>2372</v>
      </c>
      <c r="AQ86" s="1509" t="s">
        <v>2372</v>
      </c>
      <c r="AR86" s="1509">
        <v>1</v>
      </c>
      <c r="AS86" s="1509">
        <v>1</v>
      </c>
      <c r="AT86" s="1509" t="s">
        <v>2372</v>
      </c>
      <c r="AU86" s="1509">
        <v>1</v>
      </c>
      <c r="AV86" s="1509">
        <v>1</v>
      </c>
      <c r="AW86" s="1509" t="s">
        <v>2372</v>
      </c>
      <c r="AX86" s="1509">
        <v>1</v>
      </c>
      <c r="AY86" s="1509">
        <v>1</v>
      </c>
      <c r="AZ86" s="1509">
        <v>1</v>
      </c>
      <c r="BA86" s="1509">
        <v>1</v>
      </c>
      <c r="BB86" s="1509">
        <v>1</v>
      </c>
      <c r="BC86" s="1509" t="s">
        <v>2372</v>
      </c>
      <c r="BD86" s="1509">
        <v>1</v>
      </c>
      <c r="BE86" s="1509">
        <v>1</v>
      </c>
      <c r="BF86" s="1509" t="s">
        <v>2372</v>
      </c>
      <c r="BG86" s="1509" t="s">
        <v>2372</v>
      </c>
      <c r="BH86" s="1509" t="s">
        <v>2372</v>
      </c>
      <c r="BI86" s="1509" t="s">
        <v>2372</v>
      </c>
      <c r="BJ86" s="1509" t="s">
        <v>2372</v>
      </c>
      <c r="BK86" s="1509">
        <v>1</v>
      </c>
      <c r="BL86" s="1509">
        <v>1</v>
      </c>
      <c r="BM86" s="1509" t="s">
        <v>2372</v>
      </c>
      <c r="BN86" s="1509" t="s">
        <v>2372</v>
      </c>
      <c r="BO86" s="1509">
        <v>1</v>
      </c>
      <c r="BP86" s="1509">
        <v>1</v>
      </c>
      <c r="BQ86" s="1509" t="s">
        <v>2372</v>
      </c>
      <c r="BR86" s="1509" t="s">
        <v>2372</v>
      </c>
      <c r="BS86" s="1509">
        <v>1</v>
      </c>
      <c r="BT86" s="1509">
        <v>1</v>
      </c>
      <c r="BU86" s="1509" t="s">
        <v>2372</v>
      </c>
      <c r="BV86" s="1509" t="s">
        <v>2372</v>
      </c>
      <c r="BW86" s="1509" t="s">
        <v>2372</v>
      </c>
      <c r="BX86" s="1509">
        <v>1</v>
      </c>
      <c r="BY86" s="1509" t="s">
        <v>2372</v>
      </c>
      <c r="BZ86" s="1509">
        <v>1</v>
      </c>
      <c r="CA86" s="1509">
        <v>1</v>
      </c>
      <c r="CB86" s="1509">
        <v>1</v>
      </c>
      <c r="CC86" s="1509">
        <v>1</v>
      </c>
      <c r="CD86" s="1509">
        <v>1</v>
      </c>
      <c r="CE86" s="1509">
        <v>1</v>
      </c>
      <c r="CF86" s="1509" t="s">
        <v>2372</v>
      </c>
      <c r="CG86" s="1509" t="s">
        <v>2372</v>
      </c>
      <c r="CH86" s="1509">
        <v>1</v>
      </c>
      <c r="CI86" s="1509">
        <v>1</v>
      </c>
      <c r="CJ86" s="1509">
        <v>1</v>
      </c>
      <c r="CK86" s="1509" t="s">
        <v>2372</v>
      </c>
      <c r="CL86" s="1509" t="s">
        <v>2372</v>
      </c>
      <c r="CM86" s="1509" t="s">
        <v>2372</v>
      </c>
      <c r="CN86" s="1509" t="s">
        <v>2372</v>
      </c>
      <c r="CO86" s="1509" t="s">
        <v>2372</v>
      </c>
      <c r="CP86" s="1509">
        <v>1</v>
      </c>
      <c r="CQ86" s="1509">
        <v>1</v>
      </c>
      <c r="CR86" s="1509">
        <v>1</v>
      </c>
      <c r="CS86" s="1509" t="s">
        <v>2372</v>
      </c>
      <c r="CT86" s="1509" t="s">
        <v>2372</v>
      </c>
      <c r="CU86" s="1509" t="s">
        <v>2372</v>
      </c>
      <c r="CV86" s="1509" t="s">
        <v>2372</v>
      </c>
      <c r="CW86" s="1509" t="s">
        <v>2372</v>
      </c>
      <c r="CX86" s="1509">
        <v>1</v>
      </c>
      <c r="CY86" s="1509">
        <v>1</v>
      </c>
      <c r="CZ86" s="1509">
        <v>1</v>
      </c>
      <c r="DA86" s="1509">
        <v>1</v>
      </c>
      <c r="DB86" s="1509">
        <v>1</v>
      </c>
      <c r="DC86" s="1509">
        <v>1</v>
      </c>
      <c r="DD86" s="1509">
        <v>1</v>
      </c>
      <c r="DE86" s="1509" t="s">
        <v>2372</v>
      </c>
      <c r="DF86" s="1509">
        <v>1</v>
      </c>
      <c r="DG86" s="1509">
        <v>1</v>
      </c>
      <c r="DH86" s="1509" t="s">
        <v>2372</v>
      </c>
      <c r="DI86" s="1509">
        <v>1</v>
      </c>
      <c r="DJ86" s="1509">
        <v>1</v>
      </c>
      <c r="DK86" s="1509">
        <v>1</v>
      </c>
      <c r="DL86" s="1509">
        <v>1</v>
      </c>
      <c r="DM86" s="1509">
        <v>1</v>
      </c>
      <c r="DN86" s="1509" t="s">
        <v>2372</v>
      </c>
      <c r="DO86" s="1509" t="s">
        <v>2372</v>
      </c>
      <c r="DP86" s="1509">
        <v>1</v>
      </c>
      <c r="DQ86" s="1509">
        <v>1</v>
      </c>
      <c r="DR86" s="1509">
        <v>1</v>
      </c>
      <c r="DS86" s="1509">
        <v>1</v>
      </c>
      <c r="DT86" s="1509">
        <v>1</v>
      </c>
      <c r="DU86" s="1509" t="s">
        <v>2372</v>
      </c>
      <c r="DV86" s="1509">
        <v>1</v>
      </c>
      <c r="DW86" s="1509" t="s">
        <v>2372</v>
      </c>
      <c r="DX86" s="1509" t="s">
        <v>2372</v>
      </c>
      <c r="DY86" s="1509">
        <v>1</v>
      </c>
      <c r="DZ86" s="1509" t="s">
        <v>2372</v>
      </c>
      <c r="EA86" s="1509">
        <v>1</v>
      </c>
      <c r="EB86" s="1509">
        <v>1</v>
      </c>
      <c r="EC86" s="1509" t="s">
        <v>2372</v>
      </c>
      <c r="ED86" s="1509">
        <v>1</v>
      </c>
      <c r="EE86" s="1509">
        <v>1</v>
      </c>
      <c r="EF86" s="1509">
        <v>1</v>
      </c>
      <c r="EG86" s="1509">
        <v>1</v>
      </c>
      <c r="EH86" s="1509">
        <v>1</v>
      </c>
      <c r="EI86" s="1509" t="s">
        <v>2372</v>
      </c>
      <c r="EJ86" s="1509" t="s">
        <v>2372</v>
      </c>
      <c r="EK86" s="1509" t="s">
        <v>2372</v>
      </c>
      <c r="EL86" s="1509">
        <v>1</v>
      </c>
      <c r="EM86" s="1509">
        <v>1</v>
      </c>
      <c r="EN86" s="1509">
        <v>1</v>
      </c>
      <c r="EO86" s="1509">
        <v>1</v>
      </c>
      <c r="EP86" s="1509">
        <v>1</v>
      </c>
      <c r="EQ86" s="1509">
        <v>1</v>
      </c>
      <c r="ER86" s="1509" t="s">
        <v>2372</v>
      </c>
      <c r="ES86" s="1509" t="s">
        <v>2372</v>
      </c>
      <c r="ET86" s="1509" t="s">
        <v>2372</v>
      </c>
      <c r="EU86" s="1509">
        <v>1</v>
      </c>
      <c r="EV86" s="1509" t="s">
        <v>2372</v>
      </c>
      <c r="EW86" s="1509">
        <v>1</v>
      </c>
      <c r="EX86" s="1509" t="s">
        <v>2372</v>
      </c>
      <c r="EY86" s="1509" t="s">
        <v>2372</v>
      </c>
      <c r="EZ86" s="1509" t="s">
        <v>2372</v>
      </c>
      <c r="FA86" s="1509">
        <v>1</v>
      </c>
      <c r="FB86" s="1509">
        <v>1</v>
      </c>
      <c r="FC86" s="1509" t="s">
        <v>2372</v>
      </c>
      <c r="FD86" s="1509">
        <v>1</v>
      </c>
      <c r="FE86" s="1509">
        <v>1</v>
      </c>
      <c r="FF86" s="1509" t="s">
        <v>2372</v>
      </c>
      <c r="FG86" s="1509" t="s">
        <v>2372</v>
      </c>
      <c r="FH86" s="1509">
        <v>1</v>
      </c>
      <c r="FI86" s="1509" t="s">
        <v>2372</v>
      </c>
      <c r="FJ86" s="1509">
        <v>1</v>
      </c>
      <c r="FK86" s="1509">
        <v>1</v>
      </c>
      <c r="FL86" s="1509">
        <v>1</v>
      </c>
      <c r="FM86" s="1509" t="s">
        <v>2372</v>
      </c>
      <c r="FN86" s="1509" t="s">
        <v>2372</v>
      </c>
      <c r="FO86" s="1509">
        <v>1</v>
      </c>
      <c r="FP86" s="1509" t="s">
        <v>2372</v>
      </c>
      <c r="FQ86" s="1509">
        <v>1</v>
      </c>
      <c r="FR86" s="1509">
        <v>1</v>
      </c>
      <c r="FS86" s="1509" t="s">
        <v>2372</v>
      </c>
      <c r="FT86" s="1509">
        <v>1</v>
      </c>
      <c r="FU86" s="1509" t="s">
        <v>2372</v>
      </c>
    </row>
    <row r="87" spans="1:177" s="1509" customFormat="1" x14ac:dyDescent="0.2">
      <c r="A87" s="1512" t="s">
        <v>1058</v>
      </c>
      <c r="B87" s="1512" t="s">
        <v>1027</v>
      </c>
      <c r="C87" s="1509">
        <v>0</v>
      </c>
      <c r="D87" s="1509">
        <v>0</v>
      </c>
      <c r="E87" s="1509">
        <v>0</v>
      </c>
      <c r="F87" s="1509">
        <v>0</v>
      </c>
      <c r="G87" s="1509">
        <v>0</v>
      </c>
      <c r="H87" s="1509">
        <v>0</v>
      </c>
      <c r="I87" s="1509">
        <v>0</v>
      </c>
      <c r="J87" s="1509">
        <v>0</v>
      </c>
      <c r="K87" s="1509">
        <v>0</v>
      </c>
      <c r="L87" s="1509">
        <v>0</v>
      </c>
      <c r="M87" s="1509">
        <v>0</v>
      </c>
      <c r="N87" s="1509">
        <v>0</v>
      </c>
      <c r="O87" s="1509">
        <v>0</v>
      </c>
      <c r="P87" s="1509">
        <v>0</v>
      </c>
      <c r="Q87" s="1509">
        <v>0</v>
      </c>
      <c r="R87" s="1509">
        <v>0</v>
      </c>
      <c r="S87" s="1509">
        <v>0</v>
      </c>
      <c r="T87" s="1509">
        <v>0</v>
      </c>
      <c r="U87" s="1509">
        <v>0</v>
      </c>
      <c r="V87" s="1509">
        <v>0</v>
      </c>
      <c r="W87" s="1509">
        <v>0</v>
      </c>
      <c r="X87" s="1509">
        <v>0</v>
      </c>
      <c r="Y87" s="1509">
        <v>0</v>
      </c>
      <c r="Z87" s="1509">
        <v>0</v>
      </c>
      <c r="AA87" s="1509">
        <v>0</v>
      </c>
      <c r="AB87" s="1509">
        <v>0</v>
      </c>
      <c r="AC87" s="1509">
        <v>0</v>
      </c>
      <c r="AD87" s="1509">
        <v>0</v>
      </c>
      <c r="AE87" s="1509">
        <v>0</v>
      </c>
      <c r="AF87" s="1509">
        <v>0</v>
      </c>
      <c r="AG87" s="1509">
        <v>0</v>
      </c>
      <c r="AH87" s="1509">
        <v>0</v>
      </c>
      <c r="AI87" s="1509">
        <v>0</v>
      </c>
      <c r="AJ87" s="1509">
        <v>0</v>
      </c>
      <c r="AK87" s="1509">
        <v>0</v>
      </c>
      <c r="AL87" s="1509">
        <v>0</v>
      </c>
      <c r="AM87" s="1509">
        <v>0</v>
      </c>
      <c r="AN87" s="1509">
        <v>0</v>
      </c>
      <c r="AO87" s="1509">
        <v>1</v>
      </c>
      <c r="AP87" s="1509">
        <v>0</v>
      </c>
      <c r="AQ87" s="1509">
        <v>0</v>
      </c>
      <c r="AR87" s="1509">
        <v>0</v>
      </c>
      <c r="AS87" s="1509">
        <v>0</v>
      </c>
      <c r="AT87" s="1509">
        <v>0</v>
      </c>
      <c r="AU87" s="1509">
        <v>0</v>
      </c>
      <c r="AV87" s="1509">
        <v>0</v>
      </c>
      <c r="AW87" s="1509">
        <v>0</v>
      </c>
      <c r="AX87" s="1509">
        <v>0</v>
      </c>
      <c r="AY87" s="1509">
        <v>0</v>
      </c>
      <c r="AZ87" s="1509">
        <v>0</v>
      </c>
      <c r="BA87" s="1509">
        <v>0</v>
      </c>
      <c r="BB87" s="1509">
        <v>0</v>
      </c>
      <c r="BC87" s="1509">
        <v>0</v>
      </c>
      <c r="BD87" s="1509">
        <v>0</v>
      </c>
      <c r="BE87" s="1509">
        <v>0</v>
      </c>
      <c r="BF87" s="1509">
        <v>0</v>
      </c>
      <c r="BG87" s="1509">
        <v>0</v>
      </c>
      <c r="BH87" s="1509">
        <v>0</v>
      </c>
      <c r="BI87" s="1509">
        <v>0</v>
      </c>
      <c r="BJ87" s="1509">
        <v>0</v>
      </c>
      <c r="BK87" s="1509">
        <v>0</v>
      </c>
      <c r="BL87" s="1509">
        <v>0</v>
      </c>
      <c r="BM87" s="1509">
        <v>0</v>
      </c>
      <c r="BN87" s="1509">
        <v>0</v>
      </c>
      <c r="BO87" s="1509">
        <v>0</v>
      </c>
      <c r="BP87" s="1509">
        <v>0</v>
      </c>
      <c r="BQ87" s="1509">
        <v>0</v>
      </c>
      <c r="BR87" s="1509">
        <v>0</v>
      </c>
      <c r="BS87" s="1509">
        <v>0</v>
      </c>
      <c r="BT87" s="1509">
        <v>0</v>
      </c>
      <c r="BU87" s="1509">
        <v>0</v>
      </c>
      <c r="BV87" s="1509">
        <v>0</v>
      </c>
      <c r="BW87" s="1509">
        <v>0</v>
      </c>
      <c r="BX87" s="1509">
        <v>0</v>
      </c>
      <c r="BY87" s="1509">
        <v>0</v>
      </c>
      <c r="BZ87" s="1509">
        <v>1</v>
      </c>
      <c r="CA87" s="1509">
        <v>0</v>
      </c>
      <c r="CB87" s="1509">
        <v>0</v>
      </c>
      <c r="CC87" s="1509">
        <v>0</v>
      </c>
      <c r="CD87" s="1509">
        <v>0</v>
      </c>
      <c r="CE87" s="1509">
        <v>0</v>
      </c>
      <c r="CF87" s="1509">
        <v>0</v>
      </c>
      <c r="CG87" s="1509">
        <v>0</v>
      </c>
      <c r="CH87" s="1509">
        <v>0</v>
      </c>
      <c r="CI87" s="1509">
        <v>0</v>
      </c>
      <c r="CJ87" s="1509">
        <v>0</v>
      </c>
      <c r="CK87" s="1509">
        <v>0</v>
      </c>
      <c r="CL87" s="1509">
        <v>0</v>
      </c>
      <c r="CM87" s="1509">
        <v>0</v>
      </c>
      <c r="CN87" s="1509">
        <v>0</v>
      </c>
      <c r="CO87" s="1509">
        <v>0</v>
      </c>
      <c r="CP87" s="1509">
        <v>0</v>
      </c>
      <c r="CQ87" s="1509">
        <v>0</v>
      </c>
      <c r="CR87" s="1509">
        <v>0</v>
      </c>
      <c r="CS87" s="1509">
        <v>0</v>
      </c>
      <c r="CT87" s="1509">
        <v>0</v>
      </c>
      <c r="CU87" s="1509">
        <v>0</v>
      </c>
      <c r="CV87" s="1509">
        <v>1</v>
      </c>
      <c r="CW87" s="1509">
        <v>0</v>
      </c>
      <c r="CX87" s="1509">
        <v>0</v>
      </c>
      <c r="CY87" s="1509">
        <v>0</v>
      </c>
      <c r="CZ87" s="1509">
        <v>0</v>
      </c>
      <c r="DA87" s="1509">
        <v>0</v>
      </c>
      <c r="DB87" s="1509">
        <v>0</v>
      </c>
      <c r="DC87" s="1509">
        <v>0</v>
      </c>
      <c r="DD87" s="1509">
        <v>0</v>
      </c>
      <c r="DE87" s="1509">
        <v>0</v>
      </c>
      <c r="DF87" s="1509">
        <v>0</v>
      </c>
      <c r="DG87" s="1509">
        <v>0</v>
      </c>
      <c r="DH87" s="1509">
        <v>0</v>
      </c>
      <c r="DI87" s="1509">
        <v>0</v>
      </c>
      <c r="DJ87" s="1509">
        <v>0</v>
      </c>
      <c r="DK87" s="1509">
        <v>0</v>
      </c>
      <c r="DL87" s="1509">
        <v>0</v>
      </c>
      <c r="DM87" s="1509">
        <v>0</v>
      </c>
      <c r="DN87" s="1509">
        <v>0</v>
      </c>
      <c r="DO87" s="1509">
        <v>0</v>
      </c>
      <c r="DP87" s="1509">
        <v>0</v>
      </c>
      <c r="DQ87" s="1509">
        <v>0</v>
      </c>
      <c r="DR87" s="1509">
        <v>0</v>
      </c>
      <c r="DS87" s="1509">
        <v>0</v>
      </c>
      <c r="DT87" s="1509">
        <v>0</v>
      </c>
      <c r="DU87" s="1509">
        <v>0</v>
      </c>
      <c r="DV87" s="1509">
        <v>0</v>
      </c>
      <c r="DW87" s="1509">
        <v>0</v>
      </c>
      <c r="DX87" s="1509">
        <v>0</v>
      </c>
      <c r="DY87" s="1509">
        <v>0</v>
      </c>
      <c r="DZ87" s="1509">
        <v>0</v>
      </c>
      <c r="EA87" s="1509">
        <v>0</v>
      </c>
      <c r="EB87" s="1509">
        <v>0</v>
      </c>
      <c r="EC87" s="1509">
        <v>0</v>
      </c>
      <c r="ED87" s="1509">
        <v>0</v>
      </c>
      <c r="EE87" s="1509">
        <v>0</v>
      </c>
      <c r="EF87" s="1509">
        <v>0</v>
      </c>
      <c r="EG87" s="1509">
        <v>0</v>
      </c>
      <c r="EH87" s="1509">
        <v>0</v>
      </c>
      <c r="EI87" s="1509">
        <v>0</v>
      </c>
      <c r="EJ87" s="1509">
        <v>0</v>
      </c>
      <c r="EK87" s="1509">
        <v>0</v>
      </c>
      <c r="EL87" s="1509">
        <v>0</v>
      </c>
      <c r="EM87" s="1509">
        <v>0</v>
      </c>
      <c r="EN87" s="1509">
        <v>0</v>
      </c>
      <c r="EO87" s="1509">
        <v>0</v>
      </c>
      <c r="EP87" s="1509">
        <v>0</v>
      </c>
      <c r="EQ87" s="1509">
        <v>0</v>
      </c>
      <c r="ER87" s="1509">
        <v>0</v>
      </c>
      <c r="ES87" s="1509">
        <v>0</v>
      </c>
      <c r="ET87" s="1509">
        <v>0</v>
      </c>
      <c r="EU87" s="1509">
        <v>0</v>
      </c>
      <c r="EV87" s="1509">
        <v>0</v>
      </c>
      <c r="EW87" s="1509">
        <v>0</v>
      </c>
      <c r="EX87" s="1509">
        <v>0</v>
      </c>
      <c r="EY87" s="1509">
        <v>0</v>
      </c>
      <c r="EZ87" s="1509">
        <v>0</v>
      </c>
      <c r="FA87" s="1509">
        <v>0</v>
      </c>
      <c r="FB87" s="1509">
        <v>0</v>
      </c>
      <c r="FC87" s="1509">
        <v>1</v>
      </c>
      <c r="FD87" s="1509">
        <v>0</v>
      </c>
      <c r="FE87" s="1509">
        <v>0</v>
      </c>
      <c r="FF87" s="1509">
        <v>0</v>
      </c>
      <c r="FG87" s="1509">
        <v>0</v>
      </c>
      <c r="FH87" s="1509">
        <v>0</v>
      </c>
      <c r="FI87" s="1509">
        <v>0</v>
      </c>
      <c r="FJ87" s="1509">
        <v>0</v>
      </c>
      <c r="FK87" s="1509">
        <v>0</v>
      </c>
      <c r="FL87" s="1509">
        <v>0</v>
      </c>
      <c r="FM87" s="1509">
        <v>0</v>
      </c>
      <c r="FN87" s="1509">
        <v>0</v>
      </c>
      <c r="FO87" s="1509">
        <v>0</v>
      </c>
      <c r="FP87" s="1509">
        <v>0</v>
      </c>
      <c r="FQ87" s="1509">
        <v>0</v>
      </c>
      <c r="FR87" s="1509">
        <v>0</v>
      </c>
      <c r="FS87" s="1509">
        <v>0</v>
      </c>
      <c r="FT87" s="1509">
        <v>0</v>
      </c>
      <c r="FU87" s="1509">
        <v>0</v>
      </c>
    </row>
    <row r="88" spans="1:177" s="1509" customFormat="1" x14ac:dyDescent="0.2">
      <c r="A88" s="1512" t="s">
        <v>1058</v>
      </c>
      <c r="B88" s="1512" t="s">
        <v>1066</v>
      </c>
      <c r="C88" s="1509">
        <v>0.77747426799999997</v>
      </c>
      <c r="D88" s="1509">
        <v>0.68159661900000001</v>
      </c>
      <c r="E88" s="1509">
        <v>3.6855952000000025E-2</v>
      </c>
      <c r="F88" s="1509">
        <v>0.72878827899999998</v>
      </c>
      <c r="G88" s="1509">
        <v>2.2944600999999953E-2</v>
      </c>
      <c r="H88" s="1509">
        <v>2.2944600999999953E-2</v>
      </c>
      <c r="I88" s="1509">
        <v>0.47500204999999995</v>
      </c>
      <c r="J88" s="1509">
        <v>0.47500204999999995</v>
      </c>
      <c r="K88" s="1509">
        <v>0.47369029100000004</v>
      </c>
      <c r="L88" s="1509">
        <v>0.47077609899999995</v>
      </c>
      <c r="M88" s="1509">
        <v>0.47275491700000005</v>
      </c>
      <c r="N88" s="1509">
        <v>0.47500204999999995</v>
      </c>
      <c r="O88" s="1509">
        <v>0.47500204999999995</v>
      </c>
      <c r="P88" s="1509">
        <v>0.46955377799999998</v>
      </c>
      <c r="Q88" s="1509">
        <v>0.72573534299999998</v>
      </c>
      <c r="R88" s="1509">
        <v>0.69196511799999993</v>
      </c>
      <c r="S88" s="1509">
        <v>0.64405124800000002</v>
      </c>
      <c r="T88" s="1509">
        <v>0.71066772999999994</v>
      </c>
      <c r="U88" s="1509">
        <v>0.59796826400000003</v>
      </c>
      <c r="V88" s="1509">
        <v>0.67848119200000001</v>
      </c>
      <c r="W88" s="1509">
        <v>0.68861378399999995</v>
      </c>
      <c r="X88" s="1509">
        <v>0.76664107700000006</v>
      </c>
      <c r="Y88" s="1509">
        <v>0.40796073700000002</v>
      </c>
      <c r="Z88" s="1509">
        <v>0.52313838300000004</v>
      </c>
      <c r="AA88" s="1509">
        <v>0.52032108300000002</v>
      </c>
      <c r="AB88" s="1509">
        <v>0.48957300800000003</v>
      </c>
      <c r="AC88" s="1509">
        <v>0.48957300800000003</v>
      </c>
      <c r="AD88" s="1509">
        <v>0.48957300800000003</v>
      </c>
      <c r="AE88" s="1509">
        <v>0.65354747700000004</v>
      </c>
      <c r="AF88" s="1509">
        <v>0.81998345399999994</v>
      </c>
      <c r="AG88" s="1509">
        <v>0.49434303999999996</v>
      </c>
      <c r="AH88" s="1509">
        <v>0.50324213099999993</v>
      </c>
      <c r="AI88" s="1509">
        <v>0.49520760799999997</v>
      </c>
      <c r="AJ88" s="1509">
        <v>0.51508522699999992</v>
      </c>
      <c r="AK88" s="1509">
        <v>0.93025892700000001</v>
      </c>
      <c r="AL88" s="1509">
        <v>0.63222009200000007</v>
      </c>
      <c r="AM88" s="1509">
        <v>0.72164740799999993</v>
      </c>
      <c r="AN88" s="1509">
        <v>0.64526717</v>
      </c>
      <c r="AO88" s="1509">
        <v>0.65341609599999995</v>
      </c>
      <c r="AP88" s="1509">
        <v>0.50554823300000007</v>
      </c>
      <c r="AQ88" s="1509">
        <v>0.86287647899999997</v>
      </c>
      <c r="AR88" s="1509">
        <v>0.88669731100000004</v>
      </c>
      <c r="AS88" s="1509">
        <v>0.96993712200000004</v>
      </c>
      <c r="AT88" s="1509">
        <v>0.902539702</v>
      </c>
      <c r="AU88" s="1509">
        <v>0.89518348300000006</v>
      </c>
      <c r="AV88" s="1509">
        <v>0.92430182400000005</v>
      </c>
      <c r="AW88" s="1509">
        <v>0.80721616399999996</v>
      </c>
      <c r="AX88" s="1509">
        <v>0.36853461200000004</v>
      </c>
      <c r="AY88" s="1509">
        <v>0.31605684300000003</v>
      </c>
      <c r="AZ88" s="1509">
        <v>7.1670738999999983E-2</v>
      </c>
      <c r="BA88" s="1509">
        <v>6.518723999999998E-2</v>
      </c>
      <c r="BB88" s="1509">
        <v>5.2842171999999965E-2</v>
      </c>
      <c r="BC88" s="1509">
        <v>0.91714452599999996</v>
      </c>
      <c r="BD88" s="1509">
        <v>0.91650652600000004</v>
      </c>
      <c r="BE88" s="1509">
        <v>4.3665069999999639E-3</v>
      </c>
      <c r="BF88" s="1509">
        <v>0.92314787799999998</v>
      </c>
      <c r="BG88" s="1509">
        <v>9.2377825000000025E-2</v>
      </c>
      <c r="BH88" s="1509">
        <v>0.64520276399999998</v>
      </c>
      <c r="BI88" s="1509">
        <v>0.64060042799999994</v>
      </c>
      <c r="BJ88" s="1509">
        <v>0.57837759300000002</v>
      </c>
      <c r="BK88" s="1509">
        <v>0.68676166999999999</v>
      </c>
      <c r="BL88" s="1509">
        <v>0.59078340299999998</v>
      </c>
      <c r="BM88" s="1509">
        <v>0.78720356899999999</v>
      </c>
      <c r="BN88" s="1509">
        <v>0.77876366699999999</v>
      </c>
      <c r="BO88" s="1509">
        <v>0.23786436700000002</v>
      </c>
      <c r="BP88" s="1509">
        <v>0.28527401600000002</v>
      </c>
      <c r="BQ88" s="1509">
        <v>0.13927003599999999</v>
      </c>
      <c r="BR88" s="1509">
        <v>5.2921271999999964E-2</v>
      </c>
      <c r="BS88" s="1509">
        <v>0.47551259199999996</v>
      </c>
      <c r="BT88" s="1509">
        <v>0.94007991499999999</v>
      </c>
      <c r="BU88" s="1509">
        <v>0.61855227499999998</v>
      </c>
      <c r="BV88" s="1509">
        <v>0.51369900700000004</v>
      </c>
      <c r="BW88" s="1509">
        <v>4.9032845000000047E-2</v>
      </c>
      <c r="BX88" s="1509">
        <v>0.969596495</v>
      </c>
      <c r="BY88" s="1509">
        <v>0.96785400200000005</v>
      </c>
      <c r="BZ88" s="1509">
        <v>0.96079116799999997</v>
      </c>
      <c r="CA88" s="1509">
        <v>2.1469120000000008E-2</v>
      </c>
      <c r="CB88" s="1509">
        <v>2.3565305999999953E-2</v>
      </c>
      <c r="CC88" s="1509">
        <v>1.087629499999998E-2</v>
      </c>
      <c r="CD88" s="1509">
        <v>0.49960836399999997</v>
      </c>
      <c r="CE88" s="1509">
        <v>3.1606902000000048E-2</v>
      </c>
      <c r="CF88" s="1509">
        <v>0.16277144099999996</v>
      </c>
      <c r="CG88" s="1509">
        <v>0.48414709600000005</v>
      </c>
      <c r="CH88" s="1509">
        <v>0.73137637799999999</v>
      </c>
      <c r="CI88" s="1509">
        <v>0.36023432799999999</v>
      </c>
      <c r="CJ88" s="1509">
        <v>0.42219250200000003</v>
      </c>
      <c r="CK88" s="1509">
        <v>0.42475177799999997</v>
      </c>
      <c r="CL88" s="1509">
        <v>0.42475177799999997</v>
      </c>
      <c r="CM88" s="1509">
        <v>0.73392290399999993</v>
      </c>
      <c r="CN88" s="1509">
        <v>0.89159511499999999</v>
      </c>
      <c r="CO88" s="1509">
        <v>0.71509776000000003</v>
      </c>
      <c r="CP88" s="1509">
        <v>0.86185314800000001</v>
      </c>
      <c r="CQ88" s="1509">
        <v>0.80573670900000005</v>
      </c>
      <c r="CR88" s="1509">
        <v>0.83974182200000003</v>
      </c>
      <c r="CS88" s="1509">
        <v>4.5315310000000331E-3</v>
      </c>
      <c r="CT88" s="1509">
        <v>0.183977909</v>
      </c>
      <c r="CU88" s="1509">
        <v>1.0181038000000031E-2</v>
      </c>
      <c r="CV88" s="1509">
        <v>0.30592981500000005</v>
      </c>
      <c r="CW88" s="1509">
        <v>0.30592981500000005</v>
      </c>
      <c r="CX88" s="1509">
        <v>0.23280056400000004</v>
      </c>
      <c r="CY88" s="1509">
        <v>0.21299782</v>
      </c>
      <c r="CZ88" s="1509">
        <v>0.53737620900000005</v>
      </c>
      <c r="DA88" s="1509">
        <v>0.53035161200000003</v>
      </c>
      <c r="DB88" s="1509">
        <v>0.63651247700000002</v>
      </c>
      <c r="DC88" s="1509">
        <v>0.58489316499999999</v>
      </c>
      <c r="DD88" s="1509">
        <v>0.64599563999999998</v>
      </c>
      <c r="DE88" s="1509">
        <v>0.78092145800000001</v>
      </c>
      <c r="DF88" s="1509">
        <v>0.40434514700000002</v>
      </c>
      <c r="DG88" s="1509">
        <v>0.82110762599999998</v>
      </c>
      <c r="DH88" s="1509">
        <v>0.81791591200000002</v>
      </c>
      <c r="DI88" s="1509">
        <v>0.80456037999999996</v>
      </c>
      <c r="DJ88" s="1509">
        <v>0.76730885800000004</v>
      </c>
      <c r="DK88" s="1509">
        <v>0.81876430499999997</v>
      </c>
      <c r="DL88" s="1509">
        <v>0.94615562500000006</v>
      </c>
      <c r="DM88" s="1509">
        <v>0.93994166499999998</v>
      </c>
      <c r="DN88" s="1509">
        <v>0.17567280299999999</v>
      </c>
      <c r="DO88" s="1509">
        <v>7.2870569999999857E-3</v>
      </c>
      <c r="DP88" s="1509">
        <v>0.43188161999999997</v>
      </c>
      <c r="DQ88" s="1509">
        <v>0.53210502999999998</v>
      </c>
      <c r="DR88" s="1509">
        <v>0.53349247</v>
      </c>
      <c r="DS88" s="1509">
        <v>0.99384938099999998</v>
      </c>
      <c r="DT88" s="1509">
        <v>0.76114731400000002</v>
      </c>
      <c r="DU88" s="1509">
        <v>0.58544320300000008</v>
      </c>
      <c r="DV88" s="1509">
        <v>0.48957300800000003</v>
      </c>
      <c r="DW88" s="1509">
        <v>0.208366991</v>
      </c>
      <c r="DX88" s="1509">
        <v>0.91294756099999996</v>
      </c>
      <c r="DY88" s="1509">
        <v>0.10788036899999998</v>
      </c>
      <c r="DZ88" s="1509">
        <v>0.899242086</v>
      </c>
      <c r="EA88" s="1509">
        <v>0.42116879100000004</v>
      </c>
      <c r="EB88" s="1509">
        <v>0.81575005</v>
      </c>
      <c r="EC88" s="1509">
        <v>0.60979272699999998</v>
      </c>
      <c r="ED88" s="1509">
        <v>0.32376966699999998</v>
      </c>
      <c r="EE88" s="1509">
        <v>2.5094551999999992E-2</v>
      </c>
      <c r="EF88" s="1509">
        <v>0.47108293199999995</v>
      </c>
      <c r="EG88" s="1509">
        <v>0.96613881999999995</v>
      </c>
      <c r="EH88" s="1509">
        <v>0.65016621500000005</v>
      </c>
      <c r="EI88" s="1509">
        <v>0.19074545099999995</v>
      </c>
      <c r="EJ88" s="1509">
        <v>0.16277144099999996</v>
      </c>
      <c r="EK88" s="1509">
        <v>0.85446557000000001</v>
      </c>
      <c r="EL88" s="1509">
        <v>0.65240666300000005</v>
      </c>
      <c r="EM88" s="1509">
        <v>0.52517039300000001</v>
      </c>
      <c r="EN88" s="1509">
        <v>0.73097618600000003</v>
      </c>
      <c r="EO88" s="1509">
        <v>0.45755571699999997</v>
      </c>
      <c r="EP88" s="1509">
        <v>0.961189921</v>
      </c>
      <c r="EQ88" s="1509">
        <v>0.95120586600000001</v>
      </c>
      <c r="ER88" s="1509">
        <v>6.797217000000022E-3</v>
      </c>
      <c r="ES88" s="1509">
        <v>6.797217000000022E-3</v>
      </c>
      <c r="ET88" s="1509">
        <v>0.12263060100000001</v>
      </c>
      <c r="EU88" s="1509">
        <v>0.98134603499999995</v>
      </c>
      <c r="EV88" s="1509">
        <v>0.48957300800000003</v>
      </c>
      <c r="EW88" s="1509">
        <v>0.52529654399999992</v>
      </c>
      <c r="EX88" s="1509">
        <v>5.0987384999999996E-2</v>
      </c>
      <c r="EY88" s="1509">
        <v>2.2345508000000014E-2</v>
      </c>
      <c r="EZ88" s="1509">
        <v>0.97086376299999999</v>
      </c>
      <c r="FA88" s="1509">
        <v>0.17320761200000001</v>
      </c>
      <c r="FB88" s="1509">
        <v>0.77277751800000005</v>
      </c>
      <c r="FC88" s="1509">
        <v>0.20332760900000002</v>
      </c>
      <c r="FD88" s="1509">
        <v>6.1389604000000042E-2</v>
      </c>
      <c r="FE88" s="1509">
        <v>4.5802786999999956E-2</v>
      </c>
      <c r="FF88" s="1509">
        <v>0.75730198500000001</v>
      </c>
      <c r="FG88" s="1509">
        <v>0.453904101</v>
      </c>
      <c r="FH88" s="1509">
        <v>0.43326905999999998</v>
      </c>
      <c r="FI88" s="1509">
        <v>0.41866842400000004</v>
      </c>
      <c r="FJ88" s="1509">
        <v>0.41926997300000002</v>
      </c>
      <c r="FK88" s="1509">
        <v>0.984421345</v>
      </c>
      <c r="FL88" s="1509">
        <v>0.81791591200000002</v>
      </c>
      <c r="FM88" s="1509">
        <v>0.65868928500000001</v>
      </c>
      <c r="FN88" s="1509">
        <v>4.5799762999999993E-2</v>
      </c>
      <c r="FO88" s="1509">
        <v>0.99877643100000002</v>
      </c>
      <c r="FP88" s="1509">
        <v>0.34834828500000004</v>
      </c>
      <c r="FQ88" s="1509">
        <v>0.96785400200000005</v>
      </c>
      <c r="FR88" s="1509">
        <v>2.3363714000000035E-2</v>
      </c>
      <c r="FS88" s="1509">
        <v>2.4021090000000411E-3</v>
      </c>
      <c r="FT88" s="1509">
        <v>0.73035991900000008</v>
      </c>
      <c r="FU88" s="1509">
        <v>0.53980368299999992</v>
      </c>
    </row>
    <row r="89" spans="1:177" s="1509" customFormat="1" x14ac:dyDescent="0.2">
      <c r="A89" s="1512" t="s">
        <v>1058</v>
      </c>
      <c r="B89" s="1512" t="s">
        <v>1026</v>
      </c>
      <c r="C89" s="1509">
        <v>0</v>
      </c>
      <c r="D89" s="1509">
        <v>0</v>
      </c>
      <c r="E89" s="1509">
        <v>0</v>
      </c>
      <c r="F89" s="1509">
        <v>0</v>
      </c>
      <c r="G89" s="1509">
        <v>0</v>
      </c>
      <c r="H89" s="1509">
        <v>0</v>
      </c>
      <c r="I89" s="1509">
        <v>1</v>
      </c>
      <c r="J89" s="1509">
        <v>1</v>
      </c>
      <c r="K89" s="1509">
        <v>0</v>
      </c>
      <c r="L89" s="1509">
        <v>0.993985287</v>
      </c>
      <c r="M89" s="1509">
        <v>0</v>
      </c>
      <c r="N89" s="1509">
        <v>0</v>
      </c>
      <c r="O89" s="1509">
        <v>1</v>
      </c>
      <c r="P89" s="1509">
        <v>0.993985287</v>
      </c>
      <c r="Q89" s="1509">
        <v>0</v>
      </c>
      <c r="R89" s="1509">
        <v>0</v>
      </c>
      <c r="S89" s="1509">
        <v>0.98701656800000004</v>
      </c>
      <c r="T89" s="1509">
        <v>0</v>
      </c>
      <c r="U89" s="1509">
        <v>0</v>
      </c>
      <c r="V89" s="1509">
        <v>0</v>
      </c>
      <c r="W89" s="1509">
        <v>0.993985287</v>
      </c>
      <c r="X89" s="1509">
        <v>0</v>
      </c>
      <c r="Y89" s="1509">
        <v>0</v>
      </c>
      <c r="Z89" s="1509">
        <v>0</v>
      </c>
      <c r="AA89" s="1509">
        <v>0</v>
      </c>
      <c r="AB89" s="1509">
        <v>0</v>
      </c>
      <c r="AC89" s="1509">
        <v>0</v>
      </c>
      <c r="AD89" s="1509">
        <v>0</v>
      </c>
      <c r="AE89" s="1509">
        <v>0</v>
      </c>
      <c r="AF89" s="1509">
        <v>0</v>
      </c>
      <c r="AG89" s="1509">
        <v>0</v>
      </c>
      <c r="AH89" s="1509">
        <v>0</v>
      </c>
      <c r="AI89" s="1509">
        <v>0</v>
      </c>
      <c r="AJ89" s="1509">
        <v>0</v>
      </c>
      <c r="AK89" s="1509">
        <v>0</v>
      </c>
      <c r="AL89" s="1509">
        <v>0</v>
      </c>
      <c r="AM89" s="1509">
        <v>0</v>
      </c>
      <c r="AN89" s="1509">
        <v>0</v>
      </c>
      <c r="AO89" s="1509">
        <v>0</v>
      </c>
      <c r="AP89" s="1509">
        <v>1</v>
      </c>
      <c r="AQ89" s="1509">
        <v>0</v>
      </c>
      <c r="AR89" s="1509">
        <v>0.98639445299999995</v>
      </c>
      <c r="AS89" s="1509">
        <v>0</v>
      </c>
      <c r="AT89" s="1509">
        <v>0</v>
      </c>
      <c r="AU89" s="1509">
        <v>0</v>
      </c>
      <c r="AV89" s="1509">
        <v>0</v>
      </c>
      <c r="AW89" s="1509">
        <v>0</v>
      </c>
      <c r="AX89" s="1509">
        <v>0.99183376899999998</v>
      </c>
      <c r="AY89" s="1509">
        <v>0</v>
      </c>
      <c r="AZ89" s="1509">
        <v>0</v>
      </c>
      <c r="BA89" s="1509">
        <v>0</v>
      </c>
      <c r="BB89" s="1509">
        <v>0</v>
      </c>
      <c r="BC89" s="1509">
        <v>0</v>
      </c>
      <c r="BD89" s="1509">
        <v>0</v>
      </c>
      <c r="BE89" s="1509">
        <v>1</v>
      </c>
      <c r="BF89" s="1509">
        <v>0</v>
      </c>
      <c r="BG89" s="1509">
        <v>0</v>
      </c>
      <c r="BH89" s="1509">
        <v>0</v>
      </c>
      <c r="BI89" s="1509">
        <v>0.993985287</v>
      </c>
      <c r="BJ89" s="1509">
        <v>0</v>
      </c>
      <c r="BK89" s="1509">
        <v>1</v>
      </c>
      <c r="BL89" s="1509">
        <v>0</v>
      </c>
      <c r="BM89" s="1509" t="s">
        <v>2372</v>
      </c>
      <c r="BN89" s="1509">
        <v>0</v>
      </c>
      <c r="BO89" s="1509">
        <v>0.993985287</v>
      </c>
      <c r="BP89" s="1509">
        <v>0</v>
      </c>
      <c r="BQ89" s="1509">
        <v>0</v>
      </c>
      <c r="BR89" s="1509">
        <v>0</v>
      </c>
      <c r="BS89" s="1509">
        <v>0</v>
      </c>
      <c r="BT89" s="1509">
        <v>0</v>
      </c>
      <c r="BU89" s="1509">
        <v>0</v>
      </c>
      <c r="BV89" s="1509">
        <v>0</v>
      </c>
      <c r="BW89" s="1509">
        <v>0</v>
      </c>
      <c r="BX89" s="1509">
        <v>0</v>
      </c>
      <c r="BY89" s="1509">
        <v>0</v>
      </c>
      <c r="BZ89" s="1509">
        <v>0</v>
      </c>
      <c r="CA89" s="1509">
        <v>0</v>
      </c>
      <c r="CB89" s="1509">
        <v>0</v>
      </c>
      <c r="CC89" s="1509">
        <v>0</v>
      </c>
      <c r="CD89" s="1509">
        <v>0</v>
      </c>
      <c r="CE89" s="1509">
        <v>0</v>
      </c>
      <c r="CF89" s="1509">
        <v>0</v>
      </c>
      <c r="CG89" s="1509">
        <v>0</v>
      </c>
      <c r="CH89" s="1509">
        <v>0</v>
      </c>
      <c r="CI89" s="1509">
        <v>0</v>
      </c>
      <c r="CJ89" s="1509">
        <v>0</v>
      </c>
      <c r="CK89" s="1509">
        <v>0</v>
      </c>
      <c r="CL89" s="1509">
        <v>0</v>
      </c>
      <c r="CM89" s="1509">
        <v>0</v>
      </c>
      <c r="CN89" s="1509">
        <v>0</v>
      </c>
      <c r="CO89" s="1509">
        <v>0</v>
      </c>
      <c r="CP89" s="1509">
        <v>0</v>
      </c>
      <c r="CQ89" s="1509">
        <v>1</v>
      </c>
      <c r="CR89" s="1509">
        <v>0</v>
      </c>
      <c r="CS89" s="1509">
        <v>0</v>
      </c>
      <c r="CT89" s="1509">
        <v>0</v>
      </c>
      <c r="CU89" s="1509">
        <v>0</v>
      </c>
      <c r="CV89" s="1509">
        <v>0</v>
      </c>
      <c r="CW89" s="1509">
        <v>0</v>
      </c>
      <c r="CX89" s="1509">
        <v>0</v>
      </c>
      <c r="CY89" s="1509">
        <v>0</v>
      </c>
      <c r="CZ89" s="1509">
        <v>0</v>
      </c>
      <c r="DA89" s="1509">
        <v>0</v>
      </c>
      <c r="DB89" s="1509">
        <v>0</v>
      </c>
      <c r="DC89" s="1509">
        <v>0</v>
      </c>
      <c r="DD89" s="1509">
        <v>0</v>
      </c>
      <c r="DE89" s="1509" t="s">
        <v>2372</v>
      </c>
      <c r="DF89" s="1509">
        <v>0</v>
      </c>
      <c r="DG89" s="1509">
        <v>0</v>
      </c>
      <c r="DH89" s="1509">
        <v>0</v>
      </c>
      <c r="DI89" s="1509">
        <v>0</v>
      </c>
      <c r="DJ89" s="1509">
        <v>0</v>
      </c>
      <c r="DK89" s="1509">
        <v>0.99183376899999998</v>
      </c>
      <c r="DL89" s="1509">
        <v>0</v>
      </c>
      <c r="DM89" s="1509" t="s">
        <v>2372</v>
      </c>
      <c r="DN89" s="1509">
        <v>0</v>
      </c>
      <c r="DO89" s="1509">
        <v>0</v>
      </c>
      <c r="DP89" s="1509">
        <v>0</v>
      </c>
      <c r="DQ89" s="1509">
        <v>1</v>
      </c>
      <c r="DR89" s="1509">
        <v>0</v>
      </c>
      <c r="DS89" s="1509">
        <v>0</v>
      </c>
      <c r="DT89" s="1509">
        <v>0</v>
      </c>
      <c r="DU89" s="1509">
        <v>0</v>
      </c>
      <c r="DV89" s="1509">
        <v>0</v>
      </c>
      <c r="DW89" s="1509">
        <v>0</v>
      </c>
      <c r="DX89" s="1509">
        <v>0</v>
      </c>
      <c r="DY89" s="1509">
        <v>0</v>
      </c>
      <c r="DZ89" s="1509">
        <v>0</v>
      </c>
      <c r="EA89" s="1509">
        <v>0</v>
      </c>
      <c r="EB89" s="1509">
        <v>0</v>
      </c>
      <c r="EC89" s="1509">
        <v>0</v>
      </c>
      <c r="ED89" s="1509">
        <v>0</v>
      </c>
      <c r="EE89" s="1509">
        <v>0</v>
      </c>
      <c r="EF89" s="1509">
        <v>0</v>
      </c>
      <c r="EG89" s="1509">
        <v>0</v>
      </c>
      <c r="EH89" s="1509">
        <v>0</v>
      </c>
      <c r="EI89" s="1509">
        <v>0</v>
      </c>
      <c r="EJ89" s="1509">
        <v>0</v>
      </c>
      <c r="EK89" s="1509">
        <v>0</v>
      </c>
      <c r="EL89" s="1509">
        <v>0</v>
      </c>
      <c r="EM89" s="1509">
        <v>0</v>
      </c>
      <c r="EN89" s="1509">
        <v>0</v>
      </c>
      <c r="EO89" s="1509">
        <v>0</v>
      </c>
      <c r="EP89" s="1509">
        <v>0</v>
      </c>
      <c r="EQ89" s="1509">
        <v>0</v>
      </c>
      <c r="ER89" s="1509">
        <v>0</v>
      </c>
      <c r="ES89" s="1509">
        <v>0</v>
      </c>
      <c r="ET89" s="1509">
        <v>0</v>
      </c>
      <c r="EU89" s="1509">
        <v>0</v>
      </c>
      <c r="EV89" s="1509">
        <v>0</v>
      </c>
      <c r="EW89" s="1509">
        <v>0</v>
      </c>
      <c r="EX89" s="1509">
        <v>0</v>
      </c>
      <c r="EY89" s="1509">
        <v>0</v>
      </c>
      <c r="EZ89" s="1509">
        <v>0</v>
      </c>
      <c r="FA89" s="1509">
        <v>0</v>
      </c>
      <c r="FB89" s="1509">
        <v>0</v>
      </c>
      <c r="FC89" s="1509">
        <v>0</v>
      </c>
      <c r="FD89" s="1509">
        <v>0</v>
      </c>
      <c r="FE89" s="1509">
        <v>0</v>
      </c>
      <c r="FF89" s="1509">
        <v>0</v>
      </c>
      <c r="FG89" s="1509">
        <v>0</v>
      </c>
      <c r="FH89" s="1509">
        <v>0.99183376899999998</v>
      </c>
      <c r="FI89" s="1509">
        <v>0</v>
      </c>
      <c r="FJ89" s="1509">
        <v>1</v>
      </c>
      <c r="FK89" s="1509">
        <v>0</v>
      </c>
      <c r="FL89" s="1509">
        <v>0</v>
      </c>
      <c r="FM89" s="1509">
        <v>0</v>
      </c>
      <c r="FN89" s="1509">
        <v>0.993985287</v>
      </c>
      <c r="FO89" s="1509">
        <v>0</v>
      </c>
      <c r="FP89" s="1509">
        <v>0</v>
      </c>
      <c r="FQ89" s="1509">
        <v>0</v>
      </c>
      <c r="FR89" s="1509">
        <v>0</v>
      </c>
      <c r="FS89" s="1509">
        <v>0</v>
      </c>
      <c r="FT89" s="1509">
        <v>0</v>
      </c>
      <c r="FU89" s="1509">
        <v>0</v>
      </c>
    </row>
    <row r="90" spans="1:177" s="1509" customFormat="1" x14ac:dyDescent="0.2">
      <c r="A90" s="1512" t="s">
        <v>1058</v>
      </c>
      <c r="B90" s="1512" t="s">
        <v>1009</v>
      </c>
      <c r="C90" s="1509">
        <v>0.83229237300000003</v>
      </c>
      <c r="D90" s="1509">
        <v>0.98823888900000001</v>
      </c>
      <c r="E90" s="1509">
        <v>0.84593168399999996</v>
      </c>
      <c r="F90" s="1509">
        <v>0.64677035900000002</v>
      </c>
      <c r="G90" s="1509">
        <v>0.91128485299999995</v>
      </c>
      <c r="H90" s="1509">
        <v>0.688338016</v>
      </c>
      <c r="I90" s="1509">
        <v>0.92876254899999999</v>
      </c>
      <c r="J90" s="1509">
        <v>0.92459622399999997</v>
      </c>
      <c r="K90" s="1509">
        <v>0.94040813599999995</v>
      </c>
      <c r="L90" s="1509">
        <v>0.91646108299999995</v>
      </c>
      <c r="M90" s="1509">
        <v>0.93830261400000003</v>
      </c>
      <c r="N90" s="1509">
        <v>0.98738177400000005</v>
      </c>
      <c r="O90" s="1509">
        <v>0.96940098799999996</v>
      </c>
      <c r="P90" s="1509">
        <v>0.96018513699999997</v>
      </c>
      <c r="Q90" s="1509">
        <v>0.78108658500000006</v>
      </c>
      <c r="R90" s="1509">
        <v>0.96687131199999998</v>
      </c>
      <c r="S90" s="1509">
        <v>0.98213101199999997</v>
      </c>
      <c r="T90" s="1509">
        <v>0.66215873800000002</v>
      </c>
      <c r="U90" s="1509">
        <v>0.70434743700000002</v>
      </c>
      <c r="V90" s="1509">
        <v>0.76117044700000003</v>
      </c>
      <c r="W90" s="1509">
        <v>0.87350097999999998</v>
      </c>
      <c r="X90" s="1509">
        <v>0.61042252100000005</v>
      </c>
      <c r="Y90" s="1509">
        <v>0.94935194599999995</v>
      </c>
      <c r="Z90" s="1509">
        <v>0.71753583099999996</v>
      </c>
      <c r="AA90" s="1509">
        <v>0.97503186200000003</v>
      </c>
      <c r="AB90" s="1509">
        <v>0.81772141499999995</v>
      </c>
      <c r="AC90" s="1509">
        <v>0.76805345400000002</v>
      </c>
      <c r="AD90" s="1509">
        <v>0.631451655</v>
      </c>
      <c r="AE90" s="1509">
        <v>0.93988944699999999</v>
      </c>
      <c r="AF90" s="1509">
        <v>0.96713522299999999</v>
      </c>
      <c r="AG90" s="1509">
        <v>0.99993664800000004</v>
      </c>
      <c r="AH90" s="1509">
        <v>0.87982127300000001</v>
      </c>
      <c r="AI90" s="1509">
        <v>0.76203874199999999</v>
      </c>
      <c r="AJ90" s="1509">
        <v>0.84334543200000001</v>
      </c>
      <c r="AK90" s="1509">
        <v>0.93660716300000002</v>
      </c>
      <c r="AL90" s="1509">
        <v>0.70068554999999999</v>
      </c>
      <c r="AM90" s="1509">
        <v>0.99151827999999997</v>
      </c>
      <c r="AN90" s="1509">
        <v>0.74790567900000005</v>
      </c>
      <c r="AO90" s="1509">
        <v>0.60720207500000001</v>
      </c>
      <c r="AP90" s="1509">
        <v>0.98482207399999999</v>
      </c>
      <c r="AQ90" s="1509">
        <v>0.90834084900000001</v>
      </c>
      <c r="AR90" s="1509">
        <v>0.87875689899999998</v>
      </c>
      <c r="AS90" s="1509">
        <v>0.530216613</v>
      </c>
      <c r="AT90" s="1509">
        <v>2.2406875E-2</v>
      </c>
      <c r="AU90" s="1509">
        <v>0.66647193599999999</v>
      </c>
      <c r="AV90" s="1509">
        <v>0.77418741800000002</v>
      </c>
      <c r="AW90" s="1509">
        <v>0.928143936</v>
      </c>
      <c r="AX90" s="1509">
        <v>0.99389307999999998</v>
      </c>
      <c r="AY90" s="1509">
        <v>0.86784228299999999</v>
      </c>
      <c r="AZ90" s="1509">
        <v>0.90573608100000003</v>
      </c>
      <c r="BA90" s="1509">
        <v>0.93679963899999996</v>
      </c>
      <c r="BB90" s="1509">
        <v>0.95922770400000001</v>
      </c>
      <c r="BC90" s="1509">
        <v>4.2154135000000002E-2</v>
      </c>
      <c r="BD90" s="1509">
        <v>0.97830799300000004</v>
      </c>
      <c r="BE90" s="1509">
        <v>0.99979040799999996</v>
      </c>
      <c r="BF90" s="1509">
        <v>0.115847003</v>
      </c>
      <c r="BG90" s="1509">
        <v>0.23558179300000001</v>
      </c>
      <c r="BH90" s="1509">
        <v>0.90223669799999995</v>
      </c>
      <c r="BI90" s="1509">
        <v>0.81742701500000003</v>
      </c>
      <c r="BJ90" s="1509">
        <v>0.55852606000000005</v>
      </c>
      <c r="BK90" s="1509">
        <v>0.99864352199999995</v>
      </c>
      <c r="BL90" s="1509">
        <v>0.96717994200000001</v>
      </c>
      <c r="BM90" s="1509">
        <v>0.99952257700000002</v>
      </c>
      <c r="BN90" s="1509">
        <v>0.94067645</v>
      </c>
      <c r="BO90" s="1509">
        <v>0.99890438299999995</v>
      </c>
      <c r="BP90" s="1509">
        <v>0.99305736700000002</v>
      </c>
      <c r="BQ90" s="1509">
        <v>0.980114928</v>
      </c>
      <c r="BR90" s="1509">
        <v>0.39400839199999999</v>
      </c>
      <c r="BS90" s="1509">
        <v>0.95856034499999998</v>
      </c>
      <c r="BT90" s="1509">
        <v>0.94207229800000003</v>
      </c>
      <c r="BU90" s="1509">
        <v>0.74907535800000002</v>
      </c>
      <c r="BV90" s="1509">
        <v>0.915868613</v>
      </c>
      <c r="BW90" s="1509">
        <v>0.65351017899999997</v>
      </c>
      <c r="BX90" s="1509">
        <v>0.93755428200000002</v>
      </c>
      <c r="BY90" s="1509">
        <v>0.63980095199999998</v>
      </c>
      <c r="BZ90" s="1509">
        <v>0.999136947</v>
      </c>
      <c r="CA90" s="1509">
        <v>0.96645356699999996</v>
      </c>
      <c r="CB90" s="1509">
        <v>0.52152506799999998</v>
      </c>
      <c r="CC90" s="1509">
        <v>0.89275137400000004</v>
      </c>
      <c r="CD90" s="1509">
        <v>0.99728465600000005</v>
      </c>
      <c r="CE90" s="1509">
        <v>0.90291899499999995</v>
      </c>
      <c r="CF90" s="1509">
        <v>0.492566373</v>
      </c>
      <c r="CG90" s="1509">
        <v>0.92607567999999996</v>
      </c>
      <c r="CH90" s="1509">
        <v>0.98469117799999994</v>
      </c>
      <c r="CI90" s="1509">
        <v>0.98615945299999996</v>
      </c>
      <c r="CJ90" s="1509">
        <v>0.96819893000000001</v>
      </c>
      <c r="CK90" s="1509">
        <v>0.56065759599999998</v>
      </c>
      <c r="CL90" s="1509">
        <v>0.48370319000000001</v>
      </c>
      <c r="CM90" s="1509">
        <v>0.81213846000000001</v>
      </c>
      <c r="CN90" s="1509">
        <v>0.95347362599999996</v>
      </c>
      <c r="CO90" s="1509">
        <v>0.46369719399999998</v>
      </c>
      <c r="CP90" s="1509">
        <v>0.83421482499999999</v>
      </c>
      <c r="CQ90" s="1509">
        <v>0.99995155400000002</v>
      </c>
      <c r="CR90" s="1509">
        <v>0.99953417700000002</v>
      </c>
      <c r="CS90" s="1509">
        <v>0.87910576799999995</v>
      </c>
      <c r="CT90" s="1509">
        <v>0.42917620099999998</v>
      </c>
      <c r="CU90" s="1509">
        <v>0.53106856199999997</v>
      </c>
      <c r="CV90" s="1509">
        <v>0.87828302800000002</v>
      </c>
      <c r="CW90" s="1509">
        <v>0.67632036600000001</v>
      </c>
      <c r="CX90" s="1509">
        <v>0.98385179300000003</v>
      </c>
      <c r="CY90" s="1509">
        <v>0.99954868699999999</v>
      </c>
      <c r="CZ90" s="1509">
        <v>0.93755428200000002</v>
      </c>
      <c r="DA90" s="1509">
        <v>0.98056491700000004</v>
      </c>
      <c r="DB90" s="1509">
        <v>0.97159650099999995</v>
      </c>
      <c r="DC90" s="1509">
        <v>0.58195899500000003</v>
      </c>
      <c r="DD90" s="1509">
        <v>0.97276465000000001</v>
      </c>
      <c r="DE90" s="1509">
        <v>0.71969021099999997</v>
      </c>
      <c r="DF90" s="1509">
        <v>0.76719800599999999</v>
      </c>
      <c r="DG90" s="1509">
        <v>0.88427045900000001</v>
      </c>
      <c r="DH90" s="1509">
        <v>0.18645315000000001</v>
      </c>
      <c r="DI90" s="1509">
        <v>0.60466891700000003</v>
      </c>
      <c r="DJ90" s="1509">
        <v>0.936434498</v>
      </c>
      <c r="DK90" s="1509">
        <v>0.99833944200000002</v>
      </c>
      <c r="DL90" s="1509">
        <v>0.81622940200000005</v>
      </c>
      <c r="DM90" s="1509">
        <v>0.99850805300000001</v>
      </c>
      <c r="DN90" s="1509">
        <v>8.7666340999999995E-2</v>
      </c>
      <c r="DO90" s="1509">
        <v>0.96630561599999998</v>
      </c>
      <c r="DP90" s="1509">
        <v>0.97864216599999998</v>
      </c>
      <c r="DQ90" s="1509">
        <v>0.99925165599999999</v>
      </c>
      <c r="DR90" s="1509">
        <v>0.97169950500000002</v>
      </c>
      <c r="DS90" s="1509">
        <v>0.97136083799999995</v>
      </c>
      <c r="DT90" s="1509">
        <v>0.98925553499999996</v>
      </c>
      <c r="DU90" s="1509">
        <v>0.73268068399999997</v>
      </c>
      <c r="DV90" s="1509">
        <v>0.83032846100000002</v>
      </c>
      <c r="DW90" s="1509">
        <v>0.464733642</v>
      </c>
      <c r="DX90" s="1509">
        <v>0.82471904900000004</v>
      </c>
      <c r="DY90" s="1509">
        <v>0.64478347999999996</v>
      </c>
      <c r="DZ90" s="1509">
        <v>0.18021584399999999</v>
      </c>
      <c r="EA90" s="1509">
        <v>0.91509257399999999</v>
      </c>
      <c r="EB90" s="1509">
        <v>0.42289317399999998</v>
      </c>
      <c r="EC90" s="1509">
        <v>0.76814661900000003</v>
      </c>
      <c r="ED90" s="1509">
        <v>0.97562811599999999</v>
      </c>
      <c r="EE90" s="1509">
        <v>0.95985169999999997</v>
      </c>
      <c r="EF90" s="1509">
        <v>0.962546507</v>
      </c>
      <c r="EG90" s="1509">
        <v>0.23852494399999999</v>
      </c>
      <c r="EH90" s="1509">
        <v>0.99076459100000003</v>
      </c>
      <c r="EI90" s="1509">
        <v>0.72870431800000002</v>
      </c>
      <c r="EJ90" s="1509">
        <v>0.55967415899999995</v>
      </c>
      <c r="EK90" s="1509">
        <v>0.93850012299999996</v>
      </c>
      <c r="EL90" s="1509">
        <v>0.70980233400000003</v>
      </c>
      <c r="EM90" s="1509">
        <v>0.939716149</v>
      </c>
      <c r="EN90" s="1509">
        <v>0.963870161</v>
      </c>
      <c r="EO90" s="1509">
        <v>0.45045484200000002</v>
      </c>
      <c r="EP90" s="1509">
        <v>0.52207613399999997</v>
      </c>
      <c r="EQ90" s="1509">
        <v>0.96881084299999998</v>
      </c>
      <c r="ER90" s="1509">
        <v>0.99105078899999999</v>
      </c>
      <c r="ES90" s="1509">
        <v>0.98351606000000003</v>
      </c>
      <c r="ET90" s="1509">
        <v>0.90507485799999998</v>
      </c>
      <c r="EU90" s="1509">
        <v>0.42575831200000003</v>
      </c>
      <c r="EV90" s="1509">
        <v>0.70859947400000001</v>
      </c>
      <c r="EW90" s="1509">
        <v>0.97398069799999998</v>
      </c>
      <c r="EX90" s="1509">
        <v>0.29460295399999997</v>
      </c>
      <c r="EY90" s="1509">
        <v>0.93455958400000005</v>
      </c>
      <c r="EZ90" s="1509">
        <v>0.907352885</v>
      </c>
      <c r="FA90" s="1509">
        <v>0.90505247899999997</v>
      </c>
      <c r="FB90" s="1509">
        <v>0.78903958200000002</v>
      </c>
      <c r="FC90" s="1509">
        <v>0.82632146699999998</v>
      </c>
      <c r="FD90" s="1509">
        <v>0.88438126100000003</v>
      </c>
      <c r="FE90" s="1509">
        <v>0.98426457999999994</v>
      </c>
      <c r="FF90" s="1509">
        <v>0.64746396799999995</v>
      </c>
      <c r="FG90" s="1509">
        <v>0.74533430199999995</v>
      </c>
      <c r="FH90" s="1509">
        <v>0.848124498</v>
      </c>
      <c r="FI90" s="1509">
        <v>0.61264401999999996</v>
      </c>
      <c r="FJ90" s="1509">
        <v>0.99852497600000001</v>
      </c>
      <c r="FK90" s="1509">
        <v>0.964674908</v>
      </c>
      <c r="FL90" s="1509">
        <v>0.99519863099999994</v>
      </c>
      <c r="FM90" s="1509">
        <v>0.364244136</v>
      </c>
      <c r="FN90" s="1509">
        <v>0.98436696499999998</v>
      </c>
      <c r="FO90" s="1509">
        <v>0.99451578900000004</v>
      </c>
      <c r="FP90" s="1509">
        <v>0.56185961500000003</v>
      </c>
      <c r="FQ90" s="1509">
        <v>0.95298545400000001</v>
      </c>
      <c r="FR90" s="1509">
        <v>0.69246857299999998</v>
      </c>
      <c r="FS90" s="1509">
        <v>0.72103652100000004</v>
      </c>
      <c r="FT90" s="1509">
        <v>0.341301888</v>
      </c>
      <c r="FU90" s="1509">
        <v>0.96161614699999998</v>
      </c>
    </row>
    <row r="91" spans="1:177" s="1509" customFormat="1" x14ac:dyDescent="0.2">
      <c r="A91" s="1512" t="s">
        <v>1058</v>
      </c>
      <c r="B91" s="1512" t="s">
        <v>1037</v>
      </c>
      <c r="C91" s="1509">
        <v>0</v>
      </c>
      <c r="D91" s="1509">
        <v>0</v>
      </c>
      <c r="E91" s="1509">
        <v>0</v>
      </c>
      <c r="F91" s="1509">
        <v>0</v>
      </c>
      <c r="G91" s="1509">
        <v>0</v>
      </c>
      <c r="H91" s="1509">
        <v>0</v>
      </c>
      <c r="I91" s="1509">
        <v>0</v>
      </c>
      <c r="J91" s="1509">
        <v>0</v>
      </c>
      <c r="K91" s="1509">
        <v>0</v>
      </c>
      <c r="L91" s="1509">
        <v>0</v>
      </c>
      <c r="M91" s="1509">
        <v>0</v>
      </c>
      <c r="N91" s="1509">
        <v>0</v>
      </c>
      <c r="O91" s="1509">
        <v>0</v>
      </c>
      <c r="P91" s="1509">
        <v>0</v>
      </c>
      <c r="Q91" s="1509">
        <v>0</v>
      </c>
      <c r="R91" s="1509">
        <v>0</v>
      </c>
      <c r="S91" s="1509">
        <v>0</v>
      </c>
      <c r="T91" s="1509">
        <v>0</v>
      </c>
      <c r="U91" s="1509">
        <v>0</v>
      </c>
      <c r="V91" s="1509">
        <v>0</v>
      </c>
      <c r="W91" s="1509">
        <v>0</v>
      </c>
      <c r="X91" s="1509">
        <v>0</v>
      </c>
      <c r="Y91" s="1509">
        <v>0</v>
      </c>
      <c r="Z91" s="1509">
        <v>0</v>
      </c>
      <c r="AA91" s="1509">
        <v>0</v>
      </c>
      <c r="AB91" s="1509">
        <v>0</v>
      </c>
      <c r="AC91" s="1509">
        <v>0</v>
      </c>
      <c r="AD91" s="1509">
        <v>0</v>
      </c>
      <c r="AE91" s="1509">
        <v>0</v>
      </c>
      <c r="AF91" s="1509">
        <v>0</v>
      </c>
      <c r="AG91" s="1509">
        <v>0</v>
      </c>
      <c r="AH91" s="1509">
        <v>0</v>
      </c>
      <c r="AI91" s="1509">
        <v>0</v>
      </c>
      <c r="AJ91" s="1509">
        <v>0</v>
      </c>
      <c r="AK91" s="1509">
        <v>0</v>
      </c>
      <c r="AL91" s="1509">
        <v>0</v>
      </c>
      <c r="AM91" s="1509">
        <v>0</v>
      </c>
      <c r="AN91" s="1509">
        <v>0</v>
      </c>
      <c r="AO91" s="1509">
        <v>0</v>
      </c>
      <c r="AP91" s="1509">
        <v>0</v>
      </c>
      <c r="AQ91" s="1509">
        <v>0</v>
      </c>
      <c r="AR91" s="1509">
        <v>0</v>
      </c>
      <c r="AS91" s="1509">
        <v>0</v>
      </c>
      <c r="AT91" s="1509">
        <v>0</v>
      </c>
      <c r="AU91" s="1509">
        <v>0</v>
      </c>
      <c r="AV91" s="1509">
        <v>0</v>
      </c>
      <c r="AW91" s="1509">
        <v>0</v>
      </c>
      <c r="AX91" s="1509">
        <v>0</v>
      </c>
      <c r="AY91" s="1509">
        <v>0</v>
      </c>
      <c r="AZ91" s="1509">
        <v>0</v>
      </c>
      <c r="BA91" s="1509">
        <v>0</v>
      </c>
      <c r="BB91" s="1509">
        <v>0</v>
      </c>
      <c r="BC91" s="1509">
        <v>0</v>
      </c>
      <c r="BD91" s="1509">
        <v>0</v>
      </c>
      <c r="BE91" s="1509">
        <v>0</v>
      </c>
      <c r="BF91" s="1509">
        <v>0</v>
      </c>
      <c r="BG91" s="1509">
        <v>0</v>
      </c>
      <c r="BH91" s="1509">
        <v>0</v>
      </c>
      <c r="BI91" s="1509">
        <v>0</v>
      </c>
      <c r="BJ91" s="1509">
        <v>0</v>
      </c>
      <c r="BK91" s="1509">
        <v>0</v>
      </c>
      <c r="BL91" s="1509">
        <v>0</v>
      </c>
      <c r="BM91" s="1509">
        <v>0</v>
      </c>
      <c r="BN91" s="1509">
        <v>0</v>
      </c>
      <c r="BO91" s="1509">
        <v>0</v>
      </c>
      <c r="BP91" s="1509">
        <v>0</v>
      </c>
      <c r="BQ91" s="1509">
        <v>0</v>
      </c>
      <c r="BR91" s="1509">
        <v>0</v>
      </c>
      <c r="BS91" s="1509">
        <v>0</v>
      </c>
      <c r="BT91" s="1509">
        <v>0</v>
      </c>
      <c r="BU91" s="1509">
        <v>0</v>
      </c>
      <c r="BV91" s="1509">
        <v>0</v>
      </c>
      <c r="BW91" s="1509">
        <v>0</v>
      </c>
      <c r="BX91" s="1509">
        <v>0</v>
      </c>
      <c r="BY91" s="1509">
        <v>0</v>
      </c>
      <c r="BZ91" s="1509">
        <v>0</v>
      </c>
      <c r="CA91" s="1509">
        <v>0</v>
      </c>
      <c r="CB91" s="1509">
        <v>0</v>
      </c>
      <c r="CC91" s="1509">
        <v>0</v>
      </c>
      <c r="CD91" s="1509">
        <v>0</v>
      </c>
      <c r="CE91" s="1509">
        <v>0</v>
      </c>
      <c r="CF91" s="1509">
        <v>0</v>
      </c>
      <c r="CG91" s="1509">
        <v>0</v>
      </c>
      <c r="CH91" s="1509">
        <v>0</v>
      </c>
      <c r="CI91" s="1509">
        <v>0</v>
      </c>
      <c r="CJ91" s="1509">
        <v>0</v>
      </c>
      <c r="CK91" s="1509">
        <v>0</v>
      </c>
      <c r="CL91" s="1509">
        <v>0</v>
      </c>
      <c r="CM91" s="1509">
        <v>0</v>
      </c>
      <c r="CN91" s="1509">
        <v>0</v>
      </c>
      <c r="CO91" s="1509">
        <v>0</v>
      </c>
      <c r="CP91" s="1509">
        <v>0</v>
      </c>
      <c r="CQ91" s="1509">
        <v>0</v>
      </c>
      <c r="CR91" s="1509">
        <v>0</v>
      </c>
      <c r="CS91" s="1509">
        <v>0</v>
      </c>
      <c r="CT91" s="1509">
        <v>0</v>
      </c>
      <c r="CU91" s="1509">
        <v>0</v>
      </c>
      <c r="CV91" s="1509">
        <v>0</v>
      </c>
      <c r="CW91" s="1509">
        <v>0</v>
      </c>
      <c r="CX91" s="1509">
        <v>0</v>
      </c>
      <c r="CY91" s="1509">
        <v>0</v>
      </c>
      <c r="CZ91" s="1509">
        <v>0</v>
      </c>
      <c r="DA91" s="1509">
        <v>0</v>
      </c>
      <c r="DB91" s="1509">
        <v>0</v>
      </c>
      <c r="DC91" s="1509">
        <v>0</v>
      </c>
      <c r="DD91" s="1509">
        <v>0</v>
      </c>
      <c r="DE91" s="1509">
        <v>0</v>
      </c>
      <c r="DF91" s="1509">
        <v>0</v>
      </c>
      <c r="DG91" s="1509">
        <v>0</v>
      </c>
      <c r="DH91" s="1509">
        <v>0</v>
      </c>
      <c r="DI91" s="1509">
        <v>0</v>
      </c>
      <c r="DJ91" s="1509">
        <v>0</v>
      </c>
      <c r="DK91" s="1509">
        <v>0</v>
      </c>
      <c r="DL91" s="1509">
        <v>0</v>
      </c>
      <c r="DM91" s="1509">
        <v>0</v>
      </c>
      <c r="DN91" s="1509">
        <v>0</v>
      </c>
      <c r="DO91" s="1509">
        <v>0</v>
      </c>
      <c r="DP91" s="1509">
        <v>0</v>
      </c>
      <c r="DQ91" s="1509">
        <v>0</v>
      </c>
      <c r="DR91" s="1509">
        <v>0</v>
      </c>
      <c r="DS91" s="1509">
        <v>0</v>
      </c>
      <c r="DT91" s="1509">
        <v>0</v>
      </c>
      <c r="DU91" s="1509">
        <v>0</v>
      </c>
      <c r="DV91" s="1509">
        <v>0</v>
      </c>
      <c r="DW91" s="1509">
        <v>0</v>
      </c>
      <c r="DX91" s="1509">
        <v>0</v>
      </c>
      <c r="DY91" s="1509">
        <v>0</v>
      </c>
      <c r="DZ91" s="1509">
        <v>0</v>
      </c>
      <c r="EA91" s="1509">
        <v>0</v>
      </c>
      <c r="EB91" s="1509">
        <v>0</v>
      </c>
      <c r="EC91" s="1509">
        <v>0</v>
      </c>
      <c r="ED91" s="1509">
        <v>0</v>
      </c>
      <c r="EE91" s="1509">
        <v>0</v>
      </c>
      <c r="EF91" s="1509">
        <v>0</v>
      </c>
      <c r="EG91" s="1509">
        <v>0</v>
      </c>
      <c r="EH91" s="1509">
        <v>0</v>
      </c>
      <c r="EI91" s="1509">
        <v>0</v>
      </c>
      <c r="EJ91" s="1509">
        <v>0</v>
      </c>
      <c r="EK91" s="1509">
        <v>0</v>
      </c>
      <c r="EL91" s="1509">
        <v>0</v>
      </c>
      <c r="EM91" s="1509">
        <v>0</v>
      </c>
      <c r="EN91" s="1509">
        <v>0</v>
      </c>
      <c r="EO91" s="1509">
        <v>0</v>
      </c>
      <c r="EP91" s="1509">
        <v>0</v>
      </c>
      <c r="EQ91" s="1509">
        <v>0</v>
      </c>
      <c r="ER91" s="1509">
        <v>0</v>
      </c>
      <c r="ES91" s="1509">
        <v>0</v>
      </c>
      <c r="ET91" s="1509">
        <v>0</v>
      </c>
      <c r="EU91" s="1509">
        <v>0</v>
      </c>
      <c r="EV91" s="1509">
        <v>0</v>
      </c>
      <c r="EW91" s="1509">
        <v>0</v>
      </c>
      <c r="EX91" s="1509">
        <v>0</v>
      </c>
      <c r="EY91" s="1509">
        <v>0</v>
      </c>
      <c r="EZ91" s="1509">
        <v>0</v>
      </c>
      <c r="FA91" s="1509">
        <v>0</v>
      </c>
      <c r="FB91" s="1509">
        <v>0</v>
      </c>
      <c r="FC91" s="1509">
        <v>0</v>
      </c>
      <c r="FD91" s="1509">
        <v>0</v>
      </c>
      <c r="FE91" s="1509">
        <v>0</v>
      </c>
      <c r="FF91" s="1509">
        <v>0</v>
      </c>
      <c r="FG91" s="1509">
        <v>0</v>
      </c>
      <c r="FH91" s="1509">
        <v>0</v>
      </c>
      <c r="FI91" s="1509">
        <v>0</v>
      </c>
      <c r="FJ91" s="1509">
        <v>0</v>
      </c>
      <c r="FK91" s="1509">
        <v>0</v>
      </c>
      <c r="FL91" s="1509">
        <v>0</v>
      </c>
      <c r="FM91" s="1509">
        <v>0</v>
      </c>
      <c r="FN91" s="1509">
        <v>0</v>
      </c>
      <c r="FO91" s="1509">
        <v>0</v>
      </c>
      <c r="FP91" s="1509">
        <v>0</v>
      </c>
      <c r="FQ91" s="1509">
        <v>0</v>
      </c>
      <c r="FR91" s="1509">
        <v>0</v>
      </c>
      <c r="FS91" s="1509">
        <v>0</v>
      </c>
      <c r="FT91" s="1509">
        <v>0</v>
      </c>
      <c r="FU91" s="1509">
        <v>0</v>
      </c>
    </row>
    <row r="92" spans="1:177" s="1509" customFormat="1" x14ac:dyDescent="0.2">
      <c r="A92" s="1512" t="s">
        <v>667</v>
      </c>
      <c r="B92" s="1512" t="s">
        <v>1261</v>
      </c>
      <c r="C92" s="1509">
        <v>0.97468901600000002</v>
      </c>
      <c r="D92" s="1509">
        <v>0.97468901600000002</v>
      </c>
      <c r="E92" s="1509">
        <v>0.97468901600000002</v>
      </c>
      <c r="F92" s="1509">
        <v>0.94296391700000004</v>
      </c>
      <c r="G92" s="1509">
        <v>0.97468901600000002</v>
      </c>
      <c r="H92" s="1509">
        <v>0.97468901600000002</v>
      </c>
      <c r="I92" s="1509">
        <v>0.97468901600000002</v>
      </c>
      <c r="J92" s="1509">
        <v>0.97468901600000002</v>
      </c>
      <c r="K92" s="1509">
        <v>0.97468901600000002</v>
      </c>
      <c r="L92" s="1509">
        <v>0.99886339099999999</v>
      </c>
      <c r="M92" s="1509">
        <v>0.99886339099999999</v>
      </c>
      <c r="N92" s="1509">
        <v>0.97468901600000002</v>
      </c>
      <c r="O92" s="1509">
        <v>0.97468901600000002</v>
      </c>
      <c r="P92" s="1509">
        <v>0.99886339099999999</v>
      </c>
      <c r="Q92" s="1509">
        <v>0.98968318499999997</v>
      </c>
      <c r="R92" s="1509">
        <v>0.55454186000000005</v>
      </c>
      <c r="S92" s="1509">
        <v>0.29541406100000001</v>
      </c>
      <c r="T92" s="1509">
        <v>0.29541406100000001</v>
      </c>
      <c r="U92" s="1509">
        <v>0.97468901600000002</v>
      </c>
      <c r="V92" s="1509">
        <v>0.97468901600000002</v>
      </c>
      <c r="W92" s="1509">
        <v>0.97468901600000002</v>
      </c>
      <c r="X92" s="1509">
        <v>0.29541406100000001</v>
      </c>
      <c r="Y92" s="1509">
        <v>0.29541406100000001</v>
      </c>
      <c r="Z92" s="1509">
        <v>0.29541406100000001</v>
      </c>
      <c r="AA92" s="1509">
        <v>0.99886339099999999</v>
      </c>
      <c r="AB92" s="1509">
        <v>0.99886339099999999</v>
      </c>
      <c r="AC92" s="1509">
        <v>0.99886339099999999</v>
      </c>
      <c r="AD92" s="1509">
        <v>0.99886339099999999</v>
      </c>
      <c r="AE92" s="1509">
        <v>0.55454186000000005</v>
      </c>
      <c r="AF92" s="1509">
        <v>0.97468901600000002</v>
      </c>
      <c r="AG92" s="1509">
        <v>0.99994037499999999</v>
      </c>
      <c r="AH92" s="1509">
        <v>0.97468901600000002</v>
      </c>
      <c r="AI92" s="1509">
        <v>0.97468901600000002</v>
      </c>
      <c r="AJ92" s="1509">
        <v>0.97468901600000002</v>
      </c>
      <c r="AK92" s="1509">
        <v>0.55454186000000005</v>
      </c>
      <c r="AL92" s="1509">
        <v>0.98968318499999997</v>
      </c>
      <c r="AM92" s="1509">
        <v>0.98968318499999997</v>
      </c>
      <c r="AN92" s="1509">
        <v>0.98968318499999997</v>
      </c>
      <c r="AO92" s="1509">
        <v>0.85631988400000003</v>
      </c>
      <c r="AP92" s="1509">
        <v>0.69323157999999996</v>
      </c>
      <c r="AQ92" s="1509">
        <v>0.99886339099999999</v>
      </c>
      <c r="AR92" s="1509">
        <v>1</v>
      </c>
      <c r="AS92" s="1509">
        <v>1</v>
      </c>
      <c r="AT92" s="1509">
        <v>1</v>
      </c>
      <c r="AU92" s="1509">
        <v>0.72459913600000003</v>
      </c>
      <c r="AV92" s="1509">
        <v>0.29541406100000001</v>
      </c>
      <c r="AW92" s="1509">
        <v>0.29541406100000001</v>
      </c>
      <c r="AX92" s="1509">
        <v>0.45258943299999999</v>
      </c>
      <c r="AY92" s="1509">
        <v>0.99264689699999997</v>
      </c>
      <c r="AZ92" s="1509">
        <v>0.94296391700000004</v>
      </c>
      <c r="BA92" s="1509">
        <v>0.94296391700000004</v>
      </c>
      <c r="BB92" s="1509">
        <v>0.94296391700000004</v>
      </c>
      <c r="BC92" s="1509">
        <v>1</v>
      </c>
      <c r="BD92" s="1509">
        <v>1</v>
      </c>
      <c r="BE92" s="1509">
        <v>0.98593984700000004</v>
      </c>
      <c r="BF92" s="1509">
        <v>1</v>
      </c>
      <c r="BG92" s="1509">
        <v>0.74616620700000003</v>
      </c>
      <c r="BH92" s="1509">
        <v>0.97468901600000002</v>
      </c>
      <c r="BI92" s="1509">
        <v>0.97468901600000002</v>
      </c>
      <c r="BJ92" s="1509">
        <v>0.97468901600000002</v>
      </c>
      <c r="BK92" s="1509">
        <v>0.97468901600000002</v>
      </c>
      <c r="BL92" s="1509">
        <v>0.97468901600000002</v>
      </c>
      <c r="BM92" s="1509">
        <v>0.98968318499999997</v>
      </c>
      <c r="BN92" s="1509">
        <v>0.97468901600000002</v>
      </c>
      <c r="BO92" s="1509">
        <v>0.97468901600000002</v>
      </c>
      <c r="BP92" s="1509">
        <v>0.97468901600000002</v>
      </c>
      <c r="BQ92" s="1509">
        <v>0.97468901600000002</v>
      </c>
      <c r="BR92" s="1509">
        <v>0.97468901600000002</v>
      </c>
      <c r="BS92" s="1509">
        <v>0.97468901600000002</v>
      </c>
      <c r="BT92" s="1509">
        <v>0.94296391700000004</v>
      </c>
      <c r="BU92" s="1509">
        <v>0.94296391700000004</v>
      </c>
      <c r="BV92" s="1509">
        <v>0.94296391700000004</v>
      </c>
      <c r="BW92" s="1509">
        <v>0.70780213800000003</v>
      </c>
      <c r="BX92" s="1509">
        <v>1</v>
      </c>
      <c r="BY92" s="1509">
        <v>1</v>
      </c>
      <c r="BZ92" s="1509">
        <v>1</v>
      </c>
      <c r="CA92" s="1509">
        <v>0.98968318499999997</v>
      </c>
      <c r="CB92" s="1509">
        <v>0.55454186000000005</v>
      </c>
      <c r="CC92" s="1509">
        <v>0.70780213800000003</v>
      </c>
      <c r="CD92" s="1509">
        <v>0.55454186000000005</v>
      </c>
      <c r="CE92" s="1509">
        <v>0.70780213800000003</v>
      </c>
      <c r="CF92" s="1509">
        <v>0.98968318499999997</v>
      </c>
      <c r="CG92" s="1509">
        <v>0.97468901600000002</v>
      </c>
      <c r="CH92" s="1509">
        <v>0.99994037499999999</v>
      </c>
      <c r="CI92" s="1509">
        <v>0.97468901600000002</v>
      </c>
      <c r="CJ92" s="1509">
        <v>0.94296391700000004</v>
      </c>
      <c r="CK92" s="1509">
        <v>0.94296391700000004</v>
      </c>
      <c r="CL92" s="1509">
        <v>0.94296391700000004</v>
      </c>
      <c r="CM92" s="1509">
        <v>2.037461E-3</v>
      </c>
      <c r="CN92" s="1509">
        <v>0.98968318499999997</v>
      </c>
      <c r="CO92" s="1509">
        <v>0.98968318499999997</v>
      </c>
      <c r="CP92" s="1509">
        <v>0.98968318499999997</v>
      </c>
      <c r="CQ92" s="1509">
        <v>0.99886339099999999</v>
      </c>
      <c r="CR92" s="1509">
        <v>0.97468901600000002</v>
      </c>
      <c r="CS92" s="1509">
        <v>0.97468901600000002</v>
      </c>
      <c r="CT92" s="1509">
        <v>0.97468901600000002</v>
      </c>
      <c r="CU92" s="1509">
        <v>0.97468901600000002</v>
      </c>
      <c r="CV92" s="1509">
        <v>0.94296391700000004</v>
      </c>
      <c r="CW92" s="1509">
        <v>0.94296391700000004</v>
      </c>
      <c r="CX92" s="1509">
        <v>0.94296391700000004</v>
      </c>
      <c r="CY92" s="1509">
        <v>0.94296391700000004</v>
      </c>
      <c r="CZ92" s="1509">
        <v>0.45258943299999999</v>
      </c>
      <c r="DA92" s="1509">
        <v>1</v>
      </c>
      <c r="DB92" s="1509">
        <v>1</v>
      </c>
      <c r="DC92" s="1509">
        <v>0.60168875700000002</v>
      </c>
      <c r="DD92" s="1509">
        <v>0.60168875700000002</v>
      </c>
      <c r="DE92" s="1509">
        <v>0.33134042800000002</v>
      </c>
      <c r="DF92" s="1509">
        <v>0.33134042800000002</v>
      </c>
      <c r="DG92" s="1509">
        <v>0.60168875700000002</v>
      </c>
      <c r="DH92" s="1509">
        <v>0.60168875700000002</v>
      </c>
      <c r="DI92" s="1509">
        <v>0.60168875700000002</v>
      </c>
      <c r="DJ92" s="1509">
        <v>1</v>
      </c>
      <c r="DK92" s="1509">
        <v>0.68505661699999998</v>
      </c>
      <c r="DL92" s="1509">
        <v>0.70780213800000003</v>
      </c>
      <c r="DM92" s="1509">
        <v>0.98968318499999997</v>
      </c>
      <c r="DN92" s="1509">
        <v>0.98777687999999997</v>
      </c>
      <c r="DO92" s="1509">
        <v>0.99697840299999996</v>
      </c>
      <c r="DP92" s="1509">
        <v>3.7116746999999999E-2</v>
      </c>
      <c r="DQ92" s="1509">
        <v>1</v>
      </c>
      <c r="DR92" s="1509">
        <v>1</v>
      </c>
      <c r="DS92" s="1509">
        <v>0.68505661699999998</v>
      </c>
      <c r="DT92" s="1509">
        <v>1</v>
      </c>
      <c r="DU92" s="1509">
        <v>0.29541406100000001</v>
      </c>
      <c r="DV92" s="1509">
        <v>0.99886339099999999</v>
      </c>
      <c r="DW92" s="1509">
        <v>0.85631988400000003</v>
      </c>
      <c r="DX92" s="1509">
        <v>1</v>
      </c>
      <c r="DY92" s="1509">
        <v>0.94296391700000004</v>
      </c>
      <c r="DZ92" s="1509">
        <v>1</v>
      </c>
      <c r="EA92" s="1509">
        <v>0.94296391700000004</v>
      </c>
      <c r="EB92" s="1509">
        <v>0.99886339099999999</v>
      </c>
      <c r="EC92" s="1509">
        <v>0.97468901600000002</v>
      </c>
      <c r="ED92" s="1509">
        <v>0.97468901600000002</v>
      </c>
      <c r="EE92" s="1509">
        <v>0.70780213800000003</v>
      </c>
      <c r="EF92" s="1509">
        <v>0.99264689699999997</v>
      </c>
      <c r="EG92" s="1509">
        <v>0.68505661699999998</v>
      </c>
      <c r="EH92" s="1509">
        <v>0.94296391700000004</v>
      </c>
      <c r="EI92" s="1509">
        <v>0.70780213800000003</v>
      </c>
      <c r="EJ92" s="1509">
        <v>0.98968318499999997</v>
      </c>
      <c r="EK92" s="1509">
        <v>0.99994037499999999</v>
      </c>
      <c r="EL92" s="1509">
        <v>0.60168875700000002</v>
      </c>
      <c r="EM92" s="1509">
        <v>1</v>
      </c>
      <c r="EN92" s="1509">
        <v>0.60168875700000002</v>
      </c>
      <c r="EO92" s="1509">
        <v>0.33134042800000002</v>
      </c>
      <c r="EP92" s="1509">
        <v>3.7116746999999999E-2</v>
      </c>
      <c r="EQ92" s="1509">
        <v>0</v>
      </c>
      <c r="ER92" s="1509">
        <v>1</v>
      </c>
      <c r="ES92" s="1509">
        <v>0.99697840299999996</v>
      </c>
      <c r="ET92" s="1509">
        <v>0.98968318499999997</v>
      </c>
      <c r="EU92" s="1509">
        <v>1</v>
      </c>
      <c r="EV92" s="1509">
        <v>0.99886339099999999</v>
      </c>
      <c r="EW92" s="1509">
        <v>0.85631988400000003</v>
      </c>
      <c r="EX92" s="1509">
        <v>0.99264689699999997</v>
      </c>
      <c r="EY92" s="1509">
        <v>0.94296391700000004</v>
      </c>
      <c r="EZ92" s="1509">
        <v>1</v>
      </c>
      <c r="FA92" s="1509">
        <v>0.55454186000000005</v>
      </c>
      <c r="FB92" s="1509">
        <v>0.69323157999999996</v>
      </c>
      <c r="FC92" s="1509">
        <v>0.94296391700000004</v>
      </c>
      <c r="FD92" s="1509">
        <v>0.94296391700000004</v>
      </c>
      <c r="FE92" s="1509">
        <v>0.99697840299999996</v>
      </c>
      <c r="FF92" s="1509">
        <v>0.85631988400000003</v>
      </c>
      <c r="FG92" s="1509">
        <v>0.114368234</v>
      </c>
      <c r="FH92" s="1509">
        <v>2.037461E-3</v>
      </c>
      <c r="FI92" s="1509">
        <v>0.69323157999999996</v>
      </c>
      <c r="FJ92" s="1509">
        <v>0.94296391700000004</v>
      </c>
      <c r="FK92" s="1509">
        <v>0.45258943299999999</v>
      </c>
      <c r="FL92" s="1509">
        <v>1</v>
      </c>
      <c r="FM92" s="1509">
        <v>0.97468901600000002</v>
      </c>
      <c r="FN92" s="1509">
        <v>0.97468901600000002</v>
      </c>
      <c r="FO92" s="1509">
        <v>1</v>
      </c>
      <c r="FP92" s="1509">
        <v>0.69323157999999996</v>
      </c>
      <c r="FQ92" s="1509">
        <v>1</v>
      </c>
      <c r="FR92" s="1509">
        <v>0.254925919</v>
      </c>
      <c r="FS92" s="1509">
        <v>0.85631988400000003</v>
      </c>
      <c r="FT92" s="1509">
        <v>0.60168875700000002</v>
      </c>
      <c r="FU92" s="1509">
        <v>0.97468901600000002</v>
      </c>
    </row>
    <row r="93" spans="1:177" s="1509" customFormat="1" x14ac:dyDescent="0.2">
      <c r="A93" s="1512" t="s">
        <v>667</v>
      </c>
      <c r="B93" s="1512" t="s">
        <v>1060</v>
      </c>
      <c r="C93" s="1509">
        <v>0.99901245400000005</v>
      </c>
      <c r="D93" s="1509">
        <v>0.99901245400000005</v>
      </c>
      <c r="E93" s="1509">
        <v>0.96312914100000002</v>
      </c>
      <c r="F93" s="1509">
        <v>0.95428527399999996</v>
      </c>
      <c r="G93" s="1509">
        <v>0.96312914100000002</v>
      </c>
      <c r="H93" s="1509">
        <v>0.96312914100000002</v>
      </c>
      <c r="I93" s="1509">
        <v>0.99901245400000005</v>
      </c>
      <c r="J93" s="1509">
        <v>0.99901245400000005</v>
      </c>
      <c r="K93" s="1509">
        <v>0.99901245400000005</v>
      </c>
      <c r="L93" s="1509">
        <v>0.99901245400000005</v>
      </c>
      <c r="M93" s="1509">
        <v>0.99901245400000005</v>
      </c>
      <c r="N93" s="1509">
        <v>0.99901245400000005</v>
      </c>
      <c r="O93" s="1509">
        <v>0.99901245400000005</v>
      </c>
      <c r="P93" s="1509">
        <v>0.99901245400000005</v>
      </c>
      <c r="Q93" s="1509">
        <v>0.90511215700000003</v>
      </c>
      <c r="R93" s="1509">
        <v>0.98352890299999995</v>
      </c>
      <c r="S93" s="1509">
        <v>0.96312914100000002</v>
      </c>
      <c r="T93" s="1509">
        <v>0.99901245400000005</v>
      </c>
      <c r="U93" s="1509">
        <v>0.99901245400000005</v>
      </c>
      <c r="V93" s="1509">
        <v>0.99901245400000005</v>
      </c>
      <c r="W93" s="1509">
        <v>0.99901245400000005</v>
      </c>
      <c r="X93" s="1509">
        <v>0.96312914100000002</v>
      </c>
      <c r="Y93" s="1509">
        <v>0.96312914100000002</v>
      </c>
      <c r="Z93" s="1509">
        <v>0.96312914100000002</v>
      </c>
      <c r="AA93" s="1509">
        <v>0.99901245400000005</v>
      </c>
      <c r="AB93" s="1509">
        <v>0.99901245400000005</v>
      </c>
      <c r="AC93" s="1509">
        <v>0.96312914100000002</v>
      </c>
      <c r="AD93" s="1509">
        <v>0.99901245400000005</v>
      </c>
      <c r="AE93" s="1509">
        <v>0.98352890299999995</v>
      </c>
      <c r="AF93" s="1509">
        <v>0.99901245400000005</v>
      </c>
      <c r="AG93" s="1509">
        <v>0.99901245400000005</v>
      </c>
      <c r="AH93" s="1509">
        <v>0.99901245400000005</v>
      </c>
      <c r="AI93" s="1509">
        <v>0.96312914100000002</v>
      </c>
      <c r="AJ93" s="1509">
        <v>0.99901245400000005</v>
      </c>
      <c r="AK93" s="1509">
        <v>0.98352890299999995</v>
      </c>
      <c r="AL93" s="1509">
        <v>0.98352890299999995</v>
      </c>
      <c r="AM93" s="1509">
        <v>0.98352890299999995</v>
      </c>
      <c r="AN93" s="1509">
        <v>0.90511215700000003</v>
      </c>
      <c r="AO93" s="1509">
        <v>0.983312784</v>
      </c>
      <c r="AP93" s="1509">
        <v>0.92096424499999996</v>
      </c>
      <c r="AQ93" s="1509">
        <v>0.96312914100000002</v>
      </c>
      <c r="AR93" s="1509">
        <v>1</v>
      </c>
      <c r="AS93" s="1509">
        <v>1</v>
      </c>
      <c r="AT93" s="1509">
        <v>1</v>
      </c>
      <c r="AU93" s="1509">
        <v>0.99015327399999997</v>
      </c>
      <c r="AV93" s="1509">
        <v>0.99901245400000005</v>
      </c>
      <c r="AW93" s="1509">
        <v>0.99901245400000005</v>
      </c>
      <c r="AX93" s="1509">
        <v>0.92204117500000005</v>
      </c>
      <c r="AY93" s="1509">
        <v>0.99649406699999998</v>
      </c>
      <c r="AZ93" s="1509">
        <v>0.99649406699999998</v>
      </c>
      <c r="BA93" s="1509">
        <v>0.99649406699999998</v>
      </c>
      <c r="BB93" s="1509">
        <v>0.99649406699999998</v>
      </c>
      <c r="BC93" s="1509">
        <v>0.99015327399999997</v>
      </c>
      <c r="BD93" s="1509">
        <v>1</v>
      </c>
      <c r="BE93" s="1509">
        <v>0.99952841699999995</v>
      </c>
      <c r="BF93" s="1509">
        <v>0.99015327399999997</v>
      </c>
      <c r="BG93" s="1509">
        <v>0.99524924000000003</v>
      </c>
      <c r="BH93" s="1509">
        <v>0.99901245400000005</v>
      </c>
      <c r="BI93" s="1509">
        <v>0.99901245400000005</v>
      </c>
      <c r="BJ93" s="1509">
        <v>0.99901245400000005</v>
      </c>
      <c r="BK93" s="1509">
        <v>0.99901245400000005</v>
      </c>
      <c r="BL93" s="1509">
        <v>0.96312914100000002</v>
      </c>
      <c r="BM93" s="1509">
        <v>0.90511215700000003</v>
      </c>
      <c r="BN93" s="1509">
        <v>0.99901245400000005</v>
      </c>
      <c r="BO93" s="1509">
        <v>0.99901245400000005</v>
      </c>
      <c r="BP93" s="1509">
        <v>0.99901245400000005</v>
      </c>
      <c r="BQ93" s="1509">
        <v>0.99901245400000005</v>
      </c>
      <c r="BR93" s="1509">
        <v>0.96312914100000002</v>
      </c>
      <c r="BS93" s="1509">
        <v>0.96312914100000002</v>
      </c>
      <c r="BT93" s="1509">
        <v>0.99649406699999998</v>
      </c>
      <c r="BU93" s="1509">
        <v>0.99649406699999998</v>
      </c>
      <c r="BV93" s="1509">
        <v>0.99649406699999998</v>
      </c>
      <c r="BW93" s="1509">
        <v>0.90511215700000003</v>
      </c>
      <c r="BX93" s="1509">
        <v>0.92204117500000005</v>
      </c>
      <c r="BY93" s="1509">
        <v>0.76944464199999996</v>
      </c>
      <c r="BZ93" s="1509">
        <v>0.76944464199999996</v>
      </c>
      <c r="CA93" s="1509">
        <v>0.90511215700000003</v>
      </c>
      <c r="CB93" s="1509">
        <v>0.90511215700000003</v>
      </c>
      <c r="CC93" s="1509">
        <v>0.98352890299999995</v>
      </c>
      <c r="CD93" s="1509">
        <v>0.98352890299999995</v>
      </c>
      <c r="CE93" s="1509">
        <v>0.98352890299999995</v>
      </c>
      <c r="CF93" s="1509">
        <v>0.90511215700000003</v>
      </c>
      <c r="CG93" s="1509">
        <v>0.99901245400000005</v>
      </c>
      <c r="CH93" s="1509">
        <v>0.99901245400000005</v>
      </c>
      <c r="CI93" s="1509">
        <v>0.99901245400000005</v>
      </c>
      <c r="CJ93" s="1509">
        <v>0.99649406699999998</v>
      </c>
      <c r="CK93" s="1509">
        <v>0.95428527399999996</v>
      </c>
      <c r="CL93" s="1509">
        <v>0.95428527399999996</v>
      </c>
      <c r="CM93" s="1509">
        <v>0.76944464199999996</v>
      </c>
      <c r="CN93" s="1509">
        <v>0.98352890299999995</v>
      </c>
      <c r="CO93" s="1509">
        <v>0.90511215700000003</v>
      </c>
      <c r="CP93" s="1509">
        <v>0.90511215700000003</v>
      </c>
      <c r="CQ93" s="1509">
        <v>0.99901245400000005</v>
      </c>
      <c r="CR93" s="1509">
        <v>0.99901245400000005</v>
      </c>
      <c r="CS93" s="1509">
        <v>0.99901245400000005</v>
      </c>
      <c r="CT93" s="1509">
        <v>0.99901245400000005</v>
      </c>
      <c r="CU93" s="1509">
        <v>0.96312914100000002</v>
      </c>
      <c r="CV93" s="1509">
        <v>0.95428527399999996</v>
      </c>
      <c r="CW93" s="1509">
        <v>0.95428527399999996</v>
      </c>
      <c r="CX93" s="1509">
        <v>0.95428527399999996</v>
      </c>
      <c r="CY93" s="1509">
        <v>0.99649406699999998</v>
      </c>
      <c r="CZ93" s="1509">
        <v>0.92204117500000005</v>
      </c>
      <c r="DA93" s="1509">
        <v>0.92204117500000005</v>
      </c>
      <c r="DB93" s="1509">
        <v>0.94554769599999999</v>
      </c>
      <c r="DC93" s="1509">
        <v>0.94554769599999999</v>
      </c>
      <c r="DD93" s="1509">
        <v>0.94554769599999999</v>
      </c>
      <c r="DE93" s="1509">
        <v>0.79607980199999995</v>
      </c>
      <c r="DF93" s="1509">
        <v>0.94554769599999999</v>
      </c>
      <c r="DG93" s="1509">
        <v>0.94554769599999999</v>
      </c>
      <c r="DH93" s="1509">
        <v>0.79607980199999995</v>
      </c>
      <c r="DI93" s="1509">
        <v>0.94554769599999999</v>
      </c>
      <c r="DJ93" s="1509">
        <v>0.92204117500000005</v>
      </c>
      <c r="DK93" s="1509">
        <v>0.92204117500000005</v>
      </c>
      <c r="DL93" s="1509">
        <v>0.90511215700000003</v>
      </c>
      <c r="DM93" s="1509">
        <v>0.90511215700000003</v>
      </c>
      <c r="DN93" s="1509">
        <v>0.92096424499999996</v>
      </c>
      <c r="DO93" s="1509">
        <v>0.99649406699999998</v>
      </c>
      <c r="DP93" s="1509">
        <v>0.92204117500000005</v>
      </c>
      <c r="DQ93" s="1509">
        <v>0.92204117500000005</v>
      </c>
      <c r="DR93" s="1509">
        <v>0.92204117500000005</v>
      </c>
      <c r="DS93" s="1509">
        <v>0.92204117500000005</v>
      </c>
      <c r="DT93" s="1509">
        <v>0.92204117500000005</v>
      </c>
      <c r="DU93" s="1509">
        <v>0.99901245400000005</v>
      </c>
      <c r="DV93" s="1509">
        <v>0.96312914100000002</v>
      </c>
      <c r="DW93" s="1509">
        <v>0.92096424499999996</v>
      </c>
      <c r="DX93" s="1509">
        <v>1</v>
      </c>
      <c r="DY93" s="1509">
        <v>0.99649406699999998</v>
      </c>
      <c r="DZ93" s="1509">
        <v>0.99015327399999997</v>
      </c>
      <c r="EA93" s="1509">
        <v>0.95428527399999996</v>
      </c>
      <c r="EB93" s="1509">
        <v>0.96312914100000002</v>
      </c>
      <c r="EC93" s="1509">
        <v>0.96312914100000002</v>
      </c>
      <c r="ED93" s="1509">
        <v>0.99901245400000005</v>
      </c>
      <c r="EE93" s="1509">
        <v>0.90511215700000003</v>
      </c>
      <c r="EF93" s="1509">
        <v>0.95428527399999996</v>
      </c>
      <c r="EG93" s="1509">
        <v>0.76944464199999996</v>
      </c>
      <c r="EH93" s="1509">
        <v>0.99649406699999998</v>
      </c>
      <c r="EI93" s="1509">
        <v>0.90511215700000003</v>
      </c>
      <c r="EJ93" s="1509">
        <v>0.90511215700000003</v>
      </c>
      <c r="EK93" s="1509">
        <v>0.96312914100000002</v>
      </c>
      <c r="EL93" s="1509">
        <v>0.94554769599999999</v>
      </c>
      <c r="EM93" s="1509">
        <v>0.79607980199999995</v>
      </c>
      <c r="EN93" s="1509">
        <v>0.94554769599999999</v>
      </c>
      <c r="EO93" s="1509">
        <v>0.79607980199999995</v>
      </c>
      <c r="EP93" s="1509">
        <v>0.76944464199999996</v>
      </c>
      <c r="EQ93" s="1509">
        <v>0.90511215700000003</v>
      </c>
      <c r="ER93" s="1509">
        <v>0.99649406699999998</v>
      </c>
      <c r="ES93" s="1509">
        <v>0.99649406699999998</v>
      </c>
      <c r="ET93" s="1509">
        <v>0</v>
      </c>
      <c r="EU93" s="1509">
        <v>0.76944464199999996</v>
      </c>
      <c r="EV93" s="1509">
        <v>0.99901245400000005</v>
      </c>
      <c r="EW93" s="1509">
        <v>0.92096424499999996</v>
      </c>
      <c r="EX93" s="1509">
        <v>0.95428527399999996</v>
      </c>
      <c r="EY93" s="1509">
        <v>0.99649406699999998</v>
      </c>
      <c r="EZ93" s="1509">
        <v>0.76944464199999996</v>
      </c>
      <c r="FA93" s="1509">
        <v>0.98352890299999995</v>
      </c>
      <c r="FB93" s="1509">
        <v>0.983312784</v>
      </c>
      <c r="FC93" s="1509">
        <v>0.95428527399999996</v>
      </c>
      <c r="FD93" s="1509">
        <v>0.95428527399999996</v>
      </c>
      <c r="FE93" s="1509">
        <v>0.99649406699999998</v>
      </c>
      <c r="FF93" s="1509">
        <v>0.92096424499999996</v>
      </c>
      <c r="FG93" s="1509">
        <v>0</v>
      </c>
      <c r="FH93" s="1509">
        <v>0</v>
      </c>
      <c r="FI93" s="1509">
        <v>0.92096424499999996</v>
      </c>
      <c r="FJ93" s="1509">
        <v>0.99649406699999998</v>
      </c>
      <c r="FK93" s="1509">
        <v>0.92204117500000005</v>
      </c>
      <c r="FL93" s="1509">
        <v>0.79607980199999995</v>
      </c>
      <c r="FM93" s="1509">
        <v>0.99901245400000005</v>
      </c>
      <c r="FN93" s="1509">
        <v>0.99901245400000005</v>
      </c>
      <c r="FO93" s="1509">
        <v>0.76944464199999996</v>
      </c>
      <c r="FP93" s="1509">
        <v>0.92096424499999996</v>
      </c>
      <c r="FQ93" s="1509">
        <v>0.76944464199999996</v>
      </c>
      <c r="FR93" s="1509">
        <v>0.95428527399999996</v>
      </c>
      <c r="FS93" s="1509">
        <v>0.983312784</v>
      </c>
      <c r="FT93" s="1509">
        <v>0.79607980199999995</v>
      </c>
      <c r="FU93" s="1509">
        <v>0.99901245400000005</v>
      </c>
    </row>
    <row r="94" spans="1:177" s="1509" customFormat="1" x14ac:dyDescent="0.2">
      <c r="A94" s="1512" t="s">
        <v>667</v>
      </c>
      <c r="B94" s="1512" t="s">
        <v>1078</v>
      </c>
      <c r="C94" s="1509">
        <v>6.3229014E-2</v>
      </c>
      <c r="D94" s="1509">
        <v>0.12803437400000001</v>
      </c>
      <c r="E94" s="1509">
        <v>0.47024692400000001</v>
      </c>
      <c r="F94" s="1509">
        <v>0.516913238</v>
      </c>
      <c r="G94" s="1509">
        <v>0.55080457000000005</v>
      </c>
      <c r="H94" s="1509">
        <v>0.55080457000000005</v>
      </c>
      <c r="I94" s="1509">
        <v>1.7678932000000001E-2</v>
      </c>
      <c r="J94" s="1509">
        <v>1.7678932000000001E-2</v>
      </c>
      <c r="K94" s="1509">
        <v>6.3229014E-2</v>
      </c>
      <c r="L94" s="1509">
        <v>6.3229014E-2</v>
      </c>
      <c r="M94" s="1509">
        <v>6.3229014E-2</v>
      </c>
      <c r="N94" s="1509">
        <v>1.7678932000000001E-2</v>
      </c>
      <c r="O94" s="1509">
        <v>1.7678932000000001E-2</v>
      </c>
      <c r="P94" s="1509">
        <v>6.3229014E-2</v>
      </c>
      <c r="Q94" s="1509">
        <v>0.26353755600000001</v>
      </c>
      <c r="R94" s="1509">
        <v>0.26353755600000001</v>
      </c>
      <c r="S94" s="1509">
        <v>0.39371399200000001</v>
      </c>
      <c r="T94" s="1509">
        <v>2.8612740000000001E-2</v>
      </c>
      <c r="U94" s="1509">
        <v>0.25465264500000001</v>
      </c>
      <c r="V94" s="1509">
        <v>0.21642530800000001</v>
      </c>
      <c r="W94" s="1509">
        <v>0.21642530800000001</v>
      </c>
      <c r="X94" s="1509">
        <v>0.21642530800000001</v>
      </c>
      <c r="Y94" s="1509">
        <v>0.29699786099999997</v>
      </c>
      <c r="Z94" s="1509">
        <v>0.67109136800000002</v>
      </c>
      <c r="AA94" s="1509">
        <v>9.484911E-2</v>
      </c>
      <c r="AB94" s="1509">
        <v>4.1529093000000003E-2</v>
      </c>
      <c r="AC94" s="1509">
        <v>4.1529093000000003E-2</v>
      </c>
      <c r="AD94" s="1509">
        <v>4.1529093000000003E-2</v>
      </c>
      <c r="AE94" s="1509">
        <v>0.62006818200000002</v>
      </c>
      <c r="AF94" s="1509">
        <v>4.1529093000000003E-2</v>
      </c>
      <c r="AG94" s="1509">
        <v>4.1529093000000003E-2</v>
      </c>
      <c r="AH94" s="1509">
        <v>0.114134202</v>
      </c>
      <c r="AI94" s="1509">
        <v>0.114134202</v>
      </c>
      <c r="AJ94" s="1509">
        <v>8.6818313999999994E-2</v>
      </c>
      <c r="AK94" s="1509">
        <v>0.32746003400000001</v>
      </c>
      <c r="AL94" s="1509">
        <v>0.13201494899999999</v>
      </c>
      <c r="AM94" s="1509">
        <v>9.6424547999999999E-2</v>
      </c>
      <c r="AN94" s="1509">
        <v>0.26353755600000001</v>
      </c>
      <c r="AO94" s="1509">
        <v>0.27464818699999999</v>
      </c>
      <c r="AP94" s="1509">
        <v>0.647612772</v>
      </c>
      <c r="AQ94" s="1509">
        <v>2.284398E-3</v>
      </c>
      <c r="AR94" s="1509">
        <v>8.6806463E-2</v>
      </c>
      <c r="AS94" s="1509">
        <v>7.227082E-2</v>
      </c>
      <c r="AT94" s="1509">
        <v>8.6806463E-2</v>
      </c>
      <c r="AU94" s="1509">
        <v>7.8443279000000005E-2</v>
      </c>
      <c r="AV94" s="1509">
        <v>5.3293931000000003E-2</v>
      </c>
      <c r="AW94" s="1509">
        <v>2.3648926000000001E-2</v>
      </c>
      <c r="AX94" s="1509">
        <v>0.65177991099999999</v>
      </c>
      <c r="AY94" s="1509">
        <v>0.862294432</v>
      </c>
      <c r="AZ94" s="1509">
        <v>0.862294432</v>
      </c>
      <c r="BA94" s="1509">
        <v>0.81339299499999995</v>
      </c>
      <c r="BB94" s="1509">
        <v>0.97395592499999994</v>
      </c>
      <c r="BC94" s="1509">
        <v>0.13134349000000001</v>
      </c>
      <c r="BD94" s="1509">
        <v>0.13134349000000001</v>
      </c>
      <c r="BE94" s="1509">
        <v>0.59716351700000003</v>
      </c>
      <c r="BF94" s="1509">
        <v>0.13134349000000001</v>
      </c>
      <c r="BG94" s="1509">
        <v>0.55884305000000001</v>
      </c>
      <c r="BH94" s="1509">
        <v>0.158502955</v>
      </c>
      <c r="BI94" s="1509">
        <v>0.173856497</v>
      </c>
      <c r="BJ94" s="1509">
        <v>0.29699786099999997</v>
      </c>
      <c r="BK94" s="1509">
        <v>0.158502955</v>
      </c>
      <c r="BL94" s="1509">
        <v>0.85182714599999998</v>
      </c>
      <c r="BM94" s="1509">
        <v>0.26353755600000001</v>
      </c>
      <c r="BN94" s="1509">
        <v>0.63893091700000004</v>
      </c>
      <c r="BO94" s="1509">
        <v>0.91489964300000004</v>
      </c>
      <c r="BP94" s="1509">
        <v>0.85182714599999998</v>
      </c>
      <c r="BQ94" s="1509">
        <v>0.77798108399999999</v>
      </c>
      <c r="BR94" s="1509">
        <v>0.71288132299999996</v>
      </c>
      <c r="BS94" s="1509">
        <v>0.63893091700000004</v>
      </c>
      <c r="BT94" s="1509">
        <v>0.28427228500000001</v>
      </c>
      <c r="BU94" s="1509">
        <v>0.65699095200000002</v>
      </c>
      <c r="BV94" s="1509">
        <v>0.65699095200000002</v>
      </c>
      <c r="BW94" s="1509">
        <v>0.35800765400000001</v>
      </c>
      <c r="BX94" s="1509">
        <v>0.70491230199999999</v>
      </c>
      <c r="BY94" s="1509">
        <v>0.70491230199999999</v>
      </c>
      <c r="BZ94" s="1509">
        <v>0.70491230199999999</v>
      </c>
      <c r="CA94" s="1509">
        <v>0.82325647300000004</v>
      </c>
      <c r="CB94" s="1509">
        <v>0.32746003400000001</v>
      </c>
      <c r="CC94" s="1509">
        <v>0.35800765400000001</v>
      </c>
      <c r="CD94" s="1509">
        <v>0.80107121800000003</v>
      </c>
      <c r="CE94" s="1509">
        <v>0.84500160400000002</v>
      </c>
      <c r="CF94" s="1509">
        <v>0.90012905300000001</v>
      </c>
      <c r="CG94" s="1509">
        <v>4.6541354E-2</v>
      </c>
      <c r="CH94" s="1509">
        <v>0.114134202</v>
      </c>
      <c r="CI94" s="1509">
        <v>0.34477271500000001</v>
      </c>
      <c r="CJ94" s="1509">
        <v>0.81339299499999995</v>
      </c>
      <c r="CK94" s="1509">
        <v>0.12942231900000001</v>
      </c>
      <c r="CL94" s="1509">
        <v>0.12942231900000001</v>
      </c>
      <c r="CM94" s="1509">
        <v>0.96761365799999999</v>
      </c>
      <c r="CN94" s="1509">
        <v>0.45375336599999999</v>
      </c>
      <c r="CO94" s="1509">
        <v>0.26353755600000001</v>
      </c>
      <c r="CP94" s="1509">
        <v>0.45375336599999999</v>
      </c>
      <c r="CQ94" s="1509">
        <v>9.484911E-2</v>
      </c>
      <c r="CR94" s="1509">
        <v>1.2346185000000001E-2</v>
      </c>
      <c r="CS94" s="1509">
        <v>0.47024692400000001</v>
      </c>
      <c r="CT94" s="1509">
        <v>0.29699786099999997</v>
      </c>
      <c r="CU94" s="1509">
        <v>0.47024692400000001</v>
      </c>
      <c r="CV94" s="1509">
        <v>0.28427228500000001</v>
      </c>
      <c r="CW94" s="1509">
        <v>0.28427228500000001</v>
      </c>
      <c r="CX94" s="1509">
        <v>0.77743654100000004</v>
      </c>
      <c r="CY94" s="1509">
        <v>0.84029016099999998</v>
      </c>
      <c r="CZ94" s="1509">
        <v>0.70491230199999999</v>
      </c>
      <c r="DA94" s="1509">
        <v>0.75159910600000002</v>
      </c>
      <c r="DB94" s="1509">
        <v>0.794736891</v>
      </c>
      <c r="DC94" s="1509">
        <v>0.41557593399999998</v>
      </c>
      <c r="DD94" s="1509">
        <v>0.88996403599999996</v>
      </c>
      <c r="DE94" s="1509">
        <v>0.68842612599999997</v>
      </c>
      <c r="DF94" s="1509">
        <v>0.65359320799999998</v>
      </c>
      <c r="DG94" s="1509">
        <v>0.60591984799999998</v>
      </c>
      <c r="DH94" s="1509">
        <v>0.68842612599999997</v>
      </c>
      <c r="DI94" s="1509">
        <v>0.68842612599999997</v>
      </c>
      <c r="DJ94" s="1509">
        <v>0.90556669300000003</v>
      </c>
      <c r="DK94" s="1509">
        <v>0.96761365799999999</v>
      </c>
      <c r="DL94" s="1509">
        <v>0.62006818200000002</v>
      </c>
      <c r="DM94" s="1509">
        <v>0.91310899400000001</v>
      </c>
      <c r="DN94" s="1509">
        <v>0.81624930900000003</v>
      </c>
      <c r="DO94" s="1509">
        <v>8.894173E-3</v>
      </c>
      <c r="DP94" s="1509">
        <v>0.67996569600000001</v>
      </c>
      <c r="DQ94" s="1509">
        <v>0.56619016700000002</v>
      </c>
      <c r="DR94" s="1509">
        <v>0.75159910600000002</v>
      </c>
      <c r="DS94" s="1509">
        <v>0.76248013100000001</v>
      </c>
      <c r="DT94" s="1509">
        <v>0.94387969699999996</v>
      </c>
      <c r="DU94" s="1509">
        <v>0.25465264500000001</v>
      </c>
      <c r="DV94" s="1509">
        <v>4.1529093000000003E-2</v>
      </c>
      <c r="DW94" s="1509">
        <v>0.87997959299999995</v>
      </c>
      <c r="DX94" s="1509">
        <v>5.3615077999999997E-2</v>
      </c>
      <c r="DY94" s="1509">
        <v>0.77743654100000004</v>
      </c>
      <c r="DZ94" s="1509">
        <v>0.13134349000000001</v>
      </c>
      <c r="EA94" s="1509">
        <v>0.97395592499999994</v>
      </c>
      <c r="EB94" s="1509">
        <v>0.34477271500000001</v>
      </c>
      <c r="EC94" s="1509">
        <v>0.34477271500000001</v>
      </c>
      <c r="ED94" s="1509">
        <v>0.63893091700000004</v>
      </c>
      <c r="EE94" s="1509">
        <v>0.39723840599999999</v>
      </c>
      <c r="EF94" s="1509">
        <v>0.65699095200000002</v>
      </c>
      <c r="EG94" s="1509">
        <v>0.70491230199999999</v>
      </c>
      <c r="EH94" s="1509">
        <v>0.69930982100000005</v>
      </c>
      <c r="EI94" s="1509">
        <v>0.90012905300000001</v>
      </c>
      <c r="EJ94" s="1509">
        <v>0.90012905300000001</v>
      </c>
      <c r="EK94" s="1509">
        <v>3.700502E-3</v>
      </c>
      <c r="EL94" s="1509">
        <v>0.794736891</v>
      </c>
      <c r="EM94" s="1509">
        <v>0.70016280500000005</v>
      </c>
      <c r="EN94" s="1509">
        <v>0.71477846599999995</v>
      </c>
      <c r="EO94" s="1509">
        <v>0.95809380099999997</v>
      </c>
      <c r="EP94" s="1509">
        <v>0.70491230199999999</v>
      </c>
      <c r="EQ94" s="1509">
        <v>9.6424547999999999E-2</v>
      </c>
      <c r="ER94" s="1509">
        <v>8.894173E-3</v>
      </c>
      <c r="ES94" s="1509">
        <v>8.894173E-3</v>
      </c>
      <c r="ET94" s="1509">
        <v>0.87132701199999996</v>
      </c>
      <c r="EU94" s="1509">
        <v>0.78045129999999996</v>
      </c>
      <c r="EV94" s="1509">
        <v>4.1529093000000003E-2</v>
      </c>
      <c r="EW94" s="1509">
        <v>0.59576548600000001</v>
      </c>
      <c r="EX94" s="1509">
        <v>0.77743654100000004</v>
      </c>
      <c r="EY94" s="1509">
        <v>0.93746560099999998</v>
      </c>
      <c r="EZ94" s="1509">
        <v>0.70491230199999999</v>
      </c>
      <c r="FA94" s="1509">
        <v>0.53935383800000003</v>
      </c>
      <c r="FB94" s="1509">
        <v>0.48465201299999999</v>
      </c>
      <c r="FC94" s="1509">
        <v>0.862294432</v>
      </c>
      <c r="FD94" s="1509">
        <v>0.97395592499999994</v>
      </c>
      <c r="FE94" s="1509">
        <v>0.77743654100000004</v>
      </c>
      <c r="FF94" s="1509">
        <v>0.27464818699999999</v>
      </c>
      <c r="FG94" s="1509">
        <v>0.928494559</v>
      </c>
      <c r="FH94" s="1509">
        <v>0.67996569600000001</v>
      </c>
      <c r="FI94" s="1509">
        <v>0.78406530299999999</v>
      </c>
      <c r="FJ94" s="1509">
        <v>0.69930982100000005</v>
      </c>
      <c r="FK94" s="1509">
        <v>0.75159910600000002</v>
      </c>
      <c r="FL94" s="1509">
        <v>0.68842612599999997</v>
      </c>
      <c r="FM94" s="1509">
        <v>0.158502955</v>
      </c>
      <c r="FN94" s="1509">
        <v>0.80623607200000003</v>
      </c>
      <c r="FO94" s="1509">
        <v>0.892315003</v>
      </c>
      <c r="FP94" s="1509">
        <v>0.45151141500000003</v>
      </c>
      <c r="FQ94" s="1509">
        <v>0.70491230199999999</v>
      </c>
      <c r="FR94" s="1509">
        <v>0.983884816</v>
      </c>
      <c r="FS94" s="1509">
        <v>0.89972790300000005</v>
      </c>
      <c r="FT94" s="1509">
        <v>0.71477846599999995</v>
      </c>
      <c r="FU94" s="1509">
        <v>0.114134202</v>
      </c>
    </row>
    <row r="95" spans="1:177" s="1509" customFormat="1" x14ac:dyDescent="0.2">
      <c r="A95" s="1512" t="s">
        <v>667</v>
      </c>
      <c r="B95" s="1512" t="s">
        <v>1265</v>
      </c>
      <c r="C95" s="1509">
        <v>2.7502216999999999E-2</v>
      </c>
      <c r="D95" s="1509">
        <v>0</v>
      </c>
      <c r="E95" s="1509">
        <v>1</v>
      </c>
      <c r="F95" s="1509">
        <v>1</v>
      </c>
      <c r="G95" s="1509">
        <v>5.8481340999999999E-2</v>
      </c>
      <c r="H95" s="1509">
        <v>5.8481340999999999E-2</v>
      </c>
      <c r="I95" s="1509">
        <v>4.4849483000000002E-2</v>
      </c>
      <c r="J95" s="1509">
        <v>4.2184973000000001E-2</v>
      </c>
      <c r="K95" s="1509">
        <v>4.6082984E-2</v>
      </c>
      <c r="L95" s="1509">
        <v>3.7918029999999998E-2</v>
      </c>
      <c r="M95" s="1509">
        <v>4.8203412000000001E-2</v>
      </c>
      <c r="N95" s="1509">
        <v>3.2842417999999998E-2</v>
      </c>
      <c r="O95" s="1509">
        <v>3.5499475000000003E-2</v>
      </c>
      <c r="P95" s="1509">
        <v>3.3140545E-2</v>
      </c>
      <c r="Q95" s="1509">
        <v>0</v>
      </c>
      <c r="R95" s="1509">
        <v>0.26440288499999998</v>
      </c>
      <c r="S95" s="1509">
        <v>1</v>
      </c>
      <c r="T95" s="1509">
        <v>2.9119556000000001E-2</v>
      </c>
      <c r="U95" s="1509">
        <v>2.8091017999999999E-2</v>
      </c>
      <c r="V95" s="1509">
        <v>4.2520365999999997E-2</v>
      </c>
      <c r="W95" s="1509">
        <v>3.7448479999999999E-2</v>
      </c>
      <c r="X95" s="1509">
        <v>1</v>
      </c>
      <c r="Y95" s="1509">
        <v>1</v>
      </c>
      <c r="Z95" s="1509">
        <v>5.8481340999999999E-2</v>
      </c>
      <c r="AA95" s="1509">
        <v>0</v>
      </c>
      <c r="AB95" s="1509">
        <v>5.6353459000000002E-2</v>
      </c>
      <c r="AC95" s="1509">
        <v>1</v>
      </c>
      <c r="AD95" s="1509">
        <v>4.6150061999999999E-2</v>
      </c>
      <c r="AE95" s="1509">
        <v>0.237458319</v>
      </c>
      <c r="AF95" s="1509">
        <v>2.2232821999999999E-2</v>
      </c>
      <c r="AG95" s="1509">
        <v>5.1944905999999999E-2</v>
      </c>
      <c r="AH95" s="1509">
        <v>2.7271169000000001E-2</v>
      </c>
      <c r="AI95" s="1509">
        <v>1</v>
      </c>
      <c r="AJ95" s="1509">
        <v>3.1158000000000002E-2</v>
      </c>
      <c r="AK95" s="1509">
        <v>0.25842763699999999</v>
      </c>
      <c r="AL95" s="1509">
        <v>0</v>
      </c>
      <c r="AM95" s="1509">
        <v>0</v>
      </c>
      <c r="AN95" s="1509">
        <v>0</v>
      </c>
      <c r="AO95" s="1509">
        <v>0</v>
      </c>
      <c r="AP95" s="1509">
        <v>0</v>
      </c>
      <c r="AQ95" s="1509">
        <v>0</v>
      </c>
      <c r="AR95" s="1509">
        <v>2.1799622000000001E-2</v>
      </c>
      <c r="AS95" s="1509">
        <v>2.1814995E-2</v>
      </c>
      <c r="AT95" s="1509">
        <v>2.5051117000000001E-2</v>
      </c>
      <c r="AU95" s="1509">
        <v>0</v>
      </c>
      <c r="AV95" s="1509">
        <v>4.5460644000000001E-2</v>
      </c>
      <c r="AW95" s="1509">
        <v>5.4557243999999998E-2</v>
      </c>
      <c r="AX95" s="1509">
        <v>0.99113458700000001</v>
      </c>
      <c r="AY95" s="1509">
        <v>0</v>
      </c>
      <c r="AZ95" s="1509">
        <v>4.6226581000000003E-2</v>
      </c>
      <c r="BA95" s="1509">
        <v>3.6495828000000001E-2</v>
      </c>
      <c r="BB95" s="1509">
        <v>5.1956057999999999E-2</v>
      </c>
      <c r="BC95" s="1509">
        <v>3.1077529E-2</v>
      </c>
      <c r="BD95" s="1509">
        <v>2.9555551999999999E-2</v>
      </c>
      <c r="BE95" s="1509" t="s">
        <v>2372</v>
      </c>
      <c r="BF95" s="1509">
        <v>3.1077529E-2</v>
      </c>
      <c r="BG95" s="1509" t="s">
        <v>2372</v>
      </c>
      <c r="BH95" s="1509">
        <v>2.4036491E-2</v>
      </c>
      <c r="BI95" s="1509">
        <v>2.5456321000000001E-2</v>
      </c>
      <c r="BJ95" s="1509">
        <v>4.4003548000000003E-2</v>
      </c>
      <c r="BK95" s="1509">
        <v>2.2046493E-2</v>
      </c>
      <c r="BL95" s="1509">
        <v>0</v>
      </c>
      <c r="BM95" s="1509">
        <v>0</v>
      </c>
      <c r="BN95" s="1509">
        <v>3.1690902E-2</v>
      </c>
      <c r="BO95" s="1509">
        <v>2.2102391999999998E-2</v>
      </c>
      <c r="BP95" s="1509">
        <v>2.9339424999999999E-2</v>
      </c>
      <c r="BQ95" s="1509">
        <v>4.0213607999999998E-2</v>
      </c>
      <c r="BR95" s="1509">
        <v>5.8481340999999999E-2</v>
      </c>
      <c r="BS95" s="1509">
        <v>0</v>
      </c>
      <c r="BT95" s="1509">
        <v>3.4905223999999999E-2</v>
      </c>
      <c r="BU95" s="1509">
        <v>3.5582193999999998E-2</v>
      </c>
      <c r="BV95" s="1509">
        <v>6.2738039999999995E-2</v>
      </c>
      <c r="BW95" s="1509">
        <v>0</v>
      </c>
      <c r="BX95" s="1509">
        <v>0.99145140399999998</v>
      </c>
      <c r="BY95" s="1509">
        <v>0</v>
      </c>
      <c r="BZ95" s="1509">
        <v>0</v>
      </c>
      <c r="CA95" s="1509">
        <v>0</v>
      </c>
      <c r="CB95" s="1509">
        <v>0</v>
      </c>
      <c r="CC95" s="1509">
        <v>0.249155185</v>
      </c>
      <c r="CD95" s="1509">
        <v>0.255190111</v>
      </c>
      <c r="CE95" s="1509">
        <v>0</v>
      </c>
      <c r="CF95" s="1509">
        <v>0</v>
      </c>
      <c r="CG95" s="1509">
        <v>2.4554486E-2</v>
      </c>
      <c r="CH95" s="1509">
        <v>0</v>
      </c>
      <c r="CI95" s="1509">
        <v>5.5324920999999999E-2</v>
      </c>
      <c r="CJ95" s="1509">
        <v>6.3899345999999996E-2</v>
      </c>
      <c r="CK95" s="1509">
        <v>1</v>
      </c>
      <c r="CL95" s="1509">
        <v>1</v>
      </c>
      <c r="CM95" s="1509">
        <v>0</v>
      </c>
      <c r="CN95" s="1509">
        <v>0.22405317299999999</v>
      </c>
      <c r="CO95" s="1509">
        <v>0</v>
      </c>
      <c r="CP95" s="1509">
        <v>0</v>
      </c>
      <c r="CQ95" s="1509">
        <v>2.6097294E-2</v>
      </c>
      <c r="CR95" s="1509">
        <v>0</v>
      </c>
      <c r="CS95" s="1509">
        <v>3.0502120000000001E-2</v>
      </c>
      <c r="CT95" s="1509">
        <v>4.1320404999999998E-2</v>
      </c>
      <c r="CU95" s="1509">
        <v>5.8481340999999999E-2</v>
      </c>
      <c r="CV95" s="1509">
        <v>7.4290558000000007E-2</v>
      </c>
      <c r="CW95" s="1509">
        <v>7.4290558000000007E-2</v>
      </c>
      <c r="CX95" s="1509">
        <v>1</v>
      </c>
      <c r="CY95" s="1509">
        <v>3.1746032E-2</v>
      </c>
      <c r="CZ95" s="1509">
        <v>0</v>
      </c>
      <c r="DA95" s="1509">
        <v>0.99202495199999996</v>
      </c>
      <c r="DB95" s="1509">
        <v>0</v>
      </c>
      <c r="DC95" s="1509">
        <v>0</v>
      </c>
      <c r="DD95" s="1509">
        <v>0</v>
      </c>
      <c r="DE95" s="1509">
        <v>0</v>
      </c>
      <c r="DF95" s="1509">
        <v>0.93013180799999995</v>
      </c>
      <c r="DG95" s="1509">
        <v>0</v>
      </c>
      <c r="DH95" s="1509">
        <v>0</v>
      </c>
      <c r="DI95" s="1509">
        <v>0</v>
      </c>
      <c r="DJ95" s="1509">
        <v>0</v>
      </c>
      <c r="DK95" s="1509">
        <v>0</v>
      </c>
      <c r="DL95" s="1509">
        <v>0</v>
      </c>
      <c r="DM95" s="1509">
        <v>0</v>
      </c>
      <c r="DN95" s="1509">
        <v>1</v>
      </c>
      <c r="DO95" s="1509">
        <v>4.7613544000000001E-2</v>
      </c>
      <c r="DP95" s="1509">
        <v>0.98867652399999995</v>
      </c>
      <c r="DQ95" s="1509">
        <v>0</v>
      </c>
      <c r="DR95" s="1509">
        <v>0.99477798200000001</v>
      </c>
      <c r="DS95" s="1509">
        <v>0</v>
      </c>
      <c r="DT95" s="1509">
        <v>0</v>
      </c>
      <c r="DU95" s="1509">
        <v>4.6015905000000003E-2</v>
      </c>
      <c r="DV95" s="1509">
        <v>1</v>
      </c>
      <c r="DW95" s="1509">
        <v>1</v>
      </c>
      <c r="DX95" s="1509">
        <v>0</v>
      </c>
      <c r="DY95" s="1509">
        <v>5.0992889E-2</v>
      </c>
      <c r="DZ95" s="1509">
        <v>1</v>
      </c>
      <c r="EA95" s="1509">
        <v>7.4290558000000007E-2</v>
      </c>
      <c r="EB95" s="1509">
        <v>5.8481340999999999E-2</v>
      </c>
      <c r="EC95" s="1509">
        <v>5.8481340999999999E-2</v>
      </c>
      <c r="ED95" s="1509">
        <v>3.5928031999999999E-2</v>
      </c>
      <c r="EE95" s="1509">
        <v>0</v>
      </c>
      <c r="EF95" s="1509">
        <v>0</v>
      </c>
      <c r="EG95" s="1509">
        <v>1</v>
      </c>
      <c r="EH95" s="1509">
        <v>7.3531030999999997E-2</v>
      </c>
      <c r="EI95" s="1509">
        <v>0</v>
      </c>
      <c r="EJ95" s="1509">
        <v>0</v>
      </c>
      <c r="EK95" s="1509">
        <v>0</v>
      </c>
      <c r="EL95" s="1509">
        <v>0.92782310400000001</v>
      </c>
      <c r="EM95" s="1509">
        <v>0</v>
      </c>
      <c r="EN95" s="1509">
        <v>0</v>
      </c>
      <c r="EO95" s="1509">
        <v>1</v>
      </c>
      <c r="EP95" s="1509">
        <v>0</v>
      </c>
      <c r="EQ95" s="1509">
        <v>0</v>
      </c>
      <c r="ER95" s="1509">
        <v>3.2912841999999998E-2</v>
      </c>
      <c r="ES95" s="1509">
        <v>3.625366E-2</v>
      </c>
      <c r="ET95" s="1509">
        <v>0</v>
      </c>
      <c r="EU95" s="1509">
        <v>0</v>
      </c>
      <c r="EV95" s="1509">
        <v>5.1162323000000003E-2</v>
      </c>
      <c r="EW95" s="1509">
        <v>0</v>
      </c>
      <c r="EX95" s="1509">
        <v>7.4290558000000007E-2</v>
      </c>
      <c r="EY95" s="1509">
        <v>6.8016202999999997E-2</v>
      </c>
      <c r="EZ95" s="1509">
        <v>0</v>
      </c>
      <c r="FA95" s="1509">
        <v>0.23986781300000001</v>
      </c>
      <c r="FB95" s="1509">
        <v>0.30710854100000001</v>
      </c>
      <c r="FC95" s="1509">
        <v>1</v>
      </c>
      <c r="FD95" s="1509">
        <v>7.4290558000000007E-2</v>
      </c>
      <c r="FE95" s="1509">
        <v>0</v>
      </c>
      <c r="FF95" s="1509">
        <v>1</v>
      </c>
      <c r="FG95" s="1509">
        <v>0</v>
      </c>
      <c r="FH95" s="1509">
        <v>0</v>
      </c>
      <c r="FI95" s="1509">
        <v>1</v>
      </c>
      <c r="FJ95" s="1509">
        <v>5.0712194000000002E-2</v>
      </c>
      <c r="FK95" s="1509">
        <v>0</v>
      </c>
      <c r="FL95" s="1509">
        <v>0</v>
      </c>
      <c r="FM95" s="1509">
        <v>3.8782598000000001E-2</v>
      </c>
      <c r="FN95" s="1509">
        <v>2.6447592999999998E-2</v>
      </c>
      <c r="FO95" s="1509">
        <v>0</v>
      </c>
      <c r="FP95" s="1509">
        <v>0</v>
      </c>
      <c r="FQ95" s="1509">
        <v>0</v>
      </c>
      <c r="FR95" s="1509">
        <v>7.4290558000000007E-2</v>
      </c>
      <c r="FS95" s="1509">
        <v>0.274584414</v>
      </c>
      <c r="FT95" s="1509">
        <v>0</v>
      </c>
      <c r="FU95" s="1509">
        <v>5.5965894000000002E-2</v>
      </c>
    </row>
    <row r="96" spans="1:177" s="1509" customFormat="1" x14ac:dyDescent="0.2">
      <c r="A96" s="1512" t="s">
        <v>667</v>
      </c>
      <c r="B96" s="1512" t="s">
        <v>1266</v>
      </c>
      <c r="C96" s="1509">
        <v>5.7709937000000003E-2</v>
      </c>
      <c r="D96" s="1509">
        <v>5.3923723999999999E-2</v>
      </c>
      <c r="E96" s="1509">
        <v>5.1840562E-2</v>
      </c>
      <c r="F96" s="1509">
        <v>7.3349404000000007E-2</v>
      </c>
      <c r="G96" s="1509">
        <v>4.8740040999999998E-2</v>
      </c>
      <c r="H96" s="1509">
        <v>5.2857920000000003E-2</v>
      </c>
      <c r="I96" s="1509">
        <v>3.728451E-2</v>
      </c>
      <c r="J96" s="1509">
        <v>3.8577635999999998E-2</v>
      </c>
      <c r="K96" s="1509">
        <v>5.3156046999999998E-2</v>
      </c>
      <c r="L96" s="1509">
        <v>4.720096E-2</v>
      </c>
      <c r="M96" s="1509">
        <v>5.2000804999999997E-2</v>
      </c>
      <c r="N96" s="1509">
        <v>4.042975E-2</v>
      </c>
      <c r="O96" s="1509">
        <v>3.6386401999999998E-2</v>
      </c>
      <c r="P96" s="1509">
        <v>3.8924209000000001E-2</v>
      </c>
      <c r="Q96" s="1509">
        <v>0.11305976</v>
      </c>
      <c r="R96" s="1509">
        <v>0.12921754799999999</v>
      </c>
      <c r="S96" s="1509">
        <v>1</v>
      </c>
      <c r="T96" s="1509">
        <v>1</v>
      </c>
      <c r="U96" s="1509">
        <v>5.5105053000000001E-2</v>
      </c>
      <c r="V96" s="1509">
        <v>3.7824864999999999E-2</v>
      </c>
      <c r="W96" s="1509">
        <v>5.4795745999999999E-2</v>
      </c>
      <c r="X96" s="1509">
        <v>1</v>
      </c>
      <c r="Y96" s="1509">
        <v>1</v>
      </c>
      <c r="Z96" s="1509">
        <v>1</v>
      </c>
      <c r="AA96" s="1509">
        <v>4.6161241999999998E-2</v>
      </c>
      <c r="AB96" s="1509">
        <v>4.4864388999999998E-2</v>
      </c>
      <c r="AC96" s="1509">
        <v>4.4961280999999999E-2</v>
      </c>
      <c r="AD96" s="1509">
        <v>4.4909109000000003E-2</v>
      </c>
      <c r="AE96" s="1509">
        <v>0.12832238000000001</v>
      </c>
      <c r="AF96" s="1509">
        <v>4.2069449000000002E-2</v>
      </c>
      <c r="AG96" s="1509">
        <v>3.6177714E-2</v>
      </c>
      <c r="AH96" s="1509">
        <v>4.9395920000000003E-2</v>
      </c>
      <c r="AI96" s="1509">
        <v>3.3319421000000002E-2</v>
      </c>
      <c r="AJ96" s="1509">
        <v>5.1270393999999997E-2</v>
      </c>
      <c r="AK96" s="1509">
        <v>0.13091836800000001</v>
      </c>
      <c r="AL96" s="1509">
        <v>0.115297681</v>
      </c>
      <c r="AM96" s="1509">
        <v>0.113559562</v>
      </c>
      <c r="AN96" s="1509">
        <v>0.116080953</v>
      </c>
      <c r="AO96" s="1509">
        <v>0.158560435</v>
      </c>
      <c r="AP96" s="1509">
        <v>0.16308830399999999</v>
      </c>
      <c r="AQ96" s="1509">
        <v>4.2993641999999999E-2</v>
      </c>
      <c r="AR96" s="1509">
        <v>2.7656924999999999E-2</v>
      </c>
      <c r="AS96" s="1509">
        <v>2.2130152E-2</v>
      </c>
      <c r="AT96" s="1509">
        <v>2.8072008999999998E-2</v>
      </c>
      <c r="AU96" s="1509">
        <v>0</v>
      </c>
      <c r="AV96" s="1509">
        <v>1</v>
      </c>
      <c r="AW96" s="1509">
        <v>1</v>
      </c>
      <c r="AX96" s="1509">
        <v>0</v>
      </c>
      <c r="AY96" s="1509">
        <v>3.3325628000000003E-2</v>
      </c>
      <c r="AZ96" s="1509">
        <v>5.8021267000000001E-2</v>
      </c>
      <c r="BA96" s="1509">
        <v>7.4268542000000007E-2</v>
      </c>
      <c r="BB96" s="1509">
        <v>6.8990379000000004E-2</v>
      </c>
      <c r="BC96" s="1509">
        <v>3.1000660999999999E-2</v>
      </c>
      <c r="BD96" s="1509">
        <v>3.1062155000000001E-2</v>
      </c>
      <c r="BE96" s="1509">
        <v>2.1308555E-2</v>
      </c>
      <c r="BF96" s="1509">
        <v>3.0723937999999999E-2</v>
      </c>
      <c r="BG96" s="1509">
        <v>1</v>
      </c>
      <c r="BH96" s="1509">
        <v>4.3914109999999999E-2</v>
      </c>
      <c r="BI96" s="1509">
        <v>3.6494472999999999E-2</v>
      </c>
      <c r="BJ96" s="1509">
        <v>5.8224206000000001E-2</v>
      </c>
      <c r="BK96" s="1509">
        <v>2.3850161000000002E-2</v>
      </c>
      <c r="BL96" s="1509">
        <v>4.7819573999999997E-2</v>
      </c>
      <c r="BM96" s="1509">
        <v>0.121839869</v>
      </c>
      <c r="BN96" s="1509">
        <v>5.8380723000000002E-2</v>
      </c>
      <c r="BO96" s="1509">
        <v>2.5210366000000001E-2</v>
      </c>
      <c r="BP96" s="1509">
        <v>5.2641778E-2</v>
      </c>
      <c r="BQ96" s="1509">
        <v>4.6578620000000001E-2</v>
      </c>
      <c r="BR96" s="1509">
        <v>5.1229401000000001E-2</v>
      </c>
      <c r="BS96" s="1509">
        <v>4.2069449000000002E-2</v>
      </c>
      <c r="BT96" s="1509">
        <v>6.0795191999999998E-2</v>
      </c>
      <c r="BU96" s="1509">
        <v>6.6678774999999996E-2</v>
      </c>
      <c r="BV96" s="1509">
        <v>7.3883274999999998E-2</v>
      </c>
      <c r="BW96" s="1509">
        <v>0.11164987</v>
      </c>
      <c r="BX96" s="1509">
        <v>0.99160435000000002</v>
      </c>
      <c r="BY96" s="1509">
        <v>0.98493480700000002</v>
      </c>
      <c r="BZ96" s="1509">
        <v>0.97970732699999996</v>
      </c>
      <c r="CA96" s="1509">
        <v>0.123689884</v>
      </c>
      <c r="CB96" s="1509">
        <v>0.1204076</v>
      </c>
      <c r="CC96" s="1509">
        <v>0.12109389600000001</v>
      </c>
      <c r="CD96" s="1509">
        <v>0.12918025</v>
      </c>
      <c r="CE96" s="1509">
        <v>0.124540294</v>
      </c>
      <c r="CF96" s="1509">
        <v>0.112530119</v>
      </c>
      <c r="CG96" s="1509">
        <v>4.3608529E-2</v>
      </c>
      <c r="CH96" s="1509">
        <v>3.7031102000000003E-2</v>
      </c>
      <c r="CI96" s="1509">
        <v>5.8481340999999999E-2</v>
      </c>
      <c r="CJ96" s="1509">
        <v>6.0866742000000001E-2</v>
      </c>
      <c r="CK96" s="1509">
        <v>7.0349823000000006E-2</v>
      </c>
      <c r="CL96" s="1509">
        <v>6.9436188999999995E-2</v>
      </c>
      <c r="CM96" s="1509">
        <v>1</v>
      </c>
      <c r="CN96" s="1509">
        <v>0.12132514799999999</v>
      </c>
      <c r="CO96" s="1509">
        <v>0.114551707</v>
      </c>
      <c r="CP96" s="1509">
        <v>0.122138259</v>
      </c>
      <c r="CQ96" s="1509">
        <v>4.1134074999999999E-2</v>
      </c>
      <c r="CR96" s="1509">
        <v>3.7407487000000003E-2</v>
      </c>
      <c r="CS96" s="1509">
        <v>4.9749946000000003E-2</v>
      </c>
      <c r="CT96" s="1509">
        <v>5.4344828999999997E-2</v>
      </c>
      <c r="CU96" s="1509">
        <v>5.0007081000000002E-2</v>
      </c>
      <c r="CV96" s="1509">
        <v>4.3628778E-2</v>
      </c>
      <c r="CW96" s="1509">
        <v>4.4019549999999998E-2</v>
      </c>
      <c r="CX96" s="1509">
        <v>7.1202915000000006E-2</v>
      </c>
      <c r="CY96" s="1509">
        <v>3.2274398000000003E-2</v>
      </c>
      <c r="CZ96" s="1509">
        <v>0</v>
      </c>
      <c r="DA96" s="1509">
        <v>0.98068508899999995</v>
      </c>
      <c r="DB96" s="1509">
        <v>0.87541276099999998</v>
      </c>
      <c r="DC96" s="1509">
        <v>0.86030040699999999</v>
      </c>
      <c r="DD96" s="1509">
        <v>0.92255263600000004</v>
      </c>
      <c r="DE96" s="1509">
        <v>0.89343169099999997</v>
      </c>
      <c r="DF96" s="1509">
        <v>0.91535058300000005</v>
      </c>
      <c r="DG96" s="1509">
        <v>0.86879938199999995</v>
      </c>
      <c r="DH96" s="1509">
        <v>0</v>
      </c>
      <c r="DI96" s="1509">
        <v>0.89053431299999997</v>
      </c>
      <c r="DJ96" s="1509">
        <v>0.98423562399999998</v>
      </c>
      <c r="DK96" s="1509">
        <v>0.97391176099999999</v>
      </c>
      <c r="DL96" s="1509">
        <v>0</v>
      </c>
      <c r="DM96" s="1509">
        <v>0.108941986</v>
      </c>
      <c r="DN96" s="1509">
        <v>0.14727265</v>
      </c>
      <c r="DO96" s="1509">
        <v>4.4278229000000002E-2</v>
      </c>
      <c r="DP96" s="1509">
        <v>0</v>
      </c>
      <c r="DQ96" s="1509">
        <v>0.97497145900000004</v>
      </c>
      <c r="DR96" s="1509">
        <v>0.98307760399999999</v>
      </c>
      <c r="DS96" s="1509">
        <v>0</v>
      </c>
      <c r="DT96" s="1509">
        <v>0.97567064100000001</v>
      </c>
      <c r="DU96" s="1509">
        <v>1</v>
      </c>
      <c r="DV96" s="1509">
        <v>4.4994819999999998E-2</v>
      </c>
      <c r="DW96" s="1509">
        <v>0.16821138599999999</v>
      </c>
      <c r="DX96" s="1509">
        <v>2.9778467999999999E-2</v>
      </c>
      <c r="DY96" s="1509">
        <v>7.3079717000000002E-2</v>
      </c>
      <c r="DZ96" s="1509">
        <v>3.0969914000000001E-2</v>
      </c>
      <c r="EA96" s="1509">
        <v>7.0850670000000004E-2</v>
      </c>
      <c r="EB96" s="1509">
        <v>5.0346200000000001E-2</v>
      </c>
      <c r="EC96" s="1509">
        <v>5.6193215999999997E-2</v>
      </c>
      <c r="ED96" s="1509">
        <v>4.5751317E-2</v>
      </c>
      <c r="EE96" s="1509">
        <v>0.115096268</v>
      </c>
      <c r="EF96" s="1509">
        <v>4.6633863999999997E-2</v>
      </c>
      <c r="EG96" s="1509">
        <v>0.98003506799999995</v>
      </c>
      <c r="EH96" s="1509">
        <v>7.3718160000000005E-2</v>
      </c>
      <c r="EI96" s="1509">
        <v>0.106622008</v>
      </c>
      <c r="EJ96" s="1509">
        <v>0.112537578</v>
      </c>
      <c r="EK96" s="1509">
        <v>3.1046201999999998E-2</v>
      </c>
      <c r="EL96" s="1509">
        <v>0.90492922099999995</v>
      </c>
      <c r="EM96" s="1509">
        <v>0.85926103099999995</v>
      </c>
      <c r="EN96" s="1509">
        <v>0.87211986900000005</v>
      </c>
      <c r="EO96" s="1509">
        <v>0.92436464600000001</v>
      </c>
      <c r="EP96" s="1509">
        <v>0</v>
      </c>
      <c r="EQ96" s="1509">
        <v>0</v>
      </c>
      <c r="ER96" s="1509">
        <v>4.1498800000000002E-2</v>
      </c>
      <c r="ES96" s="1509">
        <v>4.0750280999999999E-2</v>
      </c>
      <c r="ET96" s="1509">
        <v>0.11028473799999999</v>
      </c>
      <c r="EU96" s="1509">
        <v>0.97804130600000005</v>
      </c>
      <c r="EV96" s="1509">
        <v>4.4920288000000003E-2</v>
      </c>
      <c r="EW96" s="1509">
        <v>0.160686195</v>
      </c>
      <c r="EX96" s="1509">
        <v>4.0640203999999999E-2</v>
      </c>
      <c r="EY96" s="1509">
        <v>7.0812143999999994E-2</v>
      </c>
      <c r="EZ96" s="1509">
        <v>0.98591803200000006</v>
      </c>
      <c r="FA96" s="1509">
        <v>0.13121675799999999</v>
      </c>
      <c r="FB96" s="1509">
        <v>0.16257812199999999</v>
      </c>
      <c r="FC96" s="1509">
        <v>7.4169473999999999E-2</v>
      </c>
      <c r="FD96" s="1509">
        <v>7.4048390000000006E-2</v>
      </c>
      <c r="FE96" s="1509">
        <v>3.4332827000000003E-2</v>
      </c>
      <c r="FF96" s="1509">
        <v>0.174609923</v>
      </c>
      <c r="FG96" s="1509">
        <v>0</v>
      </c>
      <c r="FH96" s="1509">
        <v>0</v>
      </c>
      <c r="FI96" s="1509">
        <v>0.17282428499999999</v>
      </c>
      <c r="FJ96" s="1509">
        <v>6.7344737000000002E-2</v>
      </c>
      <c r="FK96" s="1509">
        <v>0.98620207500000001</v>
      </c>
      <c r="FL96" s="1509">
        <v>0.85897589200000002</v>
      </c>
      <c r="FM96" s="1509">
        <v>5.6755931000000003E-2</v>
      </c>
      <c r="FN96" s="1509">
        <v>2.2702371999999998E-2</v>
      </c>
      <c r="FO96" s="1509">
        <v>0.97406470700000003</v>
      </c>
      <c r="FP96" s="1509">
        <v>0.172122784</v>
      </c>
      <c r="FQ96" s="1509">
        <v>0.98925007200000004</v>
      </c>
      <c r="FR96" s="1509">
        <v>1</v>
      </c>
      <c r="FS96" s="1509">
        <v>0.16921049299999999</v>
      </c>
      <c r="FT96" s="1509">
        <v>0.89203359100000001</v>
      </c>
      <c r="FU96" s="1509">
        <v>5.8015518000000002E-2</v>
      </c>
    </row>
    <row r="97" spans="1:177" s="1509" customFormat="1" x14ac:dyDescent="0.2">
      <c r="A97" s="1512" t="s">
        <v>667</v>
      </c>
      <c r="B97" s="1512" t="s">
        <v>1061</v>
      </c>
      <c r="C97" s="1509">
        <v>0.99275551299999998</v>
      </c>
      <c r="D97" s="1509">
        <v>0.99940374600000004</v>
      </c>
      <c r="E97" s="1509">
        <v>0.99275551299999998</v>
      </c>
      <c r="F97" s="1509">
        <v>0.99200295000000005</v>
      </c>
      <c r="G97" s="1509">
        <v>0.99863234199999995</v>
      </c>
      <c r="H97" s="1509">
        <v>0.99275551299999998</v>
      </c>
      <c r="I97" s="1509">
        <v>0.99275551299999998</v>
      </c>
      <c r="J97" s="1509">
        <v>0</v>
      </c>
      <c r="K97" s="1509">
        <v>0</v>
      </c>
      <c r="L97" s="1509">
        <v>0.99275551299999998</v>
      </c>
      <c r="M97" s="1509">
        <v>0</v>
      </c>
      <c r="N97" s="1509">
        <v>0.99863234199999995</v>
      </c>
      <c r="O97" s="1509">
        <v>0</v>
      </c>
      <c r="P97" s="1509">
        <v>0</v>
      </c>
      <c r="Q97" s="1509">
        <v>0</v>
      </c>
      <c r="R97" s="1509">
        <v>0</v>
      </c>
      <c r="S97" s="1509">
        <v>0.99275551299999998</v>
      </c>
      <c r="T97" s="1509">
        <v>0</v>
      </c>
      <c r="U97" s="1509">
        <v>0.99275551299999998</v>
      </c>
      <c r="V97" s="1509">
        <v>0</v>
      </c>
      <c r="W97" s="1509">
        <v>0.99275551299999998</v>
      </c>
      <c r="X97" s="1509">
        <v>0</v>
      </c>
      <c r="Y97" s="1509">
        <v>0.99275551299999998</v>
      </c>
      <c r="Z97" s="1509">
        <v>0</v>
      </c>
      <c r="AA97" s="1509">
        <v>2.2270088E-2</v>
      </c>
      <c r="AB97" s="1509">
        <v>0</v>
      </c>
      <c r="AC97" s="1509">
        <v>0</v>
      </c>
      <c r="AD97" s="1509">
        <v>0</v>
      </c>
      <c r="AE97" s="1509">
        <v>0</v>
      </c>
      <c r="AF97" s="1509">
        <v>0.99275551299999998</v>
      </c>
      <c r="AG97" s="1509">
        <v>2.1632841999999999E-2</v>
      </c>
      <c r="AH97" s="1509">
        <v>0.99275551299999998</v>
      </c>
      <c r="AI97" s="1509">
        <v>0.99275551299999998</v>
      </c>
      <c r="AJ97" s="1509">
        <v>0</v>
      </c>
      <c r="AK97" s="1509">
        <v>0</v>
      </c>
      <c r="AL97" s="1509">
        <v>0</v>
      </c>
      <c r="AM97" s="1509">
        <v>0</v>
      </c>
      <c r="AN97" s="1509">
        <v>0</v>
      </c>
      <c r="AO97" s="1509">
        <v>0</v>
      </c>
      <c r="AP97" s="1509">
        <v>0</v>
      </c>
      <c r="AQ97" s="1509">
        <v>0</v>
      </c>
      <c r="AR97" s="1509">
        <v>0.99576460099999997</v>
      </c>
      <c r="AS97" s="1509">
        <v>0.99576460099999997</v>
      </c>
      <c r="AT97" s="1509">
        <v>0.99576460099999997</v>
      </c>
      <c r="AU97" s="1509">
        <v>0</v>
      </c>
      <c r="AV97" s="1509">
        <v>0</v>
      </c>
      <c r="AW97" s="1509">
        <v>0.99275551299999998</v>
      </c>
      <c r="AX97" s="1509">
        <v>0.99629651900000005</v>
      </c>
      <c r="AY97" s="1509">
        <v>0</v>
      </c>
      <c r="AZ97" s="1509">
        <v>0.99200295000000005</v>
      </c>
      <c r="BA97" s="1509">
        <v>0.99200295000000005</v>
      </c>
      <c r="BB97" s="1509">
        <v>0.99200295000000005</v>
      </c>
      <c r="BC97" s="1509">
        <v>0</v>
      </c>
      <c r="BD97" s="1509">
        <v>0.99576460099999997</v>
      </c>
      <c r="BE97" s="1509">
        <v>0.99910923299999999</v>
      </c>
      <c r="BF97" s="1509">
        <v>0.99576460099999997</v>
      </c>
      <c r="BG97" s="1509">
        <v>0.99395675400000005</v>
      </c>
      <c r="BH97" s="1509">
        <v>0.99275551299999998</v>
      </c>
      <c r="BI97" s="1509">
        <v>0.99275551299999998</v>
      </c>
      <c r="BJ97" s="1509">
        <v>0.99275551299999998</v>
      </c>
      <c r="BK97" s="1509">
        <v>0.99275551299999998</v>
      </c>
      <c r="BL97" s="1509">
        <v>0.99275551299999998</v>
      </c>
      <c r="BM97" s="1509">
        <v>0</v>
      </c>
      <c r="BN97" s="1509">
        <v>0.99275551299999998</v>
      </c>
      <c r="BO97" s="1509">
        <v>0</v>
      </c>
      <c r="BP97" s="1509">
        <v>0.99275551299999998</v>
      </c>
      <c r="BQ97" s="1509">
        <v>0.99863234199999995</v>
      </c>
      <c r="BR97" s="1509">
        <v>0.99275551299999998</v>
      </c>
      <c r="BS97" s="1509">
        <v>0.99275551299999998</v>
      </c>
      <c r="BT97" s="1509">
        <v>0.99200295000000005</v>
      </c>
      <c r="BU97" s="1509">
        <v>0.99200295000000005</v>
      </c>
      <c r="BV97" s="1509">
        <v>0.99200295000000005</v>
      </c>
      <c r="BW97" s="1509">
        <v>0</v>
      </c>
      <c r="BX97" s="1509">
        <v>0</v>
      </c>
      <c r="BY97" s="1509">
        <v>0</v>
      </c>
      <c r="BZ97" s="1509">
        <v>0.99909870999999995</v>
      </c>
      <c r="CA97" s="1509">
        <v>0.208126636</v>
      </c>
      <c r="CB97" s="1509">
        <v>0</v>
      </c>
      <c r="CC97" s="1509">
        <v>0.99006363200000003</v>
      </c>
      <c r="CD97" s="1509">
        <v>0.99006363200000003</v>
      </c>
      <c r="CE97" s="1509">
        <v>0</v>
      </c>
      <c r="CF97" s="1509">
        <v>0</v>
      </c>
      <c r="CG97" s="1509">
        <v>0.99275551299999998</v>
      </c>
      <c r="CH97" s="1509">
        <v>2.3552033999999999E-2</v>
      </c>
      <c r="CI97" s="1509">
        <v>0.99275551299999998</v>
      </c>
      <c r="CJ97" s="1509">
        <v>0</v>
      </c>
      <c r="CK97" s="1509">
        <v>0.99200295000000005</v>
      </c>
      <c r="CL97" s="1509">
        <v>0.99200295000000005</v>
      </c>
      <c r="CM97" s="1509">
        <v>0.97298862200000003</v>
      </c>
      <c r="CN97" s="1509">
        <v>0.99006363200000003</v>
      </c>
      <c r="CO97" s="1509">
        <v>0</v>
      </c>
      <c r="CP97" s="1509">
        <v>0</v>
      </c>
      <c r="CQ97" s="1509">
        <v>0.99880749199999996</v>
      </c>
      <c r="CR97" s="1509">
        <v>2.1651475E-2</v>
      </c>
      <c r="CS97" s="1509">
        <v>0.99863234199999995</v>
      </c>
      <c r="CT97" s="1509">
        <v>0.99275551299999998</v>
      </c>
      <c r="CU97" s="1509">
        <v>0.99275551299999998</v>
      </c>
      <c r="CV97" s="1509">
        <v>0.99200295000000005</v>
      </c>
      <c r="CW97" s="1509">
        <v>0.99200295000000005</v>
      </c>
      <c r="CX97" s="1509">
        <v>0.99200295000000005</v>
      </c>
      <c r="CY97" s="1509">
        <v>0.99959271699999996</v>
      </c>
      <c r="CZ97" s="1509">
        <v>0</v>
      </c>
      <c r="DA97" s="1509">
        <v>0.98982362000000002</v>
      </c>
      <c r="DB97" s="1509">
        <v>0.72677268900000003</v>
      </c>
      <c r="DC97" s="1509">
        <v>0</v>
      </c>
      <c r="DD97" s="1509">
        <v>0.98516358699999995</v>
      </c>
      <c r="DE97" s="1509">
        <v>0.75502902000000005</v>
      </c>
      <c r="DF97" s="1509">
        <v>0.95581269099999999</v>
      </c>
      <c r="DG97" s="1509">
        <v>0</v>
      </c>
      <c r="DH97" s="1509">
        <v>0</v>
      </c>
      <c r="DI97" s="1509">
        <v>0</v>
      </c>
      <c r="DJ97" s="1509">
        <v>0.982405733</v>
      </c>
      <c r="DK97" s="1509">
        <v>0.99922434500000001</v>
      </c>
      <c r="DL97" s="1509">
        <v>0</v>
      </c>
      <c r="DM97" s="1509">
        <v>0.99913467099999997</v>
      </c>
      <c r="DN97" s="1509">
        <v>0</v>
      </c>
      <c r="DO97" s="1509">
        <v>0.99892125099999995</v>
      </c>
      <c r="DP97" s="1509">
        <v>0.99548808899999996</v>
      </c>
      <c r="DQ97" s="1509">
        <v>0.99814825900000004</v>
      </c>
      <c r="DR97" s="1509">
        <v>0</v>
      </c>
      <c r="DS97" s="1509">
        <v>0</v>
      </c>
      <c r="DT97" s="1509">
        <v>0.918692748</v>
      </c>
      <c r="DU97" s="1509">
        <v>0.99275551299999998</v>
      </c>
      <c r="DV97" s="1509">
        <v>0</v>
      </c>
      <c r="DW97" s="1509">
        <v>0</v>
      </c>
      <c r="DX97" s="1509">
        <v>0.99576460099999997</v>
      </c>
      <c r="DY97" s="1509">
        <v>0.99200295000000005</v>
      </c>
      <c r="DZ97" s="1509">
        <v>0.99576460099999997</v>
      </c>
      <c r="EA97" s="1509">
        <v>0</v>
      </c>
      <c r="EB97" s="1509">
        <v>0</v>
      </c>
      <c r="EC97" s="1509">
        <v>0.99275551299999998</v>
      </c>
      <c r="ED97" s="1509">
        <v>0.99275551299999998</v>
      </c>
      <c r="EE97" s="1509">
        <v>0</v>
      </c>
      <c r="EF97" s="1509">
        <v>0</v>
      </c>
      <c r="EG97" s="1509">
        <v>0</v>
      </c>
      <c r="EH97" s="1509">
        <v>0.99981837399999995</v>
      </c>
      <c r="EI97" s="1509">
        <v>0</v>
      </c>
      <c r="EJ97" s="1509">
        <v>0</v>
      </c>
      <c r="EK97" s="1509">
        <v>0</v>
      </c>
      <c r="EL97" s="1509">
        <v>0</v>
      </c>
      <c r="EM97" s="1509">
        <v>0.717749427</v>
      </c>
      <c r="EN97" s="1509">
        <v>0</v>
      </c>
      <c r="EO97" s="1509">
        <v>0.95581269099999999</v>
      </c>
      <c r="EP97" s="1509">
        <v>0</v>
      </c>
      <c r="EQ97" s="1509">
        <v>0</v>
      </c>
      <c r="ER97" s="1509">
        <v>0.99959271699999996</v>
      </c>
      <c r="ES97" s="1509">
        <v>3.3815468000000001E-2</v>
      </c>
      <c r="ET97" s="1509">
        <v>0</v>
      </c>
      <c r="EU97" s="1509">
        <v>0</v>
      </c>
      <c r="EV97" s="1509">
        <v>0</v>
      </c>
      <c r="EW97" s="1509">
        <v>0.97846605200000003</v>
      </c>
      <c r="EX97" s="1509">
        <v>0</v>
      </c>
      <c r="EY97" s="1509">
        <v>0</v>
      </c>
      <c r="EZ97" s="1509">
        <v>0.97298862200000003</v>
      </c>
      <c r="FA97" s="1509">
        <v>0.99006363200000003</v>
      </c>
      <c r="FB97" s="1509">
        <v>0</v>
      </c>
      <c r="FC97" s="1509">
        <v>0.99200295000000005</v>
      </c>
      <c r="FD97" s="1509">
        <v>0.99200295000000005</v>
      </c>
      <c r="FE97" s="1509">
        <v>0.99200295000000005</v>
      </c>
      <c r="FF97" s="1509">
        <v>0</v>
      </c>
      <c r="FG97" s="1509">
        <v>0</v>
      </c>
      <c r="FH97" s="1509">
        <v>0.98496758100000004</v>
      </c>
      <c r="FI97" s="1509">
        <v>0.97846605200000003</v>
      </c>
      <c r="FJ97" s="1509">
        <v>0</v>
      </c>
      <c r="FK97" s="1509">
        <v>0</v>
      </c>
      <c r="FL97" s="1509">
        <v>0.97362926400000005</v>
      </c>
      <c r="FM97" s="1509">
        <v>0</v>
      </c>
      <c r="FN97" s="1509">
        <v>0.99275551299999998</v>
      </c>
      <c r="FO97" s="1509">
        <v>0.85268557</v>
      </c>
      <c r="FP97" s="1509">
        <v>0</v>
      </c>
      <c r="FQ97" s="1509">
        <v>0.97298862200000003</v>
      </c>
      <c r="FR97" s="1509">
        <v>0</v>
      </c>
      <c r="FS97" s="1509">
        <v>0.97846605200000003</v>
      </c>
      <c r="FT97" s="1509">
        <v>0</v>
      </c>
      <c r="FU97" s="1509">
        <v>0.99275551299999998</v>
      </c>
    </row>
    <row r="98" spans="1:177" s="1509" customFormat="1" x14ac:dyDescent="0.2">
      <c r="A98" s="1512" t="s">
        <v>667</v>
      </c>
      <c r="B98" s="1512" t="s">
        <v>1032</v>
      </c>
      <c r="C98" s="1509">
        <v>0</v>
      </c>
      <c r="D98" s="1509">
        <v>0</v>
      </c>
      <c r="E98" s="1509">
        <v>0.98186548500000004</v>
      </c>
      <c r="F98" s="1509">
        <v>0</v>
      </c>
      <c r="G98" s="1509">
        <v>0.98186548500000004</v>
      </c>
      <c r="H98" s="1509">
        <v>0</v>
      </c>
      <c r="I98" s="1509">
        <v>0</v>
      </c>
      <c r="J98" s="1509">
        <v>0.99998841999999999</v>
      </c>
      <c r="K98" s="1509">
        <v>0.99998841999999999</v>
      </c>
      <c r="L98" s="1509">
        <v>0</v>
      </c>
      <c r="M98" s="1509">
        <v>0</v>
      </c>
      <c r="N98" s="1509">
        <v>0.98186548500000004</v>
      </c>
      <c r="O98" s="1509">
        <v>0.99998841999999999</v>
      </c>
      <c r="P98" s="1509">
        <v>0.99998841999999999</v>
      </c>
      <c r="Q98" s="1509">
        <v>0</v>
      </c>
      <c r="R98" s="1509">
        <v>0.99786484600000003</v>
      </c>
      <c r="S98" s="1509">
        <v>0</v>
      </c>
      <c r="T98" s="1509">
        <v>0</v>
      </c>
      <c r="U98" s="1509">
        <v>0</v>
      </c>
      <c r="V98" s="1509">
        <v>0</v>
      </c>
      <c r="W98" s="1509">
        <v>0</v>
      </c>
      <c r="X98" s="1509">
        <v>0</v>
      </c>
      <c r="Y98" s="1509">
        <v>0</v>
      </c>
      <c r="Z98" s="1509">
        <v>0</v>
      </c>
      <c r="AA98" s="1509">
        <v>0</v>
      </c>
      <c r="AB98" s="1509">
        <v>0</v>
      </c>
      <c r="AC98" s="1509">
        <v>0</v>
      </c>
      <c r="AD98" s="1509">
        <v>0</v>
      </c>
      <c r="AE98" s="1509">
        <v>0.99786484600000003</v>
      </c>
      <c r="AF98" s="1509">
        <v>0</v>
      </c>
      <c r="AG98" s="1509">
        <v>1</v>
      </c>
      <c r="AH98" s="1509">
        <v>0.98186548500000004</v>
      </c>
      <c r="AI98" s="1509">
        <v>0</v>
      </c>
      <c r="AJ98" s="1509">
        <v>0</v>
      </c>
      <c r="AK98" s="1509">
        <v>0.99786484600000003</v>
      </c>
      <c r="AL98" s="1509">
        <v>0</v>
      </c>
      <c r="AM98" s="1509">
        <v>0.99982856399999998</v>
      </c>
      <c r="AN98" s="1509">
        <v>0</v>
      </c>
      <c r="AO98" s="1509">
        <v>0</v>
      </c>
      <c r="AP98" s="1509">
        <v>0.99506823700000002</v>
      </c>
      <c r="AQ98" s="1509">
        <v>0</v>
      </c>
      <c r="AR98" s="1509">
        <v>0.97861900800000001</v>
      </c>
      <c r="AS98" s="1509">
        <v>0.99997670900000002</v>
      </c>
      <c r="AT98" s="1509">
        <v>0</v>
      </c>
      <c r="AU98" s="1509">
        <v>0.99997670900000002</v>
      </c>
      <c r="AV98" s="1509">
        <v>0</v>
      </c>
      <c r="AW98" s="1509">
        <v>0</v>
      </c>
      <c r="AX98" s="1509">
        <v>0.99489016900000005</v>
      </c>
      <c r="AY98" s="1509">
        <v>0</v>
      </c>
      <c r="AZ98" s="1509">
        <v>0</v>
      </c>
      <c r="BA98" s="1509">
        <v>0</v>
      </c>
      <c r="BB98" s="1509">
        <v>0.98581662000000003</v>
      </c>
      <c r="BC98" s="1509">
        <v>0</v>
      </c>
      <c r="BD98" s="1509">
        <v>0.97861900800000001</v>
      </c>
      <c r="BE98" s="1509">
        <v>0.98404796100000003</v>
      </c>
      <c r="BF98" s="1509">
        <v>0</v>
      </c>
      <c r="BG98" s="1509">
        <v>0</v>
      </c>
      <c r="BH98" s="1509">
        <v>0.98186548500000004</v>
      </c>
      <c r="BI98" s="1509">
        <v>0</v>
      </c>
      <c r="BJ98" s="1509">
        <v>0.98186548500000004</v>
      </c>
      <c r="BK98" s="1509">
        <v>0.98186548500000004</v>
      </c>
      <c r="BL98" s="1509">
        <v>0.98186548500000004</v>
      </c>
      <c r="BM98" s="1509">
        <v>0.99786484600000003</v>
      </c>
      <c r="BN98" s="1509">
        <v>0</v>
      </c>
      <c r="BO98" s="1509">
        <v>0.99998841999999999</v>
      </c>
      <c r="BP98" s="1509">
        <v>0.98186548500000004</v>
      </c>
      <c r="BQ98" s="1509">
        <v>0.98186548500000004</v>
      </c>
      <c r="BR98" s="1509">
        <v>0.98186548500000004</v>
      </c>
      <c r="BS98" s="1509">
        <v>0.98186548500000004</v>
      </c>
      <c r="BT98" s="1509">
        <v>0</v>
      </c>
      <c r="BU98" s="1509">
        <v>0.98581662000000003</v>
      </c>
      <c r="BV98" s="1509">
        <v>0</v>
      </c>
      <c r="BW98" s="1509">
        <v>0.99786484600000003</v>
      </c>
      <c r="BX98" s="1509">
        <v>0.99968794900000002</v>
      </c>
      <c r="BY98" s="1509">
        <v>0.99968794900000002</v>
      </c>
      <c r="BZ98" s="1509">
        <v>0.99996099400000005</v>
      </c>
      <c r="CA98" s="1509">
        <v>0.95410978099999999</v>
      </c>
      <c r="CB98" s="1509">
        <v>0</v>
      </c>
      <c r="CC98" s="1509">
        <v>0</v>
      </c>
      <c r="CD98" s="1509">
        <v>0.95410978099999999</v>
      </c>
      <c r="CE98" s="1509">
        <v>0.99786484600000003</v>
      </c>
      <c r="CF98" s="1509">
        <v>0</v>
      </c>
      <c r="CG98" s="1509">
        <v>0.98186548500000004</v>
      </c>
      <c r="CH98" s="1509">
        <v>0</v>
      </c>
      <c r="CI98" s="1509">
        <v>0</v>
      </c>
      <c r="CJ98" s="1509">
        <v>1</v>
      </c>
      <c r="CK98" s="1509">
        <v>0</v>
      </c>
      <c r="CL98" s="1509">
        <v>0</v>
      </c>
      <c r="CM98" s="1509">
        <v>0</v>
      </c>
      <c r="CN98" s="1509">
        <v>0.95410978099999999</v>
      </c>
      <c r="CO98" s="1509">
        <v>0.99786484600000003</v>
      </c>
      <c r="CP98" s="1509">
        <v>0.99786484600000003</v>
      </c>
      <c r="CQ98" s="1509">
        <v>0.98186548500000004</v>
      </c>
      <c r="CR98" s="1509">
        <v>0</v>
      </c>
      <c r="CS98" s="1509">
        <v>0.98186548500000004</v>
      </c>
      <c r="CT98" s="1509">
        <v>0</v>
      </c>
      <c r="CU98" s="1509">
        <v>0</v>
      </c>
      <c r="CV98" s="1509">
        <v>0</v>
      </c>
      <c r="CW98" s="1509">
        <v>0</v>
      </c>
      <c r="CX98" s="1509">
        <v>0</v>
      </c>
      <c r="CY98" s="1509">
        <v>1</v>
      </c>
      <c r="CZ98" s="1509">
        <v>0.99489016900000005</v>
      </c>
      <c r="DA98" s="1509">
        <v>0.99489016900000005</v>
      </c>
      <c r="DB98" s="1509">
        <v>0.99833720000000004</v>
      </c>
      <c r="DC98" s="1509">
        <v>0</v>
      </c>
      <c r="DD98" s="1509">
        <v>0.93868909499999997</v>
      </c>
      <c r="DE98" s="1509">
        <v>0</v>
      </c>
      <c r="DF98" s="1509">
        <v>0</v>
      </c>
      <c r="DG98" s="1509">
        <v>0</v>
      </c>
      <c r="DH98" s="1509">
        <v>0</v>
      </c>
      <c r="DI98" s="1509">
        <v>0</v>
      </c>
      <c r="DJ98" s="1509">
        <v>0.99489016900000005</v>
      </c>
      <c r="DK98" s="1509">
        <v>0.99489016900000005</v>
      </c>
      <c r="DL98" s="1509">
        <v>0.99786484600000003</v>
      </c>
      <c r="DM98" s="1509">
        <v>0.99982856399999998</v>
      </c>
      <c r="DN98" s="1509">
        <v>0</v>
      </c>
      <c r="DO98" s="1509">
        <v>0.99997132399999999</v>
      </c>
      <c r="DP98" s="1509">
        <v>0.99996099400000005</v>
      </c>
      <c r="DQ98" s="1509">
        <v>1</v>
      </c>
      <c r="DR98" s="1509">
        <v>0.99489016900000005</v>
      </c>
      <c r="DS98" s="1509">
        <v>0.99489016900000005</v>
      </c>
      <c r="DT98" s="1509">
        <v>0.99489016900000005</v>
      </c>
      <c r="DU98" s="1509">
        <v>0</v>
      </c>
      <c r="DV98" s="1509">
        <v>0</v>
      </c>
      <c r="DW98" s="1509">
        <v>0</v>
      </c>
      <c r="DX98" s="1509">
        <v>0.97861900800000001</v>
      </c>
      <c r="DY98" s="1509">
        <v>0.98581662000000003</v>
      </c>
      <c r="DZ98" s="1509">
        <v>0</v>
      </c>
      <c r="EA98" s="1509">
        <v>0</v>
      </c>
      <c r="EB98" s="1509">
        <v>0</v>
      </c>
      <c r="EC98" s="1509">
        <v>0</v>
      </c>
      <c r="ED98" s="1509">
        <v>0.98186548500000004</v>
      </c>
      <c r="EE98" s="1509">
        <v>0</v>
      </c>
      <c r="EF98" s="1509">
        <v>0</v>
      </c>
      <c r="EG98" s="1509">
        <v>0</v>
      </c>
      <c r="EH98" s="1509">
        <v>0.98581662000000003</v>
      </c>
      <c r="EI98" s="1509">
        <v>0</v>
      </c>
      <c r="EJ98" s="1509">
        <v>0</v>
      </c>
      <c r="EK98" s="1509">
        <v>0</v>
      </c>
      <c r="EL98" s="1509">
        <v>0</v>
      </c>
      <c r="EM98" s="1509">
        <v>0</v>
      </c>
      <c r="EN98" s="1509">
        <v>0</v>
      </c>
      <c r="EO98" s="1509">
        <v>0</v>
      </c>
      <c r="EP98" s="1509">
        <v>0</v>
      </c>
      <c r="EQ98" s="1509">
        <v>0.99786484600000003</v>
      </c>
      <c r="ER98" s="1509">
        <v>1</v>
      </c>
      <c r="ES98" s="1509">
        <v>0.98581662000000003</v>
      </c>
      <c r="ET98" s="1509">
        <v>0</v>
      </c>
      <c r="EU98" s="1509">
        <v>0</v>
      </c>
      <c r="EV98" s="1509">
        <v>0</v>
      </c>
      <c r="EW98" s="1509">
        <v>0</v>
      </c>
      <c r="EX98" s="1509">
        <v>0</v>
      </c>
      <c r="EY98" s="1509">
        <v>0</v>
      </c>
      <c r="EZ98" s="1509">
        <v>0</v>
      </c>
      <c r="FA98" s="1509">
        <v>0.99961816599999997</v>
      </c>
      <c r="FB98" s="1509">
        <v>0</v>
      </c>
      <c r="FC98" s="1509">
        <v>0.98581662000000003</v>
      </c>
      <c r="FD98" s="1509">
        <v>0</v>
      </c>
      <c r="FE98" s="1509">
        <v>0.98581662000000003</v>
      </c>
      <c r="FF98" s="1509">
        <v>0</v>
      </c>
      <c r="FG98" s="1509">
        <v>0</v>
      </c>
      <c r="FH98" s="1509">
        <v>0</v>
      </c>
      <c r="FI98" s="1509">
        <v>0</v>
      </c>
      <c r="FJ98" s="1509">
        <v>1</v>
      </c>
      <c r="FK98" s="1509">
        <v>0</v>
      </c>
      <c r="FL98" s="1509">
        <v>0</v>
      </c>
      <c r="FM98" s="1509">
        <v>0</v>
      </c>
      <c r="FN98" s="1509">
        <v>1</v>
      </c>
      <c r="FO98" s="1509">
        <v>0</v>
      </c>
      <c r="FP98" s="1509">
        <v>0</v>
      </c>
      <c r="FQ98" s="1509">
        <v>0</v>
      </c>
      <c r="FR98" s="1509">
        <v>0</v>
      </c>
      <c r="FS98" s="1509">
        <v>0</v>
      </c>
      <c r="FT98" s="1509">
        <v>0</v>
      </c>
      <c r="FU98" s="1509">
        <v>0</v>
      </c>
    </row>
    <row r="99" spans="1:177" s="1509" customFormat="1" x14ac:dyDescent="0.2">
      <c r="A99" s="1512" t="s">
        <v>667</v>
      </c>
      <c r="B99" s="1512" t="s">
        <v>1063</v>
      </c>
      <c r="C99" s="1509">
        <v>0.92440244199999999</v>
      </c>
      <c r="D99" s="1509">
        <v>0.95370832699999997</v>
      </c>
      <c r="E99" s="1509">
        <v>0.65877872299999995</v>
      </c>
      <c r="F99" s="1509">
        <v>0.77375998899999998</v>
      </c>
      <c r="G99" s="1509">
        <v>0.33854931399999999</v>
      </c>
      <c r="H99" s="1509">
        <v>0.43569772899999998</v>
      </c>
      <c r="I99" s="1509">
        <v>0.97783798300000002</v>
      </c>
      <c r="J99" s="1509">
        <v>0.98586132599999998</v>
      </c>
      <c r="K99" s="1509">
        <v>0.99457036200000004</v>
      </c>
      <c r="L99" s="1509">
        <v>0.99512189699999998</v>
      </c>
      <c r="M99" s="1509">
        <v>0.99064999099999995</v>
      </c>
      <c r="N99" s="1509">
        <v>0.98975188400000003</v>
      </c>
      <c r="O99" s="1509">
        <v>0.984214174</v>
      </c>
      <c r="P99" s="1509">
        <v>0.98884632299999997</v>
      </c>
      <c r="Q99" s="1509">
        <v>0.94094872900000004</v>
      </c>
      <c r="R99" s="1509">
        <v>0.93107203900000002</v>
      </c>
      <c r="S99" s="1509">
        <v>0.87906104900000004</v>
      </c>
      <c r="T99" s="1509">
        <v>0.98361792000000003</v>
      </c>
      <c r="U99" s="1509">
        <v>0.31374141999999999</v>
      </c>
      <c r="V99" s="1509">
        <v>0.72641256300000001</v>
      </c>
      <c r="W99" s="1509">
        <v>0.85932876700000005</v>
      </c>
      <c r="X99" s="1509">
        <v>0.92426828500000002</v>
      </c>
      <c r="Y99" s="1509">
        <v>0.88238143899999999</v>
      </c>
      <c r="Z99" s="1509">
        <v>0.469971156</v>
      </c>
      <c r="AA99" s="1509">
        <v>0.69806068399999999</v>
      </c>
      <c r="AB99" s="1509">
        <v>0.549742493</v>
      </c>
      <c r="AC99" s="1509">
        <v>0.55981173299999998</v>
      </c>
      <c r="AD99" s="1509">
        <v>0.60703505199999996</v>
      </c>
      <c r="AE99" s="1509">
        <v>0.93084078699999995</v>
      </c>
      <c r="AF99" s="1509">
        <v>0.65632290100000001</v>
      </c>
      <c r="AG99" s="1509">
        <v>0.66377607699999996</v>
      </c>
      <c r="AH99" s="1509">
        <v>0.74109159199999997</v>
      </c>
      <c r="AI99" s="1509">
        <v>0.81610780299999997</v>
      </c>
      <c r="AJ99" s="1509">
        <v>0.50145336900000004</v>
      </c>
      <c r="AK99" s="1509">
        <v>0.91120676199999995</v>
      </c>
      <c r="AL99" s="1509">
        <v>0.73449307399999997</v>
      </c>
      <c r="AM99" s="1509">
        <v>0.69697060099999997</v>
      </c>
      <c r="AN99" s="1509">
        <v>0.766778811</v>
      </c>
      <c r="AO99" s="1509">
        <v>0.72556438899999998</v>
      </c>
      <c r="AP99" s="1509">
        <v>0.280366481</v>
      </c>
      <c r="AQ99" s="1509">
        <v>0.98619299299999996</v>
      </c>
      <c r="AR99" s="1509">
        <v>0.32306639799999998</v>
      </c>
      <c r="AS99" s="1509">
        <v>0.40567589599999998</v>
      </c>
      <c r="AT99" s="1509">
        <v>0.72220086999999999</v>
      </c>
      <c r="AU99" s="1509">
        <v>0.53425215599999998</v>
      </c>
      <c r="AV99" s="1509">
        <v>0.70110157900000003</v>
      </c>
      <c r="AW99" s="1509">
        <v>0.79320792100000004</v>
      </c>
      <c r="AX99" s="1509">
        <v>0.50972573499999996</v>
      </c>
      <c r="AY99" s="1509">
        <v>0.89680338199999998</v>
      </c>
      <c r="AZ99" s="1509">
        <v>0.62771613500000001</v>
      </c>
      <c r="BA99" s="1509">
        <v>0.50734759900000004</v>
      </c>
      <c r="BB99" s="1509">
        <v>0.94898509600000003</v>
      </c>
      <c r="BC99" s="1509">
        <v>0.297423402</v>
      </c>
      <c r="BD99" s="1509">
        <v>0.41426199499999999</v>
      </c>
      <c r="BE99" s="1509">
        <v>0.60636811400000001</v>
      </c>
      <c r="BF99" s="1509">
        <v>0.31279690100000002</v>
      </c>
      <c r="BG99" s="1509">
        <v>0.37812205300000001</v>
      </c>
      <c r="BH99" s="1509">
        <v>0.47458467199999999</v>
      </c>
      <c r="BI99" s="1509">
        <v>0.94425024800000001</v>
      </c>
      <c r="BJ99" s="1509">
        <v>0.85910889800000001</v>
      </c>
      <c r="BK99" s="1509">
        <v>0.84504475599999995</v>
      </c>
      <c r="BL99" s="1509">
        <v>0.76905217999999997</v>
      </c>
      <c r="BM99" s="1509">
        <v>0.69341230700000001</v>
      </c>
      <c r="BN99" s="1509">
        <v>0.47620573700000002</v>
      </c>
      <c r="BO99" s="1509">
        <v>0.927611034</v>
      </c>
      <c r="BP99" s="1509">
        <v>0.35735367600000001</v>
      </c>
      <c r="BQ99" s="1509">
        <v>0.84844340399999996</v>
      </c>
      <c r="BR99" s="1509">
        <v>0.88444224199999999</v>
      </c>
      <c r="BS99" s="1509">
        <v>0.102354458</v>
      </c>
      <c r="BT99" s="1509">
        <v>0.109256324</v>
      </c>
      <c r="BU99" s="1509">
        <v>0.105926513</v>
      </c>
      <c r="BV99" s="1509">
        <v>0.86984016900000005</v>
      </c>
      <c r="BW99" s="1509">
        <v>0.91231826199999999</v>
      </c>
      <c r="BX99" s="1509">
        <v>0.60834867299999995</v>
      </c>
      <c r="BY99" s="1509">
        <v>0.63939127399999995</v>
      </c>
      <c r="BZ99" s="1509">
        <v>0.568063757</v>
      </c>
      <c r="CA99" s="1509">
        <v>0.77515609500000004</v>
      </c>
      <c r="CB99" s="1509">
        <v>0.71179309700000004</v>
      </c>
      <c r="CC99" s="1509">
        <v>0.93040066200000004</v>
      </c>
      <c r="CD99" s="1509">
        <v>0.80883680300000005</v>
      </c>
      <c r="CE99" s="1509">
        <v>0.57792067300000005</v>
      </c>
      <c r="CF99" s="1509">
        <v>0.86643342599999995</v>
      </c>
      <c r="CG99" s="1509">
        <v>0.59724903299999998</v>
      </c>
      <c r="CH99" s="1509">
        <v>0.73060497400000002</v>
      </c>
      <c r="CI99" s="1509">
        <v>0.46654642200000002</v>
      </c>
      <c r="CJ99" s="1509">
        <v>0.93331572100000004</v>
      </c>
      <c r="CK99" s="1509">
        <v>0.71880434999999998</v>
      </c>
      <c r="CL99" s="1509">
        <v>0.71657530300000005</v>
      </c>
      <c r="CM99" s="1509">
        <v>0.38129468900000002</v>
      </c>
      <c r="CN99" s="1509">
        <v>0.10373509</v>
      </c>
      <c r="CO99" s="1509">
        <v>0.46717343099999997</v>
      </c>
      <c r="CP99" s="1509">
        <v>9.4678970000000001E-2</v>
      </c>
      <c r="CQ99" s="1509">
        <v>0.43046932599999999</v>
      </c>
      <c r="CR99" s="1509">
        <v>0.97134999399999999</v>
      </c>
      <c r="CS99" s="1509">
        <v>0.44987739500000001</v>
      </c>
      <c r="CT99" s="1509">
        <v>0.89714617900000004</v>
      </c>
      <c r="CU99" s="1509">
        <v>0.84234670700000003</v>
      </c>
      <c r="CV99" s="1509">
        <v>0.92686524400000003</v>
      </c>
      <c r="CW99" s="1509">
        <v>0.92837879499999998</v>
      </c>
      <c r="CX99" s="1509">
        <v>0.55655725099999998</v>
      </c>
      <c r="CY99" s="1509">
        <v>0.910546419</v>
      </c>
      <c r="CZ99" s="1509">
        <v>0.72699663000000003</v>
      </c>
      <c r="DA99" s="1509">
        <v>0.50124268699999996</v>
      </c>
      <c r="DB99" s="1509">
        <v>0.19513608499999999</v>
      </c>
      <c r="DC99" s="1509">
        <v>0.19249625200000001</v>
      </c>
      <c r="DD99" s="1509">
        <v>1.6390879000000001E-2</v>
      </c>
      <c r="DE99" s="1509">
        <v>0.202080593</v>
      </c>
      <c r="DF99" s="1509">
        <v>0.105317378</v>
      </c>
      <c r="DG99" s="1509">
        <v>0.26722100100000001</v>
      </c>
      <c r="DH99" s="1509">
        <v>0.23031852799999999</v>
      </c>
      <c r="DI99" s="1509">
        <v>0.288615605</v>
      </c>
      <c r="DJ99" s="1509">
        <v>0.63473188000000003</v>
      </c>
      <c r="DK99" s="1509">
        <v>0.52936292500000004</v>
      </c>
      <c r="DL99" s="1509">
        <v>1</v>
      </c>
      <c r="DM99" s="1509">
        <v>0.60696888500000001</v>
      </c>
      <c r="DN99" s="1509">
        <v>0.78808299000000004</v>
      </c>
      <c r="DO99" s="1509">
        <v>1</v>
      </c>
      <c r="DP99" s="1509">
        <v>0.42712936499999998</v>
      </c>
      <c r="DQ99" s="1509">
        <v>0.50353141700000004</v>
      </c>
      <c r="DR99" s="1509">
        <v>0.52181940299999996</v>
      </c>
      <c r="DS99" s="1509">
        <v>0.79739554599999996</v>
      </c>
      <c r="DT99" s="1509">
        <v>0.48380682899999999</v>
      </c>
      <c r="DU99" s="1509">
        <v>0.15012558600000001</v>
      </c>
      <c r="DV99" s="1509">
        <v>0.55681928300000005</v>
      </c>
      <c r="DW99" s="1509">
        <v>0.741996514</v>
      </c>
      <c r="DX99" s="1509">
        <v>0.59596906900000002</v>
      </c>
      <c r="DY99" s="1509">
        <v>0.16314972599999999</v>
      </c>
      <c r="DZ99" s="1509">
        <v>0.23317754900000001</v>
      </c>
      <c r="EA99" s="1509">
        <v>0.89863064999999998</v>
      </c>
      <c r="EB99" s="1509">
        <v>0.93313011000000001</v>
      </c>
      <c r="EC99" s="1509">
        <v>0.68261770399999999</v>
      </c>
      <c r="ED99" s="1509">
        <v>0.118736538</v>
      </c>
      <c r="EE99" s="1509">
        <v>0.88464264100000001</v>
      </c>
      <c r="EF99" s="1509">
        <v>0.61237699000000001</v>
      </c>
      <c r="EG99" s="1509">
        <v>0.68133128700000001</v>
      </c>
      <c r="EH99" s="1509">
        <v>0.13528388699999999</v>
      </c>
      <c r="EI99" s="1509">
        <v>0.89328847499999997</v>
      </c>
      <c r="EJ99" s="1509">
        <v>0.85494543199999995</v>
      </c>
      <c r="EK99" s="1509">
        <v>0.96397507699999996</v>
      </c>
      <c r="EL99" s="1509">
        <v>0.122490089</v>
      </c>
      <c r="EM99" s="1509">
        <v>0.27541644100000001</v>
      </c>
      <c r="EN99" s="1509">
        <v>0.123593852</v>
      </c>
      <c r="EO99" s="1509">
        <v>9.3856640000000005E-2</v>
      </c>
      <c r="EP99" s="1509">
        <v>0.517476826</v>
      </c>
      <c r="EQ99" s="1509">
        <v>1</v>
      </c>
      <c r="ER99" s="1509">
        <v>0.99512911999999998</v>
      </c>
      <c r="ES99" s="1509">
        <v>0.99451819600000002</v>
      </c>
      <c r="ET99" s="1509">
        <v>0.86243500699999998</v>
      </c>
      <c r="EU99" s="1509">
        <v>0.52999109600000005</v>
      </c>
      <c r="EV99" s="1509">
        <v>0.56420537999999998</v>
      </c>
      <c r="EW99" s="1509">
        <v>0.75749330400000003</v>
      </c>
      <c r="EX99" s="1509">
        <v>0.96636615800000003</v>
      </c>
      <c r="EY99" s="1509">
        <v>0.96009180400000005</v>
      </c>
      <c r="EZ99" s="1509">
        <v>0.51734026700000002</v>
      </c>
      <c r="FA99" s="1509">
        <v>0.42481704999999997</v>
      </c>
      <c r="FB99" s="1509">
        <v>0.41919986399999998</v>
      </c>
      <c r="FC99" s="1509">
        <v>0.82770843000000005</v>
      </c>
      <c r="FD99" s="1509">
        <v>0.72317438300000003</v>
      </c>
      <c r="FE99" s="1509">
        <v>0.97388987999999999</v>
      </c>
      <c r="FF99" s="1509">
        <v>0.839292547</v>
      </c>
      <c r="FG99" s="1509">
        <v>0.179444255</v>
      </c>
      <c r="FH99" s="1509">
        <v>0.479540725</v>
      </c>
      <c r="FI99" s="1509">
        <v>0.42113430600000001</v>
      </c>
      <c r="FJ99" s="1509">
        <v>0.40478942400000001</v>
      </c>
      <c r="FK99" s="1509">
        <v>0.56848435900000005</v>
      </c>
      <c r="FL99" s="1509">
        <v>0.218020769</v>
      </c>
      <c r="FM99" s="1509">
        <v>0.95464742800000002</v>
      </c>
      <c r="FN99" s="1509">
        <v>0.96453779100000003</v>
      </c>
      <c r="FO99" s="1509">
        <v>0.38191739800000002</v>
      </c>
      <c r="FP99" s="1509">
        <v>0.27968623799999998</v>
      </c>
      <c r="FQ99" s="1509">
        <v>0.677758902</v>
      </c>
      <c r="FR99" s="1509">
        <v>0.819705876</v>
      </c>
      <c r="FS99" s="1509" t="s">
        <v>2372</v>
      </c>
      <c r="FT99" s="1509">
        <v>0.115628363</v>
      </c>
      <c r="FU99" s="1509">
        <v>0.45079413600000001</v>
      </c>
    </row>
    <row r="100" spans="1:177" s="1509" customFormat="1" x14ac:dyDescent="0.2">
      <c r="A100" s="1512" t="s">
        <v>667</v>
      </c>
      <c r="B100" s="1512" t="s">
        <v>1400</v>
      </c>
      <c r="C100" s="1509">
        <v>1</v>
      </c>
      <c r="D100" s="1509">
        <v>0.8</v>
      </c>
      <c r="E100" s="1509">
        <v>0.2</v>
      </c>
      <c r="F100" s="1509">
        <v>0.2</v>
      </c>
      <c r="G100" s="1509">
        <v>0.2</v>
      </c>
      <c r="H100" s="1509">
        <v>0.2</v>
      </c>
      <c r="I100" s="1509">
        <v>0.8</v>
      </c>
      <c r="J100" s="1509">
        <v>0.8</v>
      </c>
      <c r="K100" s="1509">
        <v>0.8</v>
      </c>
      <c r="L100" s="1509">
        <v>1</v>
      </c>
      <c r="M100" s="1509">
        <v>0.8</v>
      </c>
      <c r="N100" s="1509">
        <v>1</v>
      </c>
      <c r="O100" s="1509">
        <v>1</v>
      </c>
      <c r="P100" s="1509">
        <v>1</v>
      </c>
      <c r="Q100" s="1509">
        <v>0.2</v>
      </c>
      <c r="R100" s="1509">
        <v>0.8</v>
      </c>
      <c r="S100" s="1509">
        <v>0.2</v>
      </c>
      <c r="T100" s="1509">
        <v>1</v>
      </c>
      <c r="U100" s="1509">
        <v>1</v>
      </c>
      <c r="V100" s="1509">
        <v>0.8</v>
      </c>
      <c r="W100" s="1509">
        <v>1</v>
      </c>
      <c r="X100" s="1509">
        <v>0.2</v>
      </c>
      <c r="Y100" s="1509">
        <v>0.2</v>
      </c>
      <c r="Z100" s="1509">
        <v>0.2</v>
      </c>
      <c r="AA100" s="1509">
        <v>1</v>
      </c>
      <c r="AB100" s="1509">
        <v>0.6</v>
      </c>
      <c r="AC100" s="1509">
        <v>0.2</v>
      </c>
      <c r="AD100" s="1509">
        <v>0.8</v>
      </c>
      <c r="AE100" s="1509">
        <v>1</v>
      </c>
      <c r="AF100" s="1509">
        <v>0.4</v>
      </c>
      <c r="AG100" s="1509">
        <v>0.8</v>
      </c>
      <c r="AH100" s="1509">
        <v>1</v>
      </c>
      <c r="AI100" s="1509">
        <v>0.2</v>
      </c>
      <c r="AJ100" s="1509">
        <v>1</v>
      </c>
      <c r="AK100" s="1509">
        <v>0.8</v>
      </c>
      <c r="AL100" s="1509">
        <v>1</v>
      </c>
      <c r="AM100" s="1509">
        <v>1</v>
      </c>
      <c r="AN100" s="1509">
        <v>0.2</v>
      </c>
      <c r="AO100" s="1509">
        <v>0.6</v>
      </c>
      <c r="AP100" s="1509">
        <v>0</v>
      </c>
      <c r="AQ100" s="1509">
        <v>0.2</v>
      </c>
      <c r="AR100" s="1509">
        <v>0.4</v>
      </c>
      <c r="AS100" s="1509">
        <v>0.4</v>
      </c>
      <c r="AT100" s="1509">
        <v>1</v>
      </c>
      <c r="AU100" s="1509">
        <v>0</v>
      </c>
      <c r="AV100" s="1509">
        <v>0.8</v>
      </c>
      <c r="AW100" s="1509">
        <v>0.8</v>
      </c>
      <c r="AX100" s="1509">
        <v>1</v>
      </c>
      <c r="AY100" s="1509">
        <v>0.8</v>
      </c>
      <c r="AZ100" s="1509">
        <v>1</v>
      </c>
      <c r="BA100" s="1509">
        <v>1</v>
      </c>
      <c r="BB100" s="1509">
        <v>0.8</v>
      </c>
      <c r="BC100" s="1509">
        <v>0.2</v>
      </c>
      <c r="BD100" s="1509">
        <v>0.8</v>
      </c>
      <c r="BE100" s="1509">
        <v>1</v>
      </c>
      <c r="BF100" s="1509">
        <v>0.2</v>
      </c>
      <c r="BG100" s="1509">
        <v>0.2</v>
      </c>
      <c r="BH100" s="1509">
        <v>0.4</v>
      </c>
      <c r="BI100" s="1509">
        <v>1</v>
      </c>
      <c r="BJ100" s="1509">
        <v>0.8</v>
      </c>
      <c r="BK100" s="1509">
        <v>0.4</v>
      </c>
      <c r="BL100" s="1509">
        <v>0</v>
      </c>
      <c r="BM100" s="1509">
        <v>0</v>
      </c>
      <c r="BN100" s="1509">
        <v>1</v>
      </c>
      <c r="BO100" s="1509">
        <v>0.4</v>
      </c>
      <c r="BP100" s="1509">
        <v>1</v>
      </c>
      <c r="BQ100" s="1509">
        <v>0.8</v>
      </c>
      <c r="BR100" s="1509">
        <v>0.2</v>
      </c>
      <c r="BS100" s="1509">
        <v>0</v>
      </c>
      <c r="BT100" s="1509">
        <v>1</v>
      </c>
      <c r="BU100" s="1509">
        <v>1</v>
      </c>
      <c r="BV100" s="1509">
        <v>0.8</v>
      </c>
      <c r="BW100" s="1509">
        <v>0</v>
      </c>
      <c r="BX100" s="1509">
        <v>1</v>
      </c>
      <c r="BY100" s="1509">
        <v>0</v>
      </c>
      <c r="BZ100" s="1509">
        <v>0</v>
      </c>
      <c r="CA100" s="1509">
        <v>0</v>
      </c>
      <c r="CB100" s="1509">
        <v>0</v>
      </c>
      <c r="CC100" s="1509">
        <v>1</v>
      </c>
      <c r="CD100" s="1509">
        <v>1</v>
      </c>
      <c r="CE100" s="1509">
        <v>1</v>
      </c>
      <c r="CF100" s="1509">
        <v>0.2</v>
      </c>
      <c r="CG100" s="1509">
        <v>0.4</v>
      </c>
      <c r="CH100" s="1509">
        <v>1</v>
      </c>
      <c r="CI100" s="1509">
        <v>0.6</v>
      </c>
      <c r="CJ100" s="1509">
        <v>0.8</v>
      </c>
      <c r="CK100" s="1509">
        <v>0.2</v>
      </c>
      <c r="CL100" s="1509">
        <v>0.2</v>
      </c>
      <c r="CM100" s="1509">
        <v>0.2</v>
      </c>
      <c r="CN100" s="1509">
        <v>0.4</v>
      </c>
      <c r="CO100" s="1509">
        <v>0</v>
      </c>
      <c r="CP100" s="1509">
        <v>0</v>
      </c>
      <c r="CQ100" s="1509">
        <v>1</v>
      </c>
      <c r="CR100" s="1509">
        <v>0.2</v>
      </c>
      <c r="CS100" s="1509">
        <v>1</v>
      </c>
      <c r="CT100" s="1509">
        <v>0.8</v>
      </c>
      <c r="CU100" s="1509">
        <v>0.2</v>
      </c>
      <c r="CV100" s="1509">
        <v>0.2</v>
      </c>
      <c r="CW100" s="1509">
        <v>0.2</v>
      </c>
      <c r="CX100" s="1509">
        <v>0.2</v>
      </c>
      <c r="CY100" s="1509">
        <v>0.4</v>
      </c>
      <c r="CZ100" s="1509">
        <v>1</v>
      </c>
      <c r="DA100" s="1509">
        <v>1</v>
      </c>
      <c r="DB100" s="1509">
        <v>0.8</v>
      </c>
      <c r="DC100" s="1509">
        <v>0.6</v>
      </c>
      <c r="DD100" s="1509">
        <v>1</v>
      </c>
      <c r="DE100" s="1509">
        <v>0.8</v>
      </c>
      <c r="DF100" s="1509">
        <v>0.6</v>
      </c>
      <c r="DG100" s="1509">
        <v>0.6</v>
      </c>
      <c r="DH100" s="1509">
        <v>0.2</v>
      </c>
      <c r="DI100" s="1509">
        <v>1</v>
      </c>
      <c r="DJ100" s="1509">
        <v>1</v>
      </c>
      <c r="DK100" s="1509">
        <v>0.4</v>
      </c>
      <c r="DL100" s="1509">
        <v>1</v>
      </c>
      <c r="DM100" s="1509">
        <v>0</v>
      </c>
      <c r="DN100" s="1509">
        <v>0.2</v>
      </c>
      <c r="DO100" s="1509">
        <v>0.8</v>
      </c>
      <c r="DP100" s="1509">
        <v>1</v>
      </c>
      <c r="DQ100" s="1509">
        <v>0.4</v>
      </c>
      <c r="DR100" s="1509">
        <v>0.6</v>
      </c>
      <c r="DS100" s="1509">
        <v>0.8</v>
      </c>
      <c r="DT100" s="1509">
        <v>0.8</v>
      </c>
      <c r="DU100" s="1509">
        <v>0.8</v>
      </c>
      <c r="DV100" s="1509">
        <v>0.2</v>
      </c>
      <c r="DW100" s="1509">
        <v>0.2</v>
      </c>
      <c r="DX100" s="1509">
        <v>0.4</v>
      </c>
      <c r="DY100" s="1509">
        <v>0.8</v>
      </c>
      <c r="DZ100" s="1509">
        <v>0.2</v>
      </c>
      <c r="EA100" s="1509">
        <v>0.2</v>
      </c>
      <c r="EB100" s="1509">
        <v>0.2</v>
      </c>
      <c r="EC100" s="1509">
        <v>0.2</v>
      </c>
      <c r="ED100" s="1509">
        <v>1</v>
      </c>
      <c r="EE100" s="1509">
        <v>0.2</v>
      </c>
      <c r="EF100" s="1509">
        <v>0.2</v>
      </c>
      <c r="EG100" s="1509">
        <v>0.2</v>
      </c>
      <c r="EH100" s="1509">
        <v>0.2</v>
      </c>
      <c r="EI100" s="1509">
        <v>0.2</v>
      </c>
      <c r="EJ100" s="1509">
        <v>0.2</v>
      </c>
      <c r="EK100" s="1509">
        <v>0.2</v>
      </c>
      <c r="EL100" s="1509">
        <v>0.8</v>
      </c>
      <c r="EM100" s="1509">
        <v>0.6</v>
      </c>
      <c r="EN100" s="1509">
        <v>0.8</v>
      </c>
      <c r="EO100" s="1509">
        <v>0.2</v>
      </c>
      <c r="EP100" s="1509">
        <v>0.2</v>
      </c>
      <c r="EQ100" s="1509">
        <v>0.6</v>
      </c>
      <c r="ER100" s="1509">
        <v>0.4</v>
      </c>
      <c r="ES100" s="1509">
        <v>1</v>
      </c>
      <c r="ET100" s="1509">
        <v>0.2</v>
      </c>
      <c r="EU100" s="1509">
        <v>0.2</v>
      </c>
      <c r="EV100" s="1509">
        <v>0.8</v>
      </c>
      <c r="EW100" s="1509">
        <v>0.2</v>
      </c>
      <c r="EX100" s="1509">
        <v>0.2</v>
      </c>
      <c r="EY100" s="1509">
        <v>0.8</v>
      </c>
      <c r="EZ100" s="1509">
        <v>0.2</v>
      </c>
      <c r="FA100" s="1509">
        <v>1</v>
      </c>
      <c r="FB100" s="1509">
        <v>0.8</v>
      </c>
      <c r="FC100" s="1509">
        <v>0.2</v>
      </c>
      <c r="FD100" s="1509">
        <v>0.2</v>
      </c>
      <c r="FE100" s="1509">
        <v>0.6</v>
      </c>
      <c r="FF100" s="1509">
        <v>0.2</v>
      </c>
      <c r="FG100" s="1509">
        <v>0.2</v>
      </c>
      <c r="FH100" s="1509">
        <v>0.2</v>
      </c>
      <c r="FI100" s="1509">
        <v>0.2</v>
      </c>
      <c r="FJ100" s="1509">
        <v>0.8</v>
      </c>
      <c r="FK100" s="1509">
        <v>0.2</v>
      </c>
      <c r="FL100" s="1509">
        <v>0.2</v>
      </c>
      <c r="FM100" s="1509">
        <v>0.8</v>
      </c>
      <c r="FN100" s="1509">
        <v>1</v>
      </c>
      <c r="FO100" s="1509">
        <v>0.6</v>
      </c>
      <c r="FP100" s="1509">
        <v>0.2</v>
      </c>
      <c r="FQ100" s="1509">
        <v>0.2</v>
      </c>
      <c r="FR100" s="1509">
        <v>0.2</v>
      </c>
      <c r="FS100" s="1509">
        <v>0.4</v>
      </c>
      <c r="FT100" s="1509">
        <v>0.2</v>
      </c>
      <c r="FU100" s="1509">
        <v>0.6</v>
      </c>
    </row>
    <row r="101" spans="1:177" s="1509" customFormat="1" x14ac:dyDescent="0.2">
      <c r="A101" s="1512" t="s">
        <v>667</v>
      </c>
      <c r="B101" s="1512" t="s">
        <v>1064</v>
      </c>
      <c r="C101" s="1509">
        <v>1</v>
      </c>
      <c r="D101" s="1509">
        <v>0.90836320800000003</v>
      </c>
      <c r="E101" s="1509">
        <v>0</v>
      </c>
      <c r="F101" s="1509">
        <v>1</v>
      </c>
      <c r="G101" s="1509">
        <v>0</v>
      </c>
      <c r="H101" s="1509">
        <v>0</v>
      </c>
      <c r="I101" s="1509">
        <v>1</v>
      </c>
      <c r="J101" s="1509">
        <v>1</v>
      </c>
      <c r="K101" s="1509">
        <v>1</v>
      </c>
      <c r="L101" s="1509">
        <v>1</v>
      </c>
      <c r="M101" s="1509">
        <v>1</v>
      </c>
      <c r="N101" s="1509">
        <v>1</v>
      </c>
      <c r="O101" s="1509">
        <v>1</v>
      </c>
      <c r="P101" s="1509">
        <v>1</v>
      </c>
      <c r="Q101" s="1509">
        <v>1</v>
      </c>
      <c r="R101" s="1509">
        <v>1</v>
      </c>
      <c r="S101" s="1509">
        <v>0.83462521700000003</v>
      </c>
      <c r="T101" s="1509">
        <v>1</v>
      </c>
      <c r="U101" s="1509">
        <v>0</v>
      </c>
      <c r="V101" s="1509">
        <v>0</v>
      </c>
      <c r="W101" s="1509">
        <v>0.82952351800000002</v>
      </c>
      <c r="X101" s="1509">
        <v>0.907442741</v>
      </c>
      <c r="Y101" s="1509">
        <v>0</v>
      </c>
      <c r="Z101" s="1509">
        <v>0</v>
      </c>
      <c r="AA101" s="1509">
        <v>0</v>
      </c>
      <c r="AB101" s="1509">
        <v>0.78265049799999997</v>
      </c>
      <c r="AC101" s="1509">
        <v>0.76660753800000003</v>
      </c>
      <c r="AD101" s="1509">
        <v>0</v>
      </c>
      <c r="AE101" s="1509">
        <v>1</v>
      </c>
      <c r="AF101" s="1509">
        <v>0.83749841599999997</v>
      </c>
      <c r="AG101" s="1509">
        <v>0.79482525999999998</v>
      </c>
      <c r="AH101" s="1509">
        <v>0</v>
      </c>
      <c r="AI101" s="1509">
        <v>0.86704652999999998</v>
      </c>
      <c r="AJ101" s="1509">
        <v>0.892566203</v>
      </c>
      <c r="AK101" s="1509">
        <v>1</v>
      </c>
      <c r="AL101" s="1509">
        <v>0</v>
      </c>
      <c r="AM101" s="1509">
        <v>0.72604119300000003</v>
      </c>
      <c r="AN101" s="1509">
        <v>0.83070129000000004</v>
      </c>
      <c r="AO101" s="1509">
        <v>0.60758471199999997</v>
      </c>
      <c r="AP101" s="1509">
        <v>0.654415203</v>
      </c>
      <c r="AQ101" s="1509">
        <v>1</v>
      </c>
      <c r="AR101" s="1509">
        <v>0.50290559099999999</v>
      </c>
      <c r="AS101" s="1509">
        <v>0</v>
      </c>
      <c r="AT101" s="1509">
        <v>1</v>
      </c>
      <c r="AU101" s="1509">
        <v>0.53096991400000004</v>
      </c>
      <c r="AV101" s="1509">
        <v>0</v>
      </c>
      <c r="AW101" s="1509">
        <v>0.88886570099999995</v>
      </c>
      <c r="AX101" s="1509">
        <v>1</v>
      </c>
      <c r="AY101" s="1509">
        <v>1</v>
      </c>
      <c r="AZ101" s="1509">
        <v>0.77130528600000003</v>
      </c>
      <c r="BA101" s="1509">
        <v>0</v>
      </c>
      <c r="BB101" s="1509">
        <v>1</v>
      </c>
      <c r="BC101" s="1509">
        <v>0</v>
      </c>
      <c r="BD101" s="1509">
        <v>0.57071040900000003</v>
      </c>
      <c r="BE101" s="1509">
        <v>1</v>
      </c>
      <c r="BF101" s="1509">
        <v>0</v>
      </c>
      <c r="BG101" s="1509">
        <v>0</v>
      </c>
      <c r="BH101" s="1509">
        <v>0</v>
      </c>
      <c r="BI101" s="1509">
        <v>1</v>
      </c>
      <c r="BJ101" s="1509">
        <v>0.89738095399999995</v>
      </c>
      <c r="BK101" s="1509">
        <v>0.85342585199999998</v>
      </c>
      <c r="BL101" s="1509">
        <v>1</v>
      </c>
      <c r="BM101" s="1509">
        <v>0.826419401</v>
      </c>
      <c r="BN101" s="1509">
        <v>0</v>
      </c>
      <c r="BO101" s="1509">
        <v>0.86358080400000004</v>
      </c>
      <c r="BP101" s="1509">
        <v>0.77416133099999995</v>
      </c>
      <c r="BQ101" s="1509">
        <v>0.79428490500000004</v>
      </c>
      <c r="BR101" s="1509">
        <v>0</v>
      </c>
      <c r="BS101" s="1509">
        <v>0.823672776</v>
      </c>
      <c r="BT101" s="1509">
        <v>0</v>
      </c>
      <c r="BU101" s="1509">
        <v>0</v>
      </c>
      <c r="BV101" s="1509">
        <v>0.80218171400000005</v>
      </c>
      <c r="BW101" s="1509">
        <v>1</v>
      </c>
      <c r="BX101" s="1509">
        <v>1</v>
      </c>
      <c r="BY101" s="1509">
        <v>1</v>
      </c>
      <c r="BZ101" s="1509">
        <v>1</v>
      </c>
      <c r="CA101" s="1509">
        <v>0.798989952</v>
      </c>
      <c r="CB101" s="1509">
        <v>1</v>
      </c>
      <c r="CC101" s="1509">
        <v>1</v>
      </c>
      <c r="CD101" s="1509">
        <v>0.75301559799999995</v>
      </c>
      <c r="CE101" s="1509">
        <v>0</v>
      </c>
      <c r="CF101" s="1509">
        <v>1</v>
      </c>
      <c r="CG101" s="1509">
        <v>0.78903414299999997</v>
      </c>
      <c r="CH101" s="1509">
        <v>0.78903041600000001</v>
      </c>
      <c r="CI101" s="1509">
        <v>0.77611033699999998</v>
      </c>
      <c r="CJ101" s="1509">
        <v>1</v>
      </c>
      <c r="CK101" s="1509">
        <v>0.863747441</v>
      </c>
      <c r="CL101" s="1509">
        <v>0</v>
      </c>
      <c r="CM101" s="1509">
        <v>0.44206346200000002</v>
      </c>
      <c r="CN101" s="1509">
        <v>0</v>
      </c>
      <c r="CO101" s="1509">
        <v>0</v>
      </c>
      <c r="CP101" s="1509">
        <v>0</v>
      </c>
      <c r="CQ101" s="1509">
        <v>0.788188208</v>
      </c>
      <c r="CR101" s="1509">
        <v>0.90434221999999997</v>
      </c>
      <c r="CS101" s="1509">
        <v>0.79767237300000005</v>
      </c>
      <c r="CT101" s="1509">
        <v>1</v>
      </c>
      <c r="CU101" s="1509">
        <v>0</v>
      </c>
      <c r="CV101" s="1509">
        <v>0.88319243599999997</v>
      </c>
      <c r="CW101" s="1509">
        <v>0.89729872499999996</v>
      </c>
      <c r="CX101" s="1509">
        <v>0.77099156800000002</v>
      </c>
      <c r="CY101" s="1509">
        <v>0.88090835000000001</v>
      </c>
      <c r="CZ101" s="1509">
        <v>1</v>
      </c>
      <c r="DA101" s="1509">
        <v>1</v>
      </c>
      <c r="DB101" s="1509">
        <v>0.40750006900000002</v>
      </c>
      <c r="DC101" s="1509">
        <v>0.41714879599999999</v>
      </c>
      <c r="DD101" s="1509">
        <v>0.41363515099999998</v>
      </c>
      <c r="DE101" s="1509">
        <v>0</v>
      </c>
      <c r="DF101" s="1509">
        <v>0.422134126</v>
      </c>
      <c r="DG101" s="1509">
        <v>0</v>
      </c>
      <c r="DH101" s="1509">
        <v>0</v>
      </c>
      <c r="DI101" s="1509">
        <v>0.41202549700000002</v>
      </c>
      <c r="DJ101" s="1509">
        <v>1</v>
      </c>
      <c r="DK101" s="1509">
        <v>1</v>
      </c>
      <c r="DL101" s="1509">
        <v>1</v>
      </c>
      <c r="DM101" s="1509">
        <v>0.75435089099999997</v>
      </c>
      <c r="DN101" s="1509">
        <v>1</v>
      </c>
      <c r="DO101" s="1509">
        <v>1</v>
      </c>
      <c r="DP101" s="1509">
        <v>1</v>
      </c>
      <c r="DQ101" s="1509">
        <v>0.54007461599999995</v>
      </c>
      <c r="DR101" s="1509">
        <v>0.54007461599999995</v>
      </c>
      <c r="DS101" s="1509">
        <v>1</v>
      </c>
      <c r="DT101" s="1509">
        <v>1</v>
      </c>
      <c r="DU101" s="1509">
        <v>0</v>
      </c>
      <c r="DV101" s="1509">
        <v>0.80485723399999998</v>
      </c>
      <c r="DW101" s="1509">
        <v>1</v>
      </c>
      <c r="DX101" s="1509">
        <v>0.53634295200000004</v>
      </c>
      <c r="DY101" s="1509">
        <v>0</v>
      </c>
      <c r="DZ101" s="1509">
        <v>0</v>
      </c>
      <c r="EA101" s="1509">
        <v>0</v>
      </c>
      <c r="EB101" s="1509">
        <v>1</v>
      </c>
      <c r="EC101" s="1509">
        <v>0</v>
      </c>
      <c r="ED101" s="1509">
        <v>0</v>
      </c>
      <c r="EE101" s="1509">
        <v>1</v>
      </c>
      <c r="EF101" s="1509">
        <v>0</v>
      </c>
      <c r="EG101" s="1509">
        <v>1</v>
      </c>
      <c r="EH101" s="1509">
        <v>0</v>
      </c>
      <c r="EI101" s="1509">
        <v>1</v>
      </c>
      <c r="EJ101" s="1509">
        <v>1</v>
      </c>
      <c r="EK101" s="1509">
        <v>1</v>
      </c>
      <c r="EL101" s="1509">
        <v>0.45751892500000002</v>
      </c>
      <c r="EM101" s="1509">
        <v>0</v>
      </c>
      <c r="EN101" s="1509">
        <v>0.48146138199999999</v>
      </c>
      <c r="EO101" s="1509">
        <v>0</v>
      </c>
      <c r="EP101" s="1509">
        <v>1</v>
      </c>
      <c r="EQ101" s="1509">
        <v>0</v>
      </c>
      <c r="ER101" s="1509">
        <v>1</v>
      </c>
      <c r="ES101" s="1509">
        <v>1</v>
      </c>
      <c r="ET101" s="1509">
        <v>1</v>
      </c>
      <c r="EU101" s="1509">
        <v>1</v>
      </c>
      <c r="EV101" s="1509">
        <v>0</v>
      </c>
      <c r="EW101" s="1509">
        <v>0.86512053099999997</v>
      </c>
      <c r="EX101" s="1509">
        <v>1</v>
      </c>
      <c r="EY101" s="1509">
        <v>1</v>
      </c>
      <c r="EZ101" s="1509">
        <v>1</v>
      </c>
      <c r="FA101" s="1509">
        <v>0.70810052700000004</v>
      </c>
      <c r="FB101" s="1509">
        <v>0.64344628199999998</v>
      </c>
      <c r="FC101" s="1509">
        <v>0.85081346499999999</v>
      </c>
      <c r="FD101" s="1509">
        <v>0.85087950999999995</v>
      </c>
      <c r="FE101" s="1509">
        <v>1</v>
      </c>
      <c r="FF101" s="1509">
        <v>1</v>
      </c>
      <c r="FG101" s="1509">
        <v>1</v>
      </c>
      <c r="FH101" s="1509">
        <v>1</v>
      </c>
      <c r="FI101" s="1509">
        <v>0.79303601000000001</v>
      </c>
      <c r="FJ101" s="1509">
        <v>0.76603812999999998</v>
      </c>
      <c r="FK101" s="1509">
        <v>1</v>
      </c>
      <c r="FL101" s="1509">
        <v>0.40546730600000003</v>
      </c>
      <c r="FM101" s="1509">
        <v>0.90836320800000003</v>
      </c>
      <c r="FN101" s="1509">
        <v>1</v>
      </c>
      <c r="FO101" s="1509">
        <v>0.454118894</v>
      </c>
      <c r="FP101" s="1509">
        <v>0.88733472199999996</v>
      </c>
      <c r="FQ101" s="1509">
        <v>1</v>
      </c>
      <c r="FR101" s="1509">
        <v>0.890661119</v>
      </c>
      <c r="FS101" s="1509">
        <v>0</v>
      </c>
      <c r="FT101" s="1509">
        <v>1</v>
      </c>
      <c r="FU101" s="1509">
        <v>0.78268776399999995</v>
      </c>
    </row>
    <row r="102" spans="1:177" s="1509" customFormat="1" x14ac:dyDescent="0.2">
      <c r="A102" s="1512" t="s">
        <v>667</v>
      </c>
      <c r="B102" s="1512" t="s">
        <v>1027</v>
      </c>
      <c r="C102" s="1509" t="s">
        <v>2372</v>
      </c>
      <c r="D102" s="1509" t="s">
        <v>2372</v>
      </c>
      <c r="E102" s="1509" t="s">
        <v>2372</v>
      </c>
      <c r="F102" s="1509" t="s">
        <v>2372</v>
      </c>
      <c r="G102" s="1509" t="s">
        <v>2372</v>
      </c>
      <c r="H102" s="1509" t="s">
        <v>2372</v>
      </c>
      <c r="I102" s="1509" t="s">
        <v>2372</v>
      </c>
      <c r="J102" s="1509" t="s">
        <v>2372</v>
      </c>
      <c r="K102" s="1509" t="s">
        <v>2372</v>
      </c>
      <c r="L102" s="1509" t="s">
        <v>2372</v>
      </c>
      <c r="M102" s="1509" t="s">
        <v>2372</v>
      </c>
      <c r="N102" s="1509" t="s">
        <v>2372</v>
      </c>
      <c r="O102" s="1509" t="s">
        <v>2372</v>
      </c>
      <c r="P102" s="1509" t="s">
        <v>2372</v>
      </c>
      <c r="Q102" s="1509" t="s">
        <v>2372</v>
      </c>
      <c r="R102" s="1509" t="s">
        <v>2372</v>
      </c>
      <c r="S102" s="1509" t="s">
        <v>2372</v>
      </c>
      <c r="T102" s="1509" t="s">
        <v>2372</v>
      </c>
      <c r="U102" s="1509" t="s">
        <v>2372</v>
      </c>
      <c r="V102" s="1509" t="s">
        <v>2372</v>
      </c>
      <c r="W102" s="1509" t="s">
        <v>2372</v>
      </c>
      <c r="X102" s="1509" t="s">
        <v>2372</v>
      </c>
      <c r="Y102" s="1509" t="s">
        <v>2372</v>
      </c>
      <c r="Z102" s="1509" t="s">
        <v>2372</v>
      </c>
      <c r="AA102" s="1509" t="s">
        <v>2372</v>
      </c>
      <c r="AB102" s="1509" t="s">
        <v>2372</v>
      </c>
      <c r="AC102" s="1509" t="s">
        <v>2372</v>
      </c>
      <c r="AD102" s="1509" t="s">
        <v>2372</v>
      </c>
      <c r="AE102" s="1509" t="s">
        <v>2372</v>
      </c>
      <c r="AF102" s="1509" t="s">
        <v>2372</v>
      </c>
      <c r="AG102" s="1509" t="s">
        <v>2372</v>
      </c>
      <c r="AH102" s="1509" t="s">
        <v>2372</v>
      </c>
      <c r="AI102" s="1509" t="s">
        <v>2372</v>
      </c>
      <c r="AJ102" s="1509" t="s">
        <v>2372</v>
      </c>
      <c r="AK102" s="1509" t="s">
        <v>2372</v>
      </c>
      <c r="AL102" s="1509" t="s">
        <v>2372</v>
      </c>
      <c r="AM102" s="1509" t="s">
        <v>2372</v>
      </c>
      <c r="AN102" s="1509" t="s">
        <v>2372</v>
      </c>
      <c r="AO102" s="1509">
        <v>1</v>
      </c>
      <c r="AP102" s="1509" t="s">
        <v>2372</v>
      </c>
      <c r="AQ102" s="1509" t="s">
        <v>2372</v>
      </c>
      <c r="AR102" s="1509" t="s">
        <v>2372</v>
      </c>
      <c r="AS102" s="1509" t="s">
        <v>2372</v>
      </c>
      <c r="AT102" s="1509" t="s">
        <v>2372</v>
      </c>
      <c r="AU102" s="1509" t="s">
        <v>2372</v>
      </c>
      <c r="AV102" s="1509" t="s">
        <v>2372</v>
      </c>
      <c r="AW102" s="1509" t="s">
        <v>2372</v>
      </c>
      <c r="AX102" s="1509" t="s">
        <v>2372</v>
      </c>
      <c r="AY102" s="1509" t="s">
        <v>2372</v>
      </c>
      <c r="AZ102" s="1509" t="s">
        <v>2372</v>
      </c>
      <c r="BA102" s="1509" t="s">
        <v>2372</v>
      </c>
      <c r="BB102" s="1509" t="s">
        <v>2372</v>
      </c>
      <c r="BC102" s="1509" t="s">
        <v>2372</v>
      </c>
      <c r="BD102" s="1509" t="s">
        <v>2372</v>
      </c>
      <c r="BE102" s="1509" t="s">
        <v>2372</v>
      </c>
      <c r="BF102" s="1509" t="s">
        <v>2372</v>
      </c>
      <c r="BG102" s="1509" t="s">
        <v>2372</v>
      </c>
      <c r="BH102" s="1509" t="s">
        <v>2372</v>
      </c>
      <c r="BI102" s="1509" t="s">
        <v>2372</v>
      </c>
      <c r="BJ102" s="1509" t="s">
        <v>2372</v>
      </c>
      <c r="BK102" s="1509" t="s">
        <v>2372</v>
      </c>
      <c r="BL102" s="1509" t="s">
        <v>2372</v>
      </c>
      <c r="BM102" s="1509" t="s">
        <v>2372</v>
      </c>
      <c r="BN102" s="1509" t="s">
        <v>2372</v>
      </c>
      <c r="BO102" s="1509" t="s">
        <v>2372</v>
      </c>
      <c r="BP102" s="1509" t="s">
        <v>2372</v>
      </c>
      <c r="BQ102" s="1509" t="s">
        <v>2372</v>
      </c>
      <c r="BR102" s="1509" t="s">
        <v>2372</v>
      </c>
      <c r="BS102" s="1509" t="s">
        <v>2372</v>
      </c>
      <c r="BT102" s="1509" t="s">
        <v>2372</v>
      </c>
      <c r="BU102" s="1509" t="s">
        <v>2372</v>
      </c>
      <c r="BV102" s="1509" t="s">
        <v>2372</v>
      </c>
      <c r="BW102" s="1509" t="s">
        <v>2372</v>
      </c>
      <c r="BX102" s="1509" t="s">
        <v>2372</v>
      </c>
      <c r="BY102" s="1509" t="s">
        <v>2372</v>
      </c>
      <c r="BZ102" s="1509">
        <v>1</v>
      </c>
      <c r="CA102" s="1509" t="s">
        <v>2372</v>
      </c>
      <c r="CB102" s="1509" t="s">
        <v>2372</v>
      </c>
      <c r="CC102" s="1509" t="s">
        <v>2372</v>
      </c>
      <c r="CD102" s="1509" t="s">
        <v>2372</v>
      </c>
      <c r="CE102" s="1509" t="s">
        <v>2372</v>
      </c>
      <c r="CF102" s="1509" t="s">
        <v>2372</v>
      </c>
      <c r="CG102" s="1509" t="s">
        <v>2372</v>
      </c>
      <c r="CH102" s="1509" t="s">
        <v>2372</v>
      </c>
      <c r="CI102" s="1509" t="s">
        <v>2372</v>
      </c>
      <c r="CJ102" s="1509" t="s">
        <v>2372</v>
      </c>
      <c r="CK102" s="1509" t="s">
        <v>2372</v>
      </c>
      <c r="CL102" s="1509" t="s">
        <v>2372</v>
      </c>
      <c r="CM102" s="1509" t="s">
        <v>2372</v>
      </c>
      <c r="CN102" s="1509" t="s">
        <v>2372</v>
      </c>
      <c r="CO102" s="1509" t="s">
        <v>2372</v>
      </c>
      <c r="CP102" s="1509" t="s">
        <v>2372</v>
      </c>
      <c r="CQ102" s="1509" t="s">
        <v>2372</v>
      </c>
      <c r="CR102" s="1509" t="s">
        <v>2372</v>
      </c>
      <c r="CS102" s="1509" t="s">
        <v>2372</v>
      </c>
      <c r="CT102" s="1509" t="s">
        <v>2372</v>
      </c>
      <c r="CU102" s="1509" t="s">
        <v>2372</v>
      </c>
      <c r="CV102" s="1509">
        <v>1</v>
      </c>
      <c r="CW102" s="1509" t="s">
        <v>2372</v>
      </c>
      <c r="CX102" s="1509" t="s">
        <v>2372</v>
      </c>
      <c r="CY102" s="1509" t="s">
        <v>2372</v>
      </c>
      <c r="CZ102" s="1509" t="s">
        <v>2372</v>
      </c>
      <c r="DA102" s="1509" t="s">
        <v>2372</v>
      </c>
      <c r="DB102" s="1509" t="s">
        <v>2372</v>
      </c>
      <c r="DC102" s="1509" t="s">
        <v>2372</v>
      </c>
      <c r="DD102" s="1509" t="s">
        <v>2372</v>
      </c>
      <c r="DE102" s="1509" t="s">
        <v>2372</v>
      </c>
      <c r="DF102" s="1509" t="s">
        <v>2372</v>
      </c>
      <c r="DG102" s="1509" t="s">
        <v>2372</v>
      </c>
      <c r="DH102" s="1509" t="s">
        <v>2372</v>
      </c>
      <c r="DI102" s="1509" t="s">
        <v>2372</v>
      </c>
      <c r="DJ102" s="1509" t="s">
        <v>2372</v>
      </c>
      <c r="DK102" s="1509" t="s">
        <v>2372</v>
      </c>
      <c r="DL102" s="1509" t="s">
        <v>2372</v>
      </c>
      <c r="DM102" s="1509" t="s">
        <v>2372</v>
      </c>
      <c r="DN102" s="1509" t="s">
        <v>2372</v>
      </c>
      <c r="DO102" s="1509" t="s">
        <v>2372</v>
      </c>
      <c r="DP102" s="1509" t="s">
        <v>2372</v>
      </c>
      <c r="DQ102" s="1509" t="s">
        <v>2372</v>
      </c>
      <c r="DR102" s="1509" t="s">
        <v>2372</v>
      </c>
      <c r="DS102" s="1509" t="s">
        <v>2372</v>
      </c>
      <c r="DT102" s="1509" t="s">
        <v>2372</v>
      </c>
      <c r="DU102" s="1509" t="s">
        <v>2372</v>
      </c>
      <c r="DV102" s="1509" t="s">
        <v>2372</v>
      </c>
      <c r="DW102" s="1509" t="s">
        <v>2372</v>
      </c>
      <c r="DX102" s="1509" t="s">
        <v>2372</v>
      </c>
      <c r="DY102" s="1509" t="s">
        <v>2372</v>
      </c>
      <c r="DZ102" s="1509" t="s">
        <v>2372</v>
      </c>
      <c r="EA102" s="1509" t="s">
        <v>2372</v>
      </c>
      <c r="EB102" s="1509" t="s">
        <v>2372</v>
      </c>
      <c r="EC102" s="1509" t="s">
        <v>2372</v>
      </c>
      <c r="ED102" s="1509" t="s">
        <v>2372</v>
      </c>
      <c r="EE102" s="1509" t="s">
        <v>2372</v>
      </c>
      <c r="EF102" s="1509" t="s">
        <v>2372</v>
      </c>
      <c r="EG102" s="1509" t="s">
        <v>2372</v>
      </c>
      <c r="EH102" s="1509" t="s">
        <v>2372</v>
      </c>
      <c r="EI102" s="1509" t="s">
        <v>2372</v>
      </c>
      <c r="EJ102" s="1509" t="s">
        <v>2372</v>
      </c>
      <c r="EK102" s="1509" t="s">
        <v>2372</v>
      </c>
      <c r="EL102" s="1509" t="s">
        <v>2372</v>
      </c>
      <c r="EM102" s="1509" t="s">
        <v>2372</v>
      </c>
      <c r="EN102" s="1509" t="s">
        <v>2372</v>
      </c>
      <c r="EO102" s="1509" t="s">
        <v>2372</v>
      </c>
      <c r="EP102" s="1509" t="s">
        <v>2372</v>
      </c>
      <c r="EQ102" s="1509" t="s">
        <v>2372</v>
      </c>
      <c r="ER102" s="1509" t="s">
        <v>2372</v>
      </c>
      <c r="ES102" s="1509" t="s">
        <v>2372</v>
      </c>
      <c r="ET102" s="1509" t="s">
        <v>2372</v>
      </c>
      <c r="EU102" s="1509" t="s">
        <v>2372</v>
      </c>
      <c r="EV102" s="1509" t="s">
        <v>2372</v>
      </c>
      <c r="EW102" s="1509" t="s">
        <v>2372</v>
      </c>
      <c r="EX102" s="1509" t="s">
        <v>2372</v>
      </c>
      <c r="EY102" s="1509" t="s">
        <v>2372</v>
      </c>
      <c r="EZ102" s="1509" t="s">
        <v>2372</v>
      </c>
      <c r="FA102" s="1509" t="s">
        <v>2372</v>
      </c>
      <c r="FB102" s="1509" t="s">
        <v>2372</v>
      </c>
      <c r="FC102" s="1509">
        <v>1</v>
      </c>
      <c r="FD102" s="1509" t="s">
        <v>2372</v>
      </c>
      <c r="FE102" s="1509" t="s">
        <v>2372</v>
      </c>
      <c r="FF102" s="1509" t="s">
        <v>2372</v>
      </c>
      <c r="FG102" s="1509" t="s">
        <v>2372</v>
      </c>
      <c r="FH102" s="1509" t="s">
        <v>2372</v>
      </c>
      <c r="FI102" s="1509" t="s">
        <v>2372</v>
      </c>
      <c r="FJ102" s="1509" t="s">
        <v>2372</v>
      </c>
      <c r="FK102" s="1509" t="s">
        <v>2372</v>
      </c>
      <c r="FL102" s="1509" t="s">
        <v>2372</v>
      </c>
      <c r="FM102" s="1509" t="s">
        <v>2372</v>
      </c>
      <c r="FN102" s="1509" t="s">
        <v>2372</v>
      </c>
      <c r="FO102" s="1509" t="s">
        <v>2372</v>
      </c>
      <c r="FP102" s="1509" t="s">
        <v>2372</v>
      </c>
      <c r="FQ102" s="1509" t="s">
        <v>2372</v>
      </c>
      <c r="FR102" s="1509" t="s">
        <v>2372</v>
      </c>
      <c r="FS102" s="1509" t="s">
        <v>2372</v>
      </c>
      <c r="FT102" s="1509" t="s">
        <v>2372</v>
      </c>
      <c r="FU102" s="1509" t="s">
        <v>2372</v>
      </c>
    </row>
    <row r="103" spans="1:177" s="1509" customFormat="1" x14ac:dyDescent="0.2">
      <c r="A103" s="1512" t="s">
        <v>667</v>
      </c>
      <c r="B103" s="1512" t="s">
        <v>1026</v>
      </c>
      <c r="C103" s="1509">
        <v>0</v>
      </c>
      <c r="D103" s="1509">
        <v>0</v>
      </c>
      <c r="E103" s="1509">
        <v>0</v>
      </c>
      <c r="F103" s="1509">
        <v>0</v>
      </c>
      <c r="G103" s="1509">
        <v>0</v>
      </c>
      <c r="H103" s="1509">
        <v>0</v>
      </c>
      <c r="I103" s="1509">
        <v>1</v>
      </c>
      <c r="J103" s="1509">
        <v>1</v>
      </c>
      <c r="K103" s="1509">
        <v>0</v>
      </c>
      <c r="L103" s="1509">
        <v>0.993985287</v>
      </c>
      <c r="M103" s="1509">
        <v>0</v>
      </c>
      <c r="N103" s="1509">
        <v>0</v>
      </c>
      <c r="O103" s="1509">
        <v>1</v>
      </c>
      <c r="P103" s="1509">
        <v>0.993985287</v>
      </c>
      <c r="Q103" s="1509">
        <v>0</v>
      </c>
      <c r="R103" s="1509">
        <v>0</v>
      </c>
      <c r="S103" s="1509">
        <v>0.98701656800000004</v>
      </c>
      <c r="T103" s="1509">
        <v>0</v>
      </c>
      <c r="U103" s="1509">
        <v>0</v>
      </c>
      <c r="V103" s="1509">
        <v>0</v>
      </c>
      <c r="W103" s="1509">
        <v>0.993985287</v>
      </c>
      <c r="X103" s="1509">
        <v>0</v>
      </c>
      <c r="Y103" s="1509">
        <v>0</v>
      </c>
      <c r="Z103" s="1509">
        <v>0</v>
      </c>
      <c r="AA103" s="1509">
        <v>0</v>
      </c>
      <c r="AB103" s="1509">
        <v>0</v>
      </c>
      <c r="AC103" s="1509">
        <v>0</v>
      </c>
      <c r="AD103" s="1509">
        <v>0</v>
      </c>
      <c r="AE103" s="1509">
        <v>0</v>
      </c>
      <c r="AF103" s="1509">
        <v>0</v>
      </c>
      <c r="AG103" s="1509">
        <v>0</v>
      </c>
      <c r="AH103" s="1509">
        <v>0</v>
      </c>
      <c r="AI103" s="1509">
        <v>0</v>
      </c>
      <c r="AJ103" s="1509">
        <v>0</v>
      </c>
      <c r="AK103" s="1509">
        <v>0</v>
      </c>
      <c r="AL103" s="1509">
        <v>0</v>
      </c>
      <c r="AM103" s="1509">
        <v>0</v>
      </c>
      <c r="AN103" s="1509">
        <v>0</v>
      </c>
      <c r="AO103" s="1509">
        <v>0</v>
      </c>
      <c r="AP103" s="1509">
        <v>1</v>
      </c>
      <c r="AQ103" s="1509">
        <v>0</v>
      </c>
      <c r="AR103" s="1509">
        <v>0.98639445299999995</v>
      </c>
      <c r="AS103" s="1509">
        <v>0</v>
      </c>
      <c r="AT103" s="1509">
        <v>0</v>
      </c>
      <c r="AU103" s="1509">
        <v>0</v>
      </c>
      <c r="AV103" s="1509">
        <v>0</v>
      </c>
      <c r="AW103" s="1509">
        <v>0</v>
      </c>
      <c r="AX103" s="1509">
        <v>0.99183376899999998</v>
      </c>
      <c r="AY103" s="1509">
        <v>0</v>
      </c>
      <c r="AZ103" s="1509">
        <v>0</v>
      </c>
      <c r="BA103" s="1509">
        <v>0</v>
      </c>
      <c r="BB103" s="1509">
        <v>0</v>
      </c>
      <c r="BC103" s="1509">
        <v>0</v>
      </c>
      <c r="BD103" s="1509">
        <v>0</v>
      </c>
      <c r="BE103" s="1509">
        <v>1</v>
      </c>
      <c r="BF103" s="1509">
        <v>0</v>
      </c>
      <c r="BG103" s="1509">
        <v>0</v>
      </c>
      <c r="BH103" s="1509">
        <v>0</v>
      </c>
      <c r="BI103" s="1509">
        <v>0.993985287</v>
      </c>
      <c r="BJ103" s="1509">
        <v>0</v>
      </c>
      <c r="BK103" s="1509">
        <v>1</v>
      </c>
      <c r="BL103" s="1509">
        <v>0</v>
      </c>
      <c r="BM103" s="1509" t="s">
        <v>2372</v>
      </c>
      <c r="BN103" s="1509">
        <v>0</v>
      </c>
      <c r="BO103" s="1509">
        <v>0.993985287</v>
      </c>
      <c r="BP103" s="1509">
        <v>0</v>
      </c>
      <c r="BQ103" s="1509">
        <v>0</v>
      </c>
      <c r="BR103" s="1509">
        <v>0</v>
      </c>
      <c r="BS103" s="1509">
        <v>0</v>
      </c>
      <c r="BT103" s="1509">
        <v>0</v>
      </c>
      <c r="BU103" s="1509">
        <v>0</v>
      </c>
      <c r="BV103" s="1509">
        <v>0</v>
      </c>
      <c r="BW103" s="1509">
        <v>0</v>
      </c>
      <c r="BX103" s="1509">
        <v>0</v>
      </c>
      <c r="BY103" s="1509">
        <v>0</v>
      </c>
      <c r="BZ103" s="1509">
        <v>0</v>
      </c>
      <c r="CA103" s="1509">
        <v>0</v>
      </c>
      <c r="CB103" s="1509">
        <v>0</v>
      </c>
      <c r="CC103" s="1509">
        <v>0</v>
      </c>
      <c r="CD103" s="1509">
        <v>0</v>
      </c>
      <c r="CE103" s="1509">
        <v>0</v>
      </c>
      <c r="CF103" s="1509">
        <v>0</v>
      </c>
      <c r="CG103" s="1509">
        <v>0</v>
      </c>
      <c r="CH103" s="1509">
        <v>0</v>
      </c>
      <c r="CI103" s="1509">
        <v>0</v>
      </c>
      <c r="CJ103" s="1509">
        <v>0</v>
      </c>
      <c r="CK103" s="1509">
        <v>0</v>
      </c>
      <c r="CL103" s="1509">
        <v>0</v>
      </c>
      <c r="CM103" s="1509">
        <v>0</v>
      </c>
      <c r="CN103" s="1509">
        <v>0</v>
      </c>
      <c r="CO103" s="1509">
        <v>0</v>
      </c>
      <c r="CP103" s="1509">
        <v>0</v>
      </c>
      <c r="CQ103" s="1509">
        <v>1</v>
      </c>
      <c r="CR103" s="1509">
        <v>0</v>
      </c>
      <c r="CS103" s="1509">
        <v>0</v>
      </c>
      <c r="CT103" s="1509">
        <v>0</v>
      </c>
      <c r="CU103" s="1509">
        <v>0</v>
      </c>
      <c r="CV103" s="1509">
        <v>0</v>
      </c>
      <c r="CW103" s="1509">
        <v>0</v>
      </c>
      <c r="CX103" s="1509">
        <v>0</v>
      </c>
      <c r="CY103" s="1509">
        <v>0</v>
      </c>
      <c r="CZ103" s="1509">
        <v>0</v>
      </c>
      <c r="DA103" s="1509">
        <v>0</v>
      </c>
      <c r="DB103" s="1509">
        <v>0</v>
      </c>
      <c r="DC103" s="1509">
        <v>0</v>
      </c>
      <c r="DD103" s="1509">
        <v>0</v>
      </c>
      <c r="DE103" s="1509" t="s">
        <v>2372</v>
      </c>
      <c r="DF103" s="1509">
        <v>0</v>
      </c>
      <c r="DG103" s="1509">
        <v>0</v>
      </c>
      <c r="DH103" s="1509">
        <v>0</v>
      </c>
      <c r="DI103" s="1509">
        <v>0</v>
      </c>
      <c r="DJ103" s="1509">
        <v>0</v>
      </c>
      <c r="DK103" s="1509">
        <v>0.99183376899999998</v>
      </c>
      <c r="DL103" s="1509">
        <v>0</v>
      </c>
      <c r="DM103" s="1509" t="s">
        <v>2372</v>
      </c>
      <c r="DN103" s="1509">
        <v>0</v>
      </c>
      <c r="DO103" s="1509">
        <v>0</v>
      </c>
      <c r="DP103" s="1509">
        <v>0</v>
      </c>
      <c r="DQ103" s="1509">
        <v>1</v>
      </c>
      <c r="DR103" s="1509">
        <v>0</v>
      </c>
      <c r="DS103" s="1509">
        <v>0</v>
      </c>
      <c r="DT103" s="1509">
        <v>0</v>
      </c>
      <c r="DU103" s="1509">
        <v>0</v>
      </c>
      <c r="DV103" s="1509">
        <v>0</v>
      </c>
      <c r="DW103" s="1509">
        <v>0</v>
      </c>
      <c r="DX103" s="1509">
        <v>0</v>
      </c>
      <c r="DY103" s="1509">
        <v>0</v>
      </c>
      <c r="DZ103" s="1509">
        <v>0</v>
      </c>
      <c r="EA103" s="1509">
        <v>0</v>
      </c>
      <c r="EB103" s="1509">
        <v>0</v>
      </c>
      <c r="EC103" s="1509">
        <v>0</v>
      </c>
      <c r="ED103" s="1509">
        <v>0</v>
      </c>
      <c r="EE103" s="1509">
        <v>0</v>
      </c>
      <c r="EF103" s="1509">
        <v>0</v>
      </c>
      <c r="EG103" s="1509">
        <v>0</v>
      </c>
      <c r="EH103" s="1509">
        <v>0</v>
      </c>
      <c r="EI103" s="1509">
        <v>0</v>
      </c>
      <c r="EJ103" s="1509">
        <v>0</v>
      </c>
      <c r="EK103" s="1509">
        <v>0</v>
      </c>
      <c r="EL103" s="1509">
        <v>0</v>
      </c>
      <c r="EM103" s="1509">
        <v>0</v>
      </c>
      <c r="EN103" s="1509">
        <v>0</v>
      </c>
      <c r="EO103" s="1509">
        <v>0</v>
      </c>
      <c r="EP103" s="1509">
        <v>0</v>
      </c>
      <c r="EQ103" s="1509">
        <v>0</v>
      </c>
      <c r="ER103" s="1509">
        <v>0</v>
      </c>
      <c r="ES103" s="1509">
        <v>0</v>
      </c>
      <c r="ET103" s="1509">
        <v>0</v>
      </c>
      <c r="EU103" s="1509">
        <v>0</v>
      </c>
      <c r="EV103" s="1509">
        <v>0</v>
      </c>
      <c r="EW103" s="1509">
        <v>0</v>
      </c>
      <c r="EX103" s="1509">
        <v>0</v>
      </c>
      <c r="EY103" s="1509">
        <v>0</v>
      </c>
      <c r="EZ103" s="1509">
        <v>0</v>
      </c>
      <c r="FA103" s="1509">
        <v>0</v>
      </c>
      <c r="FB103" s="1509">
        <v>0</v>
      </c>
      <c r="FC103" s="1509">
        <v>0</v>
      </c>
      <c r="FD103" s="1509">
        <v>0</v>
      </c>
      <c r="FE103" s="1509">
        <v>0</v>
      </c>
      <c r="FF103" s="1509">
        <v>0</v>
      </c>
      <c r="FG103" s="1509">
        <v>0</v>
      </c>
      <c r="FH103" s="1509">
        <v>0.99183376899999998</v>
      </c>
      <c r="FI103" s="1509">
        <v>0</v>
      </c>
      <c r="FJ103" s="1509">
        <v>1</v>
      </c>
      <c r="FK103" s="1509">
        <v>0</v>
      </c>
      <c r="FL103" s="1509">
        <v>0</v>
      </c>
      <c r="FM103" s="1509">
        <v>0</v>
      </c>
      <c r="FN103" s="1509">
        <v>0.993985287</v>
      </c>
      <c r="FO103" s="1509">
        <v>0</v>
      </c>
      <c r="FP103" s="1509">
        <v>0</v>
      </c>
      <c r="FQ103" s="1509">
        <v>0</v>
      </c>
      <c r="FR103" s="1509">
        <v>0</v>
      </c>
      <c r="FS103" s="1509">
        <v>0</v>
      </c>
      <c r="FT103" s="1509">
        <v>0</v>
      </c>
      <c r="FU103" s="1509">
        <v>0</v>
      </c>
    </row>
    <row r="104" spans="1:177" s="1509" customFormat="1" x14ac:dyDescent="0.2">
      <c r="A104" s="1512" t="s">
        <v>667</v>
      </c>
      <c r="B104" s="1512" t="s">
        <v>1037</v>
      </c>
      <c r="C104" s="1509">
        <v>0</v>
      </c>
      <c r="D104" s="1509">
        <v>0</v>
      </c>
      <c r="E104" s="1509">
        <v>0</v>
      </c>
      <c r="F104" s="1509">
        <v>0</v>
      </c>
      <c r="G104" s="1509">
        <v>0</v>
      </c>
      <c r="H104" s="1509">
        <v>0</v>
      </c>
      <c r="I104" s="1509">
        <v>0</v>
      </c>
      <c r="J104" s="1509">
        <v>0</v>
      </c>
      <c r="K104" s="1509">
        <v>0</v>
      </c>
      <c r="L104" s="1509">
        <v>0</v>
      </c>
      <c r="M104" s="1509">
        <v>0</v>
      </c>
      <c r="N104" s="1509">
        <v>0</v>
      </c>
      <c r="O104" s="1509">
        <v>0</v>
      </c>
      <c r="P104" s="1509">
        <v>0</v>
      </c>
      <c r="Q104" s="1509">
        <v>0</v>
      </c>
      <c r="R104" s="1509">
        <v>0</v>
      </c>
      <c r="S104" s="1509">
        <v>0</v>
      </c>
      <c r="T104" s="1509">
        <v>0</v>
      </c>
      <c r="U104" s="1509">
        <v>0</v>
      </c>
      <c r="V104" s="1509">
        <v>0</v>
      </c>
      <c r="W104" s="1509">
        <v>0</v>
      </c>
      <c r="X104" s="1509">
        <v>0</v>
      </c>
      <c r="Y104" s="1509">
        <v>0</v>
      </c>
      <c r="Z104" s="1509">
        <v>0</v>
      </c>
      <c r="AA104" s="1509">
        <v>0</v>
      </c>
      <c r="AB104" s="1509">
        <v>0</v>
      </c>
      <c r="AC104" s="1509">
        <v>0</v>
      </c>
      <c r="AD104" s="1509">
        <v>0</v>
      </c>
      <c r="AE104" s="1509">
        <v>0</v>
      </c>
      <c r="AF104" s="1509">
        <v>0</v>
      </c>
      <c r="AG104" s="1509">
        <v>0</v>
      </c>
      <c r="AH104" s="1509">
        <v>0</v>
      </c>
      <c r="AI104" s="1509">
        <v>0</v>
      </c>
      <c r="AJ104" s="1509">
        <v>0</v>
      </c>
      <c r="AK104" s="1509">
        <v>0</v>
      </c>
      <c r="AL104" s="1509">
        <v>0</v>
      </c>
      <c r="AM104" s="1509">
        <v>0</v>
      </c>
      <c r="AN104" s="1509">
        <v>0</v>
      </c>
      <c r="AO104" s="1509">
        <v>0</v>
      </c>
      <c r="AP104" s="1509">
        <v>0</v>
      </c>
      <c r="AQ104" s="1509">
        <v>0</v>
      </c>
      <c r="AR104" s="1509">
        <v>0</v>
      </c>
      <c r="AS104" s="1509">
        <v>0</v>
      </c>
      <c r="AT104" s="1509">
        <v>0</v>
      </c>
      <c r="AU104" s="1509">
        <v>0</v>
      </c>
      <c r="AV104" s="1509">
        <v>0</v>
      </c>
      <c r="AW104" s="1509">
        <v>0</v>
      </c>
      <c r="AX104" s="1509">
        <v>0</v>
      </c>
      <c r="AY104" s="1509">
        <v>0</v>
      </c>
      <c r="AZ104" s="1509">
        <v>0</v>
      </c>
      <c r="BA104" s="1509">
        <v>0</v>
      </c>
      <c r="BB104" s="1509">
        <v>0</v>
      </c>
      <c r="BC104" s="1509">
        <v>0</v>
      </c>
      <c r="BD104" s="1509">
        <v>0</v>
      </c>
      <c r="BE104" s="1509">
        <v>0</v>
      </c>
      <c r="BF104" s="1509">
        <v>0</v>
      </c>
      <c r="BG104" s="1509">
        <v>0</v>
      </c>
      <c r="BH104" s="1509">
        <v>0</v>
      </c>
      <c r="BI104" s="1509">
        <v>0</v>
      </c>
      <c r="BJ104" s="1509">
        <v>0</v>
      </c>
      <c r="BK104" s="1509">
        <v>0</v>
      </c>
      <c r="BL104" s="1509">
        <v>0</v>
      </c>
      <c r="BM104" s="1509">
        <v>0</v>
      </c>
      <c r="BN104" s="1509">
        <v>0</v>
      </c>
      <c r="BO104" s="1509">
        <v>0</v>
      </c>
      <c r="BP104" s="1509">
        <v>0</v>
      </c>
      <c r="BQ104" s="1509">
        <v>0</v>
      </c>
      <c r="BR104" s="1509">
        <v>0</v>
      </c>
      <c r="BS104" s="1509">
        <v>0</v>
      </c>
      <c r="BT104" s="1509">
        <v>0</v>
      </c>
      <c r="BU104" s="1509">
        <v>0</v>
      </c>
      <c r="BV104" s="1509">
        <v>0</v>
      </c>
      <c r="BW104" s="1509">
        <v>0</v>
      </c>
      <c r="BX104" s="1509">
        <v>0</v>
      </c>
      <c r="BY104" s="1509">
        <v>0</v>
      </c>
      <c r="BZ104" s="1509">
        <v>0</v>
      </c>
      <c r="CA104" s="1509">
        <v>0</v>
      </c>
      <c r="CB104" s="1509">
        <v>0</v>
      </c>
      <c r="CC104" s="1509">
        <v>0</v>
      </c>
      <c r="CD104" s="1509">
        <v>0</v>
      </c>
      <c r="CE104" s="1509">
        <v>0</v>
      </c>
      <c r="CF104" s="1509">
        <v>0</v>
      </c>
      <c r="CG104" s="1509">
        <v>0</v>
      </c>
      <c r="CH104" s="1509">
        <v>0</v>
      </c>
      <c r="CI104" s="1509">
        <v>0</v>
      </c>
      <c r="CJ104" s="1509">
        <v>0</v>
      </c>
      <c r="CK104" s="1509">
        <v>0</v>
      </c>
      <c r="CL104" s="1509">
        <v>0</v>
      </c>
      <c r="CM104" s="1509">
        <v>0</v>
      </c>
      <c r="CN104" s="1509">
        <v>0</v>
      </c>
      <c r="CO104" s="1509">
        <v>0</v>
      </c>
      <c r="CP104" s="1509">
        <v>0</v>
      </c>
      <c r="CQ104" s="1509">
        <v>0</v>
      </c>
      <c r="CR104" s="1509">
        <v>0</v>
      </c>
      <c r="CS104" s="1509">
        <v>0</v>
      </c>
      <c r="CT104" s="1509">
        <v>0</v>
      </c>
      <c r="CU104" s="1509">
        <v>0</v>
      </c>
      <c r="CV104" s="1509">
        <v>0</v>
      </c>
      <c r="CW104" s="1509">
        <v>0</v>
      </c>
      <c r="CX104" s="1509">
        <v>0</v>
      </c>
      <c r="CY104" s="1509">
        <v>0</v>
      </c>
      <c r="CZ104" s="1509">
        <v>0</v>
      </c>
      <c r="DA104" s="1509">
        <v>0</v>
      </c>
      <c r="DB104" s="1509">
        <v>0</v>
      </c>
      <c r="DC104" s="1509">
        <v>0</v>
      </c>
      <c r="DD104" s="1509">
        <v>0</v>
      </c>
      <c r="DE104" s="1509">
        <v>0</v>
      </c>
      <c r="DF104" s="1509">
        <v>0</v>
      </c>
      <c r="DG104" s="1509">
        <v>0</v>
      </c>
      <c r="DH104" s="1509">
        <v>0</v>
      </c>
      <c r="DI104" s="1509">
        <v>0</v>
      </c>
      <c r="DJ104" s="1509">
        <v>0</v>
      </c>
      <c r="DK104" s="1509">
        <v>0</v>
      </c>
      <c r="DL104" s="1509">
        <v>0</v>
      </c>
      <c r="DM104" s="1509">
        <v>0</v>
      </c>
      <c r="DN104" s="1509">
        <v>0</v>
      </c>
      <c r="DO104" s="1509">
        <v>0</v>
      </c>
      <c r="DP104" s="1509">
        <v>0</v>
      </c>
      <c r="DQ104" s="1509">
        <v>0</v>
      </c>
      <c r="DR104" s="1509">
        <v>0</v>
      </c>
      <c r="DS104" s="1509">
        <v>0</v>
      </c>
      <c r="DT104" s="1509">
        <v>0</v>
      </c>
      <c r="DU104" s="1509">
        <v>0</v>
      </c>
      <c r="DV104" s="1509">
        <v>0</v>
      </c>
      <c r="DW104" s="1509">
        <v>0</v>
      </c>
      <c r="DX104" s="1509">
        <v>0</v>
      </c>
      <c r="DY104" s="1509">
        <v>0</v>
      </c>
      <c r="DZ104" s="1509">
        <v>0</v>
      </c>
      <c r="EA104" s="1509">
        <v>0</v>
      </c>
      <c r="EB104" s="1509">
        <v>0</v>
      </c>
      <c r="EC104" s="1509">
        <v>0</v>
      </c>
      <c r="ED104" s="1509">
        <v>0</v>
      </c>
      <c r="EE104" s="1509">
        <v>0</v>
      </c>
      <c r="EF104" s="1509">
        <v>0</v>
      </c>
      <c r="EG104" s="1509">
        <v>0</v>
      </c>
      <c r="EH104" s="1509">
        <v>0</v>
      </c>
      <c r="EI104" s="1509">
        <v>0</v>
      </c>
      <c r="EJ104" s="1509">
        <v>0</v>
      </c>
      <c r="EK104" s="1509">
        <v>0</v>
      </c>
      <c r="EL104" s="1509">
        <v>0</v>
      </c>
      <c r="EM104" s="1509">
        <v>0</v>
      </c>
      <c r="EN104" s="1509">
        <v>0</v>
      </c>
      <c r="EO104" s="1509">
        <v>0</v>
      </c>
      <c r="EP104" s="1509">
        <v>0</v>
      </c>
      <c r="EQ104" s="1509">
        <v>0</v>
      </c>
      <c r="ER104" s="1509">
        <v>0</v>
      </c>
      <c r="ES104" s="1509">
        <v>0</v>
      </c>
      <c r="ET104" s="1509">
        <v>0</v>
      </c>
      <c r="EU104" s="1509">
        <v>0</v>
      </c>
      <c r="EV104" s="1509">
        <v>0</v>
      </c>
      <c r="EW104" s="1509">
        <v>0</v>
      </c>
      <c r="EX104" s="1509">
        <v>0</v>
      </c>
      <c r="EY104" s="1509">
        <v>0</v>
      </c>
      <c r="EZ104" s="1509">
        <v>0</v>
      </c>
      <c r="FA104" s="1509">
        <v>0</v>
      </c>
      <c r="FB104" s="1509">
        <v>0</v>
      </c>
      <c r="FC104" s="1509">
        <v>0</v>
      </c>
      <c r="FD104" s="1509">
        <v>0</v>
      </c>
      <c r="FE104" s="1509">
        <v>0</v>
      </c>
      <c r="FF104" s="1509">
        <v>0</v>
      </c>
      <c r="FG104" s="1509">
        <v>0</v>
      </c>
      <c r="FH104" s="1509">
        <v>0</v>
      </c>
      <c r="FI104" s="1509">
        <v>0</v>
      </c>
      <c r="FJ104" s="1509">
        <v>0</v>
      </c>
      <c r="FK104" s="1509">
        <v>0</v>
      </c>
      <c r="FL104" s="1509">
        <v>0</v>
      </c>
      <c r="FM104" s="1509">
        <v>0</v>
      </c>
      <c r="FN104" s="1509">
        <v>0</v>
      </c>
      <c r="FO104" s="1509">
        <v>0</v>
      </c>
      <c r="FP104" s="1509">
        <v>0</v>
      </c>
      <c r="FQ104" s="1509">
        <v>0</v>
      </c>
      <c r="FR104" s="1509">
        <v>0</v>
      </c>
      <c r="FS104" s="1509">
        <v>0</v>
      </c>
      <c r="FT104" s="1509">
        <v>0</v>
      </c>
      <c r="FU104" s="1509">
        <v>0</v>
      </c>
    </row>
    <row r="105" spans="1:177" s="1509" customFormat="1" x14ac:dyDescent="0.2">
      <c r="A105" s="1512" t="s">
        <v>669</v>
      </c>
      <c r="B105" s="1512" t="s">
        <v>1261</v>
      </c>
      <c r="C105" s="1509">
        <v>0.97468901600000002</v>
      </c>
      <c r="D105" s="1509">
        <v>0.97468901600000002</v>
      </c>
      <c r="E105" s="1509">
        <v>0.97468901600000002</v>
      </c>
      <c r="F105" s="1509">
        <v>0.94296391700000004</v>
      </c>
      <c r="G105" s="1509">
        <v>0.97468901600000002</v>
      </c>
      <c r="H105" s="1509">
        <v>0.97468901600000002</v>
      </c>
      <c r="I105" s="1509">
        <v>0.97468901600000002</v>
      </c>
      <c r="J105" s="1509">
        <v>0.97468901600000002</v>
      </c>
      <c r="K105" s="1509">
        <v>0.97468901600000002</v>
      </c>
      <c r="L105" s="1509">
        <v>0.99886339099999999</v>
      </c>
      <c r="M105" s="1509">
        <v>0.99886339099999999</v>
      </c>
      <c r="N105" s="1509">
        <v>0.97468901600000002</v>
      </c>
      <c r="O105" s="1509">
        <v>0.97468901600000002</v>
      </c>
      <c r="P105" s="1509">
        <v>0.99886339099999999</v>
      </c>
      <c r="Q105" s="1509">
        <v>0.98968318499999997</v>
      </c>
      <c r="R105" s="1509">
        <v>0.55454186000000005</v>
      </c>
      <c r="S105" s="1509">
        <v>0.29541406100000001</v>
      </c>
      <c r="T105" s="1509">
        <v>0.29541406100000001</v>
      </c>
      <c r="U105" s="1509">
        <v>0.97468901600000002</v>
      </c>
      <c r="V105" s="1509">
        <v>0.97468901600000002</v>
      </c>
      <c r="W105" s="1509">
        <v>0.97468901600000002</v>
      </c>
      <c r="X105" s="1509">
        <v>0.29541406100000001</v>
      </c>
      <c r="Y105" s="1509">
        <v>0.29541406100000001</v>
      </c>
      <c r="Z105" s="1509">
        <v>0.29541406100000001</v>
      </c>
      <c r="AA105" s="1509">
        <v>0.99886339099999999</v>
      </c>
      <c r="AB105" s="1509">
        <v>0.99886339099999999</v>
      </c>
      <c r="AC105" s="1509">
        <v>0.99886339099999999</v>
      </c>
      <c r="AD105" s="1509">
        <v>0.99886339099999999</v>
      </c>
      <c r="AE105" s="1509">
        <v>0.55454186000000005</v>
      </c>
      <c r="AF105" s="1509">
        <v>0.97468901600000002</v>
      </c>
      <c r="AG105" s="1509">
        <v>0.99994037499999999</v>
      </c>
      <c r="AH105" s="1509">
        <v>0.97468901600000002</v>
      </c>
      <c r="AI105" s="1509">
        <v>0.97468901600000002</v>
      </c>
      <c r="AJ105" s="1509">
        <v>0.97468901600000002</v>
      </c>
      <c r="AK105" s="1509">
        <v>0.55454186000000005</v>
      </c>
      <c r="AL105" s="1509">
        <v>0.98968318499999997</v>
      </c>
      <c r="AM105" s="1509">
        <v>0.98968318499999997</v>
      </c>
      <c r="AN105" s="1509">
        <v>0.98968318499999997</v>
      </c>
      <c r="AO105" s="1509">
        <v>0.85631988400000003</v>
      </c>
      <c r="AP105" s="1509">
        <v>0.69323157999999996</v>
      </c>
      <c r="AQ105" s="1509">
        <v>0.99886339099999999</v>
      </c>
      <c r="AR105" s="1509">
        <v>1</v>
      </c>
      <c r="AS105" s="1509">
        <v>1</v>
      </c>
      <c r="AT105" s="1509">
        <v>1</v>
      </c>
      <c r="AU105" s="1509">
        <v>0.72459913600000003</v>
      </c>
      <c r="AV105" s="1509">
        <v>0.29541406100000001</v>
      </c>
      <c r="AW105" s="1509">
        <v>0.29541406100000001</v>
      </c>
      <c r="AX105" s="1509">
        <v>0.45258943299999999</v>
      </c>
      <c r="AY105" s="1509">
        <v>0.99264689699999997</v>
      </c>
      <c r="AZ105" s="1509">
        <v>0.94296391700000004</v>
      </c>
      <c r="BA105" s="1509">
        <v>0.94296391700000004</v>
      </c>
      <c r="BB105" s="1509">
        <v>0.94296391700000004</v>
      </c>
      <c r="BC105" s="1509">
        <v>1</v>
      </c>
      <c r="BD105" s="1509">
        <v>1</v>
      </c>
      <c r="BE105" s="1509">
        <v>0.98593984700000004</v>
      </c>
      <c r="BF105" s="1509">
        <v>1</v>
      </c>
      <c r="BG105" s="1509">
        <v>0.74616620700000003</v>
      </c>
      <c r="BH105" s="1509">
        <v>0.97468901600000002</v>
      </c>
      <c r="BI105" s="1509">
        <v>0.97468901600000002</v>
      </c>
      <c r="BJ105" s="1509">
        <v>0.97468901600000002</v>
      </c>
      <c r="BK105" s="1509">
        <v>0.97468901600000002</v>
      </c>
      <c r="BL105" s="1509">
        <v>0.97468901600000002</v>
      </c>
      <c r="BM105" s="1509">
        <v>0.98968318499999997</v>
      </c>
      <c r="BN105" s="1509">
        <v>0.97468901600000002</v>
      </c>
      <c r="BO105" s="1509">
        <v>0.97468901600000002</v>
      </c>
      <c r="BP105" s="1509">
        <v>0.97468901600000002</v>
      </c>
      <c r="BQ105" s="1509">
        <v>0.97468901600000002</v>
      </c>
      <c r="BR105" s="1509">
        <v>0.97468901600000002</v>
      </c>
      <c r="BS105" s="1509">
        <v>0.97468901600000002</v>
      </c>
      <c r="BT105" s="1509">
        <v>0.94296391700000004</v>
      </c>
      <c r="BU105" s="1509">
        <v>0.94296391700000004</v>
      </c>
      <c r="BV105" s="1509">
        <v>0.94296391700000004</v>
      </c>
      <c r="BW105" s="1509">
        <v>0.70780213800000003</v>
      </c>
      <c r="BX105" s="1509">
        <v>1</v>
      </c>
      <c r="BY105" s="1509">
        <v>1</v>
      </c>
      <c r="BZ105" s="1509">
        <v>1</v>
      </c>
      <c r="CA105" s="1509">
        <v>0.98968318499999997</v>
      </c>
      <c r="CB105" s="1509">
        <v>0.55454186000000005</v>
      </c>
      <c r="CC105" s="1509">
        <v>0.70780213800000003</v>
      </c>
      <c r="CD105" s="1509">
        <v>0.55454186000000005</v>
      </c>
      <c r="CE105" s="1509">
        <v>0.70780213800000003</v>
      </c>
      <c r="CF105" s="1509">
        <v>0.98968318499999997</v>
      </c>
      <c r="CG105" s="1509">
        <v>0.97468901600000002</v>
      </c>
      <c r="CH105" s="1509">
        <v>0.99994037499999999</v>
      </c>
      <c r="CI105" s="1509">
        <v>0.97468901600000002</v>
      </c>
      <c r="CJ105" s="1509">
        <v>0.94296391700000004</v>
      </c>
      <c r="CK105" s="1509">
        <v>0.94296391700000004</v>
      </c>
      <c r="CL105" s="1509">
        <v>0.94296391700000004</v>
      </c>
      <c r="CM105" s="1509">
        <v>2.037461E-3</v>
      </c>
      <c r="CN105" s="1509">
        <v>0.98968318499999997</v>
      </c>
      <c r="CO105" s="1509">
        <v>0.98968318499999997</v>
      </c>
      <c r="CP105" s="1509">
        <v>0.98968318499999997</v>
      </c>
      <c r="CQ105" s="1509">
        <v>0.99886339099999999</v>
      </c>
      <c r="CR105" s="1509">
        <v>0.97468901600000002</v>
      </c>
      <c r="CS105" s="1509">
        <v>0.97468901600000002</v>
      </c>
      <c r="CT105" s="1509">
        <v>0.97468901600000002</v>
      </c>
      <c r="CU105" s="1509">
        <v>0.97468901600000002</v>
      </c>
      <c r="CV105" s="1509">
        <v>0.94296391700000004</v>
      </c>
      <c r="CW105" s="1509">
        <v>0.94296391700000004</v>
      </c>
      <c r="CX105" s="1509">
        <v>0.94296391700000004</v>
      </c>
      <c r="CY105" s="1509">
        <v>0.94296391700000004</v>
      </c>
      <c r="CZ105" s="1509">
        <v>0.45258943299999999</v>
      </c>
      <c r="DA105" s="1509">
        <v>1</v>
      </c>
      <c r="DB105" s="1509">
        <v>1</v>
      </c>
      <c r="DC105" s="1509">
        <v>0.60168875700000002</v>
      </c>
      <c r="DD105" s="1509">
        <v>0.60168875700000002</v>
      </c>
      <c r="DE105" s="1509">
        <v>0.33134042800000002</v>
      </c>
      <c r="DF105" s="1509">
        <v>0.33134042800000002</v>
      </c>
      <c r="DG105" s="1509">
        <v>0.60168875700000002</v>
      </c>
      <c r="DH105" s="1509">
        <v>0.60168875700000002</v>
      </c>
      <c r="DI105" s="1509">
        <v>0.60168875700000002</v>
      </c>
      <c r="DJ105" s="1509">
        <v>1</v>
      </c>
      <c r="DK105" s="1509">
        <v>0.68505661699999998</v>
      </c>
      <c r="DL105" s="1509">
        <v>0.70780213800000003</v>
      </c>
      <c r="DM105" s="1509">
        <v>0.98968318499999997</v>
      </c>
      <c r="DN105" s="1509">
        <v>0.98777687999999997</v>
      </c>
      <c r="DO105" s="1509">
        <v>0.99697840299999996</v>
      </c>
      <c r="DP105" s="1509">
        <v>3.7116746999999999E-2</v>
      </c>
      <c r="DQ105" s="1509">
        <v>1</v>
      </c>
      <c r="DR105" s="1509">
        <v>1</v>
      </c>
      <c r="DS105" s="1509">
        <v>0.68505661699999998</v>
      </c>
      <c r="DT105" s="1509">
        <v>1</v>
      </c>
      <c r="DU105" s="1509">
        <v>0.29541406100000001</v>
      </c>
      <c r="DV105" s="1509">
        <v>0.99886339099999999</v>
      </c>
      <c r="DW105" s="1509">
        <v>0.85631988400000003</v>
      </c>
      <c r="DX105" s="1509">
        <v>1</v>
      </c>
      <c r="DY105" s="1509">
        <v>0.94296391700000004</v>
      </c>
      <c r="DZ105" s="1509">
        <v>1</v>
      </c>
      <c r="EA105" s="1509">
        <v>0.94296391700000004</v>
      </c>
      <c r="EB105" s="1509">
        <v>0.99886339099999999</v>
      </c>
      <c r="EC105" s="1509">
        <v>0.97468901600000002</v>
      </c>
      <c r="ED105" s="1509">
        <v>0.97468901600000002</v>
      </c>
      <c r="EE105" s="1509">
        <v>0.70780213800000003</v>
      </c>
      <c r="EF105" s="1509">
        <v>0.99264689699999997</v>
      </c>
      <c r="EG105" s="1509">
        <v>0.68505661699999998</v>
      </c>
      <c r="EH105" s="1509">
        <v>0.94296391700000004</v>
      </c>
      <c r="EI105" s="1509">
        <v>0.70780213800000003</v>
      </c>
      <c r="EJ105" s="1509">
        <v>0.98968318499999997</v>
      </c>
      <c r="EK105" s="1509">
        <v>0.99994037499999999</v>
      </c>
      <c r="EL105" s="1509">
        <v>0.60168875700000002</v>
      </c>
      <c r="EM105" s="1509">
        <v>1</v>
      </c>
      <c r="EN105" s="1509">
        <v>0.60168875700000002</v>
      </c>
      <c r="EO105" s="1509">
        <v>0.33134042800000002</v>
      </c>
      <c r="EP105" s="1509">
        <v>3.7116746999999999E-2</v>
      </c>
      <c r="EQ105" s="1509">
        <v>0</v>
      </c>
      <c r="ER105" s="1509">
        <v>1</v>
      </c>
      <c r="ES105" s="1509">
        <v>0.99697840299999996</v>
      </c>
      <c r="ET105" s="1509">
        <v>0.98968318499999997</v>
      </c>
      <c r="EU105" s="1509">
        <v>1</v>
      </c>
      <c r="EV105" s="1509">
        <v>0.99886339099999999</v>
      </c>
      <c r="EW105" s="1509">
        <v>0.85631988400000003</v>
      </c>
      <c r="EX105" s="1509">
        <v>0.99264689699999997</v>
      </c>
      <c r="EY105" s="1509">
        <v>0.94296391700000004</v>
      </c>
      <c r="EZ105" s="1509">
        <v>1</v>
      </c>
      <c r="FA105" s="1509">
        <v>0.55454186000000005</v>
      </c>
      <c r="FB105" s="1509">
        <v>0.69323157999999996</v>
      </c>
      <c r="FC105" s="1509">
        <v>0.94296391700000004</v>
      </c>
      <c r="FD105" s="1509">
        <v>0.94296391700000004</v>
      </c>
      <c r="FE105" s="1509">
        <v>0.99697840299999996</v>
      </c>
      <c r="FF105" s="1509">
        <v>0.85631988400000003</v>
      </c>
      <c r="FG105" s="1509">
        <v>0.114368234</v>
      </c>
      <c r="FH105" s="1509">
        <v>2.037461E-3</v>
      </c>
      <c r="FI105" s="1509">
        <v>0.69323157999999996</v>
      </c>
      <c r="FJ105" s="1509">
        <v>0.94296391700000004</v>
      </c>
      <c r="FK105" s="1509">
        <v>0.45258943299999999</v>
      </c>
      <c r="FL105" s="1509">
        <v>1</v>
      </c>
      <c r="FM105" s="1509">
        <v>0.97468901600000002</v>
      </c>
      <c r="FN105" s="1509">
        <v>0.97468901600000002</v>
      </c>
      <c r="FO105" s="1509">
        <v>1</v>
      </c>
      <c r="FP105" s="1509">
        <v>0.69323157999999996</v>
      </c>
      <c r="FQ105" s="1509">
        <v>1</v>
      </c>
      <c r="FR105" s="1509">
        <v>0.254925919</v>
      </c>
      <c r="FS105" s="1509">
        <v>0.85631988400000003</v>
      </c>
      <c r="FT105" s="1509">
        <v>0.60168875700000002</v>
      </c>
      <c r="FU105" s="1509">
        <v>0.97468901600000002</v>
      </c>
    </row>
    <row r="106" spans="1:177" s="1509" customFormat="1" x14ac:dyDescent="0.2">
      <c r="A106" s="1512" t="s">
        <v>669</v>
      </c>
      <c r="B106" s="1512" t="s">
        <v>1060</v>
      </c>
      <c r="C106" s="1509">
        <v>0.99901245400000005</v>
      </c>
      <c r="D106" s="1509">
        <v>0.99901245400000005</v>
      </c>
      <c r="E106" s="1509">
        <v>0.96312914100000002</v>
      </c>
      <c r="F106" s="1509">
        <v>0.95428527399999996</v>
      </c>
      <c r="G106" s="1509">
        <v>0.96312914100000002</v>
      </c>
      <c r="H106" s="1509">
        <v>0.96312914100000002</v>
      </c>
      <c r="I106" s="1509">
        <v>0.99901245400000005</v>
      </c>
      <c r="J106" s="1509">
        <v>0.99901245400000005</v>
      </c>
      <c r="K106" s="1509">
        <v>0.99901245400000005</v>
      </c>
      <c r="L106" s="1509">
        <v>0.99901245400000005</v>
      </c>
      <c r="M106" s="1509">
        <v>0.99901245400000005</v>
      </c>
      <c r="N106" s="1509">
        <v>0.99901245400000005</v>
      </c>
      <c r="O106" s="1509">
        <v>0.99901245400000005</v>
      </c>
      <c r="P106" s="1509">
        <v>0.99901245400000005</v>
      </c>
      <c r="Q106" s="1509">
        <v>0.90511215700000003</v>
      </c>
      <c r="R106" s="1509">
        <v>0.98352890299999995</v>
      </c>
      <c r="S106" s="1509">
        <v>0.96312914100000002</v>
      </c>
      <c r="T106" s="1509">
        <v>0.99901245400000005</v>
      </c>
      <c r="U106" s="1509">
        <v>0.99901245400000005</v>
      </c>
      <c r="V106" s="1509">
        <v>0.99901245400000005</v>
      </c>
      <c r="W106" s="1509">
        <v>0.99901245400000005</v>
      </c>
      <c r="X106" s="1509">
        <v>0.96312914100000002</v>
      </c>
      <c r="Y106" s="1509">
        <v>0.96312914100000002</v>
      </c>
      <c r="Z106" s="1509">
        <v>0.96312914100000002</v>
      </c>
      <c r="AA106" s="1509">
        <v>0.99901245400000005</v>
      </c>
      <c r="AB106" s="1509">
        <v>0.99901245400000005</v>
      </c>
      <c r="AC106" s="1509">
        <v>0.96312914100000002</v>
      </c>
      <c r="AD106" s="1509">
        <v>0.99901245400000005</v>
      </c>
      <c r="AE106" s="1509">
        <v>0.98352890299999995</v>
      </c>
      <c r="AF106" s="1509">
        <v>0.99901245400000005</v>
      </c>
      <c r="AG106" s="1509">
        <v>0.99901245400000005</v>
      </c>
      <c r="AH106" s="1509">
        <v>0.99901245400000005</v>
      </c>
      <c r="AI106" s="1509">
        <v>0.96312914100000002</v>
      </c>
      <c r="AJ106" s="1509">
        <v>0.99901245400000005</v>
      </c>
      <c r="AK106" s="1509">
        <v>0.98352890299999995</v>
      </c>
      <c r="AL106" s="1509">
        <v>0.98352890299999995</v>
      </c>
      <c r="AM106" s="1509">
        <v>0.98352890299999995</v>
      </c>
      <c r="AN106" s="1509">
        <v>0.90511215700000003</v>
      </c>
      <c r="AO106" s="1509">
        <v>0.983312784</v>
      </c>
      <c r="AP106" s="1509">
        <v>0.92096424499999996</v>
      </c>
      <c r="AQ106" s="1509">
        <v>0.96312914100000002</v>
      </c>
      <c r="AR106" s="1509">
        <v>1</v>
      </c>
      <c r="AS106" s="1509">
        <v>1</v>
      </c>
      <c r="AT106" s="1509">
        <v>1</v>
      </c>
      <c r="AU106" s="1509">
        <v>0.99015327399999997</v>
      </c>
      <c r="AV106" s="1509">
        <v>0.99901245400000005</v>
      </c>
      <c r="AW106" s="1509">
        <v>0.99901245400000005</v>
      </c>
      <c r="AX106" s="1509">
        <v>0.92204117500000005</v>
      </c>
      <c r="AY106" s="1509">
        <v>0.99649406699999998</v>
      </c>
      <c r="AZ106" s="1509">
        <v>0.99649406699999998</v>
      </c>
      <c r="BA106" s="1509">
        <v>0.99649406699999998</v>
      </c>
      <c r="BB106" s="1509">
        <v>0.99649406699999998</v>
      </c>
      <c r="BC106" s="1509">
        <v>0.99015327399999997</v>
      </c>
      <c r="BD106" s="1509">
        <v>1</v>
      </c>
      <c r="BE106" s="1509">
        <v>0.99952841699999995</v>
      </c>
      <c r="BF106" s="1509">
        <v>0.99015327399999997</v>
      </c>
      <c r="BG106" s="1509">
        <v>0.99524924000000003</v>
      </c>
      <c r="BH106" s="1509">
        <v>0.99901245400000005</v>
      </c>
      <c r="BI106" s="1509">
        <v>0.99901245400000005</v>
      </c>
      <c r="BJ106" s="1509">
        <v>0.99901245400000005</v>
      </c>
      <c r="BK106" s="1509">
        <v>0.99901245400000005</v>
      </c>
      <c r="BL106" s="1509">
        <v>0.96312914100000002</v>
      </c>
      <c r="BM106" s="1509">
        <v>0.90511215700000003</v>
      </c>
      <c r="BN106" s="1509">
        <v>0.99901245400000005</v>
      </c>
      <c r="BO106" s="1509">
        <v>0.99901245400000005</v>
      </c>
      <c r="BP106" s="1509">
        <v>0.99901245400000005</v>
      </c>
      <c r="BQ106" s="1509">
        <v>0.99901245400000005</v>
      </c>
      <c r="BR106" s="1509">
        <v>0.96312914100000002</v>
      </c>
      <c r="BS106" s="1509">
        <v>0.96312914100000002</v>
      </c>
      <c r="BT106" s="1509">
        <v>0.99649406699999998</v>
      </c>
      <c r="BU106" s="1509">
        <v>0.99649406699999998</v>
      </c>
      <c r="BV106" s="1509">
        <v>0.99649406699999998</v>
      </c>
      <c r="BW106" s="1509">
        <v>0.90511215700000003</v>
      </c>
      <c r="BX106" s="1509">
        <v>0.92204117500000005</v>
      </c>
      <c r="BY106" s="1509">
        <v>0.76944464199999996</v>
      </c>
      <c r="BZ106" s="1509">
        <v>0.76944464199999996</v>
      </c>
      <c r="CA106" s="1509">
        <v>0.90511215700000003</v>
      </c>
      <c r="CB106" s="1509">
        <v>0.90511215700000003</v>
      </c>
      <c r="CC106" s="1509">
        <v>0.98352890299999995</v>
      </c>
      <c r="CD106" s="1509">
        <v>0.98352890299999995</v>
      </c>
      <c r="CE106" s="1509">
        <v>0.98352890299999995</v>
      </c>
      <c r="CF106" s="1509">
        <v>0.90511215700000003</v>
      </c>
      <c r="CG106" s="1509">
        <v>0.99901245400000005</v>
      </c>
      <c r="CH106" s="1509">
        <v>0.99901245400000005</v>
      </c>
      <c r="CI106" s="1509">
        <v>0.99901245400000005</v>
      </c>
      <c r="CJ106" s="1509">
        <v>0.99649406699999998</v>
      </c>
      <c r="CK106" s="1509">
        <v>0.95428527399999996</v>
      </c>
      <c r="CL106" s="1509">
        <v>0.95428527399999996</v>
      </c>
      <c r="CM106" s="1509">
        <v>0.76944464199999996</v>
      </c>
      <c r="CN106" s="1509">
        <v>0.98352890299999995</v>
      </c>
      <c r="CO106" s="1509">
        <v>0.90511215700000003</v>
      </c>
      <c r="CP106" s="1509">
        <v>0.90511215700000003</v>
      </c>
      <c r="CQ106" s="1509">
        <v>0.99901245400000005</v>
      </c>
      <c r="CR106" s="1509">
        <v>0.99901245400000005</v>
      </c>
      <c r="CS106" s="1509">
        <v>0.99901245400000005</v>
      </c>
      <c r="CT106" s="1509">
        <v>0.99901245400000005</v>
      </c>
      <c r="CU106" s="1509">
        <v>0.96312914100000002</v>
      </c>
      <c r="CV106" s="1509">
        <v>0.95428527399999996</v>
      </c>
      <c r="CW106" s="1509">
        <v>0.95428527399999996</v>
      </c>
      <c r="CX106" s="1509">
        <v>0.95428527399999996</v>
      </c>
      <c r="CY106" s="1509">
        <v>0.99649406699999998</v>
      </c>
      <c r="CZ106" s="1509">
        <v>0.92204117500000005</v>
      </c>
      <c r="DA106" s="1509">
        <v>0.92204117500000005</v>
      </c>
      <c r="DB106" s="1509">
        <v>0.94554769599999999</v>
      </c>
      <c r="DC106" s="1509">
        <v>0.94554769599999999</v>
      </c>
      <c r="DD106" s="1509">
        <v>0.94554769599999999</v>
      </c>
      <c r="DE106" s="1509">
        <v>0.79607980199999995</v>
      </c>
      <c r="DF106" s="1509">
        <v>0.94554769599999999</v>
      </c>
      <c r="DG106" s="1509">
        <v>0.94554769599999999</v>
      </c>
      <c r="DH106" s="1509">
        <v>0.79607980199999995</v>
      </c>
      <c r="DI106" s="1509">
        <v>0.94554769599999999</v>
      </c>
      <c r="DJ106" s="1509">
        <v>0.92204117500000005</v>
      </c>
      <c r="DK106" s="1509">
        <v>0.92204117500000005</v>
      </c>
      <c r="DL106" s="1509">
        <v>0.90511215700000003</v>
      </c>
      <c r="DM106" s="1509">
        <v>0.90511215700000003</v>
      </c>
      <c r="DN106" s="1509">
        <v>0.92096424499999996</v>
      </c>
      <c r="DO106" s="1509">
        <v>0.99649406699999998</v>
      </c>
      <c r="DP106" s="1509">
        <v>0.92204117500000005</v>
      </c>
      <c r="DQ106" s="1509">
        <v>0.92204117500000005</v>
      </c>
      <c r="DR106" s="1509">
        <v>0.92204117500000005</v>
      </c>
      <c r="DS106" s="1509">
        <v>0.92204117500000005</v>
      </c>
      <c r="DT106" s="1509">
        <v>0.92204117500000005</v>
      </c>
      <c r="DU106" s="1509">
        <v>0.99901245400000005</v>
      </c>
      <c r="DV106" s="1509">
        <v>0.96312914100000002</v>
      </c>
      <c r="DW106" s="1509">
        <v>0.92096424499999996</v>
      </c>
      <c r="DX106" s="1509">
        <v>1</v>
      </c>
      <c r="DY106" s="1509">
        <v>0.99649406699999998</v>
      </c>
      <c r="DZ106" s="1509">
        <v>0.99015327399999997</v>
      </c>
      <c r="EA106" s="1509">
        <v>0.95428527399999996</v>
      </c>
      <c r="EB106" s="1509">
        <v>0.96312914100000002</v>
      </c>
      <c r="EC106" s="1509">
        <v>0.96312914100000002</v>
      </c>
      <c r="ED106" s="1509">
        <v>0.99901245400000005</v>
      </c>
      <c r="EE106" s="1509">
        <v>0.90511215700000003</v>
      </c>
      <c r="EF106" s="1509">
        <v>0.95428527399999996</v>
      </c>
      <c r="EG106" s="1509">
        <v>0.76944464199999996</v>
      </c>
      <c r="EH106" s="1509">
        <v>0.99649406699999998</v>
      </c>
      <c r="EI106" s="1509">
        <v>0.90511215700000003</v>
      </c>
      <c r="EJ106" s="1509">
        <v>0.90511215700000003</v>
      </c>
      <c r="EK106" s="1509">
        <v>0.96312914100000002</v>
      </c>
      <c r="EL106" s="1509">
        <v>0.94554769599999999</v>
      </c>
      <c r="EM106" s="1509">
        <v>0.79607980199999995</v>
      </c>
      <c r="EN106" s="1509">
        <v>0.94554769599999999</v>
      </c>
      <c r="EO106" s="1509">
        <v>0.79607980199999995</v>
      </c>
      <c r="EP106" s="1509">
        <v>0.76944464199999996</v>
      </c>
      <c r="EQ106" s="1509">
        <v>0.90511215700000003</v>
      </c>
      <c r="ER106" s="1509">
        <v>0.99649406699999998</v>
      </c>
      <c r="ES106" s="1509">
        <v>0.99649406699999998</v>
      </c>
      <c r="ET106" s="1509">
        <v>0</v>
      </c>
      <c r="EU106" s="1509">
        <v>0.76944464199999996</v>
      </c>
      <c r="EV106" s="1509">
        <v>0.99901245400000005</v>
      </c>
      <c r="EW106" s="1509">
        <v>0.92096424499999996</v>
      </c>
      <c r="EX106" s="1509">
        <v>0.95428527399999996</v>
      </c>
      <c r="EY106" s="1509">
        <v>0.99649406699999998</v>
      </c>
      <c r="EZ106" s="1509">
        <v>0.76944464199999996</v>
      </c>
      <c r="FA106" s="1509">
        <v>0.98352890299999995</v>
      </c>
      <c r="FB106" s="1509">
        <v>0.983312784</v>
      </c>
      <c r="FC106" s="1509">
        <v>0.95428527399999996</v>
      </c>
      <c r="FD106" s="1509">
        <v>0.95428527399999996</v>
      </c>
      <c r="FE106" s="1509">
        <v>0.99649406699999998</v>
      </c>
      <c r="FF106" s="1509">
        <v>0.92096424499999996</v>
      </c>
      <c r="FG106" s="1509">
        <v>0</v>
      </c>
      <c r="FH106" s="1509">
        <v>0</v>
      </c>
      <c r="FI106" s="1509">
        <v>0.92096424499999996</v>
      </c>
      <c r="FJ106" s="1509">
        <v>0.99649406699999998</v>
      </c>
      <c r="FK106" s="1509">
        <v>0.92204117500000005</v>
      </c>
      <c r="FL106" s="1509">
        <v>0.79607980199999995</v>
      </c>
      <c r="FM106" s="1509">
        <v>0.99901245400000005</v>
      </c>
      <c r="FN106" s="1509">
        <v>0.99901245400000005</v>
      </c>
      <c r="FO106" s="1509">
        <v>0.76944464199999996</v>
      </c>
      <c r="FP106" s="1509">
        <v>0.92096424499999996</v>
      </c>
      <c r="FQ106" s="1509">
        <v>0.76944464199999996</v>
      </c>
      <c r="FR106" s="1509">
        <v>0.95428527399999996</v>
      </c>
      <c r="FS106" s="1509">
        <v>0.983312784</v>
      </c>
      <c r="FT106" s="1509">
        <v>0.79607980199999995</v>
      </c>
      <c r="FU106" s="1509">
        <v>0.99901245400000005</v>
      </c>
    </row>
    <row r="107" spans="1:177" s="1509" customFormat="1" x14ac:dyDescent="0.2">
      <c r="A107" s="1512" t="s">
        <v>669</v>
      </c>
      <c r="B107" s="1512" t="s">
        <v>1257</v>
      </c>
      <c r="C107" s="1509">
        <v>0.96154161500000002</v>
      </c>
      <c r="D107" s="1509">
        <v>0</v>
      </c>
      <c r="E107" s="1509">
        <v>0</v>
      </c>
      <c r="F107" s="1509">
        <v>0</v>
      </c>
      <c r="G107" s="1509">
        <v>0</v>
      </c>
      <c r="H107" s="1509">
        <v>0</v>
      </c>
      <c r="I107" s="1509">
        <v>0</v>
      </c>
      <c r="J107" s="1509">
        <v>0</v>
      </c>
      <c r="K107" s="1509">
        <v>0</v>
      </c>
      <c r="L107" s="1509">
        <v>0</v>
      </c>
      <c r="M107" s="1509">
        <v>0</v>
      </c>
      <c r="N107" s="1509">
        <v>0</v>
      </c>
      <c r="O107" s="1509">
        <v>0</v>
      </c>
      <c r="P107" s="1509">
        <v>0</v>
      </c>
      <c r="Q107" s="1509">
        <v>0</v>
      </c>
      <c r="R107" s="1509">
        <v>0</v>
      </c>
      <c r="S107" s="1509">
        <v>0</v>
      </c>
      <c r="T107" s="1509">
        <v>0</v>
      </c>
      <c r="U107" s="1509">
        <v>0</v>
      </c>
      <c r="V107" s="1509">
        <v>0</v>
      </c>
      <c r="W107" s="1509">
        <v>0</v>
      </c>
      <c r="X107" s="1509">
        <v>0.96686690900000005</v>
      </c>
      <c r="Y107" s="1509">
        <v>0</v>
      </c>
      <c r="Z107" s="1509">
        <v>0</v>
      </c>
      <c r="AA107" s="1509">
        <v>0</v>
      </c>
      <c r="AB107" s="1509">
        <v>0</v>
      </c>
      <c r="AC107" s="1509">
        <v>0</v>
      </c>
      <c r="AD107" s="1509">
        <v>0</v>
      </c>
      <c r="AE107" s="1509">
        <v>0</v>
      </c>
      <c r="AF107" s="1509">
        <v>0</v>
      </c>
      <c r="AG107" s="1509">
        <v>0</v>
      </c>
      <c r="AH107" s="1509">
        <v>0</v>
      </c>
      <c r="AI107" s="1509">
        <v>0</v>
      </c>
      <c r="AJ107" s="1509">
        <v>0</v>
      </c>
      <c r="AK107" s="1509">
        <v>0</v>
      </c>
      <c r="AL107" s="1509">
        <v>0</v>
      </c>
      <c r="AM107" s="1509">
        <v>0</v>
      </c>
      <c r="AN107" s="1509">
        <v>0</v>
      </c>
      <c r="AO107" s="1509">
        <v>0.68843124899999997</v>
      </c>
      <c r="AP107" s="1509">
        <v>0</v>
      </c>
      <c r="AQ107" s="1509">
        <v>0.94979168400000002</v>
      </c>
      <c r="AR107" s="1509">
        <v>0</v>
      </c>
      <c r="AS107" s="1509">
        <v>0</v>
      </c>
      <c r="AT107" s="1509">
        <v>0</v>
      </c>
      <c r="AU107" s="1509">
        <v>0</v>
      </c>
      <c r="AV107" s="1509">
        <v>0</v>
      </c>
      <c r="AW107" s="1509">
        <v>0</v>
      </c>
      <c r="AX107" s="1509">
        <v>0.60804603800000001</v>
      </c>
      <c r="AY107" s="1509">
        <v>0</v>
      </c>
      <c r="AZ107" s="1509">
        <v>0</v>
      </c>
      <c r="BA107" s="1509">
        <v>0</v>
      </c>
      <c r="BB107" s="1509">
        <v>0</v>
      </c>
      <c r="BC107" s="1509">
        <v>0</v>
      </c>
      <c r="BD107" s="1509">
        <v>0</v>
      </c>
      <c r="BE107" s="1509">
        <v>0.94702553499999997</v>
      </c>
      <c r="BF107" s="1509">
        <v>0</v>
      </c>
      <c r="BG107" s="1509">
        <v>0.96950431400000003</v>
      </c>
      <c r="BH107" s="1509">
        <v>0</v>
      </c>
      <c r="BI107" s="1509">
        <v>0</v>
      </c>
      <c r="BJ107" s="1509">
        <v>0.88784461599999998</v>
      </c>
      <c r="BK107" s="1509">
        <v>0</v>
      </c>
      <c r="BL107" s="1509">
        <v>0.89634868899999998</v>
      </c>
      <c r="BM107" s="1509">
        <v>0</v>
      </c>
      <c r="BN107" s="1509">
        <v>0</v>
      </c>
      <c r="BO107" s="1509">
        <v>0.96765694499999999</v>
      </c>
      <c r="BP107" s="1509">
        <v>0</v>
      </c>
      <c r="BQ107" s="1509">
        <v>0</v>
      </c>
      <c r="BR107" s="1509">
        <v>0</v>
      </c>
      <c r="BS107" s="1509">
        <v>0</v>
      </c>
      <c r="BT107" s="1509">
        <v>0</v>
      </c>
      <c r="BU107" s="1509">
        <v>0</v>
      </c>
      <c r="BV107" s="1509">
        <v>0</v>
      </c>
      <c r="BW107" s="1509">
        <v>0.91005523300000002</v>
      </c>
      <c r="BX107" s="1509">
        <v>0.35986748299999999</v>
      </c>
      <c r="BY107" s="1509">
        <v>0.17532073300000001</v>
      </c>
      <c r="BZ107" s="1509">
        <v>0.37479541700000002</v>
      </c>
      <c r="CA107" s="1509">
        <v>0.92212644300000002</v>
      </c>
      <c r="CB107" s="1509">
        <v>0.93228721299999995</v>
      </c>
      <c r="CC107" s="1509">
        <v>0.92131758799999997</v>
      </c>
      <c r="CD107" s="1509">
        <v>0</v>
      </c>
      <c r="CE107" s="1509">
        <v>0</v>
      </c>
      <c r="CF107" s="1509">
        <v>0</v>
      </c>
      <c r="CG107" s="1509">
        <v>0</v>
      </c>
      <c r="CH107" s="1509">
        <v>0</v>
      </c>
      <c r="CI107" s="1509">
        <v>0</v>
      </c>
      <c r="CJ107" s="1509">
        <v>0</v>
      </c>
      <c r="CK107" s="1509">
        <v>0</v>
      </c>
      <c r="CL107" s="1509">
        <v>0</v>
      </c>
      <c r="CM107" s="1509">
        <v>0</v>
      </c>
      <c r="CN107" s="1509">
        <v>0</v>
      </c>
      <c r="CO107" s="1509">
        <v>0</v>
      </c>
      <c r="CP107" s="1509">
        <v>0</v>
      </c>
      <c r="CQ107" s="1509">
        <v>0</v>
      </c>
      <c r="CR107" s="1509">
        <v>0.97767028600000006</v>
      </c>
      <c r="CS107" s="1509">
        <v>0</v>
      </c>
      <c r="CT107" s="1509">
        <v>0</v>
      </c>
      <c r="CU107" s="1509">
        <v>0</v>
      </c>
      <c r="CV107" s="1509">
        <v>0</v>
      </c>
      <c r="CW107" s="1509">
        <v>0</v>
      </c>
      <c r="CX107" s="1509">
        <v>0</v>
      </c>
      <c r="CY107" s="1509">
        <v>0</v>
      </c>
      <c r="CZ107" s="1509">
        <v>0.79268517999999999</v>
      </c>
      <c r="DA107" s="1509">
        <v>0.68840082400000002</v>
      </c>
      <c r="DB107" s="1509">
        <v>0.54616238100000003</v>
      </c>
      <c r="DC107" s="1509">
        <v>0.47199890999999999</v>
      </c>
      <c r="DD107" s="1509">
        <v>0</v>
      </c>
      <c r="DE107" s="1509">
        <v>0.411539135</v>
      </c>
      <c r="DF107" s="1509">
        <v>0.26138243799999999</v>
      </c>
      <c r="DG107" s="1509">
        <v>0.54877075500000005</v>
      </c>
      <c r="DH107" s="1509">
        <v>0.38208786700000003</v>
      </c>
      <c r="DI107" s="1509">
        <v>0.29484359500000001</v>
      </c>
      <c r="DJ107" s="1509">
        <v>0.15458529100000001</v>
      </c>
      <c r="DK107" s="1509">
        <v>0.66779737100000003</v>
      </c>
      <c r="DL107" s="1509">
        <v>0</v>
      </c>
      <c r="DM107" s="1509">
        <v>0.94819471099999997</v>
      </c>
      <c r="DN107" s="1509">
        <v>0</v>
      </c>
      <c r="DO107" s="1509">
        <v>0.99860663599999999</v>
      </c>
      <c r="DP107" s="1509">
        <v>0.28528060799999999</v>
      </c>
      <c r="DQ107" s="1509">
        <v>0.740853176</v>
      </c>
      <c r="DR107" s="1509">
        <v>0.42343329299999999</v>
      </c>
      <c r="DS107" s="1509">
        <v>0.70392270700000004</v>
      </c>
      <c r="DT107" s="1509">
        <v>0.53872551599999996</v>
      </c>
      <c r="DU107" s="1509">
        <v>0</v>
      </c>
      <c r="DV107" s="1509">
        <v>0</v>
      </c>
      <c r="DW107" s="1509">
        <v>0</v>
      </c>
      <c r="DX107" s="1509">
        <v>0</v>
      </c>
      <c r="DY107" s="1509">
        <v>0</v>
      </c>
      <c r="DZ107" s="1509">
        <v>0</v>
      </c>
      <c r="EA107" s="1509">
        <v>0</v>
      </c>
      <c r="EB107" s="1509">
        <v>0.89450402799999995</v>
      </c>
      <c r="EC107" s="1509">
        <v>0</v>
      </c>
      <c r="ED107" s="1509">
        <v>0</v>
      </c>
      <c r="EE107" s="1509">
        <v>0.95171515900000003</v>
      </c>
      <c r="EF107" s="1509">
        <v>0</v>
      </c>
      <c r="EG107" s="1509">
        <v>0.100298295</v>
      </c>
      <c r="EH107" s="1509">
        <v>0</v>
      </c>
      <c r="EI107" s="1509">
        <v>0.92861269700000004</v>
      </c>
      <c r="EJ107" s="1509">
        <v>0</v>
      </c>
      <c r="EK107" s="1509">
        <v>0.88218765600000004</v>
      </c>
      <c r="EL107" s="1509">
        <v>0.27152395200000001</v>
      </c>
      <c r="EM107" s="1509">
        <v>0.50022385300000005</v>
      </c>
      <c r="EN107" s="1509">
        <v>0.46933213899999998</v>
      </c>
      <c r="EO107" s="1509">
        <v>0</v>
      </c>
      <c r="EP107" s="1509">
        <v>0.10887756699999999</v>
      </c>
      <c r="EQ107" s="1509">
        <v>0.98901496799999999</v>
      </c>
      <c r="ER107" s="1509">
        <v>0.99941621899999999</v>
      </c>
      <c r="ES107" s="1509">
        <v>0.99927853499999997</v>
      </c>
      <c r="ET107" s="1509">
        <v>0.94366511799999997</v>
      </c>
      <c r="EU107" s="1509">
        <v>0.12907185500000001</v>
      </c>
      <c r="EV107" s="1509">
        <v>0</v>
      </c>
      <c r="EW107" s="1509">
        <v>0.87842230399999999</v>
      </c>
      <c r="EX107" s="1509">
        <v>0.97690761400000004</v>
      </c>
      <c r="EY107" s="1509">
        <v>0.98743219100000001</v>
      </c>
      <c r="EZ107" s="1509">
        <v>0.23783063199999999</v>
      </c>
      <c r="FA107" s="1509">
        <v>0</v>
      </c>
      <c r="FB107" s="1509">
        <v>0</v>
      </c>
      <c r="FC107" s="1509">
        <v>0</v>
      </c>
      <c r="FD107" s="1509">
        <v>0</v>
      </c>
      <c r="FE107" s="1509">
        <v>0.97592730299999997</v>
      </c>
      <c r="FF107" s="1509">
        <v>0.93099762200000002</v>
      </c>
      <c r="FG107" s="1509">
        <v>0</v>
      </c>
      <c r="FH107" s="1509">
        <v>0.101578586</v>
      </c>
      <c r="FI107" s="1509">
        <v>0.65758415299999995</v>
      </c>
      <c r="FJ107" s="1509">
        <v>0</v>
      </c>
      <c r="FK107" s="1509">
        <v>0.48805501299999998</v>
      </c>
      <c r="FL107" s="1509">
        <v>0.60699199999999998</v>
      </c>
      <c r="FM107" s="1509">
        <v>0</v>
      </c>
      <c r="FN107" s="1509">
        <v>0.98633087600000002</v>
      </c>
      <c r="FO107" s="1509">
        <v>0</v>
      </c>
      <c r="FP107" s="1509">
        <v>0</v>
      </c>
      <c r="FQ107" s="1509">
        <v>0.27122380000000001</v>
      </c>
      <c r="FR107" s="1509">
        <v>0</v>
      </c>
      <c r="FS107" s="1509">
        <v>0</v>
      </c>
      <c r="FT107" s="1509">
        <v>0.36071477200000002</v>
      </c>
      <c r="FU107" s="1509">
        <v>0</v>
      </c>
    </row>
    <row r="108" spans="1:177" s="1509" customFormat="1" x14ac:dyDescent="0.2">
      <c r="A108" s="1512" t="s">
        <v>669</v>
      </c>
      <c r="B108" s="1512" t="s">
        <v>1270</v>
      </c>
      <c r="C108" s="1509">
        <v>0.86777321500000004</v>
      </c>
      <c r="D108" s="1509">
        <v>0.58464943999999996</v>
      </c>
      <c r="E108" s="1509">
        <v>0.69298879800000002</v>
      </c>
      <c r="F108" s="1509">
        <v>0.43306804900000001</v>
      </c>
      <c r="G108" s="1509">
        <v>0.25677307300000002</v>
      </c>
      <c r="H108" s="1509">
        <v>0.14533692100000001</v>
      </c>
      <c r="I108" s="1509">
        <v>0.20921063400000001</v>
      </c>
      <c r="J108" s="1509">
        <v>0.48400548599999998</v>
      </c>
      <c r="K108" s="1509">
        <v>0.42020257700000002</v>
      </c>
      <c r="L108" s="1509">
        <v>0.88729680799999999</v>
      </c>
      <c r="M108" s="1509">
        <v>0.96078884399999998</v>
      </c>
      <c r="N108" s="1509">
        <v>0.89991503399999995</v>
      </c>
      <c r="O108" s="1509">
        <v>0.56653449700000003</v>
      </c>
      <c r="P108" s="1509">
        <v>0.65260004000000005</v>
      </c>
      <c r="Q108" s="1509">
        <v>0.24315009700000001</v>
      </c>
      <c r="R108" s="1509">
        <v>0.89292294800000005</v>
      </c>
      <c r="S108" s="1509">
        <v>0.713362053</v>
      </c>
      <c r="T108" s="1509">
        <v>0.440404409</v>
      </c>
      <c r="U108" s="1509">
        <v>0.12845920499999999</v>
      </c>
      <c r="V108" s="1509">
        <v>0.47666783400000001</v>
      </c>
      <c r="W108" s="1509">
        <v>0.81142348200000003</v>
      </c>
      <c r="X108" s="1509">
        <v>0.78734599900000002</v>
      </c>
      <c r="Y108" s="1509">
        <v>0.85847910500000002</v>
      </c>
      <c r="Z108" s="1509">
        <v>0.283600778</v>
      </c>
      <c r="AA108" s="1509">
        <v>0.246688927</v>
      </c>
      <c r="AB108" s="1509">
        <v>0.54787919900000004</v>
      </c>
      <c r="AC108" s="1509">
        <v>0.43891377399999998</v>
      </c>
      <c r="AD108" s="1509">
        <v>0.45453563000000002</v>
      </c>
      <c r="AE108" s="1509">
        <v>0.481443907</v>
      </c>
      <c r="AF108" s="1509">
        <v>0.25021055199999997</v>
      </c>
      <c r="AG108" s="1509">
        <v>0.95341019999999999</v>
      </c>
      <c r="AH108" s="1509">
        <v>0.12267926799999999</v>
      </c>
      <c r="AI108" s="1509">
        <v>0.573667186</v>
      </c>
      <c r="AJ108" s="1509">
        <v>0.14312332799999999</v>
      </c>
      <c r="AK108" s="1509">
        <v>0.46126531999999998</v>
      </c>
      <c r="AL108" s="1509">
        <v>0.164763191</v>
      </c>
      <c r="AM108" s="1509">
        <v>0.60655113999999999</v>
      </c>
      <c r="AN108" s="1509">
        <v>0.18579964600000001</v>
      </c>
      <c r="AO108" s="1509">
        <v>0.24584413899999999</v>
      </c>
      <c r="AP108" s="1509">
        <v>0.65694485800000002</v>
      </c>
      <c r="AQ108" s="1509">
        <v>0.12775115300000001</v>
      </c>
      <c r="AR108" s="1509">
        <v>0.255276954</v>
      </c>
      <c r="AS108" s="1509">
        <v>7.2378434000000005E-2</v>
      </c>
      <c r="AT108" s="1509">
        <v>1.9239934E-2</v>
      </c>
      <c r="AU108" s="1509">
        <v>0.183528833</v>
      </c>
      <c r="AV108" s="1509">
        <v>6.7194103000000005E-2</v>
      </c>
      <c r="AW108" s="1509">
        <v>0.185099612</v>
      </c>
      <c r="AX108" s="1509">
        <v>0.87374297400000001</v>
      </c>
      <c r="AY108" s="1509">
        <v>0.30434471499999999</v>
      </c>
      <c r="AZ108" s="1509">
        <v>0.114138212</v>
      </c>
      <c r="BA108" s="1509">
        <v>0.205397046</v>
      </c>
      <c r="BB108" s="1509">
        <v>0.389428263</v>
      </c>
      <c r="BC108" s="1509">
        <v>2.348302E-2</v>
      </c>
      <c r="BD108" s="1509">
        <v>0.42224084099999998</v>
      </c>
      <c r="BE108" s="1509">
        <v>0.896688441</v>
      </c>
      <c r="BF108" s="1509">
        <v>0.131535659</v>
      </c>
      <c r="BG108" s="1509">
        <v>8.5269152000000001E-2</v>
      </c>
      <c r="BH108" s="1509">
        <v>0.150904443</v>
      </c>
      <c r="BI108" s="1509">
        <v>7.4255986999999996E-2</v>
      </c>
      <c r="BJ108" s="1509">
        <v>8.9315127999999994E-2</v>
      </c>
      <c r="BK108" s="1509">
        <v>0.69087582299999994</v>
      </c>
      <c r="BL108" s="1509">
        <v>0.237063151</v>
      </c>
      <c r="BM108" s="1509">
        <v>0.97489798800000005</v>
      </c>
      <c r="BN108" s="1509">
        <v>0.16596731000000001</v>
      </c>
      <c r="BO108" s="1509">
        <v>0.60313704199999996</v>
      </c>
      <c r="BP108" s="1509">
        <v>0.49228969</v>
      </c>
      <c r="BQ108" s="1509">
        <v>0.27602835199999998</v>
      </c>
      <c r="BR108" s="1509">
        <v>5.0670412999999997E-2</v>
      </c>
      <c r="BS108" s="1509">
        <v>0.58134395699999997</v>
      </c>
      <c r="BT108" s="1509">
        <v>0.17453712900000001</v>
      </c>
      <c r="BU108" s="1509">
        <v>3.2301917999999999E-2</v>
      </c>
      <c r="BV108" s="1509">
        <v>0.118970566</v>
      </c>
      <c r="BW108" s="1509">
        <v>0.20230804199999999</v>
      </c>
      <c r="BX108" s="1509">
        <v>0.82362034399999995</v>
      </c>
      <c r="BY108" s="1509">
        <v>0.78818054199999998</v>
      </c>
      <c r="BZ108" s="1509">
        <v>0.83934102099999996</v>
      </c>
      <c r="CA108" s="1509">
        <v>0.41260546199999998</v>
      </c>
      <c r="CB108" s="1509">
        <v>0.52130873600000005</v>
      </c>
      <c r="CC108" s="1509">
        <v>0.39957330299999999</v>
      </c>
      <c r="CD108" s="1509">
        <v>0.97267498699999999</v>
      </c>
      <c r="CE108" s="1509">
        <v>0.20585141700000001</v>
      </c>
      <c r="CF108" s="1509">
        <v>0.16289825699999999</v>
      </c>
      <c r="CG108" s="1509">
        <v>0.34110202699999997</v>
      </c>
      <c r="CH108" s="1509">
        <v>0.37611331799999997</v>
      </c>
      <c r="CI108" s="1509">
        <v>0.301626283</v>
      </c>
      <c r="CJ108" s="1509">
        <v>0.78222486400000002</v>
      </c>
      <c r="CK108" s="1509">
        <v>5.6810425999999997E-2</v>
      </c>
      <c r="CL108" s="1509">
        <v>1.6742619E-2</v>
      </c>
      <c r="CM108" s="1509">
        <v>0.78269086899999996</v>
      </c>
      <c r="CN108" s="1509">
        <v>0.269542644</v>
      </c>
      <c r="CO108" s="1509">
        <v>6.7853759E-2</v>
      </c>
      <c r="CP108" s="1509">
        <v>0.198928782</v>
      </c>
      <c r="CQ108" s="1509">
        <v>0.99569579100000005</v>
      </c>
      <c r="CR108" s="1509">
        <v>0.41869330900000001</v>
      </c>
      <c r="CS108" s="1509">
        <v>0.103602865</v>
      </c>
      <c r="CT108" s="1509">
        <v>9.8892458000000003E-2</v>
      </c>
      <c r="CU108" s="1509">
        <v>6.5524592000000006E-2</v>
      </c>
      <c r="CV108" s="1509">
        <v>0.29178499899999999</v>
      </c>
      <c r="CW108" s="1509">
        <v>0.35256918300000001</v>
      </c>
      <c r="CX108" s="1509">
        <v>0.34767628699999997</v>
      </c>
      <c r="CY108" s="1509">
        <v>0.84769830300000004</v>
      </c>
      <c r="CZ108" s="1509">
        <v>0.82477836500000001</v>
      </c>
      <c r="DA108" s="1509">
        <v>0.83470347600000006</v>
      </c>
      <c r="DB108" s="1509">
        <v>0.397888134</v>
      </c>
      <c r="DC108" s="1509">
        <v>3.4593769000000003E-2</v>
      </c>
      <c r="DD108" s="1509">
        <v>0.25381947999999999</v>
      </c>
      <c r="DE108" s="1509">
        <v>0.31327550799999998</v>
      </c>
      <c r="DF108" s="1509">
        <v>8.2819009999999998E-2</v>
      </c>
      <c r="DG108" s="1509">
        <v>0.224211039</v>
      </c>
      <c r="DH108" s="1509">
        <v>0.121395524</v>
      </c>
      <c r="DI108" s="1509">
        <v>0.139966335</v>
      </c>
      <c r="DJ108" s="1509">
        <v>0.78791834900000002</v>
      </c>
      <c r="DK108" s="1509">
        <v>0.88809259799999996</v>
      </c>
      <c r="DL108" s="1509">
        <v>0.98879547599999995</v>
      </c>
      <c r="DM108" s="1509">
        <v>0.79596129900000001</v>
      </c>
      <c r="DN108" s="1509">
        <v>9.3831045000000002E-2</v>
      </c>
      <c r="DO108" s="1509">
        <v>0.44034409899999999</v>
      </c>
      <c r="DP108" s="1509">
        <v>0.802759585</v>
      </c>
      <c r="DQ108" s="1509">
        <v>0.92361433500000001</v>
      </c>
      <c r="DR108" s="1509">
        <v>0.85246161300000001</v>
      </c>
      <c r="DS108" s="1509">
        <v>0.822462323</v>
      </c>
      <c r="DT108" s="1509">
        <v>0.86640156000000002</v>
      </c>
      <c r="DU108" s="1509">
        <v>7.3301980000000003E-2</v>
      </c>
      <c r="DV108" s="1509">
        <v>0.28566903399999999</v>
      </c>
      <c r="DW108" s="1509">
        <v>0.86497172700000002</v>
      </c>
      <c r="DX108" s="1509">
        <v>0.169646563</v>
      </c>
      <c r="DY108" s="1509">
        <v>0.108381217</v>
      </c>
      <c r="DZ108" s="1509">
        <v>0.101849432</v>
      </c>
      <c r="EA108" s="1509">
        <v>0.26829469700000003</v>
      </c>
      <c r="EB108" s="1509">
        <v>0.112569035</v>
      </c>
      <c r="EC108" s="1509">
        <v>0.14418167900000001</v>
      </c>
      <c r="ED108" s="1509">
        <v>0.46655014900000003</v>
      </c>
      <c r="EE108" s="1509">
        <v>0.882852305</v>
      </c>
      <c r="EF108" s="1509">
        <v>0.15509213399999999</v>
      </c>
      <c r="EG108" s="1509">
        <v>0.76748365399999996</v>
      </c>
      <c r="EH108" s="1509">
        <v>0.67105321100000004</v>
      </c>
      <c r="EI108" s="1509">
        <v>0.426323917</v>
      </c>
      <c r="EJ108" s="1509">
        <v>0.24629810599999999</v>
      </c>
      <c r="EK108" s="1509">
        <v>0.245500145</v>
      </c>
      <c r="EL108" s="1509">
        <v>9.7995751000000006E-2</v>
      </c>
      <c r="EM108" s="1509">
        <v>0.275508421</v>
      </c>
      <c r="EN108" s="1509">
        <v>0.37516901400000002</v>
      </c>
      <c r="EO108" s="1509">
        <v>7.3749758999999998E-2</v>
      </c>
      <c r="EP108" s="1509">
        <v>0.782778266</v>
      </c>
      <c r="EQ108" s="1509">
        <v>0.96957173699999999</v>
      </c>
      <c r="ER108" s="1509">
        <v>0.84116526899999999</v>
      </c>
      <c r="ES108" s="1509">
        <v>0.80847258</v>
      </c>
      <c r="ET108" s="1509">
        <v>0.281045557</v>
      </c>
      <c r="EU108" s="1509">
        <v>0.85850844800000004</v>
      </c>
      <c r="EV108" s="1509">
        <v>0.66355620800000004</v>
      </c>
      <c r="EW108" s="1509">
        <v>0.653947536</v>
      </c>
      <c r="EX108" s="1509">
        <v>4.1278649999999997E-3</v>
      </c>
      <c r="EY108" s="1509">
        <v>0.38887237699999999</v>
      </c>
      <c r="EZ108" s="1509">
        <v>0.79678376100000003</v>
      </c>
      <c r="FA108" s="1509">
        <v>0.18626214999999999</v>
      </c>
      <c r="FB108" s="1509">
        <v>0.26584753999999999</v>
      </c>
      <c r="FC108" s="1509">
        <v>0.11950994</v>
      </c>
      <c r="FD108" s="1509">
        <v>4.8835391999999998E-2</v>
      </c>
      <c r="FE108" s="1509">
        <v>0.33537525000000001</v>
      </c>
      <c r="FF108" s="1509">
        <v>0.58645465799999996</v>
      </c>
      <c r="FG108" s="1509">
        <v>0.30826258499999998</v>
      </c>
      <c r="FH108" s="1509">
        <v>0.83229457399999995</v>
      </c>
      <c r="FI108" s="1509">
        <v>0.13294502799999999</v>
      </c>
      <c r="FJ108" s="1509">
        <v>0.82780199499999996</v>
      </c>
      <c r="FK108" s="1509">
        <v>0.84258020099999997</v>
      </c>
      <c r="FL108" s="1509">
        <v>0.44017145099999999</v>
      </c>
      <c r="FM108" s="1509">
        <v>0.549198411</v>
      </c>
      <c r="FN108" s="1509">
        <v>0.30238650700000003</v>
      </c>
      <c r="FO108" s="1509">
        <v>0.80919970900000004</v>
      </c>
      <c r="FP108" s="1509">
        <v>0.12590876200000001</v>
      </c>
      <c r="FQ108" s="1509">
        <v>0.807970678</v>
      </c>
      <c r="FR108" s="1509">
        <v>0.22400545999999999</v>
      </c>
      <c r="FS108" s="1509">
        <v>0.20932358300000001</v>
      </c>
      <c r="FT108" s="1509">
        <v>0.14315805000000001</v>
      </c>
      <c r="FU108" s="1509">
        <v>0.200635756</v>
      </c>
    </row>
    <row r="109" spans="1:177" s="1509" customFormat="1" x14ac:dyDescent="0.2">
      <c r="A109" s="1512" t="s">
        <v>669</v>
      </c>
      <c r="B109" s="1512" t="s">
        <v>1044</v>
      </c>
      <c r="C109" s="1509">
        <v>1</v>
      </c>
      <c r="D109" s="1509">
        <v>1</v>
      </c>
      <c r="E109" s="1509">
        <v>1</v>
      </c>
      <c r="F109" s="1509">
        <v>1</v>
      </c>
      <c r="G109" s="1509">
        <v>1</v>
      </c>
      <c r="H109" s="1509">
        <v>1</v>
      </c>
      <c r="I109" s="1509">
        <v>1</v>
      </c>
      <c r="J109" s="1509">
        <v>1</v>
      </c>
      <c r="K109" s="1509">
        <v>1</v>
      </c>
      <c r="L109" s="1509">
        <v>1</v>
      </c>
      <c r="M109" s="1509">
        <v>1</v>
      </c>
      <c r="N109" s="1509">
        <v>1</v>
      </c>
      <c r="O109" s="1509">
        <v>1</v>
      </c>
      <c r="P109" s="1509">
        <v>1</v>
      </c>
      <c r="Q109" s="1509">
        <v>1</v>
      </c>
      <c r="R109" s="1509">
        <v>1</v>
      </c>
      <c r="S109" s="1509">
        <v>1</v>
      </c>
      <c r="T109" s="1509">
        <v>1</v>
      </c>
      <c r="U109" s="1509">
        <v>1</v>
      </c>
      <c r="V109" s="1509">
        <v>1</v>
      </c>
      <c r="W109" s="1509">
        <v>1</v>
      </c>
      <c r="X109" s="1509">
        <v>1</v>
      </c>
      <c r="Y109" s="1509">
        <v>1</v>
      </c>
      <c r="Z109" s="1509">
        <v>1</v>
      </c>
      <c r="AA109" s="1509">
        <v>1</v>
      </c>
      <c r="AB109" s="1509">
        <v>1</v>
      </c>
      <c r="AC109" s="1509">
        <v>1</v>
      </c>
      <c r="AD109" s="1509">
        <v>1</v>
      </c>
      <c r="AE109" s="1509">
        <v>1</v>
      </c>
      <c r="AF109" s="1509">
        <v>1</v>
      </c>
      <c r="AG109" s="1509">
        <v>1</v>
      </c>
      <c r="AH109" s="1509">
        <v>1</v>
      </c>
      <c r="AI109" s="1509">
        <v>1</v>
      </c>
      <c r="AJ109" s="1509">
        <v>1</v>
      </c>
      <c r="AK109" s="1509">
        <v>1</v>
      </c>
      <c r="AL109" s="1509">
        <v>1</v>
      </c>
      <c r="AM109" s="1509">
        <v>1</v>
      </c>
      <c r="AN109" s="1509">
        <v>1</v>
      </c>
      <c r="AO109" s="1509">
        <v>1</v>
      </c>
      <c r="AP109" s="1509">
        <v>1</v>
      </c>
      <c r="AQ109" s="1509">
        <v>1</v>
      </c>
      <c r="AR109" s="1509">
        <v>1</v>
      </c>
      <c r="AS109" s="1509">
        <v>1</v>
      </c>
      <c r="AT109" s="1509">
        <v>1</v>
      </c>
      <c r="AU109" s="1509">
        <v>1</v>
      </c>
      <c r="AV109" s="1509">
        <v>1</v>
      </c>
      <c r="AW109" s="1509">
        <v>1</v>
      </c>
      <c r="AX109" s="1509">
        <v>1</v>
      </c>
      <c r="AY109" s="1509">
        <v>1</v>
      </c>
      <c r="AZ109" s="1509">
        <v>1</v>
      </c>
      <c r="BA109" s="1509">
        <v>1</v>
      </c>
      <c r="BB109" s="1509">
        <v>1</v>
      </c>
      <c r="BC109" s="1509">
        <v>1</v>
      </c>
      <c r="BD109" s="1509">
        <v>1</v>
      </c>
      <c r="BE109" s="1509">
        <v>1</v>
      </c>
      <c r="BF109" s="1509">
        <v>1</v>
      </c>
      <c r="BG109" s="1509">
        <v>1</v>
      </c>
      <c r="BH109" s="1509">
        <v>1</v>
      </c>
      <c r="BI109" s="1509">
        <v>1</v>
      </c>
      <c r="BJ109" s="1509">
        <v>1</v>
      </c>
      <c r="BK109" s="1509">
        <v>1</v>
      </c>
      <c r="BL109" s="1509">
        <v>1</v>
      </c>
      <c r="BM109" s="1509">
        <v>1</v>
      </c>
      <c r="BN109" s="1509">
        <v>1</v>
      </c>
      <c r="BO109" s="1509">
        <v>1</v>
      </c>
      <c r="BP109" s="1509">
        <v>1</v>
      </c>
      <c r="BQ109" s="1509">
        <v>1</v>
      </c>
      <c r="BR109" s="1509">
        <v>1</v>
      </c>
      <c r="BS109" s="1509">
        <v>1</v>
      </c>
      <c r="BT109" s="1509">
        <v>1</v>
      </c>
      <c r="BU109" s="1509">
        <v>1</v>
      </c>
      <c r="BV109" s="1509">
        <v>1</v>
      </c>
      <c r="BW109" s="1509">
        <v>1</v>
      </c>
      <c r="BX109" s="1509">
        <v>1</v>
      </c>
      <c r="BY109" s="1509">
        <v>1</v>
      </c>
      <c r="BZ109" s="1509">
        <v>1</v>
      </c>
      <c r="CA109" s="1509">
        <v>1</v>
      </c>
      <c r="CB109" s="1509">
        <v>1</v>
      </c>
      <c r="CC109" s="1509">
        <v>1</v>
      </c>
      <c r="CD109" s="1509">
        <v>1</v>
      </c>
      <c r="CE109" s="1509">
        <v>1</v>
      </c>
      <c r="CF109" s="1509">
        <v>1</v>
      </c>
      <c r="CG109" s="1509">
        <v>1</v>
      </c>
      <c r="CH109" s="1509">
        <v>1</v>
      </c>
      <c r="CI109" s="1509">
        <v>1</v>
      </c>
      <c r="CJ109" s="1509">
        <v>1</v>
      </c>
      <c r="CK109" s="1509">
        <v>1</v>
      </c>
      <c r="CL109" s="1509">
        <v>1</v>
      </c>
      <c r="CM109" s="1509">
        <v>1</v>
      </c>
      <c r="CN109" s="1509">
        <v>1</v>
      </c>
      <c r="CO109" s="1509">
        <v>1</v>
      </c>
      <c r="CP109" s="1509">
        <v>1</v>
      </c>
      <c r="CQ109" s="1509">
        <v>1</v>
      </c>
      <c r="CR109" s="1509">
        <v>1</v>
      </c>
      <c r="CS109" s="1509">
        <v>1</v>
      </c>
      <c r="CT109" s="1509">
        <v>1</v>
      </c>
      <c r="CU109" s="1509">
        <v>1</v>
      </c>
      <c r="CV109" s="1509">
        <v>1</v>
      </c>
      <c r="CW109" s="1509">
        <v>1</v>
      </c>
      <c r="CX109" s="1509">
        <v>1</v>
      </c>
      <c r="CY109" s="1509">
        <v>1</v>
      </c>
      <c r="CZ109" s="1509">
        <v>1</v>
      </c>
      <c r="DA109" s="1509">
        <v>1</v>
      </c>
      <c r="DB109" s="1509">
        <v>1</v>
      </c>
      <c r="DC109" s="1509">
        <v>1</v>
      </c>
      <c r="DD109" s="1509">
        <v>1</v>
      </c>
      <c r="DE109" s="1509">
        <v>1</v>
      </c>
      <c r="DF109" s="1509">
        <v>1</v>
      </c>
      <c r="DG109" s="1509">
        <v>1</v>
      </c>
      <c r="DH109" s="1509">
        <v>1</v>
      </c>
      <c r="DI109" s="1509">
        <v>1</v>
      </c>
      <c r="DJ109" s="1509">
        <v>1</v>
      </c>
      <c r="DK109" s="1509">
        <v>1</v>
      </c>
      <c r="DL109" s="1509">
        <v>1</v>
      </c>
      <c r="DM109" s="1509">
        <v>1</v>
      </c>
      <c r="DN109" s="1509">
        <v>1</v>
      </c>
      <c r="DO109" s="1509">
        <v>1</v>
      </c>
      <c r="DP109" s="1509">
        <v>1</v>
      </c>
      <c r="DQ109" s="1509">
        <v>1</v>
      </c>
      <c r="DR109" s="1509">
        <v>1</v>
      </c>
      <c r="DS109" s="1509">
        <v>1</v>
      </c>
      <c r="DT109" s="1509">
        <v>1</v>
      </c>
      <c r="DU109" s="1509">
        <v>1</v>
      </c>
      <c r="DV109" s="1509">
        <v>1</v>
      </c>
      <c r="DW109" s="1509">
        <v>1</v>
      </c>
      <c r="DX109" s="1509">
        <v>1</v>
      </c>
      <c r="DY109" s="1509">
        <v>1</v>
      </c>
      <c r="DZ109" s="1509">
        <v>1</v>
      </c>
      <c r="EA109" s="1509">
        <v>1</v>
      </c>
      <c r="EB109" s="1509">
        <v>1</v>
      </c>
      <c r="EC109" s="1509">
        <v>1</v>
      </c>
      <c r="ED109" s="1509">
        <v>1</v>
      </c>
      <c r="EE109" s="1509">
        <v>1</v>
      </c>
      <c r="EF109" s="1509">
        <v>1</v>
      </c>
      <c r="EG109" s="1509">
        <v>1</v>
      </c>
      <c r="EH109" s="1509">
        <v>1</v>
      </c>
      <c r="EI109" s="1509">
        <v>1</v>
      </c>
      <c r="EJ109" s="1509">
        <v>1</v>
      </c>
      <c r="EK109" s="1509">
        <v>1</v>
      </c>
      <c r="EL109" s="1509">
        <v>1</v>
      </c>
      <c r="EM109" s="1509">
        <v>1</v>
      </c>
      <c r="EN109" s="1509">
        <v>1</v>
      </c>
      <c r="EO109" s="1509">
        <v>1</v>
      </c>
      <c r="EP109" s="1509">
        <v>1</v>
      </c>
      <c r="EQ109" s="1509">
        <v>1</v>
      </c>
      <c r="ER109" s="1509">
        <v>1</v>
      </c>
      <c r="ES109" s="1509">
        <v>1</v>
      </c>
      <c r="ET109" s="1509">
        <v>1</v>
      </c>
      <c r="EU109" s="1509">
        <v>1</v>
      </c>
      <c r="EV109" s="1509">
        <v>1</v>
      </c>
      <c r="EW109" s="1509">
        <v>1</v>
      </c>
      <c r="EX109" s="1509">
        <v>1</v>
      </c>
      <c r="EY109" s="1509">
        <v>1</v>
      </c>
      <c r="EZ109" s="1509">
        <v>1</v>
      </c>
      <c r="FA109" s="1509">
        <v>1</v>
      </c>
      <c r="FB109" s="1509">
        <v>1</v>
      </c>
      <c r="FC109" s="1509">
        <v>1</v>
      </c>
      <c r="FD109" s="1509">
        <v>1</v>
      </c>
      <c r="FE109" s="1509">
        <v>1</v>
      </c>
      <c r="FF109" s="1509">
        <v>1</v>
      </c>
      <c r="FG109" s="1509">
        <v>1</v>
      </c>
      <c r="FH109" s="1509">
        <v>1</v>
      </c>
      <c r="FI109" s="1509">
        <v>0</v>
      </c>
      <c r="FJ109" s="1509">
        <v>1</v>
      </c>
      <c r="FK109" s="1509">
        <v>1</v>
      </c>
      <c r="FL109" s="1509">
        <v>1</v>
      </c>
      <c r="FM109" s="1509">
        <v>1</v>
      </c>
      <c r="FN109" s="1509">
        <v>1</v>
      </c>
      <c r="FO109" s="1509">
        <v>1</v>
      </c>
      <c r="FP109" s="1509">
        <v>1</v>
      </c>
      <c r="FQ109" s="1509">
        <v>1</v>
      </c>
      <c r="FR109" s="1509">
        <v>1</v>
      </c>
      <c r="FS109" s="1509">
        <v>1</v>
      </c>
      <c r="FT109" s="1509">
        <v>1</v>
      </c>
      <c r="FU109" s="1509">
        <v>1</v>
      </c>
    </row>
    <row r="110" spans="1:177" s="1509" customFormat="1" x14ac:dyDescent="0.2">
      <c r="A110" s="1512" t="s">
        <v>669</v>
      </c>
      <c r="B110" s="1512" t="s">
        <v>1078</v>
      </c>
      <c r="C110" s="1509">
        <v>6.3229014E-2</v>
      </c>
      <c r="D110" s="1509">
        <v>0.12803437400000001</v>
      </c>
      <c r="E110" s="1509">
        <v>0.47024692400000001</v>
      </c>
      <c r="F110" s="1509">
        <v>0.516913238</v>
      </c>
      <c r="G110" s="1509">
        <v>0.55080457000000005</v>
      </c>
      <c r="H110" s="1509">
        <v>0.55080457000000005</v>
      </c>
      <c r="I110" s="1509">
        <v>1.7678932000000001E-2</v>
      </c>
      <c r="J110" s="1509">
        <v>1.7678932000000001E-2</v>
      </c>
      <c r="K110" s="1509">
        <v>6.3229014E-2</v>
      </c>
      <c r="L110" s="1509">
        <v>6.3229014E-2</v>
      </c>
      <c r="M110" s="1509">
        <v>6.3229014E-2</v>
      </c>
      <c r="N110" s="1509">
        <v>1.7678932000000001E-2</v>
      </c>
      <c r="O110" s="1509">
        <v>1.7678932000000001E-2</v>
      </c>
      <c r="P110" s="1509">
        <v>6.3229014E-2</v>
      </c>
      <c r="Q110" s="1509">
        <v>0.26353755600000001</v>
      </c>
      <c r="R110" s="1509">
        <v>0.26353755600000001</v>
      </c>
      <c r="S110" s="1509">
        <v>0.39371399200000001</v>
      </c>
      <c r="T110" s="1509">
        <v>2.8612740000000001E-2</v>
      </c>
      <c r="U110" s="1509">
        <v>0.25465264500000001</v>
      </c>
      <c r="V110" s="1509">
        <v>0.21642530800000001</v>
      </c>
      <c r="W110" s="1509">
        <v>0.21642530800000001</v>
      </c>
      <c r="X110" s="1509">
        <v>0.21642530800000001</v>
      </c>
      <c r="Y110" s="1509">
        <v>0.29699786099999997</v>
      </c>
      <c r="Z110" s="1509">
        <v>0.67109136800000002</v>
      </c>
      <c r="AA110" s="1509">
        <v>9.484911E-2</v>
      </c>
      <c r="AB110" s="1509">
        <v>4.1529093000000003E-2</v>
      </c>
      <c r="AC110" s="1509">
        <v>4.1529093000000003E-2</v>
      </c>
      <c r="AD110" s="1509">
        <v>4.1529093000000003E-2</v>
      </c>
      <c r="AE110" s="1509">
        <v>0.62006818200000002</v>
      </c>
      <c r="AF110" s="1509">
        <v>4.1529093000000003E-2</v>
      </c>
      <c r="AG110" s="1509">
        <v>4.1529093000000003E-2</v>
      </c>
      <c r="AH110" s="1509">
        <v>0.114134202</v>
      </c>
      <c r="AI110" s="1509">
        <v>0.114134202</v>
      </c>
      <c r="AJ110" s="1509">
        <v>8.6818313999999994E-2</v>
      </c>
      <c r="AK110" s="1509">
        <v>0.32746003400000001</v>
      </c>
      <c r="AL110" s="1509">
        <v>0.13201494899999999</v>
      </c>
      <c r="AM110" s="1509">
        <v>9.6424547999999999E-2</v>
      </c>
      <c r="AN110" s="1509">
        <v>0.26353755600000001</v>
      </c>
      <c r="AO110" s="1509">
        <v>0.27464818699999999</v>
      </c>
      <c r="AP110" s="1509">
        <v>0.647612772</v>
      </c>
      <c r="AQ110" s="1509">
        <v>2.284398E-3</v>
      </c>
      <c r="AR110" s="1509">
        <v>8.6806463E-2</v>
      </c>
      <c r="AS110" s="1509">
        <v>7.227082E-2</v>
      </c>
      <c r="AT110" s="1509">
        <v>8.6806463E-2</v>
      </c>
      <c r="AU110" s="1509">
        <v>7.8443279000000005E-2</v>
      </c>
      <c r="AV110" s="1509">
        <v>5.3293931000000003E-2</v>
      </c>
      <c r="AW110" s="1509">
        <v>2.3648926000000001E-2</v>
      </c>
      <c r="AX110" s="1509">
        <v>0.65177991099999999</v>
      </c>
      <c r="AY110" s="1509">
        <v>0.862294432</v>
      </c>
      <c r="AZ110" s="1509">
        <v>0.862294432</v>
      </c>
      <c r="BA110" s="1509">
        <v>0.81339299499999995</v>
      </c>
      <c r="BB110" s="1509">
        <v>0.97395592499999994</v>
      </c>
      <c r="BC110" s="1509">
        <v>0.13134349000000001</v>
      </c>
      <c r="BD110" s="1509">
        <v>0.13134349000000001</v>
      </c>
      <c r="BE110" s="1509">
        <v>0.59716351700000003</v>
      </c>
      <c r="BF110" s="1509">
        <v>0.13134349000000001</v>
      </c>
      <c r="BG110" s="1509">
        <v>0.55884305000000001</v>
      </c>
      <c r="BH110" s="1509">
        <v>0.158502955</v>
      </c>
      <c r="BI110" s="1509">
        <v>0.173856497</v>
      </c>
      <c r="BJ110" s="1509">
        <v>0.29699786099999997</v>
      </c>
      <c r="BK110" s="1509">
        <v>0.158502955</v>
      </c>
      <c r="BL110" s="1509">
        <v>0.85182714599999998</v>
      </c>
      <c r="BM110" s="1509">
        <v>0.26353755600000001</v>
      </c>
      <c r="BN110" s="1509">
        <v>0.63893091700000004</v>
      </c>
      <c r="BO110" s="1509">
        <v>0.91489964300000004</v>
      </c>
      <c r="BP110" s="1509">
        <v>0.85182714599999998</v>
      </c>
      <c r="BQ110" s="1509">
        <v>0.77798108399999999</v>
      </c>
      <c r="BR110" s="1509">
        <v>0.71288132299999996</v>
      </c>
      <c r="BS110" s="1509">
        <v>0.63893091700000004</v>
      </c>
      <c r="BT110" s="1509">
        <v>0.28427228500000001</v>
      </c>
      <c r="BU110" s="1509">
        <v>0.65699095200000002</v>
      </c>
      <c r="BV110" s="1509">
        <v>0.65699095200000002</v>
      </c>
      <c r="BW110" s="1509">
        <v>0.35800765400000001</v>
      </c>
      <c r="BX110" s="1509">
        <v>0.70491230199999999</v>
      </c>
      <c r="BY110" s="1509">
        <v>0.70491230199999999</v>
      </c>
      <c r="BZ110" s="1509">
        <v>0.70491230199999999</v>
      </c>
      <c r="CA110" s="1509">
        <v>0.82325647300000004</v>
      </c>
      <c r="CB110" s="1509">
        <v>0.32746003400000001</v>
      </c>
      <c r="CC110" s="1509">
        <v>0.35800765400000001</v>
      </c>
      <c r="CD110" s="1509">
        <v>0.80107121800000003</v>
      </c>
      <c r="CE110" s="1509">
        <v>0.84500160400000002</v>
      </c>
      <c r="CF110" s="1509">
        <v>0.90012905300000001</v>
      </c>
      <c r="CG110" s="1509">
        <v>4.6541354E-2</v>
      </c>
      <c r="CH110" s="1509">
        <v>0.114134202</v>
      </c>
      <c r="CI110" s="1509">
        <v>0.34477271500000001</v>
      </c>
      <c r="CJ110" s="1509">
        <v>0.81339299499999995</v>
      </c>
      <c r="CK110" s="1509">
        <v>0.12942231900000001</v>
      </c>
      <c r="CL110" s="1509">
        <v>0.12942231900000001</v>
      </c>
      <c r="CM110" s="1509">
        <v>0.96761365799999999</v>
      </c>
      <c r="CN110" s="1509">
        <v>0.45375336599999999</v>
      </c>
      <c r="CO110" s="1509">
        <v>0.26353755600000001</v>
      </c>
      <c r="CP110" s="1509">
        <v>0.45375336599999999</v>
      </c>
      <c r="CQ110" s="1509">
        <v>9.484911E-2</v>
      </c>
      <c r="CR110" s="1509">
        <v>1.2346185000000001E-2</v>
      </c>
      <c r="CS110" s="1509">
        <v>0.47024692400000001</v>
      </c>
      <c r="CT110" s="1509">
        <v>0.29699786099999997</v>
      </c>
      <c r="CU110" s="1509">
        <v>0.47024692400000001</v>
      </c>
      <c r="CV110" s="1509">
        <v>0.28427228500000001</v>
      </c>
      <c r="CW110" s="1509">
        <v>0.28427228500000001</v>
      </c>
      <c r="CX110" s="1509">
        <v>0.77743654100000004</v>
      </c>
      <c r="CY110" s="1509">
        <v>0.84029016099999998</v>
      </c>
      <c r="CZ110" s="1509">
        <v>0.70491230199999999</v>
      </c>
      <c r="DA110" s="1509">
        <v>0.75159910600000002</v>
      </c>
      <c r="DB110" s="1509">
        <v>0.794736891</v>
      </c>
      <c r="DC110" s="1509">
        <v>0.41557593399999998</v>
      </c>
      <c r="DD110" s="1509">
        <v>0.88996403599999996</v>
      </c>
      <c r="DE110" s="1509">
        <v>0.68842612599999997</v>
      </c>
      <c r="DF110" s="1509">
        <v>0.65359320799999998</v>
      </c>
      <c r="DG110" s="1509">
        <v>0.60591984799999998</v>
      </c>
      <c r="DH110" s="1509">
        <v>0.68842612599999997</v>
      </c>
      <c r="DI110" s="1509">
        <v>0.68842612599999997</v>
      </c>
      <c r="DJ110" s="1509">
        <v>0.90556669300000003</v>
      </c>
      <c r="DK110" s="1509">
        <v>0.96761365799999999</v>
      </c>
      <c r="DL110" s="1509">
        <v>0.62006818200000002</v>
      </c>
      <c r="DM110" s="1509">
        <v>0.91310899400000001</v>
      </c>
      <c r="DN110" s="1509">
        <v>0.81624930900000003</v>
      </c>
      <c r="DO110" s="1509">
        <v>8.894173E-3</v>
      </c>
      <c r="DP110" s="1509">
        <v>0.67996569600000001</v>
      </c>
      <c r="DQ110" s="1509">
        <v>0.56619016700000002</v>
      </c>
      <c r="DR110" s="1509">
        <v>0.75159910600000002</v>
      </c>
      <c r="DS110" s="1509">
        <v>0.76248013100000001</v>
      </c>
      <c r="DT110" s="1509">
        <v>0.94387969699999996</v>
      </c>
      <c r="DU110" s="1509">
        <v>0.25465264500000001</v>
      </c>
      <c r="DV110" s="1509">
        <v>4.1529093000000003E-2</v>
      </c>
      <c r="DW110" s="1509">
        <v>0.87997959299999995</v>
      </c>
      <c r="DX110" s="1509">
        <v>5.3615077999999997E-2</v>
      </c>
      <c r="DY110" s="1509">
        <v>0.77743654100000004</v>
      </c>
      <c r="DZ110" s="1509">
        <v>0.13134349000000001</v>
      </c>
      <c r="EA110" s="1509">
        <v>0.97395592499999994</v>
      </c>
      <c r="EB110" s="1509">
        <v>0.34477271500000001</v>
      </c>
      <c r="EC110" s="1509">
        <v>0.34477271500000001</v>
      </c>
      <c r="ED110" s="1509">
        <v>0.63893091700000004</v>
      </c>
      <c r="EE110" s="1509">
        <v>0.39723840599999999</v>
      </c>
      <c r="EF110" s="1509">
        <v>0.65699095200000002</v>
      </c>
      <c r="EG110" s="1509">
        <v>0.70491230199999999</v>
      </c>
      <c r="EH110" s="1509">
        <v>0.69930982100000005</v>
      </c>
      <c r="EI110" s="1509">
        <v>0.90012905300000001</v>
      </c>
      <c r="EJ110" s="1509">
        <v>0.90012905300000001</v>
      </c>
      <c r="EK110" s="1509">
        <v>3.700502E-3</v>
      </c>
      <c r="EL110" s="1509">
        <v>0.794736891</v>
      </c>
      <c r="EM110" s="1509">
        <v>0.70016280500000005</v>
      </c>
      <c r="EN110" s="1509">
        <v>0.71477846599999995</v>
      </c>
      <c r="EO110" s="1509">
        <v>0.95809380099999997</v>
      </c>
      <c r="EP110" s="1509">
        <v>0.70491230199999999</v>
      </c>
      <c r="EQ110" s="1509">
        <v>9.6424547999999999E-2</v>
      </c>
      <c r="ER110" s="1509">
        <v>8.894173E-3</v>
      </c>
      <c r="ES110" s="1509">
        <v>8.894173E-3</v>
      </c>
      <c r="ET110" s="1509">
        <v>0.87132701199999996</v>
      </c>
      <c r="EU110" s="1509">
        <v>0.78045129999999996</v>
      </c>
      <c r="EV110" s="1509">
        <v>4.1529093000000003E-2</v>
      </c>
      <c r="EW110" s="1509">
        <v>0.59576548600000001</v>
      </c>
      <c r="EX110" s="1509">
        <v>0.77743654100000004</v>
      </c>
      <c r="EY110" s="1509">
        <v>0.93746560099999998</v>
      </c>
      <c r="EZ110" s="1509">
        <v>0.70491230199999999</v>
      </c>
      <c r="FA110" s="1509">
        <v>0.53935383800000003</v>
      </c>
      <c r="FB110" s="1509">
        <v>0.48465201299999999</v>
      </c>
      <c r="FC110" s="1509">
        <v>0.862294432</v>
      </c>
      <c r="FD110" s="1509">
        <v>0.97395592499999994</v>
      </c>
      <c r="FE110" s="1509">
        <v>0.77743654100000004</v>
      </c>
      <c r="FF110" s="1509">
        <v>0.27464818699999999</v>
      </c>
      <c r="FG110" s="1509">
        <v>0.928494559</v>
      </c>
      <c r="FH110" s="1509">
        <v>0.67996569600000001</v>
      </c>
      <c r="FI110" s="1509">
        <v>0.78406530299999999</v>
      </c>
      <c r="FJ110" s="1509">
        <v>0.69930982100000005</v>
      </c>
      <c r="FK110" s="1509">
        <v>0.75159910600000002</v>
      </c>
      <c r="FL110" s="1509">
        <v>0.68842612599999997</v>
      </c>
      <c r="FM110" s="1509">
        <v>0.158502955</v>
      </c>
      <c r="FN110" s="1509">
        <v>0.80623607200000003</v>
      </c>
      <c r="FO110" s="1509">
        <v>0.892315003</v>
      </c>
      <c r="FP110" s="1509">
        <v>0.45151141500000003</v>
      </c>
      <c r="FQ110" s="1509">
        <v>0.70491230199999999</v>
      </c>
      <c r="FR110" s="1509">
        <v>0.983884816</v>
      </c>
      <c r="FS110" s="1509">
        <v>0.89972790300000005</v>
      </c>
      <c r="FT110" s="1509">
        <v>0.71477846599999995</v>
      </c>
      <c r="FU110" s="1509">
        <v>0.114134202</v>
      </c>
    </row>
    <row r="111" spans="1:177" s="1509" customFormat="1" x14ac:dyDescent="0.2">
      <c r="A111" s="1512" t="s">
        <v>669</v>
      </c>
      <c r="B111" s="1512" t="s">
        <v>1265</v>
      </c>
      <c r="C111" s="1509">
        <v>2.7502216999999999E-2</v>
      </c>
      <c r="D111" s="1509">
        <v>0</v>
      </c>
      <c r="E111" s="1509">
        <v>1</v>
      </c>
      <c r="F111" s="1509">
        <v>1</v>
      </c>
      <c r="G111" s="1509">
        <v>5.8481340999999999E-2</v>
      </c>
      <c r="H111" s="1509">
        <v>5.8481340999999999E-2</v>
      </c>
      <c r="I111" s="1509">
        <v>4.4849483000000002E-2</v>
      </c>
      <c r="J111" s="1509">
        <v>4.2184973000000001E-2</v>
      </c>
      <c r="K111" s="1509">
        <v>4.6082984E-2</v>
      </c>
      <c r="L111" s="1509">
        <v>3.7918029999999998E-2</v>
      </c>
      <c r="M111" s="1509">
        <v>4.8203412000000001E-2</v>
      </c>
      <c r="N111" s="1509">
        <v>3.2842417999999998E-2</v>
      </c>
      <c r="O111" s="1509">
        <v>3.5499475000000003E-2</v>
      </c>
      <c r="P111" s="1509">
        <v>3.3140545E-2</v>
      </c>
      <c r="Q111" s="1509">
        <v>0</v>
      </c>
      <c r="R111" s="1509">
        <v>0.26440288499999998</v>
      </c>
      <c r="S111" s="1509">
        <v>1</v>
      </c>
      <c r="T111" s="1509">
        <v>2.9119556000000001E-2</v>
      </c>
      <c r="U111" s="1509">
        <v>2.8091017999999999E-2</v>
      </c>
      <c r="V111" s="1509">
        <v>4.2520365999999997E-2</v>
      </c>
      <c r="W111" s="1509">
        <v>3.7448479999999999E-2</v>
      </c>
      <c r="X111" s="1509">
        <v>1</v>
      </c>
      <c r="Y111" s="1509">
        <v>1</v>
      </c>
      <c r="Z111" s="1509">
        <v>5.8481340999999999E-2</v>
      </c>
      <c r="AA111" s="1509">
        <v>0</v>
      </c>
      <c r="AB111" s="1509">
        <v>5.6353459000000002E-2</v>
      </c>
      <c r="AC111" s="1509">
        <v>1</v>
      </c>
      <c r="AD111" s="1509">
        <v>4.6150061999999999E-2</v>
      </c>
      <c r="AE111" s="1509">
        <v>0.237458319</v>
      </c>
      <c r="AF111" s="1509">
        <v>2.2232821999999999E-2</v>
      </c>
      <c r="AG111" s="1509">
        <v>5.1944905999999999E-2</v>
      </c>
      <c r="AH111" s="1509">
        <v>2.7271169000000001E-2</v>
      </c>
      <c r="AI111" s="1509">
        <v>1</v>
      </c>
      <c r="AJ111" s="1509">
        <v>3.1158000000000002E-2</v>
      </c>
      <c r="AK111" s="1509">
        <v>0.25842763699999999</v>
      </c>
      <c r="AL111" s="1509">
        <v>0</v>
      </c>
      <c r="AM111" s="1509">
        <v>0</v>
      </c>
      <c r="AN111" s="1509">
        <v>0</v>
      </c>
      <c r="AO111" s="1509">
        <v>0</v>
      </c>
      <c r="AP111" s="1509">
        <v>0</v>
      </c>
      <c r="AQ111" s="1509">
        <v>0</v>
      </c>
      <c r="AR111" s="1509">
        <v>2.1799622000000001E-2</v>
      </c>
      <c r="AS111" s="1509">
        <v>2.1814995E-2</v>
      </c>
      <c r="AT111" s="1509">
        <v>2.5051117000000001E-2</v>
      </c>
      <c r="AU111" s="1509">
        <v>0</v>
      </c>
      <c r="AV111" s="1509">
        <v>4.5460644000000001E-2</v>
      </c>
      <c r="AW111" s="1509">
        <v>5.4557243999999998E-2</v>
      </c>
      <c r="AX111" s="1509">
        <v>0.99113458700000001</v>
      </c>
      <c r="AY111" s="1509">
        <v>0</v>
      </c>
      <c r="AZ111" s="1509">
        <v>4.6226581000000003E-2</v>
      </c>
      <c r="BA111" s="1509">
        <v>3.6495828000000001E-2</v>
      </c>
      <c r="BB111" s="1509">
        <v>5.1956057999999999E-2</v>
      </c>
      <c r="BC111" s="1509">
        <v>3.1077529E-2</v>
      </c>
      <c r="BD111" s="1509">
        <v>2.9555551999999999E-2</v>
      </c>
      <c r="BE111" s="1509" t="s">
        <v>2372</v>
      </c>
      <c r="BF111" s="1509">
        <v>3.1077529E-2</v>
      </c>
      <c r="BG111" s="1509" t="s">
        <v>2372</v>
      </c>
      <c r="BH111" s="1509">
        <v>2.4036491E-2</v>
      </c>
      <c r="BI111" s="1509">
        <v>2.5456321000000001E-2</v>
      </c>
      <c r="BJ111" s="1509">
        <v>4.4003548000000003E-2</v>
      </c>
      <c r="BK111" s="1509">
        <v>2.2046493E-2</v>
      </c>
      <c r="BL111" s="1509">
        <v>0</v>
      </c>
      <c r="BM111" s="1509">
        <v>0</v>
      </c>
      <c r="BN111" s="1509">
        <v>3.1690902E-2</v>
      </c>
      <c r="BO111" s="1509">
        <v>2.2102391999999998E-2</v>
      </c>
      <c r="BP111" s="1509">
        <v>2.9339424999999999E-2</v>
      </c>
      <c r="BQ111" s="1509">
        <v>4.0213607999999998E-2</v>
      </c>
      <c r="BR111" s="1509">
        <v>5.8481340999999999E-2</v>
      </c>
      <c r="BS111" s="1509">
        <v>0</v>
      </c>
      <c r="BT111" s="1509">
        <v>3.4905223999999999E-2</v>
      </c>
      <c r="BU111" s="1509">
        <v>3.5582193999999998E-2</v>
      </c>
      <c r="BV111" s="1509">
        <v>6.2738039999999995E-2</v>
      </c>
      <c r="BW111" s="1509">
        <v>0</v>
      </c>
      <c r="BX111" s="1509">
        <v>0.99145140399999998</v>
      </c>
      <c r="BY111" s="1509">
        <v>0</v>
      </c>
      <c r="BZ111" s="1509">
        <v>0</v>
      </c>
      <c r="CA111" s="1509">
        <v>0</v>
      </c>
      <c r="CB111" s="1509">
        <v>0</v>
      </c>
      <c r="CC111" s="1509">
        <v>0.249155185</v>
      </c>
      <c r="CD111" s="1509">
        <v>0.255190111</v>
      </c>
      <c r="CE111" s="1509">
        <v>0</v>
      </c>
      <c r="CF111" s="1509">
        <v>0</v>
      </c>
      <c r="CG111" s="1509">
        <v>2.4554486E-2</v>
      </c>
      <c r="CH111" s="1509">
        <v>0</v>
      </c>
      <c r="CI111" s="1509">
        <v>5.5324920999999999E-2</v>
      </c>
      <c r="CJ111" s="1509">
        <v>6.3899345999999996E-2</v>
      </c>
      <c r="CK111" s="1509">
        <v>1</v>
      </c>
      <c r="CL111" s="1509">
        <v>1</v>
      </c>
      <c r="CM111" s="1509">
        <v>0</v>
      </c>
      <c r="CN111" s="1509">
        <v>0.22405317299999999</v>
      </c>
      <c r="CO111" s="1509">
        <v>0</v>
      </c>
      <c r="CP111" s="1509">
        <v>0</v>
      </c>
      <c r="CQ111" s="1509">
        <v>2.6097294E-2</v>
      </c>
      <c r="CR111" s="1509">
        <v>0</v>
      </c>
      <c r="CS111" s="1509">
        <v>3.0502120000000001E-2</v>
      </c>
      <c r="CT111" s="1509">
        <v>4.1320404999999998E-2</v>
      </c>
      <c r="CU111" s="1509">
        <v>5.8481340999999999E-2</v>
      </c>
      <c r="CV111" s="1509">
        <v>7.4290558000000007E-2</v>
      </c>
      <c r="CW111" s="1509">
        <v>7.4290558000000007E-2</v>
      </c>
      <c r="CX111" s="1509">
        <v>1</v>
      </c>
      <c r="CY111" s="1509">
        <v>3.1746032E-2</v>
      </c>
      <c r="CZ111" s="1509">
        <v>0</v>
      </c>
      <c r="DA111" s="1509">
        <v>0.99202495199999996</v>
      </c>
      <c r="DB111" s="1509">
        <v>0</v>
      </c>
      <c r="DC111" s="1509">
        <v>0</v>
      </c>
      <c r="DD111" s="1509">
        <v>0</v>
      </c>
      <c r="DE111" s="1509">
        <v>0</v>
      </c>
      <c r="DF111" s="1509">
        <v>0.93013180799999995</v>
      </c>
      <c r="DG111" s="1509">
        <v>0</v>
      </c>
      <c r="DH111" s="1509">
        <v>0</v>
      </c>
      <c r="DI111" s="1509">
        <v>0</v>
      </c>
      <c r="DJ111" s="1509">
        <v>0</v>
      </c>
      <c r="DK111" s="1509">
        <v>0</v>
      </c>
      <c r="DL111" s="1509">
        <v>0</v>
      </c>
      <c r="DM111" s="1509">
        <v>0</v>
      </c>
      <c r="DN111" s="1509">
        <v>1</v>
      </c>
      <c r="DO111" s="1509">
        <v>4.7613544000000001E-2</v>
      </c>
      <c r="DP111" s="1509">
        <v>0.98867652399999995</v>
      </c>
      <c r="DQ111" s="1509">
        <v>0</v>
      </c>
      <c r="DR111" s="1509">
        <v>0.99477798200000001</v>
      </c>
      <c r="DS111" s="1509">
        <v>0</v>
      </c>
      <c r="DT111" s="1509">
        <v>0</v>
      </c>
      <c r="DU111" s="1509">
        <v>4.6015905000000003E-2</v>
      </c>
      <c r="DV111" s="1509">
        <v>1</v>
      </c>
      <c r="DW111" s="1509">
        <v>1</v>
      </c>
      <c r="DX111" s="1509">
        <v>0</v>
      </c>
      <c r="DY111" s="1509">
        <v>5.0992889E-2</v>
      </c>
      <c r="DZ111" s="1509">
        <v>1</v>
      </c>
      <c r="EA111" s="1509">
        <v>7.4290558000000007E-2</v>
      </c>
      <c r="EB111" s="1509">
        <v>5.8481340999999999E-2</v>
      </c>
      <c r="EC111" s="1509">
        <v>5.8481340999999999E-2</v>
      </c>
      <c r="ED111" s="1509">
        <v>3.5928031999999999E-2</v>
      </c>
      <c r="EE111" s="1509">
        <v>0</v>
      </c>
      <c r="EF111" s="1509">
        <v>0</v>
      </c>
      <c r="EG111" s="1509">
        <v>1</v>
      </c>
      <c r="EH111" s="1509">
        <v>7.3531030999999997E-2</v>
      </c>
      <c r="EI111" s="1509">
        <v>0</v>
      </c>
      <c r="EJ111" s="1509">
        <v>0</v>
      </c>
      <c r="EK111" s="1509">
        <v>0</v>
      </c>
      <c r="EL111" s="1509">
        <v>0.92782310400000001</v>
      </c>
      <c r="EM111" s="1509">
        <v>0</v>
      </c>
      <c r="EN111" s="1509">
        <v>0</v>
      </c>
      <c r="EO111" s="1509">
        <v>1</v>
      </c>
      <c r="EP111" s="1509">
        <v>0</v>
      </c>
      <c r="EQ111" s="1509">
        <v>0</v>
      </c>
      <c r="ER111" s="1509">
        <v>3.2912841999999998E-2</v>
      </c>
      <c r="ES111" s="1509">
        <v>3.625366E-2</v>
      </c>
      <c r="ET111" s="1509">
        <v>0</v>
      </c>
      <c r="EU111" s="1509">
        <v>0</v>
      </c>
      <c r="EV111" s="1509">
        <v>5.1162323000000003E-2</v>
      </c>
      <c r="EW111" s="1509">
        <v>0</v>
      </c>
      <c r="EX111" s="1509">
        <v>7.4290558000000007E-2</v>
      </c>
      <c r="EY111" s="1509">
        <v>6.8016202999999997E-2</v>
      </c>
      <c r="EZ111" s="1509">
        <v>0</v>
      </c>
      <c r="FA111" s="1509">
        <v>0.23986781300000001</v>
      </c>
      <c r="FB111" s="1509">
        <v>0.30710854100000001</v>
      </c>
      <c r="FC111" s="1509">
        <v>1</v>
      </c>
      <c r="FD111" s="1509">
        <v>7.4290558000000007E-2</v>
      </c>
      <c r="FE111" s="1509">
        <v>0</v>
      </c>
      <c r="FF111" s="1509">
        <v>1</v>
      </c>
      <c r="FG111" s="1509">
        <v>0</v>
      </c>
      <c r="FH111" s="1509">
        <v>0</v>
      </c>
      <c r="FI111" s="1509">
        <v>1</v>
      </c>
      <c r="FJ111" s="1509">
        <v>5.0712194000000002E-2</v>
      </c>
      <c r="FK111" s="1509">
        <v>0</v>
      </c>
      <c r="FL111" s="1509">
        <v>0</v>
      </c>
      <c r="FM111" s="1509">
        <v>3.8782598000000001E-2</v>
      </c>
      <c r="FN111" s="1509">
        <v>2.6447592999999998E-2</v>
      </c>
      <c r="FO111" s="1509">
        <v>0</v>
      </c>
      <c r="FP111" s="1509">
        <v>0</v>
      </c>
      <c r="FQ111" s="1509">
        <v>0</v>
      </c>
      <c r="FR111" s="1509">
        <v>7.4290558000000007E-2</v>
      </c>
      <c r="FS111" s="1509">
        <v>0.274584414</v>
      </c>
      <c r="FT111" s="1509">
        <v>0</v>
      </c>
      <c r="FU111" s="1509">
        <v>5.5965894000000002E-2</v>
      </c>
    </row>
    <row r="112" spans="1:177" s="1509" customFormat="1" x14ac:dyDescent="0.2">
      <c r="A112" s="1512" t="s">
        <v>669</v>
      </c>
      <c r="B112" s="1512" t="s">
        <v>1032</v>
      </c>
      <c r="C112" s="1509">
        <v>0</v>
      </c>
      <c r="D112" s="1509">
        <v>0</v>
      </c>
      <c r="E112" s="1509">
        <v>0.98186548500000004</v>
      </c>
      <c r="F112" s="1509">
        <v>0</v>
      </c>
      <c r="G112" s="1509">
        <v>0.98186548500000004</v>
      </c>
      <c r="H112" s="1509">
        <v>0</v>
      </c>
      <c r="I112" s="1509">
        <v>0</v>
      </c>
      <c r="J112" s="1509">
        <v>0.99998841999999999</v>
      </c>
      <c r="K112" s="1509">
        <v>0.99998841999999999</v>
      </c>
      <c r="L112" s="1509">
        <v>0</v>
      </c>
      <c r="M112" s="1509">
        <v>0</v>
      </c>
      <c r="N112" s="1509">
        <v>0.98186548500000004</v>
      </c>
      <c r="O112" s="1509">
        <v>0.99998841999999999</v>
      </c>
      <c r="P112" s="1509">
        <v>0.99998841999999999</v>
      </c>
      <c r="Q112" s="1509">
        <v>0</v>
      </c>
      <c r="R112" s="1509">
        <v>0.99786484600000003</v>
      </c>
      <c r="S112" s="1509">
        <v>0</v>
      </c>
      <c r="T112" s="1509">
        <v>0</v>
      </c>
      <c r="U112" s="1509">
        <v>0</v>
      </c>
      <c r="V112" s="1509">
        <v>0</v>
      </c>
      <c r="W112" s="1509">
        <v>0</v>
      </c>
      <c r="X112" s="1509">
        <v>0</v>
      </c>
      <c r="Y112" s="1509">
        <v>0</v>
      </c>
      <c r="Z112" s="1509">
        <v>0</v>
      </c>
      <c r="AA112" s="1509">
        <v>0</v>
      </c>
      <c r="AB112" s="1509">
        <v>0</v>
      </c>
      <c r="AC112" s="1509">
        <v>0</v>
      </c>
      <c r="AD112" s="1509">
        <v>0</v>
      </c>
      <c r="AE112" s="1509">
        <v>0.99786484600000003</v>
      </c>
      <c r="AF112" s="1509">
        <v>0</v>
      </c>
      <c r="AG112" s="1509">
        <v>1</v>
      </c>
      <c r="AH112" s="1509">
        <v>0.98186548500000004</v>
      </c>
      <c r="AI112" s="1509">
        <v>0</v>
      </c>
      <c r="AJ112" s="1509">
        <v>0</v>
      </c>
      <c r="AK112" s="1509">
        <v>0.99786484600000003</v>
      </c>
      <c r="AL112" s="1509">
        <v>0</v>
      </c>
      <c r="AM112" s="1509">
        <v>0.99982856399999998</v>
      </c>
      <c r="AN112" s="1509">
        <v>0</v>
      </c>
      <c r="AO112" s="1509">
        <v>0</v>
      </c>
      <c r="AP112" s="1509">
        <v>0.99506823700000002</v>
      </c>
      <c r="AQ112" s="1509">
        <v>0</v>
      </c>
      <c r="AR112" s="1509">
        <v>0.97861900800000001</v>
      </c>
      <c r="AS112" s="1509">
        <v>0.99997670900000002</v>
      </c>
      <c r="AT112" s="1509">
        <v>0</v>
      </c>
      <c r="AU112" s="1509">
        <v>0.99997670900000002</v>
      </c>
      <c r="AV112" s="1509">
        <v>0</v>
      </c>
      <c r="AW112" s="1509">
        <v>0</v>
      </c>
      <c r="AX112" s="1509">
        <v>0.99489016900000005</v>
      </c>
      <c r="AY112" s="1509">
        <v>0</v>
      </c>
      <c r="AZ112" s="1509">
        <v>0</v>
      </c>
      <c r="BA112" s="1509">
        <v>0</v>
      </c>
      <c r="BB112" s="1509">
        <v>0.98581662000000003</v>
      </c>
      <c r="BC112" s="1509">
        <v>0</v>
      </c>
      <c r="BD112" s="1509">
        <v>0.97861900800000001</v>
      </c>
      <c r="BE112" s="1509">
        <v>0.98404796100000003</v>
      </c>
      <c r="BF112" s="1509">
        <v>0</v>
      </c>
      <c r="BG112" s="1509">
        <v>0</v>
      </c>
      <c r="BH112" s="1509">
        <v>0.98186548500000004</v>
      </c>
      <c r="BI112" s="1509">
        <v>0</v>
      </c>
      <c r="BJ112" s="1509">
        <v>0.98186548500000004</v>
      </c>
      <c r="BK112" s="1509">
        <v>0.98186548500000004</v>
      </c>
      <c r="BL112" s="1509">
        <v>0.98186548500000004</v>
      </c>
      <c r="BM112" s="1509">
        <v>0.99786484600000003</v>
      </c>
      <c r="BN112" s="1509">
        <v>0</v>
      </c>
      <c r="BO112" s="1509">
        <v>0.99998841999999999</v>
      </c>
      <c r="BP112" s="1509">
        <v>0.98186548500000004</v>
      </c>
      <c r="BQ112" s="1509">
        <v>0.98186548500000004</v>
      </c>
      <c r="BR112" s="1509">
        <v>0.98186548500000004</v>
      </c>
      <c r="BS112" s="1509">
        <v>0.98186548500000004</v>
      </c>
      <c r="BT112" s="1509">
        <v>0</v>
      </c>
      <c r="BU112" s="1509">
        <v>0.98581662000000003</v>
      </c>
      <c r="BV112" s="1509">
        <v>0</v>
      </c>
      <c r="BW112" s="1509">
        <v>0.99786484600000003</v>
      </c>
      <c r="BX112" s="1509">
        <v>0.99968794900000002</v>
      </c>
      <c r="BY112" s="1509">
        <v>0.99968794900000002</v>
      </c>
      <c r="BZ112" s="1509">
        <v>0.99996099400000005</v>
      </c>
      <c r="CA112" s="1509">
        <v>0.95410978099999999</v>
      </c>
      <c r="CB112" s="1509">
        <v>0</v>
      </c>
      <c r="CC112" s="1509">
        <v>0</v>
      </c>
      <c r="CD112" s="1509">
        <v>0.95410978099999999</v>
      </c>
      <c r="CE112" s="1509">
        <v>0.99786484600000003</v>
      </c>
      <c r="CF112" s="1509">
        <v>0</v>
      </c>
      <c r="CG112" s="1509">
        <v>0.98186548500000004</v>
      </c>
      <c r="CH112" s="1509">
        <v>0</v>
      </c>
      <c r="CI112" s="1509">
        <v>0</v>
      </c>
      <c r="CJ112" s="1509">
        <v>1</v>
      </c>
      <c r="CK112" s="1509">
        <v>0</v>
      </c>
      <c r="CL112" s="1509">
        <v>0</v>
      </c>
      <c r="CM112" s="1509">
        <v>0</v>
      </c>
      <c r="CN112" s="1509">
        <v>0.95410978099999999</v>
      </c>
      <c r="CO112" s="1509">
        <v>0.99786484600000003</v>
      </c>
      <c r="CP112" s="1509">
        <v>0.99786484600000003</v>
      </c>
      <c r="CQ112" s="1509">
        <v>0.98186548500000004</v>
      </c>
      <c r="CR112" s="1509">
        <v>0</v>
      </c>
      <c r="CS112" s="1509">
        <v>0.98186548500000004</v>
      </c>
      <c r="CT112" s="1509">
        <v>0</v>
      </c>
      <c r="CU112" s="1509">
        <v>0</v>
      </c>
      <c r="CV112" s="1509">
        <v>0</v>
      </c>
      <c r="CW112" s="1509">
        <v>0</v>
      </c>
      <c r="CX112" s="1509">
        <v>0</v>
      </c>
      <c r="CY112" s="1509">
        <v>1</v>
      </c>
      <c r="CZ112" s="1509">
        <v>0.99489016900000005</v>
      </c>
      <c r="DA112" s="1509">
        <v>0.99489016900000005</v>
      </c>
      <c r="DB112" s="1509">
        <v>0.99833720000000004</v>
      </c>
      <c r="DC112" s="1509">
        <v>0</v>
      </c>
      <c r="DD112" s="1509">
        <v>0.93868909499999997</v>
      </c>
      <c r="DE112" s="1509">
        <v>0</v>
      </c>
      <c r="DF112" s="1509">
        <v>0</v>
      </c>
      <c r="DG112" s="1509">
        <v>0</v>
      </c>
      <c r="DH112" s="1509">
        <v>0</v>
      </c>
      <c r="DI112" s="1509">
        <v>0</v>
      </c>
      <c r="DJ112" s="1509">
        <v>0.99489016900000005</v>
      </c>
      <c r="DK112" s="1509">
        <v>0.99489016900000005</v>
      </c>
      <c r="DL112" s="1509">
        <v>0.99786484600000003</v>
      </c>
      <c r="DM112" s="1509">
        <v>0.99982856399999998</v>
      </c>
      <c r="DN112" s="1509">
        <v>0</v>
      </c>
      <c r="DO112" s="1509">
        <v>0.99997132399999999</v>
      </c>
      <c r="DP112" s="1509">
        <v>0.99996099400000005</v>
      </c>
      <c r="DQ112" s="1509">
        <v>1</v>
      </c>
      <c r="DR112" s="1509">
        <v>0.99489016900000005</v>
      </c>
      <c r="DS112" s="1509">
        <v>0.99489016900000005</v>
      </c>
      <c r="DT112" s="1509">
        <v>0.99489016900000005</v>
      </c>
      <c r="DU112" s="1509">
        <v>0</v>
      </c>
      <c r="DV112" s="1509">
        <v>0</v>
      </c>
      <c r="DW112" s="1509">
        <v>0</v>
      </c>
      <c r="DX112" s="1509">
        <v>0.97861900800000001</v>
      </c>
      <c r="DY112" s="1509">
        <v>0.98581662000000003</v>
      </c>
      <c r="DZ112" s="1509">
        <v>0</v>
      </c>
      <c r="EA112" s="1509">
        <v>0</v>
      </c>
      <c r="EB112" s="1509">
        <v>0</v>
      </c>
      <c r="EC112" s="1509">
        <v>0</v>
      </c>
      <c r="ED112" s="1509">
        <v>0.98186548500000004</v>
      </c>
      <c r="EE112" s="1509">
        <v>0</v>
      </c>
      <c r="EF112" s="1509">
        <v>0</v>
      </c>
      <c r="EG112" s="1509">
        <v>0</v>
      </c>
      <c r="EH112" s="1509">
        <v>0.98581662000000003</v>
      </c>
      <c r="EI112" s="1509">
        <v>0</v>
      </c>
      <c r="EJ112" s="1509">
        <v>0</v>
      </c>
      <c r="EK112" s="1509">
        <v>0</v>
      </c>
      <c r="EL112" s="1509">
        <v>0</v>
      </c>
      <c r="EM112" s="1509">
        <v>0</v>
      </c>
      <c r="EN112" s="1509">
        <v>0</v>
      </c>
      <c r="EO112" s="1509">
        <v>0</v>
      </c>
      <c r="EP112" s="1509">
        <v>0</v>
      </c>
      <c r="EQ112" s="1509">
        <v>0.99786484600000003</v>
      </c>
      <c r="ER112" s="1509">
        <v>1</v>
      </c>
      <c r="ES112" s="1509">
        <v>0.98581662000000003</v>
      </c>
      <c r="ET112" s="1509">
        <v>0</v>
      </c>
      <c r="EU112" s="1509">
        <v>0</v>
      </c>
      <c r="EV112" s="1509">
        <v>0</v>
      </c>
      <c r="EW112" s="1509">
        <v>0</v>
      </c>
      <c r="EX112" s="1509">
        <v>0</v>
      </c>
      <c r="EY112" s="1509">
        <v>0</v>
      </c>
      <c r="EZ112" s="1509">
        <v>0</v>
      </c>
      <c r="FA112" s="1509">
        <v>0.99961816599999997</v>
      </c>
      <c r="FB112" s="1509">
        <v>0</v>
      </c>
      <c r="FC112" s="1509">
        <v>0.98581662000000003</v>
      </c>
      <c r="FD112" s="1509">
        <v>0</v>
      </c>
      <c r="FE112" s="1509">
        <v>0.98581662000000003</v>
      </c>
      <c r="FF112" s="1509">
        <v>0</v>
      </c>
      <c r="FG112" s="1509">
        <v>0</v>
      </c>
      <c r="FH112" s="1509">
        <v>0</v>
      </c>
      <c r="FI112" s="1509">
        <v>0</v>
      </c>
      <c r="FJ112" s="1509">
        <v>1</v>
      </c>
      <c r="FK112" s="1509">
        <v>0</v>
      </c>
      <c r="FL112" s="1509">
        <v>0</v>
      </c>
      <c r="FM112" s="1509">
        <v>0</v>
      </c>
      <c r="FN112" s="1509">
        <v>1</v>
      </c>
      <c r="FO112" s="1509">
        <v>0</v>
      </c>
      <c r="FP112" s="1509">
        <v>0</v>
      </c>
      <c r="FQ112" s="1509">
        <v>0</v>
      </c>
      <c r="FR112" s="1509">
        <v>0</v>
      </c>
      <c r="FS112" s="1509">
        <v>0</v>
      </c>
      <c r="FT112" s="1509">
        <v>0</v>
      </c>
      <c r="FU112" s="1509">
        <v>0</v>
      </c>
    </row>
    <row r="113" spans="1:177" s="1509" customFormat="1" x14ac:dyDescent="0.2">
      <c r="A113" s="1512" t="s">
        <v>669</v>
      </c>
      <c r="B113" s="1512" t="s">
        <v>1063</v>
      </c>
      <c r="C113" s="1509">
        <v>0.92440244199999999</v>
      </c>
      <c r="D113" s="1509">
        <v>0.95370832699999997</v>
      </c>
      <c r="E113" s="1509">
        <v>0.65877872299999995</v>
      </c>
      <c r="F113" s="1509">
        <v>0.77375998899999998</v>
      </c>
      <c r="G113" s="1509">
        <v>0.33854931399999999</v>
      </c>
      <c r="H113" s="1509">
        <v>0.43569772899999998</v>
      </c>
      <c r="I113" s="1509">
        <v>0.97783798300000002</v>
      </c>
      <c r="J113" s="1509">
        <v>0.98586132599999998</v>
      </c>
      <c r="K113" s="1509">
        <v>0.99457036200000004</v>
      </c>
      <c r="L113" s="1509">
        <v>0.99512189699999998</v>
      </c>
      <c r="M113" s="1509">
        <v>0.99064999099999995</v>
      </c>
      <c r="N113" s="1509">
        <v>0.98975188400000003</v>
      </c>
      <c r="O113" s="1509">
        <v>0.984214174</v>
      </c>
      <c r="P113" s="1509">
        <v>0.98884632299999997</v>
      </c>
      <c r="Q113" s="1509">
        <v>0.94094872900000004</v>
      </c>
      <c r="R113" s="1509">
        <v>0.93107203900000002</v>
      </c>
      <c r="S113" s="1509">
        <v>0.87906104900000004</v>
      </c>
      <c r="T113" s="1509">
        <v>0.98361792000000003</v>
      </c>
      <c r="U113" s="1509">
        <v>0.31374141999999999</v>
      </c>
      <c r="V113" s="1509">
        <v>0.72641256300000001</v>
      </c>
      <c r="W113" s="1509">
        <v>0.85932876700000005</v>
      </c>
      <c r="X113" s="1509">
        <v>0.92426828500000002</v>
      </c>
      <c r="Y113" s="1509">
        <v>0.88238143899999999</v>
      </c>
      <c r="Z113" s="1509">
        <v>0.469971156</v>
      </c>
      <c r="AA113" s="1509">
        <v>0.69806068399999999</v>
      </c>
      <c r="AB113" s="1509">
        <v>0.549742493</v>
      </c>
      <c r="AC113" s="1509">
        <v>0.55981173299999998</v>
      </c>
      <c r="AD113" s="1509">
        <v>0.60703505199999996</v>
      </c>
      <c r="AE113" s="1509">
        <v>0.93084078699999995</v>
      </c>
      <c r="AF113" s="1509">
        <v>0.65632290100000001</v>
      </c>
      <c r="AG113" s="1509">
        <v>0.66377607699999996</v>
      </c>
      <c r="AH113" s="1509">
        <v>0.74109159199999997</v>
      </c>
      <c r="AI113" s="1509">
        <v>0.81610780299999997</v>
      </c>
      <c r="AJ113" s="1509">
        <v>0.50145336900000004</v>
      </c>
      <c r="AK113" s="1509">
        <v>0.91120676199999995</v>
      </c>
      <c r="AL113" s="1509">
        <v>0.73449307399999997</v>
      </c>
      <c r="AM113" s="1509">
        <v>0.69697060099999997</v>
      </c>
      <c r="AN113" s="1509">
        <v>0.766778811</v>
      </c>
      <c r="AO113" s="1509">
        <v>0.72556438899999998</v>
      </c>
      <c r="AP113" s="1509">
        <v>0.280366481</v>
      </c>
      <c r="AQ113" s="1509">
        <v>0.98619299299999996</v>
      </c>
      <c r="AR113" s="1509">
        <v>0.32306639799999998</v>
      </c>
      <c r="AS113" s="1509">
        <v>0.40567589599999998</v>
      </c>
      <c r="AT113" s="1509">
        <v>0.72220086999999999</v>
      </c>
      <c r="AU113" s="1509">
        <v>0.53425215599999998</v>
      </c>
      <c r="AV113" s="1509">
        <v>0.70110157900000003</v>
      </c>
      <c r="AW113" s="1509">
        <v>0.79320792100000004</v>
      </c>
      <c r="AX113" s="1509">
        <v>0.50972573499999996</v>
      </c>
      <c r="AY113" s="1509">
        <v>0.89680338199999998</v>
      </c>
      <c r="AZ113" s="1509">
        <v>0.62771613500000001</v>
      </c>
      <c r="BA113" s="1509">
        <v>0.50734759900000004</v>
      </c>
      <c r="BB113" s="1509">
        <v>0.94898509600000003</v>
      </c>
      <c r="BC113" s="1509">
        <v>0.297423402</v>
      </c>
      <c r="BD113" s="1509">
        <v>0.41426199499999999</v>
      </c>
      <c r="BE113" s="1509">
        <v>0.60636811400000001</v>
      </c>
      <c r="BF113" s="1509">
        <v>0.31279690100000002</v>
      </c>
      <c r="BG113" s="1509">
        <v>0.37812205300000001</v>
      </c>
      <c r="BH113" s="1509">
        <v>0.47458467199999999</v>
      </c>
      <c r="BI113" s="1509">
        <v>0.94425024800000001</v>
      </c>
      <c r="BJ113" s="1509">
        <v>0.85910889800000001</v>
      </c>
      <c r="BK113" s="1509">
        <v>0.84504475599999995</v>
      </c>
      <c r="BL113" s="1509">
        <v>0.76905217999999997</v>
      </c>
      <c r="BM113" s="1509">
        <v>0.69341230700000001</v>
      </c>
      <c r="BN113" s="1509">
        <v>0.47620573700000002</v>
      </c>
      <c r="BO113" s="1509">
        <v>0.927611034</v>
      </c>
      <c r="BP113" s="1509">
        <v>0.35735367600000001</v>
      </c>
      <c r="BQ113" s="1509">
        <v>0.84844340399999996</v>
      </c>
      <c r="BR113" s="1509">
        <v>0.88444224199999999</v>
      </c>
      <c r="BS113" s="1509">
        <v>0.102354458</v>
      </c>
      <c r="BT113" s="1509">
        <v>0.109256324</v>
      </c>
      <c r="BU113" s="1509">
        <v>0.105926513</v>
      </c>
      <c r="BV113" s="1509">
        <v>0.86984016900000005</v>
      </c>
      <c r="BW113" s="1509">
        <v>0.91231826199999999</v>
      </c>
      <c r="BX113" s="1509">
        <v>0.60834867299999995</v>
      </c>
      <c r="BY113" s="1509">
        <v>0.63939127399999995</v>
      </c>
      <c r="BZ113" s="1509">
        <v>0.568063757</v>
      </c>
      <c r="CA113" s="1509">
        <v>0.77515609500000004</v>
      </c>
      <c r="CB113" s="1509">
        <v>0.71179309700000004</v>
      </c>
      <c r="CC113" s="1509">
        <v>0.93040066200000004</v>
      </c>
      <c r="CD113" s="1509">
        <v>0.80883680300000005</v>
      </c>
      <c r="CE113" s="1509">
        <v>0.57792067300000005</v>
      </c>
      <c r="CF113" s="1509">
        <v>0.86643342599999995</v>
      </c>
      <c r="CG113" s="1509">
        <v>0.59724903299999998</v>
      </c>
      <c r="CH113" s="1509">
        <v>0.73060497400000002</v>
      </c>
      <c r="CI113" s="1509">
        <v>0.46654642200000002</v>
      </c>
      <c r="CJ113" s="1509">
        <v>0.93331572100000004</v>
      </c>
      <c r="CK113" s="1509">
        <v>0.71880434999999998</v>
      </c>
      <c r="CL113" s="1509">
        <v>0.71657530300000005</v>
      </c>
      <c r="CM113" s="1509">
        <v>0.38129468900000002</v>
      </c>
      <c r="CN113" s="1509">
        <v>0.10373509</v>
      </c>
      <c r="CO113" s="1509">
        <v>0.46717343099999997</v>
      </c>
      <c r="CP113" s="1509">
        <v>9.4678970000000001E-2</v>
      </c>
      <c r="CQ113" s="1509">
        <v>0.43046932599999999</v>
      </c>
      <c r="CR113" s="1509">
        <v>0.97134999399999999</v>
      </c>
      <c r="CS113" s="1509">
        <v>0.44987739500000001</v>
      </c>
      <c r="CT113" s="1509">
        <v>0.89714617900000004</v>
      </c>
      <c r="CU113" s="1509">
        <v>0.84234670700000003</v>
      </c>
      <c r="CV113" s="1509">
        <v>0.92686524400000003</v>
      </c>
      <c r="CW113" s="1509">
        <v>0.92837879499999998</v>
      </c>
      <c r="CX113" s="1509">
        <v>0.55655725099999998</v>
      </c>
      <c r="CY113" s="1509">
        <v>0.910546419</v>
      </c>
      <c r="CZ113" s="1509">
        <v>0.72699663000000003</v>
      </c>
      <c r="DA113" s="1509">
        <v>0.50124268699999996</v>
      </c>
      <c r="DB113" s="1509">
        <v>0.19513608499999999</v>
      </c>
      <c r="DC113" s="1509">
        <v>0.19249625200000001</v>
      </c>
      <c r="DD113" s="1509">
        <v>1.6390879000000001E-2</v>
      </c>
      <c r="DE113" s="1509">
        <v>0.202080593</v>
      </c>
      <c r="DF113" s="1509">
        <v>0.105317378</v>
      </c>
      <c r="DG113" s="1509">
        <v>0.26722100100000001</v>
      </c>
      <c r="DH113" s="1509">
        <v>0.23031852799999999</v>
      </c>
      <c r="DI113" s="1509">
        <v>0.288615605</v>
      </c>
      <c r="DJ113" s="1509">
        <v>0.63473188000000003</v>
      </c>
      <c r="DK113" s="1509">
        <v>0.52936292500000004</v>
      </c>
      <c r="DL113" s="1509">
        <v>1</v>
      </c>
      <c r="DM113" s="1509">
        <v>0.60696888500000001</v>
      </c>
      <c r="DN113" s="1509">
        <v>0.78808299000000004</v>
      </c>
      <c r="DO113" s="1509">
        <v>1</v>
      </c>
      <c r="DP113" s="1509">
        <v>0.42712936499999998</v>
      </c>
      <c r="DQ113" s="1509">
        <v>0.50353141700000004</v>
      </c>
      <c r="DR113" s="1509">
        <v>0.52181940299999996</v>
      </c>
      <c r="DS113" s="1509">
        <v>0.79739554599999996</v>
      </c>
      <c r="DT113" s="1509">
        <v>0.48380682899999999</v>
      </c>
      <c r="DU113" s="1509">
        <v>0.15012558600000001</v>
      </c>
      <c r="DV113" s="1509">
        <v>0.55681928300000005</v>
      </c>
      <c r="DW113" s="1509">
        <v>0.741996514</v>
      </c>
      <c r="DX113" s="1509">
        <v>0.59596906900000002</v>
      </c>
      <c r="DY113" s="1509">
        <v>0.16314972599999999</v>
      </c>
      <c r="DZ113" s="1509">
        <v>0.23317754900000001</v>
      </c>
      <c r="EA113" s="1509">
        <v>0.89863064999999998</v>
      </c>
      <c r="EB113" s="1509">
        <v>0.93313011000000001</v>
      </c>
      <c r="EC113" s="1509">
        <v>0.68261770399999999</v>
      </c>
      <c r="ED113" s="1509">
        <v>0.118736538</v>
      </c>
      <c r="EE113" s="1509">
        <v>0.88464264100000001</v>
      </c>
      <c r="EF113" s="1509">
        <v>0.61237699000000001</v>
      </c>
      <c r="EG113" s="1509">
        <v>0.68133128700000001</v>
      </c>
      <c r="EH113" s="1509">
        <v>0.13528388699999999</v>
      </c>
      <c r="EI113" s="1509">
        <v>0.89328847499999997</v>
      </c>
      <c r="EJ113" s="1509">
        <v>0.85494543199999995</v>
      </c>
      <c r="EK113" s="1509">
        <v>0.96397507699999996</v>
      </c>
      <c r="EL113" s="1509">
        <v>0.122490089</v>
      </c>
      <c r="EM113" s="1509">
        <v>0.27541644100000001</v>
      </c>
      <c r="EN113" s="1509">
        <v>0.123593852</v>
      </c>
      <c r="EO113" s="1509">
        <v>9.3856640000000005E-2</v>
      </c>
      <c r="EP113" s="1509">
        <v>0.517476826</v>
      </c>
      <c r="EQ113" s="1509">
        <v>1</v>
      </c>
      <c r="ER113" s="1509">
        <v>0.99512911999999998</v>
      </c>
      <c r="ES113" s="1509">
        <v>0.99451819600000002</v>
      </c>
      <c r="ET113" s="1509">
        <v>0.86243500699999998</v>
      </c>
      <c r="EU113" s="1509">
        <v>0.52999109600000005</v>
      </c>
      <c r="EV113" s="1509">
        <v>0.56420537999999998</v>
      </c>
      <c r="EW113" s="1509">
        <v>0.75749330400000003</v>
      </c>
      <c r="EX113" s="1509">
        <v>0.96636615800000003</v>
      </c>
      <c r="EY113" s="1509">
        <v>0.96009180400000005</v>
      </c>
      <c r="EZ113" s="1509">
        <v>0.51734026700000002</v>
      </c>
      <c r="FA113" s="1509">
        <v>0.42481704999999997</v>
      </c>
      <c r="FB113" s="1509">
        <v>0.41919986399999998</v>
      </c>
      <c r="FC113" s="1509">
        <v>0.82770843000000005</v>
      </c>
      <c r="FD113" s="1509">
        <v>0.72317438300000003</v>
      </c>
      <c r="FE113" s="1509">
        <v>0.97388987999999999</v>
      </c>
      <c r="FF113" s="1509">
        <v>0.839292547</v>
      </c>
      <c r="FG113" s="1509">
        <v>0.179444255</v>
      </c>
      <c r="FH113" s="1509">
        <v>0.479540725</v>
      </c>
      <c r="FI113" s="1509">
        <v>0.42113430600000001</v>
      </c>
      <c r="FJ113" s="1509">
        <v>0.40478942400000001</v>
      </c>
      <c r="FK113" s="1509">
        <v>0.56848435900000005</v>
      </c>
      <c r="FL113" s="1509">
        <v>0.218020769</v>
      </c>
      <c r="FM113" s="1509">
        <v>0.95464742800000002</v>
      </c>
      <c r="FN113" s="1509">
        <v>0.96453779100000003</v>
      </c>
      <c r="FO113" s="1509">
        <v>0.38191739800000002</v>
      </c>
      <c r="FP113" s="1509">
        <v>0.27968623799999998</v>
      </c>
      <c r="FQ113" s="1509">
        <v>0.677758902</v>
      </c>
      <c r="FR113" s="1509">
        <v>0.819705876</v>
      </c>
      <c r="FS113" s="1509" t="s">
        <v>2372</v>
      </c>
      <c r="FT113" s="1509">
        <v>0.115628363</v>
      </c>
      <c r="FU113" s="1509">
        <v>0.45079413600000001</v>
      </c>
    </row>
    <row r="114" spans="1:177" s="1509" customFormat="1" x14ac:dyDescent="0.2">
      <c r="A114" s="1512" t="s">
        <v>669</v>
      </c>
      <c r="B114" s="1512" t="s">
        <v>1401</v>
      </c>
      <c r="C114" s="1509">
        <v>1</v>
      </c>
      <c r="D114" s="1509">
        <v>1</v>
      </c>
      <c r="E114" s="1509">
        <v>0.2</v>
      </c>
      <c r="F114" s="1509">
        <v>0.2</v>
      </c>
      <c r="G114" s="1509">
        <v>0.2</v>
      </c>
      <c r="H114" s="1509">
        <v>0.2</v>
      </c>
      <c r="I114" s="1509">
        <v>1</v>
      </c>
      <c r="J114" s="1509">
        <v>1</v>
      </c>
      <c r="K114" s="1509">
        <v>1</v>
      </c>
      <c r="L114" s="1509">
        <v>1</v>
      </c>
      <c r="M114" s="1509">
        <v>1</v>
      </c>
      <c r="N114" s="1509">
        <v>1</v>
      </c>
      <c r="O114" s="1509">
        <v>1</v>
      </c>
      <c r="P114" s="1509">
        <v>1</v>
      </c>
      <c r="Q114" s="1509">
        <v>0.2</v>
      </c>
      <c r="R114" s="1509">
        <v>1</v>
      </c>
      <c r="S114" s="1509">
        <v>0.2</v>
      </c>
      <c r="T114" s="1509">
        <v>1</v>
      </c>
      <c r="U114" s="1509">
        <v>1</v>
      </c>
      <c r="V114" s="1509">
        <v>1</v>
      </c>
      <c r="W114" s="1509">
        <v>1</v>
      </c>
      <c r="X114" s="1509">
        <v>0.2</v>
      </c>
      <c r="Y114" s="1509">
        <v>0.2</v>
      </c>
      <c r="Z114" s="1509">
        <v>0.2</v>
      </c>
      <c r="AA114" s="1509">
        <v>1</v>
      </c>
      <c r="AB114" s="1509">
        <v>1</v>
      </c>
      <c r="AC114" s="1509">
        <v>0.2</v>
      </c>
      <c r="AD114" s="1509">
        <v>1</v>
      </c>
      <c r="AE114" s="1509">
        <v>1</v>
      </c>
      <c r="AF114" s="1509">
        <v>1</v>
      </c>
      <c r="AG114" s="1509">
        <v>1</v>
      </c>
      <c r="AH114" s="1509">
        <v>1</v>
      </c>
      <c r="AI114" s="1509">
        <v>0.2</v>
      </c>
      <c r="AJ114" s="1509">
        <v>1</v>
      </c>
      <c r="AK114" s="1509">
        <v>1</v>
      </c>
      <c r="AL114" s="1509">
        <v>1</v>
      </c>
      <c r="AM114" s="1509">
        <v>1</v>
      </c>
      <c r="AN114" s="1509">
        <v>0.2</v>
      </c>
      <c r="AO114" s="1509">
        <v>1</v>
      </c>
      <c r="AP114" s="1509">
        <v>0</v>
      </c>
      <c r="AQ114" s="1509">
        <v>0.2</v>
      </c>
      <c r="AR114" s="1509">
        <v>1</v>
      </c>
      <c r="AS114" s="1509">
        <v>1</v>
      </c>
      <c r="AT114" s="1509">
        <v>1</v>
      </c>
      <c r="AU114" s="1509">
        <v>0</v>
      </c>
      <c r="AV114" s="1509">
        <v>1</v>
      </c>
      <c r="AW114" s="1509">
        <v>1</v>
      </c>
      <c r="AX114" s="1509">
        <v>1</v>
      </c>
      <c r="AY114" s="1509">
        <v>1</v>
      </c>
      <c r="AZ114" s="1509">
        <v>1</v>
      </c>
      <c r="BA114" s="1509">
        <v>1</v>
      </c>
      <c r="BB114" s="1509">
        <v>1</v>
      </c>
      <c r="BC114" s="1509">
        <v>0.2</v>
      </c>
      <c r="BD114" s="1509">
        <v>1</v>
      </c>
      <c r="BE114" s="1509">
        <v>1</v>
      </c>
      <c r="BF114" s="1509">
        <v>0.2</v>
      </c>
      <c r="BG114" s="1509">
        <v>0.2</v>
      </c>
      <c r="BH114" s="1509">
        <v>1</v>
      </c>
      <c r="BI114" s="1509">
        <v>1</v>
      </c>
      <c r="BJ114" s="1509">
        <v>1</v>
      </c>
      <c r="BK114" s="1509">
        <v>1</v>
      </c>
      <c r="BL114" s="1509">
        <v>0</v>
      </c>
      <c r="BM114" s="1509">
        <v>0</v>
      </c>
      <c r="BN114" s="1509">
        <v>1</v>
      </c>
      <c r="BO114" s="1509">
        <v>1</v>
      </c>
      <c r="BP114" s="1509">
        <v>1</v>
      </c>
      <c r="BQ114" s="1509">
        <v>1</v>
      </c>
      <c r="BR114" s="1509">
        <v>0.2</v>
      </c>
      <c r="BS114" s="1509">
        <v>0</v>
      </c>
      <c r="BT114" s="1509">
        <v>1</v>
      </c>
      <c r="BU114" s="1509">
        <v>1</v>
      </c>
      <c r="BV114" s="1509">
        <v>1</v>
      </c>
      <c r="BW114" s="1509">
        <v>0</v>
      </c>
      <c r="BX114" s="1509">
        <v>1</v>
      </c>
      <c r="BY114" s="1509">
        <v>0</v>
      </c>
      <c r="BZ114" s="1509">
        <v>0</v>
      </c>
      <c r="CA114" s="1509">
        <v>0</v>
      </c>
      <c r="CB114" s="1509">
        <v>0</v>
      </c>
      <c r="CC114" s="1509">
        <v>1</v>
      </c>
      <c r="CD114" s="1509">
        <v>1</v>
      </c>
      <c r="CE114" s="1509">
        <v>1</v>
      </c>
      <c r="CF114" s="1509">
        <v>0.2</v>
      </c>
      <c r="CG114" s="1509">
        <v>1</v>
      </c>
      <c r="CH114" s="1509">
        <v>1</v>
      </c>
      <c r="CI114" s="1509">
        <v>1</v>
      </c>
      <c r="CJ114" s="1509">
        <v>1</v>
      </c>
      <c r="CK114" s="1509">
        <v>0.2</v>
      </c>
      <c r="CL114" s="1509">
        <v>0.2</v>
      </c>
      <c r="CM114" s="1509">
        <v>0.2</v>
      </c>
      <c r="CN114" s="1509">
        <v>1</v>
      </c>
      <c r="CO114" s="1509">
        <v>0</v>
      </c>
      <c r="CP114" s="1509">
        <v>0</v>
      </c>
      <c r="CQ114" s="1509">
        <v>1</v>
      </c>
      <c r="CR114" s="1509">
        <v>0.2</v>
      </c>
      <c r="CS114" s="1509">
        <v>1</v>
      </c>
      <c r="CT114" s="1509">
        <v>1</v>
      </c>
      <c r="CU114" s="1509">
        <v>0.2</v>
      </c>
      <c r="CV114" s="1509">
        <v>0.2</v>
      </c>
      <c r="CW114" s="1509">
        <v>0.2</v>
      </c>
      <c r="CX114" s="1509">
        <v>0.2</v>
      </c>
      <c r="CY114" s="1509">
        <v>1</v>
      </c>
      <c r="CZ114" s="1509">
        <v>1</v>
      </c>
      <c r="DA114" s="1509">
        <v>1</v>
      </c>
      <c r="DB114" s="1509">
        <v>1</v>
      </c>
      <c r="DC114" s="1509">
        <v>1</v>
      </c>
      <c r="DD114" s="1509">
        <v>1</v>
      </c>
      <c r="DE114" s="1509">
        <v>1</v>
      </c>
      <c r="DF114" s="1509">
        <v>1</v>
      </c>
      <c r="DG114" s="1509">
        <v>1</v>
      </c>
      <c r="DH114" s="1509">
        <v>0.2</v>
      </c>
      <c r="DI114" s="1509">
        <v>1</v>
      </c>
      <c r="DJ114" s="1509">
        <v>1</v>
      </c>
      <c r="DK114" s="1509">
        <v>1</v>
      </c>
      <c r="DL114" s="1509">
        <v>1</v>
      </c>
      <c r="DM114" s="1509">
        <v>0</v>
      </c>
      <c r="DN114" s="1509">
        <v>0.2</v>
      </c>
      <c r="DO114" s="1509">
        <v>1</v>
      </c>
      <c r="DP114" s="1509">
        <v>1</v>
      </c>
      <c r="DQ114" s="1509">
        <v>1</v>
      </c>
      <c r="DR114" s="1509">
        <v>1</v>
      </c>
      <c r="DS114" s="1509">
        <v>1</v>
      </c>
      <c r="DT114" s="1509">
        <v>1</v>
      </c>
      <c r="DU114" s="1509">
        <v>1</v>
      </c>
      <c r="DV114" s="1509">
        <v>0.2</v>
      </c>
      <c r="DW114" s="1509">
        <v>0.2</v>
      </c>
      <c r="DX114" s="1509">
        <v>1</v>
      </c>
      <c r="DY114" s="1509">
        <v>1</v>
      </c>
      <c r="DZ114" s="1509">
        <v>0.2</v>
      </c>
      <c r="EA114" s="1509">
        <v>0.2</v>
      </c>
      <c r="EB114" s="1509">
        <v>0.2</v>
      </c>
      <c r="EC114" s="1509">
        <v>0.2</v>
      </c>
      <c r="ED114" s="1509">
        <v>1</v>
      </c>
      <c r="EE114" s="1509">
        <v>0.2</v>
      </c>
      <c r="EF114" s="1509">
        <v>0.2</v>
      </c>
      <c r="EG114" s="1509">
        <v>0.2</v>
      </c>
      <c r="EH114" s="1509">
        <v>0.2</v>
      </c>
      <c r="EI114" s="1509">
        <v>0.2</v>
      </c>
      <c r="EJ114" s="1509">
        <v>0.2</v>
      </c>
      <c r="EK114" s="1509">
        <v>0.2</v>
      </c>
      <c r="EL114" s="1509">
        <v>1</v>
      </c>
      <c r="EM114" s="1509">
        <v>1</v>
      </c>
      <c r="EN114" s="1509">
        <v>1</v>
      </c>
      <c r="EO114" s="1509">
        <v>0.2</v>
      </c>
      <c r="EP114" s="1509">
        <v>0.2</v>
      </c>
      <c r="EQ114" s="1509">
        <v>1</v>
      </c>
      <c r="ER114" s="1509">
        <v>1</v>
      </c>
      <c r="ES114" s="1509">
        <v>1</v>
      </c>
      <c r="ET114" s="1509">
        <v>0.2</v>
      </c>
      <c r="EU114" s="1509">
        <v>0.2</v>
      </c>
      <c r="EV114" s="1509">
        <v>1</v>
      </c>
      <c r="EW114" s="1509">
        <v>0.2</v>
      </c>
      <c r="EX114" s="1509">
        <v>0.2</v>
      </c>
      <c r="EY114" s="1509">
        <v>1</v>
      </c>
      <c r="EZ114" s="1509">
        <v>0.2</v>
      </c>
      <c r="FA114" s="1509">
        <v>1</v>
      </c>
      <c r="FB114" s="1509">
        <v>1</v>
      </c>
      <c r="FC114" s="1509">
        <v>0.2</v>
      </c>
      <c r="FD114" s="1509">
        <v>0.2</v>
      </c>
      <c r="FE114" s="1509">
        <v>1</v>
      </c>
      <c r="FF114" s="1509">
        <v>0.2</v>
      </c>
      <c r="FG114" s="1509">
        <v>0.2</v>
      </c>
      <c r="FH114" s="1509">
        <v>0.2</v>
      </c>
      <c r="FI114" s="1509">
        <v>0.2</v>
      </c>
      <c r="FJ114" s="1509">
        <v>1</v>
      </c>
      <c r="FK114" s="1509">
        <v>0.2</v>
      </c>
      <c r="FL114" s="1509">
        <v>0.2</v>
      </c>
      <c r="FM114" s="1509">
        <v>1</v>
      </c>
      <c r="FN114" s="1509">
        <v>1</v>
      </c>
      <c r="FO114" s="1509">
        <v>1</v>
      </c>
      <c r="FP114" s="1509">
        <v>0.2</v>
      </c>
      <c r="FQ114" s="1509">
        <v>0.2</v>
      </c>
      <c r="FR114" s="1509">
        <v>0.2</v>
      </c>
      <c r="FS114" s="1509">
        <v>1</v>
      </c>
      <c r="FT114" s="1509">
        <v>0.2</v>
      </c>
      <c r="FU114" s="1509">
        <v>1</v>
      </c>
    </row>
    <row r="115" spans="1:177" s="1509" customFormat="1" x14ac:dyDescent="0.2">
      <c r="A115" s="1512" t="s">
        <v>669</v>
      </c>
      <c r="B115" s="1512" t="s">
        <v>1064</v>
      </c>
      <c r="C115" s="1509">
        <v>1</v>
      </c>
      <c r="D115" s="1509">
        <v>0.90836320800000003</v>
      </c>
      <c r="E115" s="1509">
        <v>0</v>
      </c>
      <c r="F115" s="1509">
        <v>1</v>
      </c>
      <c r="G115" s="1509">
        <v>0</v>
      </c>
      <c r="H115" s="1509">
        <v>0</v>
      </c>
      <c r="I115" s="1509">
        <v>1</v>
      </c>
      <c r="J115" s="1509">
        <v>1</v>
      </c>
      <c r="K115" s="1509">
        <v>1</v>
      </c>
      <c r="L115" s="1509">
        <v>1</v>
      </c>
      <c r="M115" s="1509">
        <v>1</v>
      </c>
      <c r="N115" s="1509">
        <v>1</v>
      </c>
      <c r="O115" s="1509">
        <v>1</v>
      </c>
      <c r="P115" s="1509">
        <v>1</v>
      </c>
      <c r="Q115" s="1509">
        <v>1</v>
      </c>
      <c r="R115" s="1509">
        <v>1</v>
      </c>
      <c r="S115" s="1509">
        <v>0.83462521700000003</v>
      </c>
      <c r="T115" s="1509">
        <v>1</v>
      </c>
      <c r="U115" s="1509">
        <v>0</v>
      </c>
      <c r="V115" s="1509">
        <v>0</v>
      </c>
      <c r="W115" s="1509">
        <v>0.82952351800000002</v>
      </c>
      <c r="X115" s="1509">
        <v>0.907442741</v>
      </c>
      <c r="Y115" s="1509">
        <v>0</v>
      </c>
      <c r="Z115" s="1509">
        <v>0</v>
      </c>
      <c r="AA115" s="1509">
        <v>0</v>
      </c>
      <c r="AB115" s="1509">
        <v>0.78265049799999997</v>
      </c>
      <c r="AC115" s="1509">
        <v>0.76660753800000003</v>
      </c>
      <c r="AD115" s="1509">
        <v>0</v>
      </c>
      <c r="AE115" s="1509">
        <v>1</v>
      </c>
      <c r="AF115" s="1509">
        <v>0.83749841599999997</v>
      </c>
      <c r="AG115" s="1509">
        <v>0.79482525999999998</v>
      </c>
      <c r="AH115" s="1509">
        <v>0</v>
      </c>
      <c r="AI115" s="1509">
        <v>0.86704652999999998</v>
      </c>
      <c r="AJ115" s="1509">
        <v>0.892566203</v>
      </c>
      <c r="AK115" s="1509">
        <v>1</v>
      </c>
      <c r="AL115" s="1509">
        <v>0</v>
      </c>
      <c r="AM115" s="1509">
        <v>0.72604119300000003</v>
      </c>
      <c r="AN115" s="1509">
        <v>0.83070129000000004</v>
      </c>
      <c r="AO115" s="1509">
        <v>0.60758471199999997</v>
      </c>
      <c r="AP115" s="1509">
        <v>0.654415203</v>
      </c>
      <c r="AQ115" s="1509">
        <v>1</v>
      </c>
      <c r="AR115" s="1509">
        <v>0.50290559099999999</v>
      </c>
      <c r="AS115" s="1509">
        <v>0</v>
      </c>
      <c r="AT115" s="1509">
        <v>1</v>
      </c>
      <c r="AU115" s="1509">
        <v>0.53096991400000004</v>
      </c>
      <c r="AV115" s="1509">
        <v>0</v>
      </c>
      <c r="AW115" s="1509">
        <v>0.88886570099999995</v>
      </c>
      <c r="AX115" s="1509">
        <v>1</v>
      </c>
      <c r="AY115" s="1509">
        <v>1</v>
      </c>
      <c r="AZ115" s="1509">
        <v>0.77130528600000003</v>
      </c>
      <c r="BA115" s="1509">
        <v>0</v>
      </c>
      <c r="BB115" s="1509">
        <v>1</v>
      </c>
      <c r="BC115" s="1509">
        <v>0</v>
      </c>
      <c r="BD115" s="1509">
        <v>0.57071040900000003</v>
      </c>
      <c r="BE115" s="1509">
        <v>1</v>
      </c>
      <c r="BF115" s="1509">
        <v>0</v>
      </c>
      <c r="BG115" s="1509">
        <v>0</v>
      </c>
      <c r="BH115" s="1509">
        <v>0</v>
      </c>
      <c r="BI115" s="1509">
        <v>1</v>
      </c>
      <c r="BJ115" s="1509">
        <v>0.89738095399999995</v>
      </c>
      <c r="BK115" s="1509">
        <v>0.85342585199999998</v>
      </c>
      <c r="BL115" s="1509">
        <v>1</v>
      </c>
      <c r="BM115" s="1509">
        <v>0.826419401</v>
      </c>
      <c r="BN115" s="1509">
        <v>0</v>
      </c>
      <c r="BO115" s="1509">
        <v>0.86358080400000004</v>
      </c>
      <c r="BP115" s="1509">
        <v>0.77416133099999995</v>
      </c>
      <c r="BQ115" s="1509">
        <v>0.79428490500000004</v>
      </c>
      <c r="BR115" s="1509">
        <v>0</v>
      </c>
      <c r="BS115" s="1509">
        <v>0.823672776</v>
      </c>
      <c r="BT115" s="1509">
        <v>0</v>
      </c>
      <c r="BU115" s="1509">
        <v>0</v>
      </c>
      <c r="BV115" s="1509">
        <v>0.80218171400000005</v>
      </c>
      <c r="BW115" s="1509">
        <v>1</v>
      </c>
      <c r="BX115" s="1509">
        <v>1</v>
      </c>
      <c r="BY115" s="1509">
        <v>1</v>
      </c>
      <c r="BZ115" s="1509">
        <v>1</v>
      </c>
      <c r="CA115" s="1509">
        <v>0.798989952</v>
      </c>
      <c r="CB115" s="1509">
        <v>1</v>
      </c>
      <c r="CC115" s="1509">
        <v>1</v>
      </c>
      <c r="CD115" s="1509">
        <v>0.75301559799999995</v>
      </c>
      <c r="CE115" s="1509">
        <v>0</v>
      </c>
      <c r="CF115" s="1509">
        <v>1</v>
      </c>
      <c r="CG115" s="1509">
        <v>0.78903414299999997</v>
      </c>
      <c r="CH115" s="1509">
        <v>0.78903041600000001</v>
      </c>
      <c r="CI115" s="1509">
        <v>0.77611033699999998</v>
      </c>
      <c r="CJ115" s="1509">
        <v>1</v>
      </c>
      <c r="CK115" s="1509">
        <v>0.863747441</v>
      </c>
      <c r="CL115" s="1509">
        <v>0</v>
      </c>
      <c r="CM115" s="1509">
        <v>0.44206346200000002</v>
      </c>
      <c r="CN115" s="1509">
        <v>0</v>
      </c>
      <c r="CO115" s="1509">
        <v>0</v>
      </c>
      <c r="CP115" s="1509">
        <v>0</v>
      </c>
      <c r="CQ115" s="1509">
        <v>0.788188208</v>
      </c>
      <c r="CR115" s="1509">
        <v>0.90434221999999997</v>
      </c>
      <c r="CS115" s="1509">
        <v>0.79767237300000005</v>
      </c>
      <c r="CT115" s="1509">
        <v>1</v>
      </c>
      <c r="CU115" s="1509">
        <v>0</v>
      </c>
      <c r="CV115" s="1509">
        <v>0.88319243599999997</v>
      </c>
      <c r="CW115" s="1509">
        <v>0.89729872499999996</v>
      </c>
      <c r="CX115" s="1509">
        <v>0.77099156800000002</v>
      </c>
      <c r="CY115" s="1509">
        <v>0.88090835000000001</v>
      </c>
      <c r="CZ115" s="1509">
        <v>1</v>
      </c>
      <c r="DA115" s="1509">
        <v>1</v>
      </c>
      <c r="DB115" s="1509">
        <v>0.40750006900000002</v>
      </c>
      <c r="DC115" s="1509">
        <v>0.41714879599999999</v>
      </c>
      <c r="DD115" s="1509">
        <v>0.41363515099999998</v>
      </c>
      <c r="DE115" s="1509">
        <v>0</v>
      </c>
      <c r="DF115" s="1509">
        <v>0.422134126</v>
      </c>
      <c r="DG115" s="1509">
        <v>0</v>
      </c>
      <c r="DH115" s="1509">
        <v>0</v>
      </c>
      <c r="DI115" s="1509">
        <v>0.41202549700000002</v>
      </c>
      <c r="DJ115" s="1509">
        <v>1</v>
      </c>
      <c r="DK115" s="1509">
        <v>1</v>
      </c>
      <c r="DL115" s="1509">
        <v>1</v>
      </c>
      <c r="DM115" s="1509">
        <v>0.75435089099999997</v>
      </c>
      <c r="DN115" s="1509">
        <v>1</v>
      </c>
      <c r="DO115" s="1509">
        <v>1</v>
      </c>
      <c r="DP115" s="1509">
        <v>1</v>
      </c>
      <c r="DQ115" s="1509">
        <v>0.54007461599999995</v>
      </c>
      <c r="DR115" s="1509">
        <v>0.54007461599999995</v>
      </c>
      <c r="DS115" s="1509">
        <v>1</v>
      </c>
      <c r="DT115" s="1509">
        <v>1</v>
      </c>
      <c r="DU115" s="1509">
        <v>0</v>
      </c>
      <c r="DV115" s="1509">
        <v>0.80485723399999998</v>
      </c>
      <c r="DW115" s="1509">
        <v>1</v>
      </c>
      <c r="DX115" s="1509">
        <v>0.53634295200000004</v>
      </c>
      <c r="DY115" s="1509">
        <v>0</v>
      </c>
      <c r="DZ115" s="1509">
        <v>0</v>
      </c>
      <c r="EA115" s="1509">
        <v>0</v>
      </c>
      <c r="EB115" s="1509">
        <v>1</v>
      </c>
      <c r="EC115" s="1509">
        <v>0</v>
      </c>
      <c r="ED115" s="1509">
        <v>0</v>
      </c>
      <c r="EE115" s="1509">
        <v>1</v>
      </c>
      <c r="EF115" s="1509">
        <v>0</v>
      </c>
      <c r="EG115" s="1509">
        <v>1</v>
      </c>
      <c r="EH115" s="1509">
        <v>0</v>
      </c>
      <c r="EI115" s="1509">
        <v>1</v>
      </c>
      <c r="EJ115" s="1509">
        <v>1</v>
      </c>
      <c r="EK115" s="1509">
        <v>1</v>
      </c>
      <c r="EL115" s="1509">
        <v>0.45751892500000002</v>
      </c>
      <c r="EM115" s="1509">
        <v>0</v>
      </c>
      <c r="EN115" s="1509">
        <v>0.48146138199999999</v>
      </c>
      <c r="EO115" s="1509">
        <v>0</v>
      </c>
      <c r="EP115" s="1509">
        <v>1</v>
      </c>
      <c r="EQ115" s="1509">
        <v>0</v>
      </c>
      <c r="ER115" s="1509">
        <v>1</v>
      </c>
      <c r="ES115" s="1509">
        <v>1</v>
      </c>
      <c r="ET115" s="1509">
        <v>1</v>
      </c>
      <c r="EU115" s="1509">
        <v>1</v>
      </c>
      <c r="EV115" s="1509">
        <v>0</v>
      </c>
      <c r="EW115" s="1509">
        <v>0.86512053099999997</v>
      </c>
      <c r="EX115" s="1509">
        <v>1</v>
      </c>
      <c r="EY115" s="1509">
        <v>1</v>
      </c>
      <c r="EZ115" s="1509">
        <v>1</v>
      </c>
      <c r="FA115" s="1509">
        <v>0.70810052700000004</v>
      </c>
      <c r="FB115" s="1509">
        <v>0.64344628199999998</v>
      </c>
      <c r="FC115" s="1509">
        <v>0.85081346499999999</v>
      </c>
      <c r="FD115" s="1509">
        <v>0.85087950999999995</v>
      </c>
      <c r="FE115" s="1509">
        <v>1</v>
      </c>
      <c r="FF115" s="1509">
        <v>1</v>
      </c>
      <c r="FG115" s="1509">
        <v>1</v>
      </c>
      <c r="FH115" s="1509">
        <v>1</v>
      </c>
      <c r="FI115" s="1509">
        <v>0.79303601000000001</v>
      </c>
      <c r="FJ115" s="1509">
        <v>0.76603812999999998</v>
      </c>
      <c r="FK115" s="1509">
        <v>1</v>
      </c>
      <c r="FL115" s="1509">
        <v>0.40546730600000003</v>
      </c>
      <c r="FM115" s="1509">
        <v>0.90836320800000003</v>
      </c>
      <c r="FN115" s="1509">
        <v>1</v>
      </c>
      <c r="FO115" s="1509">
        <v>0.454118894</v>
      </c>
      <c r="FP115" s="1509">
        <v>0.88733472199999996</v>
      </c>
      <c r="FQ115" s="1509">
        <v>1</v>
      </c>
      <c r="FR115" s="1509">
        <v>0.890661119</v>
      </c>
      <c r="FS115" s="1509">
        <v>0</v>
      </c>
      <c r="FT115" s="1509">
        <v>1</v>
      </c>
      <c r="FU115" s="1509">
        <v>0.78268776399999995</v>
      </c>
    </row>
    <row r="116" spans="1:177" s="1509" customFormat="1" x14ac:dyDescent="0.2">
      <c r="A116" s="1512" t="s">
        <v>669</v>
      </c>
      <c r="B116" s="1512" t="s">
        <v>1065</v>
      </c>
      <c r="C116" s="1509">
        <v>0.18663869199999999</v>
      </c>
      <c r="D116" s="1509">
        <v>0.18663869199999999</v>
      </c>
      <c r="E116" s="1509">
        <v>0.467649492</v>
      </c>
      <c r="F116" s="1509">
        <v>0.83200140899999997</v>
      </c>
      <c r="G116" s="1509">
        <v>0.79598422899999999</v>
      </c>
      <c r="H116" s="1509">
        <v>0.84979615600000002</v>
      </c>
      <c r="I116" s="1509">
        <v>0.968081776</v>
      </c>
      <c r="J116" s="1509">
        <v>0.96258878599999997</v>
      </c>
      <c r="K116" s="1509">
        <v>0.467649492</v>
      </c>
      <c r="L116" s="1509">
        <v>8.7228238999999999E-2</v>
      </c>
      <c r="M116" s="1509">
        <v>5.4363462000000001E-2</v>
      </c>
      <c r="N116" s="1509">
        <v>0.88723345600000003</v>
      </c>
      <c r="O116" s="1509">
        <v>0.95526976799999996</v>
      </c>
      <c r="P116" s="1509">
        <v>0.11600867500000001</v>
      </c>
      <c r="Q116" s="1509">
        <v>0.58117311800000004</v>
      </c>
      <c r="R116" s="1509">
        <v>3.8171469E-2</v>
      </c>
      <c r="S116" s="1509">
        <v>0.72381140499999996</v>
      </c>
      <c r="T116" s="1509">
        <v>0.72381140499999996</v>
      </c>
      <c r="U116" s="1509">
        <v>0.72381140499999996</v>
      </c>
      <c r="V116" s="1509">
        <v>0.72381140499999996</v>
      </c>
      <c r="W116" s="1509">
        <v>4.1823494000000003E-2</v>
      </c>
      <c r="X116" s="1509">
        <v>0.54604944399999999</v>
      </c>
      <c r="Y116" s="1509">
        <v>0.467649492</v>
      </c>
      <c r="Z116" s="1509">
        <v>0.467649492</v>
      </c>
      <c r="AA116" s="1509">
        <v>0.467649492</v>
      </c>
      <c r="AB116" s="1509">
        <v>0.326676405</v>
      </c>
      <c r="AC116" s="1509">
        <v>0.326676405</v>
      </c>
      <c r="AD116" s="1509">
        <v>0.25678798000000003</v>
      </c>
      <c r="AE116" s="1509">
        <v>5.6716373E-2</v>
      </c>
      <c r="AF116" s="1509">
        <v>0.99929194799999999</v>
      </c>
      <c r="AG116" s="1509">
        <v>0.18663869199999999</v>
      </c>
      <c r="AH116" s="1509">
        <v>0.91359906400000002</v>
      </c>
      <c r="AI116" s="1509">
        <v>0.18663869199999999</v>
      </c>
      <c r="AJ116" s="1509">
        <v>0.72381140499999996</v>
      </c>
      <c r="AK116" s="1509">
        <v>9.1471284E-2</v>
      </c>
      <c r="AL116" s="1509">
        <v>0.86545620000000001</v>
      </c>
      <c r="AM116" s="1509">
        <v>0.92872968199999995</v>
      </c>
      <c r="AN116" s="1509">
        <v>0.95323491500000002</v>
      </c>
      <c r="AO116" s="1509">
        <v>0.92291994399999999</v>
      </c>
      <c r="AP116" s="1509">
        <v>0.62163598499999995</v>
      </c>
      <c r="AQ116" s="1509">
        <v>0.18663869199999999</v>
      </c>
      <c r="AR116" s="1509">
        <v>0.95700801000000002</v>
      </c>
      <c r="AS116" s="1509">
        <v>0.99091426199999999</v>
      </c>
      <c r="AT116" s="1509">
        <v>0.99940812000000001</v>
      </c>
      <c r="AU116" s="1509">
        <v>0.94271065499999995</v>
      </c>
      <c r="AV116" s="1509">
        <v>0.98411355700000003</v>
      </c>
      <c r="AW116" s="1509">
        <v>0.79598422899999999</v>
      </c>
      <c r="AX116" s="1509">
        <v>0.64191488500000005</v>
      </c>
      <c r="AY116" s="1509">
        <v>0.97567862100000002</v>
      </c>
      <c r="AZ116" s="1509">
        <v>0.67417387699999998</v>
      </c>
      <c r="BA116" s="1509">
        <v>0.94858882099999997</v>
      </c>
      <c r="BB116" s="1509">
        <v>0.575616978</v>
      </c>
      <c r="BC116" s="1509">
        <v>0.98701707999999999</v>
      </c>
      <c r="BD116" s="1509">
        <v>0.96015189000000001</v>
      </c>
      <c r="BE116" s="1509">
        <v>0.46049184300000001</v>
      </c>
      <c r="BF116" s="1509">
        <v>0.98781650200000004</v>
      </c>
      <c r="BG116" s="1509">
        <v>0.59705872100000001</v>
      </c>
      <c r="BH116" s="1509">
        <v>0.99929194799999999</v>
      </c>
      <c r="BI116" s="1509">
        <v>0.79598422899999999</v>
      </c>
      <c r="BJ116" s="1509">
        <v>0.326676405</v>
      </c>
      <c r="BK116" s="1509">
        <v>0.91359906400000002</v>
      </c>
      <c r="BL116" s="1509">
        <v>0.54604944399999999</v>
      </c>
      <c r="BM116" s="1509">
        <v>0.14051904800000001</v>
      </c>
      <c r="BN116" s="1509">
        <v>0.54604944399999999</v>
      </c>
      <c r="BO116" s="1509">
        <v>0.72381140499999996</v>
      </c>
      <c r="BP116" s="1509">
        <v>0.99291948299999999</v>
      </c>
      <c r="BQ116" s="1509">
        <v>0.326676405</v>
      </c>
      <c r="BR116" s="1509">
        <v>0.99369461400000003</v>
      </c>
      <c r="BS116" s="1509">
        <v>0.11600867500000001</v>
      </c>
      <c r="BT116" s="1509">
        <v>0.99925148100000005</v>
      </c>
      <c r="BU116" s="1509">
        <v>0.93820861700000002</v>
      </c>
      <c r="BV116" s="1509">
        <v>0.35781982699999998</v>
      </c>
      <c r="BW116" s="1509">
        <v>0.30084369599999999</v>
      </c>
      <c r="BX116" s="1509">
        <v>0.95767215999999999</v>
      </c>
      <c r="BY116" s="1509">
        <v>0.95767215999999999</v>
      </c>
      <c r="BZ116" s="1509">
        <v>0.71328610199999998</v>
      </c>
      <c r="CA116" s="1509">
        <v>0.83893683799999996</v>
      </c>
      <c r="CB116" s="1509">
        <v>0.30084369599999999</v>
      </c>
      <c r="CC116" s="1509">
        <v>0.43306005800000003</v>
      </c>
      <c r="CD116" s="1509">
        <v>3.1688959000000003E-2</v>
      </c>
      <c r="CE116" s="1509">
        <v>0.43306005800000003</v>
      </c>
      <c r="CF116" s="1509">
        <v>0.63656165799999997</v>
      </c>
      <c r="CG116" s="1509">
        <v>0.98411355700000003</v>
      </c>
      <c r="CH116" s="1509">
        <v>0.968081776</v>
      </c>
      <c r="CI116" s="1509">
        <v>0.18663869199999999</v>
      </c>
      <c r="CJ116" s="1509">
        <v>0.95606300799999999</v>
      </c>
      <c r="CK116" s="1509">
        <v>0.98654866500000005</v>
      </c>
      <c r="CL116" s="1509">
        <v>0.98853004</v>
      </c>
      <c r="CM116" s="1509">
        <v>0.97259533200000003</v>
      </c>
      <c r="CN116" s="1509">
        <v>0.98008250500000005</v>
      </c>
      <c r="CO116" s="1509">
        <v>0.98008250500000005</v>
      </c>
      <c r="CP116" s="1509">
        <v>0.99981350700000005</v>
      </c>
      <c r="CQ116" s="1509">
        <v>0.93193760199999998</v>
      </c>
      <c r="CR116" s="1509">
        <v>0.98411355700000003</v>
      </c>
      <c r="CS116" s="1509">
        <v>0.84979615600000002</v>
      </c>
      <c r="CT116" s="1509">
        <v>0.95526976799999996</v>
      </c>
      <c r="CU116" s="1509">
        <v>0.72381140499999996</v>
      </c>
      <c r="CV116" s="1509">
        <v>0.575616978</v>
      </c>
      <c r="CW116" s="1509">
        <v>0.67417387699999998</v>
      </c>
      <c r="CX116" s="1509">
        <v>0.575616978</v>
      </c>
      <c r="CY116" s="1509">
        <v>0.96730180700000001</v>
      </c>
      <c r="CZ116" s="1509">
        <v>0.93190073799999995</v>
      </c>
      <c r="DA116" s="1509">
        <v>0.94642515699999996</v>
      </c>
      <c r="DB116" s="1509">
        <v>0.72999199800000003</v>
      </c>
      <c r="DC116" s="1509">
        <v>0.88200774500000001</v>
      </c>
      <c r="DD116" s="1509">
        <v>0.99575051299999995</v>
      </c>
      <c r="DE116" s="1509">
        <v>0.68852730399999995</v>
      </c>
      <c r="DF116" s="1509">
        <v>0.85533347400000004</v>
      </c>
      <c r="DG116" s="1509">
        <v>0.82741747099999996</v>
      </c>
      <c r="DH116" s="1509">
        <v>0.55754743900000003</v>
      </c>
      <c r="DI116" s="1509">
        <v>0.82741747099999996</v>
      </c>
      <c r="DJ116" s="1509">
        <v>0.97259533200000003</v>
      </c>
      <c r="DK116" s="1509">
        <v>0.76207045399999995</v>
      </c>
      <c r="DL116" s="1509">
        <v>0</v>
      </c>
      <c r="DM116" s="1509">
        <v>0.14051904800000001</v>
      </c>
      <c r="DN116" s="1509">
        <v>0.97893371900000004</v>
      </c>
      <c r="DO116" s="1509">
        <v>0.90537282900000005</v>
      </c>
      <c r="DP116" s="1509">
        <v>0.97728749999999998</v>
      </c>
      <c r="DQ116" s="1509">
        <v>0.66184704299999997</v>
      </c>
      <c r="DR116" s="1509">
        <v>0.71328610199999998</v>
      </c>
      <c r="DS116" s="1509">
        <v>0.71328610199999998</v>
      </c>
      <c r="DT116" s="1509">
        <v>0.82451070900000001</v>
      </c>
      <c r="DU116" s="1509">
        <v>0.97285180900000001</v>
      </c>
      <c r="DV116" s="1509">
        <v>0.326676405</v>
      </c>
      <c r="DW116" s="1509">
        <v>0.804706433</v>
      </c>
      <c r="DX116" s="1509">
        <v>0.94806831999999996</v>
      </c>
      <c r="DY116" s="1509">
        <v>0.99948264099999995</v>
      </c>
      <c r="DZ116" s="1509">
        <v>0.99653327599999997</v>
      </c>
      <c r="EA116" s="1509">
        <v>0.28261563499999998</v>
      </c>
      <c r="EB116" s="1509">
        <v>0.968081776</v>
      </c>
      <c r="EC116" s="1509">
        <v>0.99214435300000003</v>
      </c>
      <c r="ED116" s="1509">
        <v>0.638073801</v>
      </c>
      <c r="EE116" s="1509">
        <v>0.19524367200000001</v>
      </c>
      <c r="EF116" s="1509">
        <v>0.49701142599999998</v>
      </c>
      <c r="EG116" s="1509">
        <v>0.95767215999999999</v>
      </c>
      <c r="EH116" s="1509">
        <v>0.35781982699999998</v>
      </c>
      <c r="EI116" s="1509">
        <v>0.89683184999999999</v>
      </c>
      <c r="EJ116" s="1509">
        <v>0.63656165799999997</v>
      </c>
      <c r="EK116" s="1509">
        <v>0.91359906400000002</v>
      </c>
      <c r="EL116" s="1509">
        <v>0.92620425100000003</v>
      </c>
      <c r="EM116" s="1509">
        <v>0.98410581399999997</v>
      </c>
      <c r="EN116" s="1509">
        <v>0.76398789499999997</v>
      </c>
      <c r="EO116" s="1509">
        <v>0.99944811899999997</v>
      </c>
      <c r="EP116" s="1509">
        <v>0.89487685100000003</v>
      </c>
      <c r="EQ116" s="1509">
        <v>2.1237868999999999E-2</v>
      </c>
      <c r="ER116" s="1509">
        <v>0.28261563499999998</v>
      </c>
      <c r="ES116" s="1509">
        <v>0.12462849199999999</v>
      </c>
      <c r="ET116" s="1509">
        <v>0.71064429699999998</v>
      </c>
      <c r="EU116" s="1509">
        <v>0.71328610199999998</v>
      </c>
      <c r="EV116" s="1509">
        <v>0.18663869199999999</v>
      </c>
      <c r="EW116" s="1509">
        <v>0.31008460500000001</v>
      </c>
      <c r="EX116" s="1509">
        <v>0.94858882099999997</v>
      </c>
      <c r="EY116" s="1509">
        <v>0.97167183999999995</v>
      </c>
      <c r="EZ116" s="1509">
        <v>0.95767215999999999</v>
      </c>
      <c r="FA116" s="1509">
        <v>0.736253571</v>
      </c>
      <c r="FB116" s="1509">
        <v>0.36909570200000003</v>
      </c>
      <c r="FC116" s="1509">
        <v>0.204411862</v>
      </c>
      <c r="FD116" s="1509">
        <v>0.67417387699999998</v>
      </c>
      <c r="FE116" s="1509">
        <v>0.92488937299999996</v>
      </c>
      <c r="FF116" s="1509">
        <v>0.256706773</v>
      </c>
      <c r="FG116" s="1509">
        <v>0.50310433300000001</v>
      </c>
      <c r="FH116" s="1509">
        <v>0.96633000300000005</v>
      </c>
      <c r="FI116" s="1509">
        <v>0.97648909500000003</v>
      </c>
      <c r="FJ116" s="1509">
        <v>0.28261563499999998</v>
      </c>
      <c r="FK116" s="1509">
        <v>0.79629761099999996</v>
      </c>
      <c r="FL116" s="1509">
        <v>0.59046716799999999</v>
      </c>
      <c r="FM116" s="1509">
        <v>0.79598422899999999</v>
      </c>
      <c r="FN116" s="1509">
        <v>0.326676405</v>
      </c>
      <c r="FO116" s="1509">
        <v>0.97259533200000003</v>
      </c>
      <c r="FP116" s="1509">
        <v>0.76975893900000003</v>
      </c>
      <c r="FQ116" s="1509">
        <v>0.97259533200000003</v>
      </c>
      <c r="FR116" s="1509">
        <v>0.204411862</v>
      </c>
      <c r="FS116" s="1509">
        <v>0.89785723399999995</v>
      </c>
      <c r="FT116" s="1509">
        <v>0.82741747099999996</v>
      </c>
      <c r="FU116" s="1509">
        <v>0.93193760199999998</v>
      </c>
    </row>
    <row r="117" spans="1:177" s="1509" customFormat="1" x14ac:dyDescent="0.2">
      <c r="A117" s="1512" t="s">
        <v>669</v>
      </c>
      <c r="B117" s="1512" t="s">
        <v>1074</v>
      </c>
      <c r="C117" s="1509" t="s">
        <v>2372</v>
      </c>
      <c r="D117" s="1509" t="s">
        <v>2372</v>
      </c>
      <c r="E117" s="1509" t="s">
        <v>2372</v>
      </c>
      <c r="F117" s="1509" t="s">
        <v>2372</v>
      </c>
      <c r="G117" s="1509" t="s">
        <v>2372</v>
      </c>
      <c r="H117" s="1509" t="s">
        <v>2372</v>
      </c>
      <c r="I117" s="1509" t="s">
        <v>2372</v>
      </c>
      <c r="J117" s="1509" t="s">
        <v>2372</v>
      </c>
      <c r="K117" s="1509" t="s">
        <v>2372</v>
      </c>
      <c r="L117" s="1509" t="s">
        <v>2372</v>
      </c>
      <c r="M117" s="1509" t="s">
        <v>2372</v>
      </c>
      <c r="N117" s="1509" t="s">
        <v>2372</v>
      </c>
      <c r="O117" s="1509" t="s">
        <v>2372</v>
      </c>
      <c r="P117" s="1509" t="s">
        <v>2372</v>
      </c>
      <c r="Q117" s="1509" t="s">
        <v>2372</v>
      </c>
      <c r="R117" s="1509" t="s">
        <v>2372</v>
      </c>
      <c r="S117" s="1509" t="s">
        <v>2372</v>
      </c>
      <c r="T117" s="1509" t="s">
        <v>2372</v>
      </c>
      <c r="U117" s="1509" t="s">
        <v>2372</v>
      </c>
      <c r="V117" s="1509" t="s">
        <v>2372</v>
      </c>
      <c r="W117" s="1509" t="s">
        <v>2372</v>
      </c>
      <c r="X117" s="1509" t="s">
        <v>2372</v>
      </c>
      <c r="Y117" s="1509" t="s">
        <v>2372</v>
      </c>
      <c r="Z117" s="1509" t="s">
        <v>2372</v>
      </c>
      <c r="AA117" s="1509" t="s">
        <v>2372</v>
      </c>
      <c r="AB117" s="1509" t="s">
        <v>2372</v>
      </c>
      <c r="AC117" s="1509" t="s">
        <v>2372</v>
      </c>
      <c r="AD117" s="1509" t="s">
        <v>2372</v>
      </c>
      <c r="AE117" s="1509" t="s">
        <v>2372</v>
      </c>
      <c r="AF117" s="1509" t="s">
        <v>2372</v>
      </c>
      <c r="AG117" s="1509" t="s">
        <v>2372</v>
      </c>
      <c r="AH117" s="1509" t="s">
        <v>2372</v>
      </c>
      <c r="AI117" s="1509" t="s">
        <v>2372</v>
      </c>
      <c r="AJ117" s="1509" t="s">
        <v>2372</v>
      </c>
      <c r="AK117" s="1509" t="s">
        <v>2372</v>
      </c>
      <c r="AL117" s="1509" t="s">
        <v>2372</v>
      </c>
      <c r="AM117" s="1509" t="s">
        <v>2372</v>
      </c>
      <c r="AN117" s="1509" t="s">
        <v>2372</v>
      </c>
      <c r="AO117" s="1509" t="s">
        <v>2372</v>
      </c>
      <c r="AP117" s="1509" t="s">
        <v>2372</v>
      </c>
      <c r="AQ117" s="1509" t="s">
        <v>2372</v>
      </c>
      <c r="AR117" s="1509" t="s">
        <v>2372</v>
      </c>
      <c r="AS117" s="1509" t="s">
        <v>2372</v>
      </c>
      <c r="AT117" s="1509" t="s">
        <v>2372</v>
      </c>
      <c r="AU117" s="1509" t="s">
        <v>2372</v>
      </c>
      <c r="AV117" s="1509" t="s">
        <v>2372</v>
      </c>
      <c r="AW117" s="1509" t="s">
        <v>2372</v>
      </c>
      <c r="AX117" s="1509" t="s">
        <v>2372</v>
      </c>
      <c r="AY117" s="1509" t="s">
        <v>2372</v>
      </c>
      <c r="AZ117" s="1509" t="s">
        <v>2372</v>
      </c>
      <c r="BA117" s="1509" t="s">
        <v>2372</v>
      </c>
      <c r="BB117" s="1509" t="s">
        <v>2372</v>
      </c>
      <c r="BC117" s="1509" t="s">
        <v>2372</v>
      </c>
      <c r="BD117" s="1509" t="s">
        <v>2372</v>
      </c>
      <c r="BE117" s="1509">
        <v>1</v>
      </c>
      <c r="BF117" s="1509" t="s">
        <v>2372</v>
      </c>
      <c r="BG117" s="1509">
        <v>1</v>
      </c>
      <c r="BH117" s="1509" t="s">
        <v>2372</v>
      </c>
      <c r="BI117" s="1509" t="s">
        <v>2372</v>
      </c>
      <c r="BJ117" s="1509" t="s">
        <v>2372</v>
      </c>
      <c r="BK117" s="1509" t="s">
        <v>2372</v>
      </c>
      <c r="BL117" s="1509" t="s">
        <v>2372</v>
      </c>
      <c r="BM117" s="1509" t="s">
        <v>2372</v>
      </c>
      <c r="BN117" s="1509" t="s">
        <v>2372</v>
      </c>
      <c r="BO117" s="1509" t="s">
        <v>2372</v>
      </c>
      <c r="BP117" s="1509" t="s">
        <v>2372</v>
      </c>
      <c r="BQ117" s="1509" t="s">
        <v>2372</v>
      </c>
      <c r="BR117" s="1509" t="s">
        <v>2372</v>
      </c>
      <c r="BS117" s="1509" t="s">
        <v>2372</v>
      </c>
      <c r="BT117" s="1509" t="s">
        <v>2372</v>
      </c>
      <c r="BU117" s="1509" t="s">
        <v>2372</v>
      </c>
      <c r="BV117" s="1509" t="s">
        <v>2372</v>
      </c>
      <c r="BW117" s="1509" t="s">
        <v>2372</v>
      </c>
      <c r="BX117" s="1509" t="s">
        <v>2372</v>
      </c>
      <c r="BY117" s="1509" t="s">
        <v>2372</v>
      </c>
      <c r="BZ117" s="1509" t="s">
        <v>2372</v>
      </c>
      <c r="CA117" s="1509" t="s">
        <v>2372</v>
      </c>
      <c r="CB117" s="1509" t="s">
        <v>2372</v>
      </c>
      <c r="CC117" s="1509" t="s">
        <v>2372</v>
      </c>
      <c r="CD117" s="1509" t="s">
        <v>2372</v>
      </c>
      <c r="CE117" s="1509" t="s">
        <v>2372</v>
      </c>
      <c r="CF117" s="1509" t="s">
        <v>2372</v>
      </c>
      <c r="CG117" s="1509" t="s">
        <v>2372</v>
      </c>
      <c r="CH117" s="1509" t="s">
        <v>2372</v>
      </c>
      <c r="CI117" s="1509" t="s">
        <v>2372</v>
      </c>
      <c r="CJ117" s="1509" t="s">
        <v>2372</v>
      </c>
      <c r="CK117" s="1509" t="s">
        <v>2372</v>
      </c>
      <c r="CL117" s="1509" t="s">
        <v>2372</v>
      </c>
      <c r="CM117" s="1509" t="s">
        <v>2372</v>
      </c>
      <c r="CN117" s="1509" t="s">
        <v>2372</v>
      </c>
      <c r="CO117" s="1509" t="s">
        <v>2372</v>
      </c>
      <c r="CP117" s="1509" t="s">
        <v>2372</v>
      </c>
      <c r="CQ117" s="1509" t="s">
        <v>2372</v>
      </c>
      <c r="CR117" s="1509" t="s">
        <v>2372</v>
      </c>
      <c r="CS117" s="1509" t="s">
        <v>2372</v>
      </c>
      <c r="CT117" s="1509" t="s">
        <v>2372</v>
      </c>
      <c r="CU117" s="1509" t="s">
        <v>2372</v>
      </c>
      <c r="CV117" s="1509" t="s">
        <v>2372</v>
      </c>
      <c r="CW117" s="1509" t="s">
        <v>2372</v>
      </c>
      <c r="CX117" s="1509" t="s">
        <v>2372</v>
      </c>
      <c r="CY117" s="1509" t="s">
        <v>2372</v>
      </c>
      <c r="CZ117" s="1509" t="s">
        <v>2372</v>
      </c>
      <c r="DA117" s="1509" t="s">
        <v>2372</v>
      </c>
      <c r="DB117" s="1509" t="s">
        <v>2372</v>
      </c>
      <c r="DC117" s="1509" t="s">
        <v>2372</v>
      </c>
      <c r="DD117" s="1509" t="s">
        <v>2372</v>
      </c>
      <c r="DE117" s="1509" t="s">
        <v>2372</v>
      </c>
      <c r="DF117" s="1509" t="s">
        <v>2372</v>
      </c>
      <c r="DG117" s="1509" t="s">
        <v>2372</v>
      </c>
      <c r="DH117" s="1509" t="s">
        <v>2372</v>
      </c>
      <c r="DI117" s="1509" t="s">
        <v>2372</v>
      </c>
      <c r="DJ117" s="1509" t="s">
        <v>2372</v>
      </c>
      <c r="DK117" s="1509" t="s">
        <v>2372</v>
      </c>
      <c r="DL117" s="1509" t="s">
        <v>2372</v>
      </c>
      <c r="DM117" s="1509" t="s">
        <v>2372</v>
      </c>
      <c r="DN117" s="1509" t="s">
        <v>2372</v>
      </c>
      <c r="DO117" s="1509" t="s">
        <v>2372</v>
      </c>
      <c r="DP117" s="1509" t="s">
        <v>2372</v>
      </c>
      <c r="DQ117" s="1509" t="s">
        <v>2372</v>
      </c>
      <c r="DR117" s="1509" t="s">
        <v>2372</v>
      </c>
      <c r="DS117" s="1509" t="s">
        <v>2372</v>
      </c>
      <c r="DT117" s="1509" t="s">
        <v>2372</v>
      </c>
      <c r="DU117" s="1509" t="s">
        <v>2372</v>
      </c>
      <c r="DV117" s="1509" t="s">
        <v>2372</v>
      </c>
      <c r="DW117" s="1509" t="s">
        <v>2372</v>
      </c>
      <c r="DX117" s="1509" t="s">
        <v>2372</v>
      </c>
      <c r="DY117" s="1509" t="s">
        <v>2372</v>
      </c>
      <c r="DZ117" s="1509" t="s">
        <v>2372</v>
      </c>
      <c r="EA117" s="1509" t="s">
        <v>2372</v>
      </c>
      <c r="EB117" s="1509" t="s">
        <v>2372</v>
      </c>
      <c r="EC117" s="1509" t="s">
        <v>2372</v>
      </c>
      <c r="ED117" s="1509" t="s">
        <v>2372</v>
      </c>
      <c r="EE117" s="1509" t="s">
        <v>2372</v>
      </c>
      <c r="EF117" s="1509" t="s">
        <v>2372</v>
      </c>
      <c r="EG117" s="1509" t="s">
        <v>2372</v>
      </c>
      <c r="EH117" s="1509" t="s">
        <v>2372</v>
      </c>
      <c r="EI117" s="1509" t="s">
        <v>2372</v>
      </c>
      <c r="EJ117" s="1509" t="s">
        <v>2372</v>
      </c>
      <c r="EK117" s="1509" t="s">
        <v>2372</v>
      </c>
      <c r="EL117" s="1509" t="s">
        <v>2372</v>
      </c>
      <c r="EM117" s="1509" t="s">
        <v>2372</v>
      </c>
      <c r="EN117" s="1509" t="s">
        <v>2372</v>
      </c>
      <c r="EO117" s="1509" t="s">
        <v>2372</v>
      </c>
      <c r="EP117" s="1509" t="s">
        <v>2372</v>
      </c>
      <c r="EQ117" s="1509" t="s">
        <v>2372</v>
      </c>
      <c r="ER117" s="1509" t="s">
        <v>2372</v>
      </c>
      <c r="ES117" s="1509" t="s">
        <v>2372</v>
      </c>
      <c r="ET117" s="1509" t="s">
        <v>2372</v>
      </c>
      <c r="EU117" s="1509" t="s">
        <v>2372</v>
      </c>
      <c r="EV117" s="1509" t="s">
        <v>2372</v>
      </c>
      <c r="EW117" s="1509" t="s">
        <v>2372</v>
      </c>
      <c r="EX117" s="1509" t="s">
        <v>2372</v>
      </c>
      <c r="EY117" s="1509" t="s">
        <v>2372</v>
      </c>
      <c r="EZ117" s="1509" t="s">
        <v>2372</v>
      </c>
      <c r="FA117" s="1509" t="s">
        <v>2372</v>
      </c>
      <c r="FB117" s="1509" t="s">
        <v>2372</v>
      </c>
      <c r="FC117" s="1509" t="s">
        <v>2372</v>
      </c>
      <c r="FD117" s="1509" t="s">
        <v>2372</v>
      </c>
      <c r="FE117" s="1509" t="s">
        <v>2372</v>
      </c>
      <c r="FF117" s="1509" t="s">
        <v>2372</v>
      </c>
      <c r="FG117" s="1509" t="s">
        <v>2372</v>
      </c>
      <c r="FH117" s="1509" t="s">
        <v>2372</v>
      </c>
      <c r="FI117" s="1509" t="s">
        <v>2372</v>
      </c>
      <c r="FJ117" s="1509" t="s">
        <v>2372</v>
      </c>
      <c r="FK117" s="1509" t="s">
        <v>2372</v>
      </c>
      <c r="FL117" s="1509" t="s">
        <v>2372</v>
      </c>
      <c r="FM117" s="1509" t="s">
        <v>2372</v>
      </c>
      <c r="FN117" s="1509" t="s">
        <v>2372</v>
      </c>
      <c r="FO117" s="1509" t="s">
        <v>2372</v>
      </c>
      <c r="FP117" s="1509" t="s">
        <v>2372</v>
      </c>
      <c r="FQ117" s="1509" t="s">
        <v>2372</v>
      </c>
      <c r="FR117" s="1509" t="s">
        <v>2372</v>
      </c>
      <c r="FS117" s="1509" t="s">
        <v>2372</v>
      </c>
      <c r="FT117" s="1509" t="s">
        <v>2372</v>
      </c>
      <c r="FU117" s="1509" t="s">
        <v>2372</v>
      </c>
    </row>
    <row r="118" spans="1:177" s="1509" customFormat="1" x14ac:dyDescent="0.2">
      <c r="A118" s="1512" t="s">
        <v>669</v>
      </c>
      <c r="B118" s="1512" t="s">
        <v>1027</v>
      </c>
      <c r="C118" s="1509" t="s">
        <v>2372</v>
      </c>
      <c r="D118" s="1509" t="s">
        <v>2372</v>
      </c>
      <c r="E118" s="1509" t="s">
        <v>2372</v>
      </c>
      <c r="F118" s="1509" t="s">
        <v>2372</v>
      </c>
      <c r="G118" s="1509" t="s">
        <v>2372</v>
      </c>
      <c r="H118" s="1509" t="s">
        <v>2372</v>
      </c>
      <c r="I118" s="1509" t="s">
        <v>2372</v>
      </c>
      <c r="J118" s="1509" t="s">
        <v>2372</v>
      </c>
      <c r="K118" s="1509" t="s">
        <v>2372</v>
      </c>
      <c r="L118" s="1509" t="s">
        <v>2372</v>
      </c>
      <c r="M118" s="1509" t="s">
        <v>2372</v>
      </c>
      <c r="N118" s="1509" t="s">
        <v>2372</v>
      </c>
      <c r="O118" s="1509" t="s">
        <v>2372</v>
      </c>
      <c r="P118" s="1509" t="s">
        <v>2372</v>
      </c>
      <c r="Q118" s="1509" t="s">
        <v>2372</v>
      </c>
      <c r="R118" s="1509" t="s">
        <v>2372</v>
      </c>
      <c r="S118" s="1509" t="s">
        <v>2372</v>
      </c>
      <c r="T118" s="1509" t="s">
        <v>2372</v>
      </c>
      <c r="U118" s="1509" t="s">
        <v>2372</v>
      </c>
      <c r="V118" s="1509" t="s">
        <v>2372</v>
      </c>
      <c r="W118" s="1509" t="s">
        <v>2372</v>
      </c>
      <c r="X118" s="1509" t="s">
        <v>2372</v>
      </c>
      <c r="Y118" s="1509" t="s">
        <v>2372</v>
      </c>
      <c r="Z118" s="1509" t="s">
        <v>2372</v>
      </c>
      <c r="AA118" s="1509" t="s">
        <v>2372</v>
      </c>
      <c r="AB118" s="1509" t="s">
        <v>2372</v>
      </c>
      <c r="AC118" s="1509" t="s">
        <v>2372</v>
      </c>
      <c r="AD118" s="1509" t="s">
        <v>2372</v>
      </c>
      <c r="AE118" s="1509" t="s">
        <v>2372</v>
      </c>
      <c r="AF118" s="1509" t="s">
        <v>2372</v>
      </c>
      <c r="AG118" s="1509" t="s">
        <v>2372</v>
      </c>
      <c r="AH118" s="1509" t="s">
        <v>2372</v>
      </c>
      <c r="AI118" s="1509" t="s">
        <v>2372</v>
      </c>
      <c r="AJ118" s="1509" t="s">
        <v>2372</v>
      </c>
      <c r="AK118" s="1509" t="s">
        <v>2372</v>
      </c>
      <c r="AL118" s="1509" t="s">
        <v>2372</v>
      </c>
      <c r="AM118" s="1509" t="s">
        <v>2372</v>
      </c>
      <c r="AN118" s="1509" t="s">
        <v>2372</v>
      </c>
      <c r="AO118" s="1509">
        <v>1</v>
      </c>
      <c r="AP118" s="1509" t="s">
        <v>2372</v>
      </c>
      <c r="AQ118" s="1509" t="s">
        <v>2372</v>
      </c>
      <c r="AR118" s="1509" t="s">
        <v>2372</v>
      </c>
      <c r="AS118" s="1509" t="s">
        <v>2372</v>
      </c>
      <c r="AT118" s="1509" t="s">
        <v>2372</v>
      </c>
      <c r="AU118" s="1509" t="s">
        <v>2372</v>
      </c>
      <c r="AV118" s="1509" t="s">
        <v>2372</v>
      </c>
      <c r="AW118" s="1509" t="s">
        <v>2372</v>
      </c>
      <c r="AX118" s="1509" t="s">
        <v>2372</v>
      </c>
      <c r="AY118" s="1509" t="s">
        <v>2372</v>
      </c>
      <c r="AZ118" s="1509" t="s">
        <v>2372</v>
      </c>
      <c r="BA118" s="1509" t="s">
        <v>2372</v>
      </c>
      <c r="BB118" s="1509" t="s">
        <v>2372</v>
      </c>
      <c r="BC118" s="1509" t="s">
        <v>2372</v>
      </c>
      <c r="BD118" s="1509" t="s">
        <v>2372</v>
      </c>
      <c r="BE118" s="1509" t="s">
        <v>2372</v>
      </c>
      <c r="BF118" s="1509" t="s">
        <v>2372</v>
      </c>
      <c r="BG118" s="1509" t="s">
        <v>2372</v>
      </c>
      <c r="BH118" s="1509" t="s">
        <v>2372</v>
      </c>
      <c r="BI118" s="1509" t="s">
        <v>2372</v>
      </c>
      <c r="BJ118" s="1509" t="s">
        <v>2372</v>
      </c>
      <c r="BK118" s="1509" t="s">
        <v>2372</v>
      </c>
      <c r="BL118" s="1509" t="s">
        <v>2372</v>
      </c>
      <c r="BM118" s="1509" t="s">
        <v>2372</v>
      </c>
      <c r="BN118" s="1509" t="s">
        <v>2372</v>
      </c>
      <c r="BO118" s="1509" t="s">
        <v>2372</v>
      </c>
      <c r="BP118" s="1509" t="s">
        <v>2372</v>
      </c>
      <c r="BQ118" s="1509" t="s">
        <v>2372</v>
      </c>
      <c r="BR118" s="1509" t="s">
        <v>2372</v>
      </c>
      <c r="BS118" s="1509" t="s">
        <v>2372</v>
      </c>
      <c r="BT118" s="1509" t="s">
        <v>2372</v>
      </c>
      <c r="BU118" s="1509" t="s">
        <v>2372</v>
      </c>
      <c r="BV118" s="1509" t="s">
        <v>2372</v>
      </c>
      <c r="BW118" s="1509" t="s">
        <v>2372</v>
      </c>
      <c r="BX118" s="1509" t="s">
        <v>2372</v>
      </c>
      <c r="BY118" s="1509" t="s">
        <v>2372</v>
      </c>
      <c r="BZ118" s="1509">
        <v>1</v>
      </c>
      <c r="CA118" s="1509" t="s">
        <v>2372</v>
      </c>
      <c r="CB118" s="1509" t="s">
        <v>2372</v>
      </c>
      <c r="CC118" s="1509" t="s">
        <v>2372</v>
      </c>
      <c r="CD118" s="1509" t="s">
        <v>2372</v>
      </c>
      <c r="CE118" s="1509" t="s">
        <v>2372</v>
      </c>
      <c r="CF118" s="1509" t="s">
        <v>2372</v>
      </c>
      <c r="CG118" s="1509" t="s">
        <v>2372</v>
      </c>
      <c r="CH118" s="1509" t="s">
        <v>2372</v>
      </c>
      <c r="CI118" s="1509" t="s">
        <v>2372</v>
      </c>
      <c r="CJ118" s="1509" t="s">
        <v>2372</v>
      </c>
      <c r="CK118" s="1509" t="s">
        <v>2372</v>
      </c>
      <c r="CL118" s="1509" t="s">
        <v>2372</v>
      </c>
      <c r="CM118" s="1509" t="s">
        <v>2372</v>
      </c>
      <c r="CN118" s="1509" t="s">
        <v>2372</v>
      </c>
      <c r="CO118" s="1509" t="s">
        <v>2372</v>
      </c>
      <c r="CP118" s="1509" t="s">
        <v>2372</v>
      </c>
      <c r="CQ118" s="1509" t="s">
        <v>2372</v>
      </c>
      <c r="CR118" s="1509" t="s">
        <v>2372</v>
      </c>
      <c r="CS118" s="1509" t="s">
        <v>2372</v>
      </c>
      <c r="CT118" s="1509" t="s">
        <v>2372</v>
      </c>
      <c r="CU118" s="1509" t="s">
        <v>2372</v>
      </c>
      <c r="CV118" s="1509">
        <v>1</v>
      </c>
      <c r="CW118" s="1509" t="s">
        <v>2372</v>
      </c>
      <c r="CX118" s="1509" t="s">
        <v>2372</v>
      </c>
      <c r="CY118" s="1509" t="s">
        <v>2372</v>
      </c>
      <c r="CZ118" s="1509" t="s">
        <v>2372</v>
      </c>
      <c r="DA118" s="1509" t="s">
        <v>2372</v>
      </c>
      <c r="DB118" s="1509" t="s">
        <v>2372</v>
      </c>
      <c r="DC118" s="1509" t="s">
        <v>2372</v>
      </c>
      <c r="DD118" s="1509" t="s">
        <v>2372</v>
      </c>
      <c r="DE118" s="1509" t="s">
        <v>2372</v>
      </c>
      <c r="DF118" s="1509" t="s">
        <v>2372</v>
      </c>
      <c r="DG118" s="1509" t="s">
        <v>2372</v>
      </c>
      <c r="DH118" s="1509" t="s">
        <v>2372</v>
      </c>
      <c r="DI118" s="1509" t="s">
        <v>2372</v>
      </c>
      <c r="DJ118" s="1509" t="s">
        <v>2372</v>
      </c>
      <c r="DK118" s="1509" t="s">
        <v>2372</v>
      </c>
      <c r="DL118" s="1509" t="s">
        <v>2372</v>
      </c>
      <c r="DM118" s="1509" t="s">
        <v>2372</v>
      </c>
      <c r="DN118" s="1509" t="s">
        <v>2372</v>
      </c>
      <c r="DO118" s="1509" t="s">
        <v>2372</v>
      </c>
      <c r="DP118" s="1509" t="s">
        <v>2372</v>
      </c>
      <c r="DQ118" s="1509" t="s">
        <v>2372</v>
      </c>
      <c r="DR118" s="1509" t="s">
        <v>2372</v>
      </c>
      <c r="DS118" s="1509" t="s">
        <v>2372</v>
      </c>
      <c r="DT118" s="1509" t="s">
        <v>2372</v>
      </c>
      <c r="DU118" s="1509" t="s">
        <v>2372</v>
      </c>
      <c r="DV118" s="1509" t="s">
        <v>2372</v>
      </c>
      <c r="DW118" s="1509" t="s">
        <v>2372</v>
      </c>
      <c r="DX118" s="1509" t="s">
        <v>2372</v>
      </c>
      <c r="DY118" s="1509" t="s">
        <v>2372</v>
      </c>
      <c r="DZ118" s="1509" t="s">
        <v>2372</v>
      </c>
      <c r="EA118" s="1509" t="s">
        <v>2372</v>
      </c>
      <c r="EB118" s="1509" t="s">
        <v>2372</v>
      </c>
      <c r="EC118" s="1509" t="s">
        <v>2372</v>
      </c>
      <c r="ED118" s="1509" t="s">
        <v>2372</v>
      </c>
      <c r="EE118" s="1509" t="s">
        <v>2372</v>
      </c>
      <c r="EF118" s="1509" t="s">
        <v>2372</v>
      </c>
      <c r="EG118" s="1509" t="s">
        <v>2372</v>
      </c>
      <c r="EH118" s="1509" t="s">
        <v>2372</v>
      </c>
      <c r="EI118" s="1509" t="s">
        <v>2372</v>
      </c>
      <c r="EJ118" s="1509" t="s">
        <v>2372</v>
      </c>
      <c r="EK118" s="1509" t="s">
        <v>2372</v>
      </c>
      <c r="EL118" s="1509" t="s">
        <v>2372</v>
      </c>
      <c r="EM118" s="1509" t="s">
        <v>2372</v>
      </c>
      <c r="EN118" s="1509" t="s">
        <v>2372</v>
      </c>
      <c r="EO118" s="1509" t="s">
        <v>2372</v>
      </c>
      <c r="EP118" s="1509" t="s">
        <v>2372</v>
      </c>
      <c r="EQ118" s="1509" t="s">
        <v>2372</v>
      </c>
      <c r="ER118" s="1509" t="s">
        <v>2372</v>
      </c>
      <c r="ES118" s="1509" t="s">
        <v>2372</v>
      </c>
      <c r="ET118" s="1509" t="s">
        <v>2372</v>
      </c>
      <c r="EU118" s="1509" t="s">
        <v>2372</v>
      </c>
      <c r="EV118" s="1509" t="s">
        <v>2372</v>
      </c>
      <c r="EW118" s="1509" t="s">
        <v>2372</v>
      </c>
      <c r="EX118" s="1509" t="s">
        <v>2372</v>
      </c>
      <c r="EY118" s="1509" t="s">
        <v>2372</v>
      </c>
      <c r="EZ118" s="1509" t="s">
        <v>2372</v>
      </c>
      <c r="FA118" s="1509" t="s">
        <v>2372</v>
      </c>
      <c r="FB118" s="1509" t="s">
        <v>2372</v>
      </c>
      <c r="FC118" s="1509">
        <v>1</v>
      </c>
      <c r="FD118" s="1509" t="s">
        <v>2372</v>
      </c>
      <c r="FE118" s="1509" t="s">
        <v>2372</v>
      </c>
      <c r="FF118" s="1509" t="s">
        <v>2372</v>
      </c>
      <c r="FG118" s="1509" t="s">
        <v>2372</v>
      </c>
      <c r="FH118" s="1509" t="s">
        <v>2372</v>
      </c>
      <c r="FI118" s="1509" t="s">
        <v>2372</v>
      </c>
      <c r="FJ118" s="1509" t="s">
        <v>2372</v>
      </c>
      <c r="FK118" s="1509" t="s">
        <v>2372</v>
      </c>
      <c r="FL118" s="1509" t="s">
        <v>2372</v>
      </c>
      <c r="FM118" s="1509" t="s">
        <v>2372</v>
      </c>
      <c r="FN118" s="1509" t="s">
        <v>2372</v>
      </c>
      <c r="FO118" s="1509" t="s">
        <v>2372</v>
      </c>
      <c r="FP118" s="1509" t="s">
        <v>2372</v>
      </c>
      <c r="FQ118" s="1509" t="s">
        <v>2372</v>
      </c>
      <c r="FR118" s="1509" t="s">
        <v>2372</v>
      </c>
      <c r="FS118" s="1509" t="s">
        <v>2372</v>
      </c>
      <c r="FT118" s="1509" t="s">
        <v>2372</v>
      </c>
      <c r="FU118" s="1509" t="s">
        <v>2372</v>
      </c>
    </row>
    <row r="119" spans="1:177" s="1509" customFormat="1" ht="15" customHeight="1" x14ac:dyDescent="0.2">
      <c r="A119" s="1512" t="s">
        <v>669</v>
      </c>
      <c r="B119" s="1512" t="s">
        <v>1255</v>
      </c>
      <c r="C119" s="1509">
        <v>1.7675205999999999E-2</v>
      </c>
      <c r="D119" s="1509">
        <v>0</v>
      </c>
      <c r="E119" s="1509">
        <v>1</v>
      </c>
      <c r="F119" s="1509">
        <v>1</v>
      </c>
      <c r="G119" s="1509">
        <v>1</v>
      </c>
      <c r="H119" s="1509">
        <v>1</v>
      </c>
      <c r="I119" s="1509">
        <v>1</v>
      </c>
      <c r="J119" s="1509">
        <v>1</v>
      </c>
      <c r="K119" s="1509">
        <v>1.7675205999999999E-2</v>
      </c>
      <c r="L119" s="1509">
        <v>1.7675205999999999E-2</v>
      </c>
      <c r="M119" s="1509">
        <v>1.7675205999999999E-2</v>
      </c>
      <c r="N119" s="1509">
        <v>1.7675205999999999E-2</v>
      </c>
      <c r="O119" s="1509">
        <v>1.7675205999999999E-2</v>
      </c>
      <c r="P119" s="1509">
        <v>1.7675205999999999E-2</v>
      </c>
      <c r="Q119" s="1509">
        <v>0.98060468599999995</v>
      </c>
      <c r="R119" s="1509">
        <v>0.97230945999999996</v>
      </c>
      <c r="S119" s="1509">
        <v>1</v>
      </c>
      <c r="T119" s="1509">
        <v>1.7675205999999999E-2</v>
      </c>
      <c r="U119" s="1509">
        <v>1.7675205999999999E-2</v>
      </c>
      <c r="V119" s="1509">
        <v>1</v>
      </c>
      <c r="W119" s="1509">
        <v>1.7675205999999999E-2</v>
      </c>
      <c r="X119" s="1509">
        <v>1</v>
      </c>
      <c r="Y119" s="1509">
        <v>1</v>
      </c>
      <c r="Z119" s="1509">
        <v>1.7675205999999999E-2</v>
      </c>
      <c r="AA119" s="1509">
        <v>1</v>
      </c>
      <c r="AB119" s="1509">
        <v>1</v>
      </c>
      <c r="AC119" s="1509">
        <v>1</v>
      </c>
      <c r="AD119" s="1509">
        <v>1</v>
      </c>
      <c r="AE119" s="1509">
        <v>0.95720349400000004</v>
      </c>
      <c r="AF119" s="1509">
        <v>1.7675205999999999E-2</v>
      </c>
      <c r="AG119" s="1509">
        <v>1</v>
      </c>
      <c r="AH119" s="1509">
        <v>1.7675205999999999E-2</v>
      </c>
      <c r="AI119" s="1509">
        <v>1</v>
      </c>
      <c r="AJ119" s="1509">
        <v>1.7675205999999999E-2</v>
      </c>
      <c r="AK119" s="1509">
        <v>0.96761728599999997</v>
      </c>
      <c r="AL119" s="1509">
        <v>0.96773664100000001</v>
      </c>
      <c r="AM119" s="1509">
        <v>0.96188820799999997</v>
      </c>
      <c r="AN119" s="1509">
        <v>0.98133574000000001</v>
      </c>
      <c r="AO119" s="1509">
        <v>1</v>
      </c>
      <c r="AP119" s="1509">
        <v>0</v>
      </c>
      <c r="AQ119" s="1509">
        <v>1</v>
      </c>
      <c r="AR119" s="1509">
        <v>2.1230802E-2</v>
      </c>
      <c r="AS119" s="1509">
        <v>2.1230802E-2</v>
      </c>
      <c r="AT119" s="1509">
        <v>2.1230802E-2</v>
      </c>
      <c r="AU119" s="1509">
        <v>0</v>
      </c>
      <c r="AV119" s="1509">
        <v>1.7675205999999999E-2</v>
      </c>
      <c r="AW119" s="1509">
        <v>1.7675205999999999E-2</v>
      </c>
      <c r="AX119" s="1509">
        <v>0</v>
      </c>
      <c r="AY119" s="1509">
        <v>1</v>
      </c>
      <c r="AZ119" s="1509">
        <v>1.4414504E-2</v>
      </c>
      <c r="BA119" s="1509">
        <v>1.4414504E-2</v>
      </c>
      <c r="BB119" s="1509">
        <v>1.4414504E-2</v>
      </c>
      <c r="BC119" s="1509">
        <v>1</v>
      </c>
      <c r="BD119" s="1509">
        <v>2.1230802E-2</v>
      </c>
      <c r="BE119" s="1509">
        <v>1</v>
      </c>
      <c r="BF119" s="1509">
        <v>1</v>
      </c>
      <c r="BG119" s="1509">
        <v>1</v>
      </c>
      <c r="BH119" s="1509">
        <v>1.7675205999999999E-2</v>
      </c>
      <c r="BI119" s="1509">
        <v>1.7675205999999999E-2</v>
      </c>
      <c r="BJ119" s="1509">
        <v>1.7675205999999999E-2</v>
      </c>
      <c r="BK119" s="1509">
        <v>1.7675205999999999E-2</v>
      </c>
      <c r="BL119" s="1509">
        <v>0</v>
      </c>
      <c r="BM119" s="1509">
        <v>0</v>
      </c>
      <c r="BN119" s="1509">
        <v>1.7675205999999999E-2</v>
      </c>
      <c r="BO119" s="1509">
        <v>1.7675205999999999E-2</v>
      </c>
      <c r="BP119" s="1509">
        <v>1.7675205999999999E-2</v>
      </c>
      <c r="BQ119" s="1509">
        <v>1.7675205999999999E-2</v>
      </c>
      <c r="BR119" s="1509">
        <v>1</v>
      </c>
      <c r="BS119" s="1509">
        <v>0</v>
      </c>
      <c r="BT119" s="1509">
        <v>1.4414504E-2</v>
      </c>
      <c r="BU119" s="1509">
        <v>1.4414504E-2</v>
      </c>
      <c r="BV119" s="1509">
        <v>1.4414504E-2</v>
      </c>
      <c r="BW119" s="1509">
        <v>0</v>
      </c>
      <c r="BX119" s="1509">
        <v>2.0593103000000001E-2</v>
      </c>
      <c r="BY119" s="1509">
        <v>0</v>
      </c>
      <c r="BZ119" s="1509">
        <v>0</v>
      </c>
      <c r="CA119" s="1509">
        <v>0</v>
      </c>
      <c r="CB119" s="1509">
        <v>0</v>
      </c>
      <c r="CC119" s="1509">
        <v>0.978284708</v>
      </c>
      <c r="CD119" s="1509">
        <v>0.96849753500000002</v>
      </c>
      <c r="CE119" s="1509">
        <v>0.973965521</v>
      </c>
      <c r="CF119" s="1509">
        <v>0.98329765099999999</v>
      </c>
      <c r="CG119" s="1509">
        <v>1.7675205999999999E-2</v>
      </c>
      <c r="CH119" s="1509">
        <v>1</v>
      </c>
      <c r="CI119" s="1509">
        <v>1.7675205999999999E-2</v>
      </c>
      <c r="CJ119" s="1509">
        <v>1</v>
      </c>
      <c r="CK119" s="1509">
        <v>1</v>
      </c>
      <c r="CL119" s="1509">
        <v>1</v>
      </c>
      <c r="CM119" s="1509">
        <v>0</v>
      </c>
      <c r="CN119" s="1509">
        <v>0.95156393399999994</v>
      </c>
      <c r="CO119" s="1509">
        <v>0</v>
      </c>
      <c r="CP119" s="1509">
        <v>0</v>
      </c>
      <c r="CQ119" s="1509">
        <v>1.7675205999999999E-2</v>
      </c>
      <c r="CR119" s="1509">
        <v>1</v>
      </c>
      <c r="CS119" s="1509">
        <v>1.7675205999999999E-2</v>
      </c>
      <c r="CT119" s="1509">
        <v>1.7675205999999999E-2</v>
      </c>
      <c r="CU119" s="1509">
        <v>1</v>
      </c>
      <c r="CV119" s="1509">
        <v>1</v>
      </c>
      <c r="CW119" s="1509">
        <v>1</v>
      </c>
      <c r="CX119" s="1509">
        <v>1</v>
      </c>
      <c r="CY119" s="1509">
        <v>1.4414504E-2</v>
      </c>
      <c r="CZ119" s="1509">
        <v>1</v>
      </c>
      <c r="DA119" s="1509">
        <v>1</v>
      </c>
      <c r="DB119" s="1509">
        <v>1</v>
      </c>
      <c r="DC119" s="1509">
        <v>0.13716093800000001</v>
      </c>
      <c r="DD119" s="1509">
        <v>1</v>
      </c>
      <c r="DE119" s="1509">
        <v>0</v>
      </c>
      <c r="DF119" s="1509">
        <v>1</v>
      </c>
      <c r="DG119" s="1509">
        <v>0</v>
      </c>
      <c r="DH119" s="1509">
        <v>1</v>
      </c>
      <c r="DI119" s="1509">
        <v>1</v>
      </c>
      <c r="DJ119" s="1509">
        <v>1</v>
      </c>
      <c r="DK119" s="1509">
        <v>2.0593103000000001E-2</v>
      </c>
      <c r="DL119" s="1509">
        <v>0</v>
      </c>
      <c r="DM119" s="1509">
        <v>0</v>
      </c>
      <c r="DN119" s="1509">
        <v>1</v>
      </c>
      <c r="DO119" s="1509">
        <v>1</v>
      </c>
      <c r="DP119" s="1509">
        <v>0</v>
      </c>
      <c r="DQ119" s="1509">
        <v>2.0593103000000001E-2</v>
      </c>
      <c r="DR119" s="1509">
        <v>1</v>
      </c>
      <c r="DS119" s="1509">
        <v>0</v>
      </c>
      <c r="DT119" s="1509">
        <v>1</v>
      </c>
      <c r="DU119" s="1509">
        <v>1.7675205999999999E-2</v>
      </c>
      <c r="DV119" s="1509">
        <v>1</v>
      </c>
      <c r="DW119" s="1509">
        <v>1</v>
      </c>
      <c r="DX119" s="1509">
        <v>0</v>
      </c>
      <c r="DY119" s="1509">
        <v>1.4414504E-2</v>
      </c>
      <c r="DZ119" s="1509">
        <v>1</v>
      </c>
      <c r="EA119" s="1509">
        <v>1</v>
      </c>
      <c r="EB119" s="1509">
        <v>1</v>
      </c>
      <c r="EC119" s="1509">
        <v>1</v>
      </c>
      <c r="ED119" s="1509">
        <v>1.7675205999999999E-2</v>
      </c>
      <c r="EE119" s="1509">
        <v>0.97926939300000004</v>
      </c>
      <c r="EF119" s="1509">
        <v>1</v>
      </c>
      <c r="EG119" s="1509">
        <v>1</v>
      </c>
      <c r="EH119" s="1509">
        <v>1.4414504E-2</v>
      </c>
      <c r="EI119" s="1509">
        <v>0.97379394699999999</v>
      </c>
      <c r="EJ119" s="1509">
        <v>0.98350652400000005</v>
      </c>
      <c r="EK119" s="1509">
        <v>0</v>
      </c>
      <c r="EL119" s="1509">
        <v>1</v>
      </c>
      <c r="EM119" s="1509">
        <v>0</v>
      </c>
      <c r="EN119" s="1509">
        <v>1</v>
      </c>
      <c r="EO119" s="1509">
        <v>1</v>
      </c>
      <c r="EP119" s="1509">
        <v>1</v>
      </c>
      <c r="EQ119" s="1509">
        <v>0</v>
      </c>
      <c r="ER119" s="1509">
        <v>1.4414504E-2</v>
      </c>
      <c r="ES119" s="1509">
        <v>1.4414504E-2</v>
      </c>
      <c r="ET119" s="1509">
        <v>0</v>
      </c>
      <c r="EU119" s="1509">
        <v>1</v>
      </c>
      <c r="EV119" s="1509">
        <v>1</v>
      </c>
      <c r="EW119" s="1509">
        <v>0</v>
      </c>
      <c r="EX119" s="1509">
        <v>1</v>
      </c>
      <c r="EY119" s="1509">
        <v>1.4414504E-2</v>
      </c>
      <c r="EZ119" s="1509">
        <v>0</v>
      </c>
      <c r="FA119" s="1509">
        <v>0.95315285699999996</v>
      </c>
      <c r="FB119" s="1509">
        <v>1</v>
      </c>
      <c r="FC119" s="1509">
        <v>1</v>
      </c>
      <c r="FD119" s="1509">
        <v>1</v>
      </c>
      <c r="FE119" s="1509">
        <v>0</v>
      </c>
      <c r="FF119" s="1509">
        <v>1</v>
      </c>
      <c r="FG119" s="1509">
        <v>0</v>
      </c>
      <c r="FH119" s="1509">
        <v>0</v>
      </c>
      <c r="FI119" s="1509">
        <v>1</v>
      </c>
      <c r="FJ119" s="1509">
        <v>1.4414504E-2</v>
      </c>
      <c r="FK119" s="1509">
        <v>0</v>
      </c>
      <c r="FL119" s="1509">
        <v>0</v>
      </c>
      <c r="FM119" s="1509">
        <v>1.7675205999999999E-2</v>
      </c>
      <c r="FN119" s="1509">
        <v>1</v>
      </c>
      <c r="FO119" s="1509">
        <v>0</v>
      </c>
      <c r="FP119" s="1509">
        <v>1</v>
      </c>
      <c r="FQ119" s="1509">
        <v>0</v>
      </c>
      <c r="FR119" s="1509">
        <v>1.4414504E-2</v>
      </c>
      <c r="FS119" s="1509">
        <v>0.88697334299999997</v>
      </c>
      <c r="FT119" s="1509">
        <v>0</v>
      </c>
      <c r="FU119" s="1509">
        <v>1.7675205999999999E-2</v>
      </c>
    </row>
    <row r="120" spans="1:177" s="1509" customFormat="1" x14ac:dyDescent="0.2">
      <c r="A120" s="1512" t="s">
        <v>669</v>
      </c>
      <c r="B120" s="1512" t="s">
        <v>1016</v>
      </c>
      <c r="C120" s="1509">
        <v>0.97998822399999996</v>
      </c>
      <c r="D120" s="1509">
        <v>0.99562125899999998</v>
      </c>
      <c r="E120" s="1509">
        <v>0.990690984</v>
      </c>
      <c r="F120" s="1509">
        <v>0.98298218999999998</v>
      </c>
      <c r="G120" s="1509">
        <v>0.99218907199999995</v>
      </c>
      <c r="H120" s="1509">
        <v>0.990206527</v>
      </c>
      <c r="I120" s="1509">
        <v>0.98833578</v>
      </c>
      <c r="J120" s="1509">
        <v>0.98975188400000003</v>
      </c>
      <c r="K120" s="1509">
        <v>0.99528586699999999</v>
      </c>
      <c r="L120" s="1509">
        <v>0.995062271</v>
      </c>
      <c r="M120" s="1509">
        <v>0.99367598099999999</v>
      </c>
      <c r="N120" s="1509">
        <v>0.99614670800000005</v>
      </c>
      <c r="O120" s="1509">
        <v>0.99511071699999998</v>
      </c>
      <c r="P120" s="1509">
        <v>0.99690320600000004</v>
      </c>
      <c r="Q120" s="1509">
        <v>0.94981089600000002</v>
      </c>
      <c r="R120" s="1509">
        <v>0.86380013899999997</v>
      </c>
      <c r="S120" s="1509">
        <v>0.98299930700000004</v>
      </c>
      <c r="T120" s="1509">
        <v>0.93485179399999996</v>
      </c>
      <c r="U120" s="1509">
        <v>0.99506972400000004</v>
      </c>
      <c r="V120" s="1509">
        <v>0.99637030400000004</v>
      </c>
      <c r="W120" s="1509">
        <v>0.99607217699999995</v>
      </c>
      <c r="X120" s="1509">
        <v>0.99234931500000001</v>
      </c>
      <c r="Y120" s="1509">
        <v>0.99284122500000005</v>
      </c>
      <c r="Z120" s="1509">
        <v>0.92840852299999999</v>
      </c>
      <c r="AA120" s="1509">
        <v>0.99906090000000003</v>
      </c>
      <c r="AB120" s="1509">
        <v>0.99947082499999995</v>
      </c>
      <c r="AC120" s="1509">
        <v>0.99947082499999995</v>
      </c>
      <c r="AD120" s="1509">
        <v>0.99949691100000004</v>
      </c>
      <c r="AE120" s="1509">
        <v>0.79515564699999997</v>
      </c>
      <c r="AF120" s="1509">
        <v>0.96960222399999996</v>
      </c>
      <c r="AG120" s="1509">
        <v>0.99905717299999997</v>
      </c>
      <c r="AH120" s="1509">
        <v>0.99816651899999997</v>
      </c>
      <c r="AI120" s="1509">
        <v>0.99051583399999998</v>
      </c>
      <c r="AJ120" s="1509">
        <v>0.99008727699999999</v>
      </c>
      <c r="AK120" s="1509">
        <v>0.59730106699999996</v>
      </c>
      <c r="AL120" s="1509">
        <v>0.85350570299999995</v>
      </c>
      <c r="AM120" s="1509">
        <v>0.87299799300000003</v>
      </c>
      <c r="AN120" s="1509">
        <v>0.80301074900000002</v>
      </c>
      <c r="AO120" s="1509">
        <v>0.62537732199999996</v>
      </c>
      <c r="AP120" s="1509">
        <v>0.84320394499999995</v>
      </c>
      <c r="AQ120" s="1509">
        <v>0.97142825200000005</v>
      </c>
      <c r="AR120" s="1509">
        <v>0.92631481900000001</v>
      </c>
      <c r="AS120" s="1509">
        <v>0.83184466599999995</v>
      </c>
      <c r="AT120" s="1509">
        <v>0.98810859799999995</v>
      </c>
      <c r="AU120" s="1509">
        <v>0.96628591600000002</v>
      </c>
      <c r="AV120" s="1509">
        <v>0.99740256800000004</v>
      </c>
      <c r="AW120" s="1509">
        <v>0.724552996</v>
      </c>
      <c r="AX120" s="1509">
        <v>0.170174413</v>
      </c>
      <c r="AY120" s="1509">
        <v>0.97362019200000005</v>
      </c>
      <c r="AZ120" s="1509">
        <v>0.99036831599999997</v>
      </c>
      <c r="BA120" s="1509">
        <v>0.97504017799999998</v>
      </c>
      <c r="BB120" s="1509">
        <v>0.96853466300000002</v>
      </c>
      <c r="BC120" s="1509">
        <v>0.96276538499999997</v>
      </c>
      <c r="BD120" s="1509">
        <v>0.98532599499999995</v>
      </c>
      <c r="BE120" s="1509">
        <v>0.99875991200000003</v>
      </c>
      <c r="BF120" s="1509">
        <v>0.94553937899999996</v>
      </c>
      <c r="BG120" s="1509">
        <v>0.99037621799999997</v>
      </c>
      <c r="BH120" s="1509">
        <v>0.98991585400000004</v>
      </c>
      <c r="BI120" s="1509">
        <v>0.99996273400000002</v>
      </c>
      <c r="BJ120" s="1509">
        <v>0.96211923600000004</v>
      </c>
      <c r="BK120" s="1509">
        <v>0.98815317800000002</v>
      </c>
      <c r="BL120" s="1509">
        <v>0.98849975000000001</v>
      </c>
      <c r="BM120" s="1509">
        <v>7.348586E-2</v>
      </c>
      <c r="BN120" s="1509">
        <v>0.98821652999999998</v>
      </c>
      <c r="BO120" s="1509">
        <v>0.98959536699999995</v>
      </c>
      <c r="BP120" s="1509">
        <v>0.98992330699999997</v>
      </c>
      <c r="BQ120" s="1509">
        <v>0.98053230599999996</v>
      </c>
      <c r="BR120" s="1509">
        <v>0.94621788600000001</v>
      </c>
      <c r="BS120" s="1509">
        <v>0.995073451</v>
      </c>
      <c r="BT120" s="1509">
        <v>0.983780243</v>
      </c>
      <c r="BU120" s="1509">
        <v>0.98904739900000005</v>
      </c>
      <c r="BV120" s="1509">
        <v>0.98550293899999997</v>
      </c>
      <c r="BW120" s="1509">
        <v>0.98220107000000001</v>
      </c>
      <c r="BX120" s="1509">
        <v>0.750544871</v>
      </c>
      <c r="BY120" s="1509">
        <v>0.67140617599999997</v>
      </c>
      <c r="BZ120" s="1509">
        <v>0.587274882</v>
      </c>
      <c r="CA120" s="1509">
        <v>0.92656635799999998</v>
      </c>
      <c r="CB120" s="1509">
        <v>0.15687079000000001</v>
      </c>
      <c r="CC120" s="1509">
        <v>0.28761012400000002</v>
      </c>
      <c r="CD120" s="1509">
        <v>0.96230595399999996</v>
      </c>
      <c r="CE120" s="1509">
        <v>0.86466546799999999</v>
      </c>
      <c r="CF120" s="1509">
        <v>0.42149746700000001</v>
      </c>
      <c r="CG120" s="1509">
        <v>0.98100930900000005</v>
      </c>
      <c r="CH120" s="1509">
        <v>0.99873668699999996</v>
      </c>
      <c r="CI120" s="1509">
        <v>0.99563616600000004</v>
      </c>
      <c r="CJ120" s="1509">
        <v>0.99620236399999995</v>
      </c>
      <c r="CK120" s="1509">
        <v>0.92561037400000001</v>
      </c>
      <c r="CL120" s="1509">
        <v>0.91820773600000005</v>
      </c>
      <c r="CM120" s="1509">
        <v>0.56901420800000002</v>
      </c>
      <c r="CN120" s="1509">
        <v>0.26764787099999998</v>
      </c>
      <c r="CO120" s="1509">
        <v>0.51302096900000005</v>
      </c>
      <c r="CP120" s="1509">
        <v>5.4672406E-2</v>
      </c>
      <c r="CQ120" s="1509">
        <v>0.98983759500000001</v>
      </c>
      <c r="CR120" s="1509">
        <v>0.98495203899999995</v>
      </c>
      <c r="CS120" s="1509">
        <v>0.99402628000000004</v>
      </c>
      <c r="CT120" s="1509">
        <v>0.98419181499999997</v>
      </c>
      <c r="CU120" s="1509">
        <v>0.99242757400000003</v>
      </c>
      <c r="CV120" s="1509">
        <v>0.99820575499999997</v>
      </c>
      <c r="CW120" s="1509">
        <v>0.99723157900000003</v>
      </c>
      <c r="CX120" s="1509">
        <v>0.98973537599999994</v>
      </c>
      <c r="CY120" s="1509">
        <v>0.98855205499999999</v>
      </c>
      <c r="CZ120" s="1509">
        <v>0.26072398099999999</v>
      </c>
      <c r="DA120" s="1509">
        <v>0.882865118</v>
      </c>
      <c r="DB120" s="1509">
        <v>0.99457316600000001</v>
      </c>
      <c r="DC120" s="1509">
        <v>0.95255659100000001</v>
      </c>
      <c r="DD120" s="1509">
        <v>0.46198916499999998</v>
      </c>
      <c r="DE120" s="1509">
        <v>5.4700650000000003E-2</v>
      </c>
      <c r="DF120" s="1509">
        <v>0.140858544</v>
      </c>
      <c r="DG120" s="1509">
        <v>0.9748618</v>
      </c>
      <c r="DH120" s="1509">
        <v>0.98606499299999995</v>
      </c>
      <c r="DI120" s="1509">
        <v>0.53722900299999998</v>
      </c>
      <c r="DJ120" s="1509">
        <v>0.10129403300000001</v>
      </c>
      <c r="DK120" s="1509">
        <v>0.208973568</v>
      </c>
      <c r="DL120" s="1509">
        <v>2.4035270000000001E-2</v>
      </c>
      <c r="DM120" s="1509">
        <v>0.97146650999999995</v>
      </c>
      <c r="DN120" s="1509">
        <v>0.48503465000000001</v>
      </c>
      <c r="DO120" s="1509">
        <v>0.96751095300000001</v>
      </c>
      <c r="DP120" s="1509">
        <v>3.8946639999999999E-3</v>
      </c>
      <c r="DQ120" s="1509">
        <v>0.15067924499999999</v>
      </c>
      <c r="DR120" s="1509">
        <v>0.91077232299999999</v>
      </c>
      <c r="DS120" s="1509">
        <v>0.69748348999999998</v>
      </c>
      <c r="DT120" s="1509">
        <v>0.63868663000000003</v>
      </c>
      <c r="DU120" s="1509">
        <v>0.983774437</v>
      </c>
      <c r="DV120" s="1509">
        <v>0.999455918</v>
      </c>
      <c r="DW120" s="1509">
        <v>0.94105267599999998</v>
      </c>
      <c r="DX120" s="1509">
        <v>0.98438052499999995</v>
      </c>
      <c r="DY120" s="1509">
        <v>0.98049446299999998</v>
      </c>
      <c r="DZ120" s="1509">
        <v>0.92712961400000005</v>
      </c>
      <c r="EA120" s="1509">
        <v>0.97566211000000003</v>
      </c>
      <c r="EB120" s="1509">
        <v>0.99171952200000002</v>
      </c>
      <c r="EC120" s="1509">
        <v>0.99465234700000005</v>
      </c>
      <c r="ED120" s="1509">
        <v>0.97874726999999995</v>
      </c>
      <c r="EE120" s="1509">
        <v>0.56224776799999998</v>
      </c>
      <c r="EF120" s="1509">
        <v>0.97254694799999997</v>
      </c>
      <c r="EG120" s="1509">
        <v>0.66546858900000005</v>
      </c>
      <c r="EH120" s="1509">
        <v>0.98040089799999997</v>
      </c>
      <c r="EI120" s="1509">
        <v>0.81387958500000002</v>
      </c>
      <c r="EJ120" s="1509">
        <v>0.40912922499999999</v>
      </c>
      <c r="EK120" s="1509">
        <v>0.99822614399999998</v>
      </c>
      <c r="EL120" s="1509">
        <v>0.99359817500000003</v>
      </c>
      <c r="EM120" s="1509">
        <v>0.62717648199999998</v>
      </c>
      <c r="EN120" s="1509">
        <v>6.1672752999999997E-2</v>
      </c>
      <c r="EO120" s="1509">
        <v>6.4846069999999999E-3</v>
      </c>
      <c r="EP120" s="1509">
        <v>9.9076314999999998E-2</v>
      </c>
      <c r="EQ120" s="1509">
        <v>0</v>
      </c>
      <c r="ER120" s="1509">
        <v>0.98429760300000002</v>
      </c>
      <c r="ES120" s="1509">
        <v>0.98711005399999996</v>
      </c>
      <c r="ET120" s="1509">
        <v>0.98993681600000005</v>
      </c>
      <c r="EU120" s="1509">
        <v>0.73351322699999999</v>
      </c>
      <c r="EV120" s="1509">
        <v>0.99949691100000004</v>
      </c>
      <c r="EW120" s="1509">
        <v>0.45922792400000001</v>
      </c>
      <c r="EX120" s="1509">
        <v>0.99281751500000004</v>
      </c>
      <c r="EY120" s="1509">
        <v>0.99343394299999999</v>
      </c>
      <c r="EZ120" s="1509">
        <v>0.52004413599999999</v>
      </c>
      <c r="FA120" s="1509">
        <v>0.78480153399999997</v>
      </c>
      <c r="FB120" s="1509">
        <v>0.93180562099999997</v>
      </c>
      <c r="FC120" s="1509">
        <v>0.99149659899999998</v>
      </c>
      <c r="FD120" s="1509">
        <v>0.991722255</v>
      </c>
      <c r="FE120" s="1509">
        <v>0.99724258600000004</v>
      </c>
      <c r="FF120" s="1509">
        <v>0.99504697900000005</v>
      </c>
      <c r="FG120" s="1509">
        <v>4.6054507000000001E-2</v>
      </c>
      <c r="FH120" s="1509">
        <v>1.8681279999999999E-3</v>
      </c>
      <c r="FI120" s="1509">
        <v>0.55722545800000001</v>
      </c>
      <c r="FJ120" s="1509">
        <v>0.99468330999999999</v>
      </c>
      <c r="FK120" s="1509">
        <v>0.82587629900000004</v>
      </c>
      <c r="FL120" s="1509">
        <v>0.93277164099999998</v>
      </c>
      <c r="FM120" s="1509">
        <v>0.99807335399999997</v>
      </c>
      <c r="FN120" s="1509">
        <v>0.99787211799999997</v>
      </c>
      <c r="FO120" s="1509">
        <v>0.83914437600000003</v>
      </c>
      <c r="FP120" s="1509">
        <v>7.6569873999999996E-2</v>
      </c>
      <c r="FQ120" s="1509">
        <v>0.77094132900000001</v>
      </c>
      <c r="FR120" s="1509">
        <v>0.95268366199999999</v>
      </c>
      <c r="FS120" s="1509">
        <v>0.81140257599999999</v>
      </c>
      <c r="FT120" s="1509">
        <v>0.12306956500000001</v>
      </c>
      <c r="FU120" s="1509">
        <v>0.98599548299999995</v>
      </c>
    </row>
    <row r="121" spans="1:177" s="1509" customFormat="1" x14ac:dyDescent="0.2">
      <c r="A121" s="1512" t="s">
        <v>669</v>
      </c>
      <c r="B121" s="1512" t="s">
        <v>1017</v>
      </c>
      <c r="C121" s="1509">
        <v>0.39049422</v>
      </c>
      <c r="D121" s="1509">
        <v>0.92275156300000005</v>
      </c>
      <c r="E121" s="1509">
        <v>0.77484702400000005</v>
      </c>
      <c r="F121" s="1509">
        <v>0.56997005899999997</v>
      </c>
      <c r="G121" s="1509">
        <v>0.82327775700000005</v>
      </c>
      <c r="H121" s="1509">
        <v>0.75839413899999997</v>
      </c>
      <c r="I121" s="1509">
        <v>0.68862869000000004</v>
      </c>
      <c r="J121" s="1509">
        <v>0.73745444199999999</v>
      </c>
      <c r="K121" s="1509">
        <v>0.91691199999999995</v>
      </c>
      <c r="L121" s="1509">
        <v>0.91095318700000005</v>
      </c>
      <c r="M121" s="1509">
        <v>0.87539408699999999</v>
      </c>
      <c r="N121" s="1509">
        <v>0.939681451</v>
      </c>
      <c r="O121" s="1509">
        <v>0.91258170500000002</v>
      </c>
      <c r="P121" s="1509">
        <v>0.96047953699999999</v>
      </c>
      <c r="Q121" s="1509">
        <v>0.95127300400000003</v>
      </c>
      <c r="R121" s="1509">
        <v>0.86664229800000003</v>
      </c>
      <c r="S121" s="1509">
        <v>0.48344649699999998</v>
      </c>
      <c r="T121" s="1509">
        <v>5.6953440000000001E-2</v>
      </c>
      <c r="U121" s="1509">
        <v>0.911385471</v>
      </c>
      <c r="V121" s="1509">
        <v>0.946620358</v>
      </c>
      <c r="W121" s="1509">
        <v>0.93688651000000001</v>
      </c>
      <c r="X121" s="1509">
        <v>0.82776456899999995</v>
      </c>
      <c r="Y121" s="1509">
        <v>0.84595777000000005</v>
      </c>
      <c r="Z121" s="1509">
        <v>4.7182327000000003E-2</v>
      </c>
      <c r="AA121" s="1509">
        <v>0.99414553100000003</v>
      </c>
      <c r="AB121" s="1509">
        <v>0.99723114499999999</v>
      </c>
      <c r="AC121" s="1509">
        <v>0.99727213800000003</v>
      </c>
      <c r="AD121" s="1509">
        <v>0.99748082699999996</v>
      </c>
      <c r="AE121" s="1509">
        <v>0.79876616</v>
      </c>
      <c r="AF121" s="1509">
        <v>0.19458750399999999</v>
      </c>
      <c r="AG121" s="1509">
        <v>0.99408217899999995</v>
      </c>
      <c r="AH121" s="1509">
        <v>0.98097204299999996</v>
      </c>
      <c r="AI121" s="1509">
        <v>0.76921614999999999</v>
      </c>
      <c r="AJ121" s="1509">
        <v>0.75459301899999998</v>
      </c>
      <c r="AK121" s="1509">
        <v>0.60290332899999999</v>
      </c>
      <c r="AL121" s="1509">
        <v>0.85645975799999996</v>
      </c>
      <c r="AM121" s="1509">
        <v>0.87577301500000004</v>
      </c>
      <c r="AN121" s="1509">
        <v>0.80662126199999995</v>
      </c>
      <c r="AO121" s="1509">
        <v>0.55964882400000004</v>
      </c>
      <c r="AP121" s="1509">
        <v>0.84898601200000001</v>
      </c>
      <c r="AQ121" s="1509">
        <v>0.20929261900000001</v>
      </c>
      <c r="AR121" s="1509">
        <v>5.4376067E-2</v>
      </c>
      <c r="AS121" s="1509">
        <v>1.9555091E-2</v>
      </c>
      <c r="AT121" s="1509">
        <v>0.38991805899999998</v>
      </c>
      <c r="AU121" s="1509">
        <v>0.13095146599999999</v>
      </c>
      <c r="AV121" s="1509">
        <v>0.969337636</v>
      </c>
      <c r="AW121" s="1509">
        <v>2.4632740000000001E-3</v>
      </c>
      <c r="AX121" s="1509">
        <v>0.181923953</v>
      </c>
      <c r="AY121" s="1509">
        <v>0.30050304900000002</v>
      </c>
      <c r="AZ121" s="1509">
        <v>0.87070426899999998</v>
      </c>
      <c r="BA121" s="1509">
        <v>0.33424146399999999</v>
      </c>
      <c r="BB121" s="1509">
        <v>0.20976157500000001</v>
      </c>
      <c r="BC121" s="1509">
        <v>0.11736129300000001</v>
      </c>
      <c r="BD121" s="1509">
        <v>0.31930757799999998</v>
      </c>
      <c r="BE121" s="1509">
        <v>0.98931079099999997</v>
      </c>
      <c r="BF121" s="1509">
        <v>7.8658508000000002E-2</v>
      </c>
      <c r="BG121" s="1509">
        <v>0.25629650300000001</v>
      </c>
      <c r="BH121" s="1509">
        <v>0.74381945400000005</v>
      </c>
      <c r="BI121" s="1509">
        <v>0.99990683499999999</v>
      </c>
      <c r="BJ121" s="1509">
        <v>0.13657571299999999</v>
      </c>
      <c r="BK121" s="1509">
        <v>0.67979667700000002</v>
      </c>
      <c r="BL121" s="1509">
        <v>0.69510922600000002</v>
      </c>
      <c r="BM121" s="1509">
        <v>7.7461899000000001E-2</v>
      </c>
      <c r="BN121" s="1509">
        <v>0.68240156200000002</v>
      </c>
      <c r="BO121" s="1509">
        <v>0.73061615400000002</v>
      </c>
      <c r="BP121" s="1509">
        <v>0.74487035199999996</v>
      </c>
      <c r="BQ121" s="1509">
        <v>0.41077058399999999</v>
      </c>
      <c r="BR121" s="1509">
        <v>7.9290606999999999E-2</v>
      </c>
      <c r="BS121" s="1509">
        <v>0.91149354199999999</v>
      </c>
      <c r="BT121" s="1509">
        <v>0.604115756</v>
      </c>
      <c r="BU121" s="1509">
        <v>0.81820333300000003</v>
      </c>
      <c r="BV121" s="1509">
        <v>0.68114171199999995</v>
      </c>
      <c r="BW121" s="1509">
        <v>0</v>
      </c>
      <c r="BX121" s="1509">
        <v>0.67671559100000001</v>
      </c>
      <c r="BY121" s="1509">
        <v>0.53513117899999996</v>
      </c>
      <c r="BZ121" s="1509">
        <v>0.60577043900000005</v>
      </c>
      <c r="CA121" s="1509">
        <v>0.82883635600000005</v>
      </c>
      <c r="CB121" s="1509">
        <v>0.16181659500000001</v>
      </c>
      <c r="CC121" s="1509">
        <v>0.176571953</v>
      </c>
      <c r="CD121" s="1509">
        <v>0.96352934999999995</v>
      </c>
      <c r="CE121" s="1509">
        <v>0.86748524800000004</v>
      </c>
      <c r="CF121" s="1509">
        <v>0.428002357</v>
      </c>
      <c r="CG121" s="1509">
        <v>0.42601978099999999</v>
      </c>
      <c r="CH121" s="1509">
        <v>0.99212199400000001</v>
      </c>
      <c r="CI121" s="1509">
        <v>0.92326210600000003</v>
      </c>
      <c r="CJ121" s="1509">
        <v>0.97824890499999995</v>
      </c>
      <c r="CK121" s="1509">
        <v>2.1486912E-2</v>
      </c>
      <c r="CL121" s="1509">
        <v>1.4309931E-2</v>
      </c>
      <c r="CM121" s="1509">
        <v>0.58766817199999999</v>
      </c>
      <c r="CN121" s="1509">
        <v>0.27362311900000003</v>
      </c>
      <c r="CO121" s="1509">
        <v>0.51922747000000002</v>
      </c>
      <c r="CP121" s="1509">
        <v>5.8029286999999999E-2</v>
      </c>
      <c r="CQ121" s="1509">
        <v>0.74083073099999996</v>
      </c>
      <c r="CR121" s="1509">
        <v>0.55207906299999998</v>
      </c>
      <c r="CS121" s="1509">
        <v>0.88708811899999995</v>
      </c>
      <c r="CT121" s="1509">
        <v>0.53041268200000002</v>
      </c>
      <c r="CU121" s="1509">
        <v>0.83049243100000003</v>
      </c>
      <c r="CV121" s="1509">
        <v>0.99150760599999999</v>
      </c>
      <c r="CW121" s="1509">
        <v>0.985233252</v>
      </c>
      <c r="CX121" s="1509">
        <v>0.84535917900000002</v>
      </c>
      <c r="CY121" s="1509">
        <v>0.798807873</v>
      </c>
      <c r="CZ121" s="1509">
        <v>0.27545597100000002</v>
      </c>
      <c r="DA121" s="1509">
        <v>0.89003173599999996</v>
      </c>
      <c r="DB121" s="1509">
        <v>0.99644956299999998</v>
      </c>
      <c r="DC121" s="1509">
        <v>0.96627084500000004</v>
      </c>
      <c r="DD121" s="1509">
        <v>0.56356294699999998</v>
      </c>
      <c r="DE121" s="1509">
        <v>7.2324065000000007E-2</v>
      </c>
      <c r="DF121" s="1509">
        <v>0.18719818999999999</v>
      </c>
      <c r="DG121" s="1509">
        <v>0.63937306299999996</v>
      </c>
      <c r="DH121" s="1509">
        <v>0.15386454999999999</v>
      </c>
      <c r="DI121" s="1509">
        <v>0.638940756</v>
      </c>
      <c r="DJ121" s="1509">
        <v>9.6022855000000004E-2</v>
      </c>
      <c r="DK121" s="1509">
        <v>0.22162985900000001</v>
      </c>
      <c r="DL121" s="1509">
        <v>2.6123996E-2</v>
      </c>
      <c r="DM121" s="1509">
        <v>0.972428815</v>
      </c>
      <c r="DN121" s="1509">
        <v>0.49477063100000002</v>
      </c>
      <c r="DO121" s="1509">
        <v>0.19462607000000001</v>
      </c>
      <c r="DP121" s="1509">
        <v>4.4627490000000002E-3</v>
      </c>
      <c r="DQ121" s="1509">
        <v>0.16141824799999999</v>
      </c>
      <c r="DR121" s="1509">
        <v>0.91675907199999995</v>
      </c>
      <c r="DS121" s="1509">
        <v>0.71348820899999998</v>
      </c>
      <c r="DT121" s="1509">
        <v>0.65694730499999998</v>
      </c>
      <c r="DU121" s="1509">
        <v>0.51021457699999995</v>
      </c>
      <c r="DV121" s="1509">
        <v>0.99713798099999995</v>
      </c>
      <c r="DW121" s="1509">
        <v>0.94390119500000003</v>
      </c>
      <c r="DX121" s="1509">
        <v>0.30012145099999998</v>
      </c>
      <c r="DY121" s="1509">
        <v>0.47914602699999997</v>
      </c>
      <c r="DZ121" s="1509">
        <v>5.5160115000000003E-2</v>
      </c>
      <c r="EA121" s="1509">
        <v>0.350428197</v>
      </c>
      <c r="EB121" s="1509">
        <v>0.81308926699999995</v>
      </c>
      <c r="EC121" s="1509">
        <v>0.90221433799999995</v>
      </c>
      <c r="ED121" s="1509">
        <v>0.347146552</v>
      </c>
      <c r="EE121" s="1509">
        <v>0.46967990300000001</v>
      </c>
      <c r="EF121" s="1509">
        <v>0.27833366399999998</v>
      </c>
      <c r="EG121" s="1509">
        <v>0.52357828399999995</v>
      </c>
      <c r="EH121" s="1509">
        <v>0.47649869</v>
      </c>
      <c r="EI121" s="1509">
        <v>0.81732598300000003</v>
      </c>
      <c r="EJ121" s="1509">
        <v>0.41554459799999999</v>
      </c>
      <c r="EK121" s="1509">
        <v>0.96160124000000002</v>
      </c>
      <c r="EL121" s="1509">
        <v>0.99565853299999996</v>
      </c>
      <c r="EM121" s="1509">
        <v>0.722504806</v>
      </c>
      <c r="EN121" s="1509">
        <v>8.1236950000000002E-2</v>
      </c>
      <c r="EO121" s="1509">
        <v>1.1102015E-2</v>
      </c>
      <c r="EP121" s="1509">
        <v>0.106740008</v>
      </c>
      <c r="EQ121" s="1509">
        <v>0</v>
      </c>
      <c r="ER121" s="1509">
        <v>0.62924069299999996</v>
      </c>
      <c r="ES121" s="1509">
        <v>0.73845298599999998</v>
      </c>
      <c r="ET121" s="1509">
        <v>0.99032472199999999</v>
      </c>
      <c r="EU121" s="1509">
        <v>0.748529259</v>
      </c>
      <c r="EV121" s="1509">
        <v>0.99745101400000002</v>
      </c>
      <c r="EW121" s="1509">
        <v>0.14625228500000001</v>
      </c>
      <c r="EX121" s="1509">
        <v>0.91286903100000005</v>
      </c>
      <c r="EY121" s="1509">
        <v>0.95347621199999999</v>
      </c>
      <c r="EZ121" s="1509">
        <v>0.400128912</v>
      </c>
      <c r="FA121" s="1509">
        <v>0.78856124100000002</v>
      </c>
      <c r="FB121" s="1509">
        <v>0.93505803300000001</v>
      </c>
      <c r="FC121" s="1509">
        <v>0.91324329100000001</v>
      </c>
      <c r="FD121" s="1509">
        <v>0.91918191199999999</v>
      </c>
      <c r="FE121" s="1509">
        <v>0.98091825700000002</v>
      </c>
      <c r="FF121" s="1509">
        <v>0.99511075199999999</v>
      </c>
      <c r="FG121" s="1509">
        <v>6.1212850999999999E-2</v>
      </c>
      <c r="FH121" s="1509">
        <v>2.3105790000000001E-3</v>
      </c>
      <c r="FI121" s="1509">
        <v>0.56719527199999997</v>
      </c>
      <c r="FJ121" s="1509">
        <v>0.96694405900000002</v>
      </c>
      <c r="FK121" s="1509">
        <v>0.82448339699999995</v>
      </c>
      <c r="FL121" s="1509">
        <v>0.46241227400000001</v>
      </c>
      <c r="FM121" s="1509">
        <v>0.97939569699999995</v>
      </c>
      <c r="FN121" s="1509">
        <v>0.97529272300000003</v>
      </c>
      <c r="FO121" s="1509">
        <v>0.83826493499999999</v>
      </c>
      <c r="FP121" s="1509">
        <v>7.9971089999999995E-2</v>
      </c>
      <c r="FQ121" s="1509">
        <v>0.70915655700000002</v>
      </c>
      <c r="FR121" s="1509">
        <v>8.5788036999999998E-2</v>
      </c>
      <c r="FS121" s="1509">
        <v>0.81856638699999995</v>
      </c>
      <c r="FT121" s="1509">
        <v>0.16435949599999999</v>
      </c>
      <c r="FU121" s="1509">
        <v>0.59033621300000005</v>
      </c>
    </row>
    <row r="122" spans="1:177" s="1509" customFormat="1" x14ac:dyDescent="0.2">
      <c r="A122" s="1512" t="s">
        <v>669</v>
      </c>
      <c r="B122" s="1512" t="s">
        <v>1022</v>
      </c>
      <c r="C122" s="1509">
        <v>0.71111864699999994</v>
      </c>
      <c r="D122" s="1509">
        <v>0.563717197</v>
      </c>
      <c r="E122" s="1509">
        <v>0.520857711</v>
      </c>
      <c r="F122" s="1509">
        <v>0.70136274600000004</v>
      </c>
      <c r="G122" s="1509">
        <v>0.22791810499999998</v>
      </c>
      <c r="H122" s="1509">
        <v>0.22791810499999998</v>
      </c>
      <c r="I122" s="1509">
        <v>0.58187685900000008</v>
      </c>
      <c r="J122" s="1509">
        <v>0.58187685900000008</v>
      </c>
      <c r="K122" s="1509">
        <v>0.58187685900000008</v>
      </c>
      <c r="L122" s="1509">
        <v>0.58187685900000008</v>
      </c>
      <c r="M122" s="1509">
        <v>0.58187685900000008</v>
      </c>
      <c r="N122" s="1509">
        <v>0.58187685900000008</v>
      </c>
      <c r="O122" s="1509">
        <v>0.58187685900000008</v>
      </c>
      <c r="P122" s="1509">
        <v>0.45862369700000005</v>
      </c>
      <c r="Q122" s="1509">
        <v>0.37494871399999996</v>
      </c>
      <c r="R122" s="1509">
        <v>0.81257413099999998</v>
      </c>
      <c r="S122" s="1509">
        <v>0.26641002899999999</v>
      </c>
      <c r="T122" s="1509">
        <v>0.96042363799999997</v>
      </c>
      <c r="U122" s="1509">
        <v>0.46702342500000005</v>
      </c>
      <c r="V122" s="1509">
        <v>0.27274150200000002</v>
      </c>
      <c r="W122" s="1509">
        <v>0.40496083400000005</v>
      </c>
      <c r="X122" s="1509">
        <v>0.29663638199999998</v>
      </c>
      <c r="Y122" s="1509">
        <v>5.5399453000000043E-2</v>
      </c>
      <c r="Z122" s="1509">
        <v>0.68106744399999997</v>
      </c>
      <c r="AA122" s="1509">
        <v>0.90298946899999999</v>
      </c>
      <c r="AB122" s="1509">
        <v>0.54430912799999998</v>
      </c>
      <c r="AC122" s="1509">
        <v>0.54430912799999998</v>
      </c>
      <c r="AD122" s="1509">
        <v>0.54430912799999998</v>
      </c>
      <c r="AE122" s="1509">
        <v>0.12876996399999996</v>
      </c>
      <c r="AF122" s="1509">
        <v>0.59343673399999997</v>
      </c>
      <c r="AG122" s="1509">
        <v>0.65871909699999998</v>
      </c>
      <c r="AH122" s="1509">
        <v>0.63186530600000002</v>
      </c>
      <c r="AI122" s="1509">
        <v>0.84382243599999995</v>
      </c>
      <c r="AJ122" s="1509">
        <v>0.60840643699999997</v>
      </c>
      <c r="AK122" s="1509">
        <v>0.40143823700000003</v>
      </c>
      <c r="AL122" s="1509">
        <v>0.87475103099999996</v>
      </c>
      <c r="AM122" s="1509">
        <v>0.80994830399999995</v>
      </c>
      <c r="AN122" s="1509">
        <v>0.80994830399999995</v>
      </c>
      <c r="AO122" s="1509">
        <v>0.734513839</v>
      </c>
      <c r="AP122" s="1509">
        <v>0.21091790300000002</v>
      </c>
      <c r="AQ122" s="1509">
        <v>0.96757868700000005</v>
      </c>
      <c r="AR122" s="1509">
        <v>0.81864651700000002</v>
      </c>
      <c r="AS122" s="1509">
        <v>0.89814288100000006</v>
      </c>
      <c r="AT122" s="1509">
        <v>0.80471044000000003</v>
      </c>
      <c r="AU122" s="1509">
        <v>0.95270343000000002</v>
      </c>
      <c r="AV122" s="1509">
        <v>4.4338941000000021E-2</v>
      </c>
      <c r="AW122" s="1509">
        <v>0.14126003399999998</v>
      </c>
      <c r="AX122" s="1509">
        <v>0.15460121999999998</v>
      </c>
      <c r="AY122" s="1509">
        <v>2.5433150999999987E-2</v>
      </c>
      <c r="AZ122" s="1509">
        <v>0.13401250499999995</v>
      </c>
      <c r="BA122" s="1509">
        <v>5.0161812000000028E-2</v>
      </c>
      <c r="BB122" s="1509">
        <v>3.9886180999999965E-2</v>
      </c>
      <c r="BC122" s="1509">
        <v>0.97737789600000002</v>
      </c>
      <c r="BD122" s="1509">
        <v>0.88496779299999995</v>
      </c>
      <c r="BE122" s="1509">
        <v>0.46620323500000005</v>
      </c>
      <c r="BF122" s="1509">
        <v>0.97737789600000002</v>
      </c>
      <c r="BG122" s="1509">
        <v>0.60018514000000001</v>
      </c>
      <c r="BH122" s="1509">
        <v>0.16294132100000003</v>
      </c>
      <c r="BI122" s="1509">
        <v>0.16294132100000003</v>
      </c>
      <c r="BJ122" s="1509">
        <v>0.21768862099999997</v>
      </c>
      <c r="BK122" s="1509">
        <v>0.678328402</v>
      </c>
      <c r="BL122" s="1509">
        <v>0.534605094</v>
      </c>
      <c r="BM122" s="1509">
        <v>0.68874997199999999</v>
      </c>
      <c r="BN122" s="1509">
        <v>0.34422490699999997</v>
      </c>
      <c r="BO122" s="1509">
        <v>0.29526872400000004</v>
      </c>
      <c r="BP122" s="1509">
        <v>0.47306795099999999</v>
      </c>
      <c r="BQ122" s="1509">
        <v>0.15547323899999999</v>
      </c>
      <c r="BR122" s="1509">
        <v>0.37550588399999996</v>
      </c>
      <c r="BS122" s="1509">
        <v>0.77818977300000003</v>
      </c>
      <c r="BT122" s="1509">
        <v>0.98462232800000005</v>
      </c>
      <c r="BU122" s="1509">
        <v>0.63952182800000001</v>
      </c>
      <c r="BV122" s="1509">
        <v>0.27923629000000005</v>
      </c>
      <c r="BW122" s="1509">
        <v>0.69051792899999997</v>
      </c>
      <c r="BX122" s="1509">
        <v>0.79243025899999997</v>
      </c>
      <c r="BY122" s="1509">
        <v>0.538321198</v>
      </c>
      <c r="BZ122" s="1509">
        <v>0.57738254599999994</v>
      </c>
      <c r="CA122" s="1509">
        <v>0.18418834299999998</v>
      </c>
      <c r="CB122" s="1509">
        <v>0.74824136699999999</v>
      </c>
      <c r="CC122" s="1509">
        <v>0.15893713700000001</v>
      </c>
      <c r="CD122" s="1509">
        <v>0.40310921799999999</v>
      </c>
      <c r="CE122" s="1509">
        <v>0.176139288</v>
      </c>
      <c r="CF122" s="1509">
        <v>0.40310921799999999</v>
      </c>
      <c r="CG122" s="1509">
        <v>0.46895379800000003</v>
      </c>
      <c r="CH122" s="1509">
        <v>0.84704220699999999</v>
      </c>
      <c r="CI122" s="1509">
        <v>0.48513091500000005</v>
      </c>
      <c r="CJ122" s="1509">
        <v>0.723427559</v>
      </c>
      <c r="CK122" s="1509">
        <v>0.88486009300000001</v>
      </c>
      <c r="CL122" s="1509">
        <v>0.88486009300000001</v>
      </c>
      <c r="CM122" s="1509">
        <v>6.3581889999999586E-3</v>
      </c>
      <c r="CN122" s="1509">
        <v>0.81257413099999998</v>
      </c>
      <c r="CO122" s="1509">
        <v>0.69647825900000004</v>
      </c>
      <c r="CP122" s="1509">
        <v>0.91218398700000003</v>
      </c>
      <c r="CQ122" s="1509">
        <v>0.91326739800000001</v>
      </c>
      <c r="CR122" s="1509">
        <v>0.97041834699999996</v>
      </c>
      <c r="CS122" s="1509">
        <v>0.28014995799999998</v>
      </c>
      <c r="CT122" s="1509">
        <v>0.81387557700000002</v>
      </c>
      <c r="CU122" s="1509">
        <v>0.26641002899999999</v>
      </c>
      <c r="CV122" s="1509">
        <v>0.64433216699999996</v>
      </c>
      <c r="CW122" s="1509">
        <v>0.69162098500000002</v>
      </c>
      <c r="CX122" s="1509">
        <v>0.19050921300000001</v>
      </c>
      <c r="CY122" s="1509">
        <v>0.56704202700000006</v>
      </c>
      <c r="CZ122" s="1509">
        <v>9.2750900000000414E-3</v>
      </c>
      <c r="DA122" s="1509">
        <v>0.34810538000000002</v>
      </c>
      <c r="DB122" s="1509">
        <v>0.98478646800000003</v>
      </c>
      <c r="DC122" s="1509">
        <v>0.20951259700000002</v>
      </c>
      <c r="DD122" s="1509">
        <v>0.99059961900000004</v>
      </c>
      <c r="DE122" s="1509">
        <v>0.53502147700000002</v>
      </c>
      <c r="DF122" s="1509">
        <v>0.82191705199999998</v>
      </c>
      <c r="DG122" s="1509">
        <v>0.102622357</v>
      </c>
      <c r="DH122" s="1509">
        <v>0.20495957499999995</v>
      </c>
      <c r="DI122" s="1509">
        <v>9.2789668999999964E-2</v>
      </c>
      <c r="DJ122" s="1509">
        <v>0.71431848799999997</v>
      </c>
      <c r="DK122" s="1509">
        <v>0.196377362</v>
      </c>
      <c r="DL122" s="1509">
        <v>2.6631259999999601E-3</v>
      </c>
      <c r="DM122" s="1509">
        <v>0.20749255899999997</v>
      </c>
      <c r="DN122" s="1509">
        <v>0.88272182300000002</v>
      </c>
      <c r="DO122" s="1509">
        <v>0.17751469499999994</v>
      </c>
      <c r="DP122" s="1509">
        <v>9.2750900000000414E-3</v>
      </c>
      <c r="DQ122" s="1509">
        <v>1.440971000000002E-2</v>
      </c>
      <c r="DR122" s="1509">
        <v>0.44588165199999996</v>
      </c>
      <c r="DS122" s="1509">
        <v>0.538321198</v>
      </c>
      <c r="DT122" s="1509">
        <v>3.5483500999999973E-2</v>
      </c>
      <c r="DU122" s="1509">
        <v>0.827794382</v>
      </c>
      <c r="DV122" s="1509">
        <v>0.54430912799999998</v>
      </c>
      <c r="DW122" s="1509">
        <v>0.640852855</v>
      </c>
      <c r="DX122" s="1509">
        <v>0.76617676400000001</v>
      </c>
      <c r="DY122" s="1509">
        <v>0.55248442399999997</v>
      </c>
      <c r="DZ122" s="1509">
        <v>0.65405014800000005</v>
      </c>
      <c r="EA122" s="1509">
        <v>0.43280936999999997</v>
      </c>
      <c r="EB122" s="1509">
        <v>0.14038428599999997</v>
      </c>
      <c r="EC122" s="1509">
        <v>0.63763033700000005</v>
      </c>
      <c r="ED122" s="1509">
        <v>0.64043273099999998</v>
      </c>
      <c r="EE122" s="1509">
        <v>0.38509395499999999</v>
      </c>
      <c r="EF122" s="1509">
        <v>0.20481364099999999</v>
      </c>
      <c r="EG122" s="1509">
        <v>0.73464939799999995</v>
      </c>
      <c r="EH122" s="1509">
        <v>4.6644872000000004E-2</v>
      </c>
      <c r="EI122" s="1509">
        <v>0.257398193</v>
      </c>
      <c r="EJ122" s="1509">
        <v>0.40310921799999999</v>
      </c>
      <c r="EK122" s="1509">
        <v>0.930361255</v>
      </c>
      <c r="EL122" s="1509">
        <v>0.54679494800000006</v>
      </c>
      <c r="EM122" s="1509">
        <v>0.92816343000000001</v>
      </c>
      <c r="EN122" s="1509">
        <v>0.40438193899999997</v>
      </c>
      <c r="EO122" s="1509">
        <v>0.85065168000000002</v>
      </c>
      <c r="EP122" s="1509">
        <v>0.57738254599999994</v>
      </c>
      <c r="EQ122" s="1509">
        <v>1.5367059999999988E-3</v>
      </c>
      <c r="ER122" s="1509">
        <v>0.21552407399999995</v>
      </c>
      <c r="ES122" s="1509">
        <v>0.21552407399999995</v>
      </c>
      <c r="ET122" s="1509">
        <v>0.34005206899999996</v>
      </c>
      <c r="EU122" s="1509">
        <v>0.67236755100000001</v>
      </c>
      <c r="EV122" s="1509">
        <v>0.54430912799999998</v>
      </c>
      <c r="EW122" s="1509">
        <v>0.18054079300000003</v>
      </c>
      <c r="EX122" s="1509">
        <v>0.13021486900000001</v>
      </c>
      <c r="EY122" s="1509">
        <v>2.9208770999999967E-2</v>
      </c>
      <c r="EZ122" s="1509">
        <v>0.538321198</v>
      </c>
      <c r="FA122" s="1509">
        <v>6.1087778999999953E-2</v>
      </c>
      <c r="FB122" s="1509">
        <v>0.67335572499999996</v>
      </c>
      <c r="FC122" s="1509">
        <v>9.7142417000000036E-2</v>
      </c>
      <c r="FD122" s="1509">
        <v>0.20367435</v>
      </c>
      <c r="FE122" s="1509">
        <v>9.5650882000000048E-2</v>
      </c>
      <c r="FF122" s="1509">
        <v>0.31701458299999996</v>
      </c>
      <c r="FG122" s="1509">
        <v>0.36105004600000001</v>
      </c>
      <c r="FH122" s="1509">
        <v>9.2750900000000414E-3</v>
      </c>
      <c r="FI122" s="1509">
        <v>0.33801709099999999</v>
      </c>
      <c r="FJ122" s="1509">
        <v>0.25878959999999995</v>
      </c>
      <c r="FK122" s="1509">
        <v>0.48546192499999996</v>
      </c>
      <c r="FL122" s="1509">
        <v>0.20495957499999995</v>
      </c>
      <c r="FM122" s="1509">
        <v>0.33134209299999995</v>
      </c>
      <c r="FN122" s="1509">
        <v>0.138416647</v>
      </c>
      <c r="FO122" s="1509">
        <v>0.89159943399999997</v>
      </c>
      <c r="FP122" s="1509">
        <v>0.14295735700000001</v>
      </c>
      <c r="FQ122" s="1509">
        <v>0.73464939799999995</v>
      </c>
      <c r="FR122" s="1509">
        <v>1.7502150000000549E-3</v>
      </c>
      <c r="FS122" s="1509">
        <v>0.48745801600000005</v>
      </c>
      <c r="FT122" s="1509">
        <v>0.14215546499999998</v>
      </c>
      <c r="FU122" s="1509">
        <v>0.488451305</v>
      </c>
    </row>
    <row r="123" spans="1:177" s="1509" customFormat="1" x14ac:dyDescent="0.2">
      <c r="A123" s="1512" t="s">
        <v>669</v>
      </c>
      <c r="B123" s="1512" t="s">
        <v>1037</v>
      </c>
      <c r="C123" s="1509">
        <v>0</v>
      </c>
      <c r="D123" s="1509">
        <v>0</v>
      </c>
      <c r="E123" s="1509">
        <v>0</v>
      </c>
      <c r="F123" s="1509">
        <v>0</v>
      </c>
      <c r="G123" s="1509">
        <v>0</v>
      </c>
      <c r="H123" s="1509">
        <v>0</v>
      </c>
      <c r="I123" s="1509">
        <v>0</v>
      </c>
      <c r="J123" s="1509">
        <v>0</v>
      </c>
      <c r="K123" s="1509">
        <v>0</v>
      </c>
      <c r="L123" s="1509">
        <v>0</v>
      </c>
      <c r="M123" s="1509">
        <v>0</v>
      </c>
      <c r="N123" s="1509">
        <v>0</v>
      </c>
      <c r="O123" s="1509">
        <v>0</v>
      </c>
      <c r="P123" s="1509">
        <v>0</v>
      </c>
      <c r="Q123" s="1509">
        <v>0</v>
      </c>
      <c r="R123" s="1509">
        <v>0</v>
      </c>
      <c r="S123" s="1509">
        <v>0</v>
      </c>
      <c r="T123" s="1509">
        <v>0</v>
      </c>
      <c r="U123" s="1509">
        <v>0</v>
      </c>
      <c r="V123" s="1509">
        <v>0</v>
      </c>
      <c r="W123" s="1509">
        <v>0</v>
      </c>
      <c r="X123" s="1509">
        <v>0</v>
      </c>
      <c r="Y123" s="1509">
        <v>0</v>
      </c>
      <c r="Z123" s="1509">
        <v>0</v>
      </c>
      <c r="AA123" s="1509">
        <v>0</v>
      </c>
      <c r="AB123" s="1509">
        <v>0</v>
      </c>
      <c r="AC123" s="1509">
        <v>0</v>
      </c>
      <c r="AD123" s="1509">
        <v>0</v>
      </c>
      <c r="AE123" s="1509">
        <v>0</v>
      </c>
      <c r="AF123" s="1509">
        <v>0</v>
      </c>
      <c r="AG123" s="1509">
        <v>0</v>
      </c>
      <c r="AH123" s="1509">
        <v>0</v>
      </c>
      <c r="AI123" s="1509">
        <v>0</v>
      </c>
      <c r="AJ123" s="1509">
        <v>0</v>
      </c>
      <c r="AK123" s="1509">
        <v>0</v>
      </c>
      <c r="AL123" s="1509">
        <v>0</v>
      </c>
      <c r="AM123" s="1509">
        <v>0</v>
      </c>
      <c r="AN123" s="1509">
        <v>0</v>
      </c>
      <c r="AO123" s="1509">
        <v>0</v>
      </c>
      <c r="AP123" s="1509">
        <v>0</v>
      </c>
      <c r="AQ123" s="1509">
        <v>0</v>
      </c>
      <c r="AR123" s="1509">
        <v>0</v>
      </c>
      <c r="AS123" s="1509">
        <v>0</v>
      </c>
      <c r="AT123" s="1509">
        <v>0</v>
      </c>
      <c r="AU123" s="1509">
        <v>0</v>
      </c>
      <c r="AV123" s="1509">
        <v>0</v>
      </c>
      <c r="AW123" s="1509">
        <v>0</v>
      </c>
      <c r="AX123" s="1509">
        <v>0</v>
      </c>
      <c r="AY123" s="1509">
        <v>0</v>
      </c>
      <c r="AZ123" s="1509">
        <v>0</v>
      </c>
      <c r="BA123" s="1509">
        <v>0</v>
      </c>
      <c r="BB123" s="1509">
        <v>0</v>
      </c>
      <c r="BC123" s="1509">
        <v>0</v>
      </c>
      <c r="BD123" s="1509">
        <v>0</v>
      </c>
      <c r="BE123" s="1509">
        <v>0</v>
      </c>
      <c r="BF123" s="1509">
        <v>0</v>
      </c>
      <c r="BG123" s="1509">
        <v>0</v>
      </c>
      <c r="BH123" s="1509">
        <v>0</v>
      </c>
      <c r="BI123" s="1509">
        <v>0</v>
      </c>
      <c r="BJ123" s="1509">
        <v>0</v>
      </c>
      <c r="BK123" s="1509">
        <v>0</v>
      </c>
      <c r="BL123" s="1509">
        <v>0</v>
      </c>
      <c r="BM123" s="1509">
        <v>0</v>
      </c>
      <c r="BN123" s="1509">
        <v>0</v>
      </c>
      <c r="BO123" s="1509">
        <v>0</v>
      </c>
      <c r="BP123" s="1509">
        <v>0</v>
      </c>
      <c r="BQ123" s="1509">
        <v>0</v>
      </c>
      <c r="BR123" s="1509">
        <v>0</v>
      </c>
      <c r="BS123" s="1509">
        <v>0</v>
      </c>
      <c r="BT123" s="1509">
        <v>0</v>
      </c>
      <c r="BU123" s="1509">
        <v>0</v>
      </c>
      <c r="BV123" s="1509">
        <v>0</v>
      </c>
      <c r="BW123" s="1509">
        <v>0</v>
      </c>
      <c r="BX123" s="1509">
        <v>0</v>
      </c>
      <c r="BY123" s="1509">
        <v>0</v>
      </c>
      <c r="BZ123" s="1509">
        <v>0</v>
      </c>
      <c r="CA123" s="1509">
        <v>0</v>
      </c>
      <c r="CB123" s="1509">
        <v>0</v>
      </c>
      <c r="CC123" s="1509">
        <v>0</v>
      </c>
      <c r="CD123" s="1509">
        <v>0</v>
      </c>
      <c r="CE123" s="1509">
        <v>0</v>
      </c>
      <c r="CF123" s="1509">
        <v>0</v>
      </c>
      <c r="CG123" s="1509">
        <v>0</v>
      </c>
      <c r="CH123" s="1509">
        <v>0</v>
      </c>
      <c r="CI123" s="1509">
        <v>0</v>
      </c>
      <c r="CJ123" s="1509">
        <v>0</v>
      </c>
      <c r="CK123" s="1509">
        <v>0</v>
      </c>
      <c r="CL123" s="1509">
        <v>0</v>
      </c>
      <c r="CM123" s="1509">
        <v>0</v>
      </c>
      <c r="CN123" s="1509">
        <v>0</v>
      </c>
      <c r="CO123" s="1509">
        <v>0</v>
      </c>
      <c r="CP123" s="1509">
        <v>0</v>
      </c>
      <c r="CQ123" s="1509">
        <v>0</v>
      </c>
      <c r="CR123" s="1509">
        <v>0</v>
      </c>
      <c r="CS123" s="1509">
        <v>0</v>
      </c>
      <c r="CT123" s="1509">
        <v>0</v>
      </c>
      <c r="CU123" s="1509">
        <v>0</v>
      </c>
      <c r="CV123" s="1509">
        <v>0</v>
      </c>
      <c r="CW123" s="1509">
        <v>0</v>
      </c>
      <c r="CX123" s="1509">
        <v>0</v>
      </c>
      <c r="CY123" s="1509">
        <v>0</v>
      </c>
      <c r="CZ123" s="1509">
        <v>0</v>
      </c>
      <c r="DA123" s="1509">
        <v>0</v>
      </c>
      <c r="DB123" s="1509">
        <v>0</v>
      </c>
      <c r="DC123" s="1509">
        <v>0</v>
      </c>
      <c r="DD123" s="1509">
        <v>0</v>
      </c>
      <c r="DE123" s="1509">
        <v>0</v>
      </c>
      <c r="DF123" s="1509">
        <v>0</v>
      </c>
      <c r="DG123" s="1509">
        <v>0</v>
      </c>
      <c r="DH123" s="1509">
        <v>0</v>
      </c>
      <c r="DI123" s="1509">
        <v>0</v>
      </c>
      <c r="DJ123" s="1509">
        <v>0</v>
      </c>
      <c r="DK123" s="1509">
        <v>0</v>
      </c>
      <c r="DL123" s="1509">
        <v>0</v>
      </c>
      <c r="DM123" s="1509">
        <v>0</v>
      </c>
      <c r="DN123" s="1509">
        <v>0</v>
      </c>
      <c r="DO123" s="1509">
        <v>0</v>
      </c>
      <c r="DP123" s="1509">
        <v>0</v>
      </c>
      <c r="DQ123" s="1509">
        <v>0</v>
      </c>
      <c r="DR123" s="1509">
        <v>0</v>
      </c>
      <c r="DS123" s="1509">
        <v>0</v>
      </c>
      <c r="DT123" s="1509">
        <v>0</v>
      </c>
      <c r="DU123" s="1509">
        <v>0</v>
      </c>
      <c r="DV123" s="1509">
        <v>0</v>
      </c>
      <c r="DW123" s="1509">
        <v>0</v>
      </c>
      <c r="DX123" s="1509">
        <v>0</v>
      </c>
      <c r="DY123" s="1509">
        <v>0</v>
      </c>
      <c r="DZ123" s="1509">
        <v>0</v>
      </c>
      <c r="EA123" s="1509">
        <v>0</v>
      </c>
      <c r="EB123" s="1509">
        <v>0</v>
      </c>
      <c r="EC123" s="1509">
        <v>0</v>
      </c>
      <c r="ED123" s="1509">
        <v>0</v>
      </c>
      <c r="EE123" s="1509">
        <v>0</v>
      </c>
      <c r="EF123" s="1509">
        <v>0</v>
      </c>
      <c r="EG123" s="1509">
        <v>0</v>
      </c>
      <c r="EH123" s="1509">
        <v>0</v>
      </c>
      <c r="EI123" s="1509">
        <v>0</v>
      </c>
      <c r="EJ123" s="1509">
        <v>0</v>
      </c>
      <c r="EK123" s="1509">
        <v>0</v>
      </c>
      <c r="EL123" s="1509">
        <v>0</v>
      </c>
      <c r="EM123" s="1509">
        <v>0</v>
      </c>
      <c r="EN123" s="1509">
        <v>0</v>
      </c>
      <c r="EO123" s="1509">
        <v>0</v>
      </c>
      <c r="EP123" s="1509">
        <v>0</v>
      </c>
      <c r="EQ123" s="1509">
        <v>0</v>
      </c>
      <c r="ER123" s="1509">
        <v>0</v>
      </c>
      <c r="ES123" s="1509">
        <v>0</v>
      </c>
      <c r="ET123" s="1509">
        <v>0</v>
      </c>
      <c r="EU123" s="1509">
        <v>0</v>
      </c>
      <c r="EV123" s="1509">
        <v>0</v>
      </c>
      <c r="EW123" s="1509">
        <v>0</v>
      </c>
      <c r="EX123" s="1509">
        <v>0</v>
      </c>
      <c r="EY123" s="1509">
        <v>0</v>
      </c>
      <c r="EZ123" s="1509">
        <v>0</v>
      </c>
      <c r="FA123" s="1509">
        <v>0</v>
      </c>
      <c r="FB123" s="1509">
        <v>0</v>
      </c>
      <c r="FC123" s="1509">
        <v>0</v>
      </c>
      <c r="FD123" s="1509">
        <v>0</v>
      </c>
      <c r="FE123" s="1509">
        <v>0</v>
      </c>
      <c r="FF123" s="1509">
        <v>0</v>
      </c>
      <c r="FG123" s="1509">
        <v>0</v>
      </c>
      <c r="FH123" s="1509">
        <v>0</v>
      </c>
      <c r="FI123" s="1509">
        <v>0</v>
      </c>
      <c r="FJ123" s="1509">
        <v>0</v>
      </c>
      <c r="FK123" s="1509">
        <v>0</v>
      </c>
      <c r="FL123" s="1509">
        <v>0</v>
      </c>
      <c r="FM123" s="1509">
        <v>0</v>
      </c>
      <c r="FN123" s="1509">
        <v>0</v>
      </c>
      <c r="FO123" s="1509">
        <v>0</v>
      </c>
      <c r="FP123" s="1509">
        <v>0</v>
      </c>
      <c r="FQ123" s="1509">
        <v>0</v>
      </c>
      <c r="FR123" s="1509">
        <v>0</v>
      </c>
      <c r="FS123" s="1509">
        <v>0</v>
      </c>
      <c r="FT123" s="1509">
        <v>0</v>
      </c>
      <c r="FU123" s="1509">
        <v>0</v>
      </c>
    </row>
    <row r="124" spans="1:177" s="1509" customFormat="1" x14ac:dyDescent="0.2">
      <c r="A124" s="1512" t="s">
        <v>670</v>
      </c>
      <c r="B124" s="1512" t="s">
        <v>1257</v>
      </c>
      <c r="C124" s="1509">
        <v>0.96154161500000002</v>
      </c>
      <c r="D124" s="1509">
        <v>0</v>
      </c>
      <c r="E124" s="1509">
        <v>0</v>
      </c>
      <c r="F124" s="1509">
        <v>0</v>
      </c>
      <c r="G124" s="1509">
        <v>0</v>
      </c>
      <c r="H124" s="1509">
        <v>0</v>
      </c>
      <c r="I124" s="1509">
        <v>0</v>
      </c>
      <c r="J124" s="1509">
        <v>0</v>
      </c>
      <c r="K124" s="1509">
        <v>0</v>
      </c>
      <c r="L124" s="1509">
        <v>0</v>
      </c>
      <c r="M124" s="1509">
        <v>0</v>
      </c>
      <c r="N124" s="1509">
        <v>0</v>
      </c>
      <c r="O124" s="1509">
        <v>0</v>
      </c>
      <c r="P124" s="1509">
        <v>0</v>
      </c>
      <c r="Q124" s="1509">
        <v>0</v>
      </c>
      <c r="R124" s="1509">
        <v>0</v>
      </c>
      <c r="S124" s="1509">
        <v>0</v>
      </c>
      <c r="T124" s="1509">
        <v>0</v>
      </c>
      <c r="U124" s="1509">
        <v>0</v>
      </c>
      <c r="V124" s="1509">
        <v>0</v>
      </c>
      <c r="W124" s="1509">
        <v>0</v>
      </c>
      <c r="X124" s="1509">
        <v>0.96686690900000005</v>
      </c>
      <c r="Y124" s="1509">
        <v>0</v>
      </c>
      <c r="Z124" s="1509">
        <v>0</v>
      </c>
      <c r="AA124" s="1509">
        <v>0</v>
      </c>
      <c r="AB124" s="1509">
        <v>0</v>
      </c>
      <c r="AC124" s="1509">
        <v>0</v>
      </c>
      <c r="AD124" s="1509">
        <v>0</v>
      </c>
      <c r="AE124" s="1509">
        <v>0</v>
      </c>
      <c r="AF124" s="1509">
        <v>0</v>
      </c>
      <c r="AG124" s="1509">
        <v>0</v>
      </c>
      <c r="AH124" s="1509">
        <v>0</v>
      </c>
      <c r="AI124" s="1509">
        <v>0</v>
      </c>
      <c r="AJ124" s="1509">
        <v>0</v>
      </c>
      <c r="AK124" s="1509">
        <v>0</v>
      </c>
      <c r="AL124" s="1509">
        <v>0</v>
      </c>
      <c r="AM124" s="1509">
        <v>0</v>
      </c>
      <c r="AN124" s="1509">
        <v>0</v>
      </c>
      <c r="AO124" s="1509">
        <v>0.68843124899999997</v>
      </c>
      <c r="AP124" s="1509">
        <v>0</v>
      </c>
      <c r="AQ124" s="1509">
        <v>0.94979168400000002</v>
      </c>
      <c r="AR124" s="1509">
        <v>0</v>
      </c>
      <c r="AS124" s="1509">
        <v>0</v>
      </c>
      <c r="AT124" s="1509">
        <v>0</v>
      </c>
      <c r="AU124" s="1509">
        <v>0</v>
      </c>
      <c r="AV124" s="1509">
        <v>0</v>
      </c>
      <c r="AW124" s="1509">
        <v>0</v>
      </c>
      <c r="AX124" s="1509">
        <v>0.60804603800000001</v>
      </c>
      <c r="AY124" s="1509">
        <v>0</v>
      </c>
      <c r="AZ124" s="1509">
        <v>0</v>
      </c>
      <c r="BA124" s="1509">
        <v>0</v>
      </c>
      <c r="BB124" s="1509">
        <v>0</v>
      </c>
      <c r="BC124" s="1509">
        <v>0</v>
      </c>
      <c r="BD124" s="1509">
        <v>0</v>
      </c>
      <c r="BE124" s="1509">
        <v>0.94702553499999997</v>
      </c>
      <c r="BF124" s="1509">
        <v>0</v>
      </c>
      <c r="BG124" s="1509">
        <v>0.96950431400000003</v>
      </c>
      <c r="BH124" s="1509">
        <v>0</v>
      </c>
      <c r="BI124" s="1509">
        <v>0</v>
      </c>
      <c r="BJ124" s="1509">
        <v>0.88784461599999998</v>
      </c>
      <c r="BK124" s="1509">
        <v>0</v>
      </c>
      <c r="BL124" s="1509">
        <v>0.89634868899999998</v>
      </c>
      <c r="BM124" s="1509">
        <v>0</v>
      </c>
      <c r="BN124" s="1509">
        <v>0</v>
      </c>
      <c r="BO124" s="1509">
        <v>0.96765694499999999</v>
      </c>
      <c r="BP124" s="1509">
        <v>0</v>
      </c>
      <c r="BQ124" s="1509">
        <v>0</v>
      </c>
      <c r="BR124" s="1509">
        <v>0</v>
      </c>
      <c r="BS124" s="1509">
        <v>0</v>
      </c>
      <c r="BT124" s="1509">
        <v>0</v>
      </c>
      <c r="BU124" s="1509">
        <v>0</v>
      </c>
      <c r="BV124" s="1509">
        <v>0</v>
      </c>
      <c r="BW124" s="1509">
        <v>0.91005523300000002</v>
      </c>
      <c r="BX124" s="1509">
        <v>0.35986748299999999</v>
      </c>
      <c r="BY124" s="1509">
        <v>0.17532073300000001</v>
      </c>
      <c r="BZ124" s="1509">
        <v>0.37479541700000002</v>
      </c>
      <c r="CA124" s="1509">
        <v>0.92212644300000002</v>
      </c>
      <c r="CB124" s="1509">
        <v>0.93228721299999995</v>
      </c>
      <c r="CC124" s="1509">
        <v>0.92131758799999997</v>
      </c>
      <c r="CD124" s="1509">
        <v>0</v>
      </c>
      <c r="CE124" s="1509">
        <v>0</v>
      </c>
      <c r="CF124" s="1509">
        <v>0</v>
      </c>
      <c r="CG124" s="1509">
        <v>0</v>
      </c>
      <c r="CH124" s="1509">
        <v>0</v>
      </c>
      <c r="CI124" s="1509">
        <v>0</v>
      </c>
      <c r="CJ124" s="1509">
        <v>0</v>
      </c>
      <c r="CK124" s="1509">
        <v>0</v>
      </c>
      <c r="CL124" s="1509">
        <v>0</v>
      </c>
      <c r="CM124" s="1509">
        <v>0</v>
      </c>
      <c r="CN124" s="1509">
        <v>0</v>
      </c>
      <c r="CO124" s="1509">
        <v>0</v>
      </c>
      <c r="CP124" s="1509">
        <v>0</v>
      </c>
      <c r="CQ124" s="1509">
        <v>0</v>
      </c>
      <c r="CR124" s="1509">
        <v>0.97767028600000006</v>
      </c>
      <c r="CS124" s="1509">
        <v>0</v>
      </c>
      <c r="CT124" s="1509">
        <v>0</v>
      </c>
      <c r="CU124" s="1509">
        <v>0</v>
      </c>
      <c r="CV124" s="1509">
        <v>0</v>
      </c>
      <c r="CW124" s="1509">
        <v>0</v>
      </c>
      <c r="CX124" s="1509">
        <v>0</v>
      </c>
      <c r="CY124" s="1509">
        <v>0</v>
      </c>
      <c r="CZ124" s="1509">
        <v>0.79268517999999999</v>
      </c>
      <c r="DA124" s="1509">
        <v>0.68840082400000002</v>
      </c>
      <c r="DB124" s="1509">
        <v>0.54616238100000003</v>
      </c>
      <c r="DC124" s="1509">
        <v>0.47199890999999999</v>
      </c>
      <c r="DD124" s="1509">
        <v>0</v>
      </c>
      <c r="DE124" s="1509">
        <v>0.411539135</v>
      </c>
      <c r="DF124" s="1509">
        <v>0.26138243799999999</v>
      </c>
      <c r="DG124" s="1509">
        <v>0.54877075500000005</v>
      </c>
      <c r="DH124" s="1509">
        <v>0.38208786700000003</v>
      </c>
      <c r="DI124" s="1509">
        <v>0.29484359500000001</v>
      </c>
      <c r="DJ124" s="1509">
        <v>0.15458529100000001</v>
      </c>
      <c r="DK124" s="1509">
        <v>0.66779737100000003</v>
      </c>
      <c r="DL124" s="1509">
        <v>0</v>
      </c>
      <c r="DM124" s="1509">
        <v>0.94819471099999997</v>
      </c>
      <c r="DN124" s="1509">
        <v>0</v>
      </c>
      <c r="DO124" s="1509">
        <v>0.99860663599999999</v>
      </c>
      <c r="DP124" s="1509">
        <v>0.28528060799999999</v>
      </c>
      <c r="DQ124" s="1509">
        <v>0.740853176</v>
      </c>
      <c r="DR124" s="1509">
        <v>0.42343329299999999</v>
      </c>
      <c r="DS124" s="1509">
        <v>0.70392270700000004</v>
      </c>
      <c r="DT124" s="1509">
        <v>0.53872551599999996</v>
      </c>
      <c r="DU124" s="1509">
        <v>0</v>
      </c>
      <c r="DV124" s="1509">
        <v>0</v>
      </c>
      <c r="DW124" s="1509">
        <v>0</v>
      </c>
      <c r="DX124" s="1509">
        <v>0</v>
      </c>
      <c r="DY124" s="1509">
        <v>0</v>
      </c>
      <c r="DZ124" s="1509">
        <v>0</v>
      </c>
      <c r="EA124" s="1509">
        <v>0</v>
      </c>
      <c r="EB124" s="1509">
        <v>0.89450402799999995</v>
      </c>
      <c r="EC124" s="1509">
        <v>0</v>
      </c>
      <c r="ED124" s="1509">
        <v>0</v>
      </c>
      <c r="EE124" s="1509">
        <v>0.95171515900000003</v>
      </c>
      <c r="EF124" s="1509">
        <v>0</v>
      </c>
      <c r="EG124" s="1509">
        <v>0.100298295</v>
      </c>
      <c r="EH124" s="1509">
        <v>0</v>
      </c>
      <c r="EI124" s="1509">
        <v>0.92861269700000004</v>
      </c>
      <c r="EJ124" s="1509">
        <v>0</v>
      </c>
      <c r="EK124" s="1509">
        <v>0.88218765600000004</v>
      </c>
      <c r="EL124" s="1509">
        <v>0.27152395200000001</v>
      </c>
      <c r="EM124" s="1509">
        <v>0.50022385300000005</v>
      </c>
      <c r="EN124" s="1509">
        <v>0.46933213899999998</v>
      </c>
      <c r="EO124" s="1509">
        <v>0</v>
      </c>
      <c r="EP124" s="1509">
        <v>0.10887756699999999</v>
      </c>
      <c r="EQ124" s="1509">
        <v>0.98901496799999999</v>
      </c>
      <c r="ER124" s="1509">
        <v>0.99941621899999999</v>
      </c>
      <c r="ES124" s="1509">
        <v>0.99927853499999997</v>
      </c>
      <c r="ET124" s="1509">
        <v>0.94366511799999997</v>
      </c>
      <c r="EU124" s="1509">
        <v>0.12907185500000001</v>
      </c>
      <c r="EV124" s="1509">
        <v>0</v>
      </c>
      <c r="EW124" s="1509">
        <v>0.87842230399999999</v>
      </c>
      <c r="EX124" s="1509">
        <v>0.97690761400000004</v>
      </c>
      <c r="EY124" s="1509">
        <v>0.98743219100000001</v>
      </c>
      <c r="EZ124" s="1509">
        <v>0.23783063199999999</v>
      </c>
      <c r="FA124" s="1509">
        <v>0</v>
      </c>
      <c r="FB124" s="1509">
        <v>0</v>
      </c>
      <c r="FC124" s="1509">
        <v>0</v>
      </c>
      <c r="FD124" s="1509">
        <v>0</v>
      </c>
      <c r="FE124" s="1509">
        <v>0.97592730299999997</v>
      </c>
      <c r="FF124" s="1509">
        <v>0.93099762200000002</v>
      </c>
      <c r="FG124" s="1509">
        <v>0</v>
      </c>
      <c r="FH124" s="1509">
        <v>0.101578586</v>
      </c>
      <c r="FI124" s="1509">
        <v>0.65758415299999995</v>
      </c>
      <c r="FJ124" s="1509">
        <v>0</v>
      </c>
      <c r="FK124" s="1509">
        <v>0.48805501299999998</v>
      </c>
      <c r="FL124" s="1509">
        <v>0.60699199999999998</v>
      </c>
      <c r="FM124" s="1509">
        <v>0</v>
      </c>
      <c r="FN124" s="1509">
        <v>0.98633087600000002</v>
      </c>
      <c r="FO124" s="1509">
        <v>0</v>
      </c>
      <c r="FP124" s="1509">
        <v>0</v>
      </c>
      <c r="FQ124" s="1509">
        <v>0.27122380000000001</v>
      </c>
      <c r="FR124" s="1509">
        <v>0</v>
      </c>
      <c r="FS124" s="1509">
        <v>0</v>
      </c>
      <c r="FT124" s="1509">
        <v>0.36071477200000002</v>
      </c>
      <c r="FU124" s="1509">
        <v>0</v>
      </c>
    </row>
    <row r="125" spans="1:177" s="1509" customFormat="1" x14ac:dyDescent="0.2">
      <c r="A125" s="1512" t="s">
        <v>670</v>
      </c>
      <c r="B125" s="1512" t="s">
        <v>1052</v>
      </c>
      <c r="C125" s="1509">
        <v>0.805930492</v>
      </c>
      <c r="D125" s="1509">
        <v>0.805930492</v>
      </c>
      <c r="E125" s="1509">
        <v>0.805930492</v>
      </c>
      <c r="F125" s="1509">
        <v>0.99822776999999996</v>
      </c>
      <c r="G125" s="1509">
        <v>0.805930492</v>
      </c>
      <c r="H125" s="1509">
        <v>0.805930492</v>
      </c>
      <c r="I125" s="1509">
        <v>0.805930492</v>
      </c>
      <c r="J125" s="1509">
        <v>0.805930492</v>
      </c>
      <c r="K125" s="1509">
        <v>0.805930492</v>
      </c>
      <c r="L125" s="1509">
        <v>0.805930492</v>
      </c>
      <c r="M125" s="1509">
        <v>0.805930492</v>
      </c>
      <c r="N125" s="1509">
        <v>0.805930492</v>
      </c>
      <c r="O125" s="1509">
        <v>0.805930492</v>
      </c>
      <c r="P125" s="1509">
        <v>0.805930492</v>
      </c>
      <c r="Q125" s="1509" t="s">
        <v>2372</v>
      </c>
      <c r="R125" s="1509" t="s">
        <v>2372</v>
      </c>
      <c r="S125" s="1509">
        <v>0.805930492</v>
      </c>
      <c r="T125" s="1509">
        <v>0.805930492</v>
      </c>
      <c r="U125" s="1509">
        <v>0.805930492</v>
      </c>
      <c r="V125" s="1509">
        <v>0.805930492</v>
      </c>
      <c r="W125" s="1509">
        <v>0.805930492</v>
      </c>
      <c r="X125" s="1509">
        <v>0.805930492</v>
      </c>
      <c r="Y125" s="1509">
        <v>0.805930492</v>
      </c>
      <c r="Z125" s="1509">
        <v>0.805930492</v>
      </c>
      <c r="AA125" s="1509">
        <v>0.805930492</v>
      </c>
      <c r="AB125" s="1509">
        <v>0.805930492</v>
      </c>
      <c r="AC125" s="1509">
        <v>0.805930492</v>
      </c>
      <c r="AD125" s="1509">
        <v>0.805930492</v>
      </c>
      <c r="AE125" s="1509" t="s">
        <v>2372</v>
      </c>
      <c r="AF125" s="1509">
        <v>0.805930492</v>
      </c>
      <c r="AG125" s="1509">
        <v>0.805930492</v>
      </c>
      <c r="AH125" s="1509">
        <v>0.805930492</v>
      </c>
      <c r="AI125" s="1509">
        <v>0.805930492</v>
      </c>
      <c r="AJ125" s="1509">
        <v>0.805930492</v>
      </c>
      <c r="AK125" s="1509" t="s">
        <v>2372</v>
      </c>
      <c r="AL125" s="1509" t="s">
        <v>2372</v>
      </c>
      <c r="AM125" s="1509" t="s">
        <v>2372</v>
      </c>
      <c r="AN125" s="1509" t="s">
        <v>2372</v>
      </c>
      <c r="AO125" s="1509" t="s">
        <v>2372</v>
      </c>
      <c r="AP125" s="1509" t="s">
        <v>2372</v>
      </c>
      <c r="AQ125" s="1509">
        <v>0.805930492</v>
      </c>
      <c r="AR125" s="1509" t="s">
        <v>2372</v>
      </c>
      <c r="AS125" s="1509" t="s">
        <v>2372</v>
      </c>
      <c r="AT125" s="1509" t="s">
        <v>2372</v>
      </c>
      <c r="AU125" s="1509" t="s">
        <v>2372</v>
      </c>
      <c r="AV125" s="1509">
        <v>1</v>
      </c>
      <c r="AW125" s="1509">
        <v>1</v>
      </c>
      <c r="AX125" s="1509">
        <v>0.99917518299999997</v>
      </c>
      <c r="AY125" s="1509">
        <v>0.99822776999999996</v>
      </c>
      <c r="AZ125" s="1509">
        <v>0.99822776999999996</v>
      </c>
      <c r="BA125" s="1509">
        <v>0.99822776999999996</v>
      </c>
      <c r="BB125" s="1509">
        <v>0.99822776999999996</v>
      </c>
      <c r="BC125" s="1509" t="s">
        <v>2372</v>
      </c>
      <c r="BD125" s="1509" t="s">
        <v>2372</v>
      </c>
      <c r="BE125" s="1509">
        <v>0.20045761000000001</v>
      </c>
      <c r="BF125" s="1509" t="s">
        <v>2372</v>
      </c>
      <c r="BG125" s="1509">
        <v>0.20045761000000001</v>
      </c>
      <c r="BH125" s="1509">
        <v>0.805930492</v>
      </c>
      <c r="BI125" s="1509">
        <v>0.805930492</v>
      </c>
      <c r="BJ125" s="1509">
        <v>1</v>
      </c>
      <c r="BK125" s="1509">
        <v>0.805930492</v>
      </c>
      <c r="BL125" s="1509">
        <v>1</v>
      </c>
      <c r="BM125" s="1509" t="s">
        <v>2372</v>
      </c>
      <c r="BN125" s="1509">
        <v>0.805930492</v>
      </c>
      <c r="BO125" s="1509">
        <v>0.805930492</v>
      </c>
      <c r="BP125" s="1509">
        <v>0.805930492</v>
      </c>
      <c r="BQ125" s="1509">
        <v>0.805930492</v>
      </c>
      <c r="BR125" s="1509">
        <v>0.805930492</v>
      </c>
      <c r="BS125" s="1509">
        <v>0.805930492</v>
      </c>
      <c r="BT125" s="1509">
        <v>0.99822776999999996</v>
      </c>
      <c r="BU125" s="1509">
        <v>0.99822776999999996</v>
      </c>
      <c r="BV125" s="1509">
        <v>0.99822776999999996</v>
      </c>
      <c r="BW125" s="1509" t="s">
        <v>2372</v>
      </c>
      <c r="BX125" s="1509">
        <v>0.99917518299999997</v>
      </c>
      <c r="BY125" s="1509">
        <v>0.99917518299999997</v>
      </c>
      <c r="BZ125" s="1509">
        <v>0.99917518299999997</v>
      </c>
      <c r="CA125" s="1509" t="s">
        <v>2372</v>
      </c>
      <c r="CB125" s="1509" t="s">
        <v>2372</v>
      </c>
      <c r="CC125" s="1509" t="s">
        <v>2372</v>
      </c>
      <c r="CD125" s="1509" t="s">
        <v>2372</v>
      </c>
      <c r="CE125" s="1509" t="s">
        <v>2372</v>
      </c>
      <c r="CF125" s="1509" t="s">
        <v>2372</v>
      </c>
      <c r="CG125" s="1509">
        <v>0.805930492</v>
      </c>
      <c r="CH125" s="1509">
        <v>0.805930492</v>
      </c>
      <c r="CI125" s="1509">
        <v>0.805930492</v>
      </c>
      <c r="CJ125" s="1509">
        <v>0.99822776999999996</v>
      </c>
      <c r="CK125" s="1509">
        <v>0.99822776999999996</v>
      </c>
      <c r="CL125" s="1509">
        <v>0.99822776999999996</v>
      </c>
      <c r="CM125" s="1509">
        <v>0.99917518299999997</v>
      </c>
      <c r="CN125" s="1509" t="s">
        <v>2372</v>
      </c>
      <c r="CO125" s="1509" t="s">
        <v>2372</v>
      </c>
      <c r="CP125" s="1509" t="s">
        <v>2372</v>
      </c>
      <c r="CQ125" s="1509">
        <v>0.805930492</v>
      </c>
      <c r="CR125" s="1509">
        <v>0.805930492</v>
      </c>
      <c r="CS125" s="1509">
        <v>0.805930492</v>
      </c>
      <c r="CT125" s="1509">
        <v>0.805930492</v>
      </c>
      <c r="CU125" s="1509">
        <v>0.805930492</v>
      </c>
      <c r="CV125" s="1509">
        <v>0.99822776999999996</v>
      </c>
      <c r="CW125" s="1509">
        <v>0.99822776999999996</v>
      </c>
      <c r="CX125" s="1509">
        <v>0.99822776999999996</v>
      </c>
      <c r="CY125" s="1509">
        <v>0.99822776999999996</v>
      </c>
      <c r="CZ125" s="1509">
        <v>0.99917518299999997</v>
      </c>
      <c r="DA125" s="1509">
        <v>0.99917518299999997</v>
      </c>
      <c r="DB125" s="1509" t="s">
        <v>2372</v>
      </c>
      <c r="DC125" s="1509" t="s">
        <v>2372</v>
      </c>
      <c r="DD125" s="1509" t="s">
        <v>2372</v>
      </c>
      <c r="DE125" s="1509" t="s">
        <v>2372</v>
      </c>
      <c r="DF125" s="1509" t="s">
        <v>2372</v>
      </c>
      <c r="DG125" s="1509" t="s">
        <v>2372</v>
      </c>
      <c r="DH125" s="1509" t="s">
        <v>2372</v>
      </c>
      <c r="DI125" s="1509" t="s">
        <v>2372</v>
      </c>
      <c r="DJ125" s="1509">
        <v>0.99917518299999997</v>
      </c>
      <c r="DK125" s="1509">
        <v>0.99917518299999997</v>
      </c>
      <c r="DL125" s="1509" t="s">
        <v>2372</v>
      </c>
      <c r="DM125" s="1509" t="s">
        <v>2372</v>
      </c>
      <c r="DN125" s="1509" t="s">
        <v>2372</v>
      </c>
      <c r="DO125" s="1509">
        <v>0.99822776999999996</v>
      </c>
      <c r="DP125" s="1509">
        <v>0.99917518299999997</v>
      </c>
      <c r="DQ125" s="1509">
        <v>0.99917518299999997</v>
      </c>
      <c r="DR125" s="1509">
        <v>0.99917518299999997</v>
      </c>
      <c r="DS125" s="1509">
        <v>0.99917518299999997</v>
      </c>
      <c r="DT125" s="1509">
        <v>0.99917518299999997</v>
      </c>
      <c r="DU125" s="1509">
        <v>0.805930492</v>
      </c>
      <c r="DV125" s="1509">
        <v>0.805930492</v>
      </c>
      <c r="DW125" s="1509" t="s">
        <v>2372</v>
      </c>
      <c r="DX125" s="1509" t="s">
        <v>2372</v>
      </c>
      <c r="DY125" s="1509">
        <v>0.99822776999999996</v>
      </c>
      <c r="DZ125" s="1509" t="s">
        <v>2372</v>
      </c>
      <c r="EA125" s="1509">
        <v>0.99822776999999996</v>
      </c>
      <c r="EB125" s="1509">
        <v>0.805930492</v>
      </c>
      <c r="EC125" s="1509">
        <v>0.805930492</v>
      </c>
      <c r="ED125" s="1509">
        <v>0.805930492</v>
      </c>
      <c r="EE125" s="1509" t="s">
        <v>2372</v>
      </c>
      <c r="EF125" s="1509">
        <v>0.99822776999999996</v>
      </c>
      <c r="EG125" s="1509">
        <v>0.99917518299999997</v>
      </c>
      <c r="EH125" s="1509">
        <v>0.99822776999999996</v>
      </c>
      <c r="EI125" s="1509" t="s">
        <v>2372</v>
      </c>
      <c r="EJ125" s="1509" t="s">
        <v>2372</v>
      </c>
      <c r="EK125" s="1509">
        <v>0.805930492</v>
      </c>
      <c r="EL125" s="1509" t="s">
        <v>2372</v>
      </c>
      <c r="EM125" s="1509" t="s">
        <v>2372</v>
      </c>
      <c r="EN125" s="1509" t="s">
        <v>2372</v>
      </c>
      <c r="EO125" s="1509" t="s">
        <v>2372</v>
      </c>
      <c r="EP125" s="1509">
        <v>0.99917518299999997</v>
      </c>
      <c r="EQ125" s="1509" t="s">
        <v>2372</v>
      </c>
      <c r="ER125" s="1509">
        <v>0.99822776999999996</v>
      </c>
      <c r="ES125" s="1509">
        <v>0.99822776999999996</v>
      </c>
      <c r="ET125" s="1509" t="s">
        <v>2372</v>
      </c>
      <c r="EU125" s="1509">
        <v>0.99917518299999997</v>
      </c>
      <c r="EV125" s="1509">
        <v>0.805930492</v>
      </c>
      <c r="EW125" s="1509" t="s">
        <v>2372</v>
      </c>
      <c r="EX125" s="1509">
        <v>0.99822776999999996</v>
      </c>
      <c r="EY125" s="1509">
        <v>0.99822776999999996</v>
      </c>
      <c r="EZ125" s="1509">
        <v>0.99917518299999997</v>
      </c>
      <c r="FA125" s="1509" t="s">
        <v>2372</v>
      </c>
      <c r="FB125" s="1509" t="s">
        <v>2372</v>
      </c>
      <c r="FC125" s="1509">
        <v>0.99822776999999996</v>
      </c>
      <c r="FD125" s="1509">
        <v>0.99822776999999996</v>
      </c>
      <c r="FE125" s="1509">
        <v>0.99822776999999996</v>
      </c>
      <c r="FF125" s="1509" t="s">
        <v>2372</v>
      </c>
      <c r="FG125" s="1509" t="s">
        <v>2372</v>
      </c>
      <c r="FH125" s="1509">
        <v>0.99917518299999997</v>
      </c>
      <c r="FI125" s="1509" t="s">
        <v>2372</v>
      </c>
      <c r="FJ125" s="1509">
        <v>0.99822776999999996</v>
      </c>
      <c r="FK125" s="1509">
        <v>0.99917518299999997</v>
      </c>
      <c r="FL125" s="1509" t="s">
        <v>2372</v>
      </c>
      <c r="FM125" s="1509">
        <v>0.805930492</v>
      </c>
      <c r="FN125" s="1509">
        <v>0.805930492</v>
      </c>
      <c r="FO125" s="1509">
        <v>0.99917518299999997</v>
      </c>
      <c r="FP125" s="1509" t="s">
        <v>2372</v>
      </c>
      <c r="FQ125" s="1509">
        <v>0.99917518299999997</v>
      </c>
      <c r="FR125" s="1509">
        <v>0.99822776999999996</v>
      </c>
      <c r="FS125" s="1509" t="s">
        <v>2372</v>
      </c>
      <c r="FT125" s="1509" t="s">
        <v>2372</v>
      </c>
      <c r="FU125" s="1509">
        <v>0.805930492</v>
      </c>
    </row>
    <row r="126" spans="1:177" s="1509" customFormat="1" x14ac:dyDescent="0.2">
      <c r="A126" s="1512" t="s">
        <v>670</v>
      </c>
      <c r="B126" s="1512" t="s">
        <v>1078</v>
      </c>
      <c r="C126" s="1509">
        <v>6.3229014E-2</v>
      </c>
      <c r="D126" s="1509">
        <v>0.12803437400000001</v>
      </c>
      <c r="E126" s="1509">
        <v>0.47024692400000001</v>
      </c>
      <c r="F126" s="1509">
        <v>0.516913238</v>
      </c>
      <c r="G126" s="1509">
        <v>0.55080457000000005</v>
      </c>
      <c r="H126" s="1509">
        <v>0.55080457000000005</v>
      </c>
      <c r="I126" s="1509">
        <v>1.7678932000000001E-2</v>
      </c>
      <c r="J126" s="1509">
        <v>1.7678932000000001E-2</v>
      </c>
      <c r="K126" s="1509">
        <v>6.3229014E-2</v>
      </c>
      <c r="L126" s="1509">
        <v>6.3229014E-2</v>
      </c>
      <c r="M126" s="1509">
        <v>6.3229014E-2</v>
      </c>
      <c r="N126" s="1509">
        <v>1.7678932000000001E-2</v>
      </c>
      <c r="O126" s="1509">
        <v>1.7678932000000001E-2</v>
      </c>
      <c r="P126" s="1509">
        <v>6.3229014E-2</v>
      </c>
      <c r="Q126" s="1509">
        <v>0.26353755600000001</v>
      </c>
      <c r="R126" s="1509">
        <v>0.26353755600000001</v>
      </c>
      <c r="S126" s="1509">
        <v>0.39371399200000001</v>
      </c>
      <c r="T126" s="1509">
        <v>2.8612740000000001E-2</v>
      </c>
      <c r="U126" s="1509">
        <v>0.25465264500000001</v>
      </c>
      <c r="V126" s="1509">
        <v>0.21642530800000001</v>
      </c>
      <c r="W126" s="1509">
        <v>0.21642530800000001</v>
      </c>
      <c r="X126" s="1509">
        <v>0.21642530800000001</v>
      </c>
      <c r="Y126" s="1509">
        <v>0.29699786099999997</v>
      </c>
      <c r="Z126" s="1509">
        <v>0.67109136800000002</v>
      </c>
      <c r="AA126" s="1509">
        <v>9.484911E-2</v>
      </c>
      <c r="AB126" s="1509">
        <v>4.1529093000000003E-2</v>
      </c>
      <c r="AC126" s="1509">
        <v>4.1529093000000003E-2</v>
      </c>
      <c r="AD126" s="1509">
        <v>4.1529093000000003E-2</v>
      </c>
      <c r="AE126" s="1509">
        <v>0.62006818200000002</v>
      </c>
      <c r="AF126" s="1509">
        <v>4.1529093000000003E-2</v>
      </c>
      <c r="AG126" s="1509">
        <v>4.1529093000000003E-2</v>
      </c>
      <c r="AH126" s="1509">
        <v>0.114134202</v>
      </c>
      <c r="AI126" s="1509">
        <v>0.114134202</v>
      </c>
      <c r="AJ126" s="1509">
        <v>8.6818313999999994E-2</v>
      </c>
      <c r="AK126" s="1509">
        <v>0.32746003400000001</v>
      </c>
      <c r="AL126" s="1509">
        <v>0.13201494899999999</v>
      </c>
      <c r="AM126" s="1509">
        <v>9.6424547999999999E-2</v>
      </c>
      <c r="AN126" s="1509">
        <v>0.26353755600000001</v>
      </c>
      <c r="AO126" s="1509">
        <v>0.27464818699999999</v>
      </c>
      <c r="AP126" s="1509">
        <v>0.647612772</v>
      </c>
      <c r="AQ126" s="1509">
        <v>2.284398E-3</v>
      </c>
      <c r="AR126" s="1509">
        <v>8.6806463E-2</v>
      </c>
      <c r="AS126" s="1509">
        <v>7.227082E-2</v>
      </c>
      <c r="AT126" s="1509">
        <v>8.6806463E-2</v>
      </c>
      <c r="AU126" s="1509">
        <v>7.8443279000000005E-2</v>
      </c>
      <c r="AV126" s="1509">
        <v>5.3293931000000003E-2</v>
      </c>
      <c r="AW126" s="1509">
        <v>2.3648926000000001E-2</v>
      </c>
      <c r="AX126" s="1509">
        <v>0.65177991099999999</v>
      </c>
      <c r="AY126" s="1509">
        <v>0.862294432</v>
      </c>
      <c r="AZ126" s="1509">
        <v>0.862294432</v>
      </c>
      <c r="BA126" s="1509">
        <v>0.81339299499999995</v>
      </c>
      <c r="BB126" s="1509">
        <v>0.97395592499999994</v>
      </c>
      <c r="BC126" s="1509">
        <v>0.13134349000000001</v>
      </c>
      <c r="BD126" s="1509">
        <v>0.13134349000000001</v>
      </c>
      <c r="BE126" s="1509">
        <v>0.59716351700000003</v>
      </c>
      <c r="BF126" s="1509">
        <v>0.13134349000000001</v>
      </c>
      <c r="BG126" s="1509">
        <v>0.55884305000000001</v>
      </c>
      <c r="BH126" s="1509">
        <v>0.158502955</v>
      </c>
      <c r="BI126" s="1509">
        <v>0.173856497</v>
      </c>
      <c r="BJ126" s="1509">
        <v>0.29699786099999997</v>
      </c>
      <c r="BK126" s="1509">
        <v>0.158502955</v>
      </c>
      <c r="BL126" s="1509">
        <v>0.85182714599999998</v>
      </c>
      <c r="BM126" s="1509">
        <v>0.26353755600000001</v>
      </c>
      <c r="BN126" s="1509">
        <v>0.63893091700000004</v>
      </c>
      <c r="BO126" s="1509">
        <v>0.91489964300000004</v>
      </c>
      <c r="BP126" s="1509">
        <v>0.85182714599999998</v>
      </c>
      <c r="BQ126" s="1509">
        <v>0.77798108399999999</v>
      </c>
      <c r="BR126" s="1509">
        <v>0.71288132299999996</v>
      </c>
      <c r="BS126" s="1509">
        <v>0.63893091700000004</v>
      </c>
      <c r="BT126" s="1509">
        <v>0.28427228500000001</v>
      </c>
      <c r="BU126" s="1509">
        <v>0.65699095200000002</v>
      </c>
      <c r="BV126" s="1509">
        <v>0.65699095200000002</v>
      </c>
      <c r="BW126" s="1509">
        <v>0.35800765400000001</v>
      </c>
      <c r="BX126" s="1509">
        <v>0.70491230199999999</v>
      </c>
      <c r="BY126" s="1509">
        <v>0.70491230199999999</v>
      </c>
      <c r="BZ126" s="1509">
        <v>0.70491230199999999</v>
      </c>
      <c r="CA126" s="1509">
        <v>0.82325647300000004</v>
      </c>
      <c r="CB126" s="1509">
        <v>0.32746003400000001</v>
      </c>
      <c r="CC126" s="1509">
        <v>0.35800765400000001</v>
      </c>
      <c r="CD126" s="1509">
        <v>0.80107121800000003</v>
      </c>
      <c r="CE126" s="1509">
        <v>0.84500160400000002</v>
      </c>
      <c r="CF126" s="1509">
        <v>0.90012905300000001</v>
      </c>
      <c r="CG126" s="1509">
        <v>4.6541354E-2</v>
      </c>
      <c r="CH126" s="1509">
        <v>0.114134202</v>
      </c>
      <c r="CI126" s="1509">
        <v>0.34477271500000001</v>
      </c>
      <c r="CJ126" s="1509">
        <v>0.81339299499999995</v>
      </c>
      <c r="CK126" s="1509">
        <v>0.12942231900000001</v>
      </c>
      <c r="CL126" s="1509">
        <v>0.12942231900000001</v>
      </c>
      <c r="CM126" s="1509">
        <v>0.96761365799999999</v>
      </c>
      <c r="CN126" s="1509">
        <v>0.45375336599999999</v>
      </c>
      <c r="CO126" s="1509">
        <v>0.26353755600000001</v>
      </c>
      <c r="CP126" s="1509">
        <v>0.45375336599999999</v>
      </c>
      <c r="CQ126" s="1509">
        <v>9.484911E-2</v>
      </c>
      <c r="CR126" s="1509">
        <v>1.2346185000000001E-2</v>
      </c>
      <c r="CS126" s="1509">
        <v>0.47024692400000001</v>
      </c>
      <c r="CT126" s="1509">
        <v>0.29699786099999997</v>
      </c>
      <c r="CU126" s="1509">
        <v>0.47024692400000001</v>
      </c>
      <c r="CV126" s="1509">
        <v>0.28427228500000001</v>
      </c>
      <c r="CW126" s="1509">
        <v>0.28427228500000001</v>
      </c>
      <c r="CX126" s="1509">
        <v>0.77743654100000004</v>
      </c>
      <c r="CY126" s="1509">
        <v>0.84029016099999998</v>
      </c>
      <c r="CZ126" s="1509">
        <v>0.70491230199999999</v>
      </c>
      <c r="DA126" s="1509">
        <v>0.75159910600000002</v>
      </c>
      <c r="DB126" s="1509">
        <v>0.794736891</v>
      </c>
      <c r="DC126" s="1509">
        <v>0.41557593399999998</v>
      </c>
      <c r="DD126" s="1509">
        <v>0.88996403599999996</v>
      </c>
      <c r="DE126" s="1509">
        <v>0.68842612599999997</v>
      </c>
      <c r="DF126" s="1509">
        <v>0.65359320799999998</v>
      </c>
      <c r="DG126" s="1509">
        <v>0.60591984799999998</v>
      </c>
      <c r="DH126" s="1509">
        <v>0.68842612599999997</v>
      </c>
      <c r="DI126" s="1509">
        <v>0.68842612599999997</v>
      </c>
      <c r="DJ126" s="1509">
        <v>0.90556669300000003</v>
      </c>
      <c r="DK126" s="1509">
        <v>0.96761365799999999</v>
      </c>
      <c r="DL126" s="1509">
        <v>0.62006818200000002</v>
      </c>
      <c r="DM126" s="1509">
        <v>0.91310899400000001</v>
      </c>
      <c r="DN126" s="1509">
        <v>0.81624930900000003</v>
      </c>
      <c r="DO126" s="1509">
        <v>8.894173E-3</v>
      </c>
      <c r="DP126" s="1509">
        <v>0.67996569600000001</v>
      </c>
      <c r="DQ126" s="1509">
        <v>0.56619016700000002</v>
      </c>
      <c r="DR126" s="1509">
        <v>0.75159910600000002</v>
      </c>
      <c r="DS126" s="1509">
        <v>0.76248013100000001</v>
      </c>
      <c r="DT126" s="1509">
        <v>0.94387969699999996</v>
      </c>
      <c r="DU126" s="1509">
        <v>0.25465264500000001</v>
      </c>
      <c r="DV126" s="1509">
        <v>4.1529093000000003E-2</v>
      </c>
      <c r="DW126" s="1509">
        <v>0.87997959299999995</v>
      </c>
      <c r="DX126" s="1509">
        <v>5.3615077999999997E-2</v>
      </c>
      <c r="DY126" s="1509">
        <v>0.77743654100000004</v>
      </c>
      <c r="DZ126" s="1509">
        <v>0.13134349000000001</v>
      </c>
      <c r="EA126" s="1509">
        <v>0.97395592499999994</v>
      </c>
      <c r="EB126" s="1509">
        <v>0.34477271500000001</v>
      </c>
      <c r="EC126" s="1509">
        <v>0.34477271500000001</v>
      </c>
      <c r="ED126" s="1509">
        <v>0.63893091700000004</v>
      </c>
      <c r="EE126" s="1509">
        <v>0.39723840599999999</v>
      </c>
      <c r="EF126" s="1509">
        <v>0.65699095200000002</v>
      </c>
      <c r="EG126" s="1509">
        <v>0.70491230199999999</v>
      </c>
      <c r="EH126" s="1509">
        <v>0.69930982100000005</v>
      </c>
      <c r="EI126" s="1509">
        <v>0.90012905300000001</v>
      </c>
      <c r="EJ126" s="1509">
        <v>0.90012905300000001</v>
      </c>
      <c r="EK126" s="1509">
        <v>3.700502E-3</v>
      </c>
      <c r="EL126" s="1509">
        <v>0.794736891</v>
      </c>
      <c r="EM126" s="1509">
        <v>0.70016280500000005</v>
      </c>
      <c r="EN126" s="1509">
        <v>0.71477846599999995</v>
      </c>
      <c r="EO126" s="1509">
        <v>0.95809380099999997</v>
      </c>
      <c r="EP126" s="1509">
        <v>0.70491230199999999</v>
      </c>
      <c r="EQ126" s="1509">
        <v>9.6424547999999999E-2</v>
      </c>
      <c r="ER126" s="1509">
        <v>8.894173E-3</v>
      </c>
      <c r="ES126" s="1509">
        <v>8.894173E-3</v>
      </c>
      <c r="ET126" s="1509">
        <v>0.87132701199999996</v>
      </c>
      <c r="EU126" s="1509">
        <v>0.78045129999999996</v>
      </c>
      <c r="EV126" s="1509">
        <v>4.1529093000000003E-2</v>
      </c>
      <c r="EW126" s="1509">
        <v>0.59576548600000001</v>
      </c>
      <c r="EX126" s="1509">
        <v>0.77743654100000004</v>
      </c>
      <c r="EY126" s="1509">
        <v>0.93746560099999998</v>
      </c>
      <c r="EZ126" s="1509">
        <v>0.70491230199999999</v>
      </c>
      <c r="FA126" s="1509">
        <v>0.53935383800000003</v>
      </c>
      <c r="FB126" s="1509">
        <v>0.48465201299999999</v>
      </c>
      <c r="FC126" s="1509">
        <v>0.862294432</v>
      </c>
      <c r="FD126" s="1509">
        <v>0.97395592499999994</v>
      </c>
      <c r="FE126" s="1509">
        <v>0.77743654100000004</v>
      </c>
      <c r="FF126" s="1509">
        <v>0.27464818699999999</v>
      </c>
      <c r="FG126" s="1509">
        <v>0.928494559</v>
      </c>
      <c r="FH126" s="1509">
        <v>0.67996569600000001</v>
      </c>
      <c r="FI126" s="1509">
        <v>0.78406530299999999</v>
      </c>
      <c r="FJ126" s="1509">
        <v>0.69930982100000005</v>
      </c>
      <c r="FK126" s="1509">
        <v>0.75159910600000002</v>
      </c>
      <c r="FL126" s="1509">
        <v>0.68842612599999997</v>
      </c>
      <c r="FM126" s="1509">
        <v>0.158502955</v>
      </c>
      <c r="FN126" s="1509">
        <v>0.80623607200000003</v>
      </c>
      <c r="FO126" s="1509">
        <v>0.892315003</v>
      </c>
      <c r="FP126" s="1509">
        <v>0.45151141500000003</v>
      </c>
      <c r="FQ126" s="1509">
        <v>0.70491230199999999</v>
      </c>
      <c r="FR126" s="1509">
        <v>0.983884816</v>
      </c>
      <c r="FS126" s="1509">
        <v>0.89972790300000005</v>
      </c>
      <c r="FT126" s="1509">
        <v>0.71477846599999995</v>
      </c>
      <c r="FU126" s="1509">
        <v>0.114134202</v>
      </c>
    </row>
    <row r="127" spans="1:177" s="1509" customFormat="1" x14ac:dyDescent="0.2">
      <c r="A127" s="1512" t="s">
        <v>670</v>
      </c>
      <c r="B127" s="1512" t="s">
        <v>1079</v>
      </c>
      <c r="C127" s="1509" t="s">
        <v>2372</v>
      </c>
      <c r="D127" s="1509" t="s">
        <v>2372</v>
      </c>
      <c r="E127" s="1509" t="s">
        <v>2372</v>
      </c>
      <c r="F127" s="1509" t="s">
        <v>2372</v>
      </c>
      <c r="G127" s="1509" t="s">
        <v>2372</v>
      </c>
      <c r="H127" s="1509" t="s">
        <v>2372</v>
      </c>
      <c r="I127" s="1509">
        <v>1</v>
      </c>
      <c r="J127" s="1509">
        <v>1</v>
      </c>
      <c r="K127" s="1509">
        <v>1</v>
      </c>
      <c r="L127" s="1509">
        <v>1</v>
      </c>
      <c r="M127" s="1509">
        <v>1</v>
      </c>
      <c r="N127" s="1509">
        <v>1</v>
      </c>
      <c r="O127" s="1509">
        <v>1</v>
      </c>
      <c r="P127" s="1509">
        <v>1</v>
      </c>
      <c r="Q127" s="1509" t="s">
        <v>2372</v>
      </c>
      <c r="R127" s="1509">
        <v>1</v>
      </c>
      <c r="S127" s="1509" t="s">
        <v>2372</v>
      </c>
      <c r="T127" s="1509" t="s">
        <v>2372</v>
      </c>
      <c r="U127" s="1509" t="s">
        <v>2372</v>
      </c>
      <c r="V127" s="1509" t="s">
        <v>2372</v>
      </c>
      <c r="W127" s="1509" t="s">
        <v>2372</v>
      </c>
      <c r="X127" s="1509" t="s">
        <v>2372</v>
      </c>
      <c r="Y127" s="1509" t="s">
        <v>2372</v>
      </c>
      <c r="Z127" s="1509" t="s">
        <v>2372</v>
      </c>
      <c r="AA127" s="1509" t="s">
        <v>2372</v>
      </c>
      <c r="AB127" s="1509" t="s">
        <v>2372</v>
      </c>
      <c r="AC127" s="1509" t="s">
        <v>2372</v>
      </c>
      <c r="AD127" s="1509" t="s">
        <v>2372</v>
      </c>
      <c r="AE127" s="1509" t="s">
        <v>2372</v>
      </c>
      <c r="AF127" s="1509" t="s">
        <v>2372</v>
      </c>
      <c r="AG127" s="1509" t="s">
        <v>2372</v>
      </c>
      <c r="AH127" s="1509" t="s">
        <v>2372</v>
      </c>
      <c r="AI127" s="1509" t="s">
        <v>2372</v>
      </c>
      <c r="AJ127" s="1509" t="s">
        <v>2372</v>
      </c>
      <c r="AK127" s="1509" t="s">
        <v>2372</v>
      </c>
      <c r="AL127" s="1509" t="s">
        <v>2372</v>
      </c>
      <c r="AM127" s="1509" t="s">
        <v>2372</v>
      </c>
      <c r="AN127" s="1509" t="s">
        <v>2372</v>
      </c>
      <c r="AO127" s="1509" t="s">
        <v>2372</v>
      </c>
      <c r="AP127" s="1509" t="s">
        <v>2372</v>
      </c>
      <c r="AQ127" s="1509" t="s">
        <v>2372</v>
      </c>
      <c r="AR127" s="1509" t="s">
        <v>2372</v>
      </c>
      <c r="AS127" s="1509" t="s">
        <v>2372</v>
      </c>
      <c r="AT127" s="1509" t="s">
        <v>2372</v>
      </c>
      <c r="AU127" s="1509" t="s">
        <v>2372</v>
      </c>
      <c r="AV127" s="1509" t="s">
        <v>2372</v>
      </c>
      <c r="AW127" s="1509" t="s">
        <v>2372</v>
      </c>
      <c r="AX127" s="1509" t="s">
        <v>2372</v>
      </c>
      <c r="AY127" s="1509" t="s">
        <v>2372</v>
      </c>
      <c r="AZ127" s="1509" t="s">
        <v>2372</v>
      </c>
      <c r="BA127" s="1509" t="s">
        <v>2372</v>
      </c>
      <c r="BB127" s="1509" t="s">
        <v>2372</v>
      </c>
      <c r="BC127" s="1509" t="s">
        <v>2372</v>
      </c>
      <c r="BD127" s="1509" t="s">
        <v>2372</v>
      </c>
      <c r="BE127" s="1509">
        <v>1</v>
      </c>
      <c r="BF127" s="1509" t="s">
        <v>2372</v>
      </c>
      <c r="BG127" s="1509" t="s">
        <v>2372</v>
      </c>
      <c r="BH127" s="1509" t="s">
        <v>2372</v>
      </c>
      <c r="BI127" s="1509" t="s">
        <v>2372</v>
      </c>
      <c r="BJ127" s="1509" t="s">
        <v>2372</v>
      </c>
      <c r="BK127" s="1509" t="s">
        <v>2372</v>
      </c>
      <c r="BL127" s="1509" t="s">
        <v>2372</v>
      </c>
      <c r="BM127" s="1509" t="s">
        <v>2372</v>
      </c>
      <c r="BN127" s="1509" t="s">
        <v>2372</v>
      </c>
      <c r="BO127" s="1509" t="s">
        <v>2372</v>
      </c>
      <c r="BP127" s="1509" t="s">
        <v>2372</v>
      </c>
      <c r="BQ127" s="1509" t="s">
        <v>2372</v>
      </c>
      <c r="BR127" s="1509" t="s">
        <v>2372</v>
      </c>
      <c r="BS127" s="1509" t="s">
        <v>2372</v>
      </c>
      <c r="BT127" s="1509" t="s">
        <v>2372</v>
      </c>
      <c r="BU127" s="1509" t="s">
        <v>2372</v>
      </c>
      <c r="BV127" s="1509" t="s">
        <v>2372</v>
      </c>
      <c r="BW127" s="1509" t="s">
        <v>2372</v>
      </c>
      <c r="BX127" s="1509" t="s">
        <v>2372</v>
      </c>
      <c r="BY127" s="1509" t="s">
        <v>2372</v>
      </c>
      <c r="BZ127" s="1509" t="s">
        <v>2372</v>
      </c>
      <c r="CA127" s="1509" t="s">
        <v>2372</v>
      </c>
      <c r="CB127" s="1509" t="s">
        <v>2372</v>
      </c>
      <c r="CC127" s="1509" t="s">
        <v>2372</v>
      </c>
      <c r="CD127" s="1509">
        <v>1</v>
      </c>
      <c r="CE127" s="1509" t="s">
        <v>2372</v>
      </c>
      <c r="CF127" s="1509" t="s">
        <v>2372</v>
      </c>
      <c r="CG127" s="1509" t="s">
        <v>2372</v>
      </c>
      <c r="CH127" s="1509" t="s">
        <v>2372</v>
      </c>
      <c r="CI127" s="1509" t="s">
        <v>2372</v>
      </c>
      <c r="CJ127" s="1509" t="s">
        <v>2372</v>
      </c>
      <c r="CK127" s="1509" t="s">
        <v>2372</v>
      </c>
      <c r="CL127" s="1509" t="s">
        <v>2372</v>
      </c>
      <c r="CM127" s="1509" t="s">
        <v>2372</v>
      </c>
      <c r="CN127" s="1509" t="s">
        <v>2372</v>
      </c>
      <c r="CO127" s="1509" t="s">
        <v>2372</v>
      </c>
      <c r="CP127" s="1509" t="s">
        <v>2372</v>
      </c>
      <c r="CQ127" s="1509">
        <v>1</v>
      </c>
      <c r="CR127" s="1509" t="s">
        <v>2372</v>
      </c>
      <c r="CS127" s="1509" t="s">
        <v>2372</v>
      </c>
      <c r="CT127" s="1509" t="s">
        <v>2372</v>
      </c>
      <c r="CU127" s="1509" t="s">
        <v>2372</v>
      </c>
      <c r="CV127" s="1509" t="s">
        <v>2372</v>
      </c>
      <c r="CW127" s="1509" t="s">
        <v>2372</v>
      </c>
      <c r="CX127" s="1509" t="s">
        <v>2372</v>
      </c>
      <c r="CY127" s="1509" t="s">
        <v>2372</v>
      </c>
      <c r="CZ127" s="1509" t="s">
        <v>2372</v>
      </c>
      <c r="DA127" s="1509" t="s">
        <v>2372</v>
      </c>
      <c r="DB127" s="1509" t="s">
        <v>2372</v>
      </c>
      <c r="DC127" s="1509" t="s">
        <v>2372</v>
      </c>
      <c r="DD127" s="1509">
        <v>1</v>
      </c>
      <c r="DE127" s="1509" t="s">
        <v>2372</v>
      </c>
      <c r="DF127" s="1509" t="s">
        <v>2372</v>
      </c>
      <c r="DG127" s="1509" t="s">
        <v>2372</v>
      </c>
      <c r="DH127" s="1509" t="s">
        <v>2372</v>
      </c>
      <c r="DI127" s="1509" t="s">
        <v>2372</v>
      </c>
      <c r="DJ127" s="1509" t="s">
        <v>2372</v>
      </c>
      <c r="DK127" s="1509" t="s">
        <v>2372</v>
      </c>
      <c r="DL127" s="1509" t="s">
        <v>2372</v>
      </c>
      <c r="DM127" s="1509" t="s">
        <v>2372</v>
      </c>
      <c r="DN127" s="1509" t="s">
        <v>2372</v>
      </c>
      <c r="DO127" s="1509" t="s">
        <v>2372</v>
      </c>
      <c r="DP127" s="1509" t="s">
        <v>2372</v>
      </c>
      <c r="DQ127" s="1509" t="s">
        <v>2372</v>
      </c>
      <c r="DR127" s="1509" t="s">
        <v>2372</v>
      </c>
      <c r="DS127" s="1509" t="s">
        <v>2372</v>
      </c>
      <c r="DT127" s="1509" t="s">
        <v>2372</v>
      </c>
      <c r="DU127" s="1509" t="s">
        <v>2372</v>
      </c>
      <c r="DV127" s="1509" t="s">
        <v>2372</v>
      </c>
      <c r="DW127" s="1509" t="s">
        <v>2372</v>
      </c>
      <c r="DX127" s="1509" t="s">
        <v>2372</v>
      </c>
      <c r="DY127" s="1509" t="s">
        <v>2372</v>
      </c>
      <c r="DZ127" s="1509" t="s">
        <v>2372</v>
      </c>
      <c r="EA127" s="1509" t="s">
        <v>2372</v>
      </c>
      <c r="EB127" s="1509" t="s">
        <v>2372</v>
      </c>
      <c r="EC127" s="1509" t="s">
        <v>2372</v>
      </c>
      <c r="ED127" s="1509" t="s">
        <v>2372</v>
      </c>
      <c r="EE127" s="1509" t="s">
        <v>2372</v>
      </c>
      <c r="EF127" s="1509" t="s">
        <v>2372</v>
      </c>
      <c r="EG127" s="1509" t="s">
        <v>2372</v>
      </c>
      <c r="EH127" s="1509" t="s">
        <v>2372</v>
      </c>
      <c r="EI127" s="1509" t="s">
        <v>2372</v>
      </c>
      <c r="EJ127" s="1509" t="s">
        <v>2372</v>
      </c>
      <c r="EK127" s="1509" t="s">
        <v>2372</v>
      </c>
      <c r="EL127" s="1509" t="s">
        <v>2372</v>
      </c>
      <c r="EM127" s="1509" t="s">
        <v>2372</v>
      </c>
      <c r="EN127" s="1509" t="s">
        <v>2372</v>
      </c>
      <c r="EO127" s="1509" t="s">
        <v>2372</v>
      </c>
      <c r="EP127" s="1509" t="s">
        <v>2372</v>
      </c>
      <c r="EQ127" s="1509" t="s">
        <v>2372</v>
      </c>
      <c r="ER127" s="1509" t="s">
        <v>2372</v>
      </c>
      <c r="ES127" s="1509" t="s">
        <v>2372</v>
      </c>
      <c r="ET127" s="1509" t="s">
        <v>2372</v>
      </c>
      <c r="EU127" s="1509" t="s">
        <v>2372</v>
      </c>
      <c r="EV127" s="1509" t="s">
        <v>2372</v>
      </c>
      <c r="EW127" s="1509" t="s">
        <v>2372</v>
      </c>
      <c r="EX127" s="1509" t="s">
        <v>2372</v>
      </c>
      <c r="EY127" s="1509" t="s">
        <v>2372</v>
      </c>
      <c r="EZ127" s="1509" t="s">
        <v>2372</v>
      </c>
      <c r="FA127" s="1509" t="s">
        <v>2372</v>
      </c>
      <c r="FB127" s="1509" t="s">
        <v>2372</v>
      </c>
      <c r="FC127" s="1509" t="s">
        <v>2372</v>
      </c>
      <c r="FD127" s="1509" t="s">
        <v>2372</v>
      </c>
      <c r="FE127" s="1509" t="s">
        <v>2372</v>
      </c>
      <c r="FF127" s="1509" t="s">
        <v>2372</v>
      </c>
      <c r="FG127" s="1509" t="s">
        <v>2372</v>
      </c>
      <c r="FH127" s="1509" t="s">
        <v>2372</v>
      </c>
      <c r="FI127" s="1509" t="s">
        <v>2372</v>
      </c>
      <c r="FJ127" s="1509" t="s">
        <v>2372</v>
      </c>
      <c r="FK127" s="1509" t="s">
        <v>2372</v>
      </c>
      <c r="FL127" s="1509" t="s">
        <v>2372</v>
      </c>
      <c r="FM127" s="1509" t="s">
        <v>2372</v>
      </c>
      <c r="FN127" s="1509" t="s">
        <v>2372</v>
      </c>
      <c r="FO127" s="1509" t="s">
        <v>2372</v>
      </c>
      <c r="FP127" s="1509" t="s">
        <v>2372</v>
      </c>
      <c r="FQ127" s="1509" t="s">
        <v>2372</v>
      </c>
      <c r="FR127" s="1509" t="s">
        <v>2372</v>
      </c>
      <c r="FS127" s="1509" t="s">
        <v>2372</v>
      </c>
      <c r="FT127" s="1509" t="s">
        <v>2372</v>
      </c>
      <c r="FU127" s="1509" t="s">
        <v>2372</v>
      </c>
    </row>
    <row r="128" spans="1:177" s="1509" customFormat="1" x14ac:dyDescent="0.2">
      <c r="A128" s="1512" t="s">
        <v>670</v>
      </c>
      <c r="B128" s="1512" t="s">
        <v>1265</v>
      </c>
      <c r="C128" s="1509">
        <v>2.7502216999999999E-2</v>
      </c>
      <c r="D128" s="1509">
        <v>0</v>
      </c>
      <c r="E128" s="1509">
        <v>1</v>
      </c>
      <c r="F128" s="1509">
        <v>1</v>
      </c>
      <c r="G128" s="1509">
        <v>5.8481340999999999E-2</v>
      </c>
      <c r="H128" s="1509">
        <v>5.8481340999999999E-2</v>
      </c>
      <c r="I128" s="1509">
        <v>4.4849483000000002E-2</v>
      </c>
      <c r="J128" s="1509">
        <v>4.2184973000000001E-2</v>
      </c>
      <c r="K128" s="1509">
        <v>4.6082984E-2</v>
      </c>
      <c r="L128" s="1509">
        <v>3.7918029999999998E-2</v>
      </c>
      <c r="M128" s="1509">
        <v>4.8203412000000001E-2</v>
      </c>
      <c r="N128" s="1509">
        <v>3.2842417999999998E-2</v>
      </c>
      <c r="O128" s="1509">
        <v>3.5499475000000003E-2</v>
      </c>
      <c r="P128" s="1509">
        <v>3.3140545E-2</v>
      </c>
      <c r="Q128" s="1509">
        <v>0</v>
      </c>
      <c r="R128" s="1509">
        <v>0.26440288499999998</v>
      </c>
      <c r="S128" s="1509">
        <v>1</v>
      </c>
      <c r="T128" s="1509">
        <v>2.9119556000000001E-2</v>
      </c>
      <c r="U128" s="1509">
        <v>2.8091017999999999E-2</v>
      </c>
      <c r="V128" s="1509">
        <v>4.2520365999999997E-2</v>
      </c>
      <c r="W128" s="1509">
        <v>3.7448479999999999E-2</v>
      </c>
      <c r="X128" s="1509">
        <v>1</v>
      </c>
      <c r="Y128" s="1509">
        <v>1</v>
      </c>
      <c r="Z128" s="1509">
        <v>5.8481340999999999E-2</v>
      </c>
      <c r="AA128" s="1509">
        <v>0</v>
      </c>
      <c r="AB128" s="1509">
        <v>5.6353459000000002E-2</v>
      </c>
      <c r="AC128" s="1509">
        <v>1</v>
      </c>
      <c r="AD128" s="1509">
        <v>4.6150061999999999E-2</v>
      </c>
      <c r="AE128" s="1509">
        <v>0.237458319</v>
      </c>
      <c r="AF128" s="1509">
        <v>2.2232821999999999E-2</v>
      </c>
      <c r="AG128" s="1509">
        <v>5.1944905999999999E-2</v>
      </c>
      <c r="AH128" s="1509">
        <v>2.7271169000000001E-2</v>
      </c>
      <c r="AI128" s="1509">
        <v>1</v>
      </c>
      <c r="AJ128" s="1509">
        <v>3.1158000000000002E-2</v>
      </c>
      <c r="AK128" s="1509">
        <v>0.25842763699999999</v>
      </c>
      <c r="AL128" s="1509">
        <v>0</v>
      </c>
      <c r="AM128" s="1509">
        <v>0</v>
      </c>
      <c r="AN128" s="1509">
        <v>0</v>
      </c>
      <c r="AO128" s="1509">
        <v>0</v>
      </c>
      <c r="AP128" s="1509">
        <v>0</v>
      </c>
      <c r="AQ128" s="1509">
        <v>0</v>
      </c>
      <c r="AR128" s="1509">
        <v>2.1799622000000001E-2</v>
      </c>
      <c r="AS128" s="1509">
        <v>2.1814995E-2</v>
      </c>
      <c r="AT128" s="1509">
        <v>2.5051117000000001E-2</v>
      </c>
      <c r="AU128" s="1509">
        <v>0</v>
      </c>
      <c r="AV128" s="1509">
        <v>4.5460644000000001E-2</v>
      </c>
      <c r="AW128" s="1509">
        <v>5.4557243999999998E-2</v>
      </c>
      <c r="AX128" s="1509">
        <v>0.99113458700000001</v>
      </c>
      <c r="AY128" s="1509">
        <v>0</v>
      </c>
      <c r="AZ128" s="1509">
        <v>4.6226581000000003E-2</v>
      </c>
      <c r="BA128" s="1509">
        <v>3.6495828000000001E-2</v>
      </c>
      <c r="BB128" s="1509">
        <v>5.1956057999999999E-2</v>
      </c>
      <c r="BC128" s="1509">
        <v>3.1077529E-2</v>
      </c>
      <c r="BD128" s="1509">
        <v>2.9555551999999999E-2</v>
      </c>
      <c r="BE128" s="1509" t="s">
        <v>2372</v>
      </c>
      <c r="BF128" s="1509">
        <v>3.1077529E-2</v>
      </c>
      <c r="BG128" s="1509" t="s">
        <v>2372</v>
      </c>
      <c r="BH128" s="1509">
        <v>2.4036491E-2</v>
      </c>
      <c r="BI128" s="1509">
        <v>2.5456321000000001E-2</v>
      </c>
      <c r="BJ128" s="1509">
        <v>4.4003548000000003E-2</v>
      </c>
      <c r="BK128" s="1509">
        <v>2.2046493E-2</v>
      </c>
      <c r="BL128" s="1509">
        <v>0</v>
      </c>
      <c r="BM128" s="1509">
        <v>0</v>
      </c>
      <c r="BN128" s="1509">
        <v>3.1690902E-2</v>
      </c>
      <c r="BO128" s="1509">
        <v>2.2102391999999998E-2</v>
      </c>
      <c r="BP128" s="1509">
        <v>2.9339424999999999E-2</v>
      </c>
      <c r="BQ128" s="1509">
        <v>4.0213607999999998E-2</v>
      </c>
      <c r="BR128" s="1509">
        <v>5.8481340999999999E-2</v>
      </c>
      <c r="BS128" s="1509">
        <v>0</v>
      </c>
      <c r="BT128" s="1509">
        <v>3.4905223999999999E-2</v>
      </c>
      <c r="BU128" s="1509">
        <v>3.5582193999999998E-2</v>
      </c>
      <c r="BV128" s="1509">
        <v>6.2738039999999995E-2</v>
      </c>
      <c r="BW128" s="1509">
        <v>0</v>
      </c>
      <c r="BX128" s="1509">
        <v>0.99145140399999998</v>
      </c>
      <c r="BY128" s="1509">
        <v>0</v>
      </c>
      <c r="BZ128" s="1509">
        <v>0</v>
      </c>
      <c r="CA128" s="1509">
        <v>0</v>
      </c>
      <c r="CB128" s="1509">
        <v>0</v>
      </c>
      <c r="CC128" s="1509">
        <v>0.249155185</v>
      </c>
      <c r="CD128" s="1509">
        <v>0.255190111</v>
      </c>
      <c r="CE128" s="1509">
        <v>0</v>
      </c>
      <c r="CF128" s="1509">
        <v>0</v>
      </c>
      <c r="CG128" s="1509">
        <v>2.4554486E-2</v>
      </c>
      <c r="CH128" s="1509">
        <v>0</v>
      </c>
      <c r="CI128" s="1509">
        <v>5.5324920999999999E-2</v>
      </c>
      <c r="CJ128" s="1509">
        <v>6.3899345999999996E-2</v>
      </c>
      <c r="CK128" s="1509">
        <v>1</v>
      </c>
      <c r="CL128" s="1509">
        <v>1</v>
      </c>
      <c r="CM128" s="1509">
        <v>0</v>
      </c>
      <c r="CN128" s="1509">
        <v>0.22405317299999999</v>
      </c>
      <c r="CO128" s="1509">
        <v>0</v>
      </c>
      <c r="CP128" s="1509">
        <v>0</v>
      </c>
      <c r="CQ128" s="1509">
        <v>2.6097294E-2</v>
      </c>
      <c r="CR128" s="1509">
        <v>0</v>
      </c>
      <c r="CS128" s="1509">
        <v>3.0502120000000001E-2</v>
      </c>
      <c r="CT128" s="1509">
        <v>4.1320404999999998E-2</v>
      </c>
      <c r="CU128" s="1509">
        <v>5.8481340999999999E-2</v>
      </c>
      <c r="CV128" s="1509">
        <v>7.4290558000000007E-2</v>
      </c>
      <c r="CW128" s="1509">
        <v>7.4290558000000007E-2</v>
      </c>
      <c r="CX128" s="1509">
        <v>1</v>
      </c>
      <c r="CY128" s="1509">
        <v>3.1746032E-2</v>
      </c>
      <c r="CZ128" s="1509">
        <v>0</v>
      </c>
      <c r="DA128" s="1509">
        <v>0.99202495199999996</v>
      </c>
      <c r="DB128" s="1509">
        <v>0</v>
      </c>
      <c r="DC128" s="1509">
        <v>0</v>
      </c>
      <c r="DD128" s="1509">
        <v>0</v>
      </c>
      <c r="DE128" s="1509">
        <v>0</v>
      </c>
      <c r="DF128" s="1509">
        <v>0.93013180799999995</v>
      </c>
      <c r="DG128" s="1509">
        <v>0</v>
      </c>
      <c r="DH128" s="1509">
        <v>0</v>
      </c>
      <c r="DI128" s="1509">
        <v>0</v>
      </c>
      <c r="DJ128" s="1509">
        <v>0</v>
      </c>
      <c r="DK128" s="1509">
        <v>0</v>
      </c>
      <c r="DL128" s="1509">
        <v>0</v>
      </c>
      <c r="DM128" s="1509">
        <v>0</v>
      </c>
      <c r="DN128" s="1509">
        <v>1</v>
      </c>
      <c r="DO128" s="1509">
        <v>4.7613544000000001E-2</v>
      </c>
      <c r="DP128" s="1509">
        <v>0.98867652399999995</v>
      </c>
      <c r="DQ128" s="1509">
        <v>0</v>
      </c>
      <c r="DR128" s="1509">
        <v>0.99477798200000001</v>
      </c>
      <c r="DS128" s="1509">
        <v>0</v>
      </c>
      <c r="DT128" s="1509">
        <v>0</v>
      </c>
      <c r="DU128" s="1509">
        <v>4.6015905000000003E-2</v>
      </c>
      <c r="DV128" s="1509">
        <v>1</v>
      </c>
      <c r="DW128" s="1509">
        <v>1</v>
      </c>
      <c r="DX128" s="1509">
        <v>0</v>
      </c>
      <c r="DY128" s="1509">
        <v>5.0992889E-2</v>
      </c>
      <c r="DZ128" s="1509">
        <v>1</v>
      </c>
      <c r="EA128" s="1509">
        <v>7.4290558000000007E-2</v>
      </c>
      <c r="EB128" s="1509">
        <v>5.8481340999999999E-2</v>
      </c>
      <c r="EC128" s="1509">
        <v>5.8481340999999999E-2</v>
      </c>
      <c r="ED128" s="1509">
        <v>3.5928031999999999E-2</v>
      </c>
      <c r="EE128" s="1509">
        <v>0</v>
      </c>
      <c r="EF128" s="1509">
        <v>0</v>
      </c>
      <c r="EG128" s="1509">
        <v>1</v>
      </c>
      <c r="EH128" s="1509">
        <v>7.3531030999999997E-2</v>
      </c>
      <c r="EI128" s="1509">
        <v>0</v>
      </c>
      <c r="EJ128" s="1509">
        <v>0</v>
      </c>
      <c r="EK128" s="1509">
        <v>0</v>
      </c>
      <c r="EL128" s="1509">
        <v>0.92782310400000001</v>
      </c>
      <c r="EM128" s="1509">
        <v>0</v>
      </c>
      <c r="EN128" s="1509">
        <v>0</v>
      </c>
      <c r="EO128" s="1509">
        <v>1</v>
      </c>
      <c r="EP128" s="1509">
        <v>0</v>
      </c>
      <c r="EQ128" s="1509">
        <v>0</v>
      </c>
      <c r="ER128" s="1509">
        <v>3.2912841999999998E-2</v>
      </c>
      <c r="ES128" s="1509">
        <v>3.625366E-2</v>
      </c>
      <c r="ET128" s="1509">
        <v>0</v>
      </c>
      <c r="EU128" s="1509">
        <v>0</v>
      </c>
      <c r="EV128" s="1509">
        <v>5.1162323000000003E-2</v>
      </c>
      <c r="EW128" s="1509">
        <v>0</v>
      </c>
      <c r="EX128" s="1509">
        <v>7.4290558000000007E-2</v>
      </c>
      <c r="EY128" s="1509">
        <v>6.8016202999999997E-2</v>
      </c>
      <c r="EZ128" s="1509">
        <v>0</v>
      </c>
      <c r="FA128" s="1509">
        <v>0.23986781300000001</v>
      </c>
      <c r="FB128" s="1509">
        <v>0.30710854100000001</v>
      </c>
      <c r="FC128" s="1509">
        <v>1</v>
      </c>
      <c r="FD128" s="1509">
        <v>7.4290558000000007E-2</v>
      </c>
      <c r="FE128" s="1509">
        <v>0</v>
      </c>
      <c r="FF128" s="1509">
        <v>1</v>
      </c>
      <c r="FG128" s="1509">
        <v>0</v>
      </c>
      <c r="FH128" s="1509">
        <v>0</v>
      </c>
      <c r="FI128" s="1509">
        <v>1</v>
      </c>
      <c r="FJ128" s="1509">
        <v>5.0712194000000002E-2</v>
      </c>
      <c r="FK128" s="1509">
        <v>0</v>
      </c>
      <c r="FL128" s="1509">
        <v>0</v>
      </c>
      <c r="FM128" s="1509">
        <v>3.8782598000000001E-2</v>
      </c>
      <c r="FN128" s="1509">
        <v>2.6447592999999998E-2</v>
      </c>
      <c r="FO128" s="1509">
        <v>0</v>
      </c>
      <c r="FP128" s="1509">
        <v>0</v>
      </c>
      <c r="FQ128" s="1509">
        <v>0</v>
      </c>
      <c r="FR128" s="1509">
        <v>7.4290558000000007E-2</v>
      </c>
      <c r="FS128" s="1509">
        <v>0.274584414</v>
      </c>
      <c r="FT128" s="1509">
        <v>0</v>
      </c>
      <c r="FU128" s="1509">
        <v>5.5965894000000002E-2</v>
      </c>
    </row>
    <row r="129" spans="1:177" s="1509" customFormat="1" x14ac:dyDescent="0.2">
      <c r="A129" s="1512" t="s">
        <v>670</v>
      </c>
      <c r="B129" s="1512" t="s">
        <v>1032</v>
      </c>
      <c r="C129" s="1509">
        <v>0</v>
      </c>
      <c r="D129" s="1509">
        <v>0</v>
      </c>
      <c r="E129" s="1509">
        <v>0.98186548500000004</v>
      </c>
      <c r="F129" s="1509">
        <v>0</v>
      </c>
      <c r="G129" s="1509">
        <v>0.98186548500000004</v>
      </c>
      <c r="H129" s="1509">
        <v>0</v>
      </c>
      <c r="I129" s="1509">
        <v>0</v>
      </c>
      <c r="J129" s="1509">
        <v>0.99998841999999999</v>
      </c>
      <c r="K129" s="1509">
        <v>0.99998841999999999</v>
      </c>
      <c r="L129" s="1509">
        <v>0</v>
      </c>
      <c r="M129" s="1509">
        <v>0</v>
      </c>
      <c r="N129" s="1509">
        <v>0.98186548500000004</v>
      </c>
      <c r="O129" s="1509">
        <v>0.99998841999999999</v>
      </c>
      <c r="P129" s="1509">
        <v>0.99998841999999999</v>
      </c>
      <c r="Q129" s="1509">
        <v>0</v>
      </c>
      <c r="R129" s="1509">
        <v>0.99786484600000003</v>
      </c>
      <c r="S129" s="1509">
        <v>0</v>
      </c>
      <c r="T129" s="1509">
        <v>0</v>
      </c>
      <c r="U129" s="1509">
        <v>0</v>
      </c>
      <c r="V129" s="1509">
        <v>0</v>
      </c>
      <c r="W129" s="1509">
        <v>0</v>
      </c>
      <c r="X129" s="1509">
        <v>0</v>
      </c>
      <c r="Y129" s="1509">
        <v>0</v>
      </c>
      <c r="Z129" s="1509">
        <v>0</v>
      </c>
      <c r="AA129" s="1509">
        <v>0</v>
      </c>
      <c r="AB129" s="1509">
        <v>0</v>
      </c>
      <c r="AC129" s="1509">
        <v>0</v>
      </c>
      <c r="AD129" s="1509">
        <v>0</v>
      </c>
      <c r="AE129" s="1509">
        <v>0.99786484600000003</v>
      </c>
      <c r="AF129" s="1509">
        <v>0</v>
      </c>
      <c r="AG129" s="1509">
        <v>1</v>
      </c>
      <c r="AH129" s="1509">
        <v>0.98186548500000004</v>
      </c>
      <c r="AI129" s="1509">
        <v>0</v>
      </c>
      <c r="AJ129" s="1509">
        <v>0</v>
      </c>
      <c r="AK129" s="1509">
        <v>0.99786484600000003</v>
      </c>
      <c r="AL129" s="1509">
        <v>0</v>
      </c>
      <c r="AM129" s="1509">
        <v>0.99982856399999998</v>
      </c>
      <c r="AN129" s="1509">
        <v>0</v>
      </c>
      <c r="AO129" s="1509">
        <v>0</v>
      </c>
      <c r="AP129" s="1509">
        <v>0.99506823700000002</v>
      </c>
      <c r="AQ129" s="1509">
        <v>0</v>
      </c>
      <c r="AR129" s="1509">
        <v>0.97861900800000001</v>
      </c>
      <c r="AS129" s="1509">
        <v>0.99997670900000002</v>
      </c>
      <c r="AT129" s="1509">
        <v>0</v>
      </c>
      <c r="AU129" s="1509">
        <v>0.99997670900000002</v>
      </c>
      <c r="AV129" s="1509">
        <v>0</v>
      </c>
      <c r="AW129" s="1509">
        <v>0</v>
      </c>
      <c r="AX129" s="1509">
        <v>0.99489016900000005</v>
      </c>
      <c r="AY129" s="1509">
        <v>0</v>
      </c>
      <c r="AZ129" s="1509">
        <v>0</v>
      </c>
      <c r="BA129" s="1509">
        <v>0</v>
      </c>
      <c r="BB129" s="1509">
        <v>0.98581662000000003</v>
      </c>
      <c r="BC129" s="1509">
        <v>0</v>
      </c>
      <c r="BD129" s="1509">
        <v>0.97861900800000001</v>
      </c>
      <c r="BE129" s="1509">
        <v>0.98404796100000003</v>
      </c>
      <c r="BF129" s="1509">
        <v>0</v>
      </c>
      <c r="BG129" s="1509">
        <v>0</v>
      </c>
      <c r="BH129" s="1509">
        <v>0.98186548500000004</v>
      </c>
      <c r="BI129" s="1509">
        <v>0</v>
      </c>
      <c r="BJ129" s="1509">
        <v>0.98186548500000004</v>
      </c>
      <c r="BK129" s="1509">
        <v>0.98186548500000004</v>
      </c>
      <c r="BL129" s="1509">
        <v>0.98186548500000004</v>
      </c>
      <c r="BM129" s="1509">
        <v>0.99786484600000003</v>
      </c>
      <c r="BN129" s="1509">
        <v>0</v>
      </c>
      <c r="BO129" s="1509">
        <v>0.99998841999999999</v>
      </c>
      <c r="BP129" s="1509">
        <v>0.98186548500000004</v>
      </c>
      <c r="BQ129" s="1509">
        <v>0.98186548500000004</v>
      </c>
      <c r="BR129" s="1509">
        <v>0.98186548500000004</v>
      </c>
      <c r="BS129" s="1509">
        <v>0.98186548500000004</v>
      </c>
      <c r="BT129" s="1509">
        <v>0</v>
      </c>
      <c r="BU129" s="1509">
        <v>0.98581662000000003</v>
      </c>
      <c r="BV129" s="1509">
        <v>0</v>
      </c>
      <c r="BW129" s="1509">
        <v>0.99786484600000003</v>
      </c>
      <c r="BX129" s="1509">
        <v>0.99968794900000002</v>
      </c>
      <c r="BY129" s="1509">
        <v>0.99968794900000002</v>
      </c>
      <c r="BZ129" s="1509">
        <v>0.99996099400000005</v>
      </c>
      <c r="CA129" s="1509">
        <v>0.95410978099999999</v>
      </c>
      <c r="CB129" s="1509">
        <v>0</v>
      </c>
      <c r="CC129" s="1509">
        <v>0</v>
      </c>
      <c r="CD129" s="1509">
        <v>0.95410978099999999</v>
      </c>
      <c r="CE129" s="1509">
        <v>0.99786484600000003</v>
      </c>
      <c r="CF129" s="1509">
        <v>0</v>
      </c>
      <c r="CG129" s="1509">
        <v>0.98186548500000004</v>
      </c>
      <c r="CH129" s="1509">
        <v>0</v>
      </c>
      <c r="CI129" s="1509">
        <v>0</v>
      </c>
      <c r="CJ129" s="1509">
        <v>1</v>
      </c>
      <c r="CK129" s="1509">
        <v>0</v>
      </c>
      <c r="CL129" s="1509">
        <v>0</v>
      </c>
      <c r="CM129" s="1509">
        <v>0</v>
      </c>
      <c r="CN129" s="1509">
        <v>0.95410978099999999</v>
      </c>
      <c r="CO129" s="1509">
        <v>0.99786484600000003</v>
      </c>
      <c r="CP129" s="1509">
        <v>0.99786484600000003</v>
      </c>
      <c r="CQ129" s="1509">
        <v>0.98186548500000004</v>
      </c>
      <c r="CR129" s="1509">
        <v>0</v>
      </c>
      <c r="CS129" s="1509">
        <v>0.98186548500000004</v>
      </c>
      <c r="CT129" s="1509">
        <v>0</v>
      </c>
      <c r="CU129" s="1509">
        <v>0</v>
      </c>
      <c r="CV129" s="1509">
        <v>0</v>
      </c>
      <c r="CW129" s="1509">
        <v>0</v>
      </c>
      <c r="CX129" s="1509">
        <v>0</v>
      </c>
      <c r="CY129" s="1509">
        <v>1</v>
      </c>
      <c r="CZ129" s="1509">
        <v>0.99489016900000005</v>
      </c>
      <c r="DA129" s="1509">
        <v>0.99489016900000005</v>
      </c>
      <c r="DB129" s="1509">
        <v>0.99833720000000004</v>
      </c>
      <c r="DC129" s="1509">
        <v>0</v>
      </c>
      <c r="DD129" s="1509">
        <v>0.93868909499999997</v>
      </c>
      <c r="DE129" s="1509">
        <v>0</v>
      </c>
      <c r="DF129" s="1509">
        <v>0</v>
      </c>
      <c r="DG129" s="1509">
        <v>0</v>
      </c>
      <c r="DH129" s="1509">
        <v>0</v>
      </c>
      <c r="DI129" s="1509">
        <v>0</v>
      </c>
      <c r="DJ129" s="1509">
        <v>0.99489016900000005</v>
      </c>
      <c r="DK129" s="1509">
        <v>0.99489016900000005</v>
      </c>
      <c r="DL129" s="1509">
        <v>0.99786484600000003</v>
      </c>
      <c r="DM129" s="1509">
        <v>0.99982856399999998</v>
      </c>
      <c r="DN129" s="1509">
        <v>0</v>
      </c>
      <c r="DO129" s="1509">
        <v>0.99997132399999999</v>
      </c>
      <c r="DP129" s="1509">
        <v>0.99996099400000005</v>
      </c>
      <c r="DQ129" s="1509">
        <v>1</v>
      </c>
      <c r="DR129" s="1509">
        <v>0.99489016900000005</v>
      </c>
      <c r="DS129" s="1509">
        <v>0.99489016900000005</v>
      </c>
      <c r="DT129" s="1509">
        <v>0.99489016900000005</v>
      </c>
      <c r="DU129" s="1509">
        <v>0</v>
      </c>
      <c r="DV129" s="1509">
        <v>0</v>
      </c>
      <c r="DW129" s="1509">
        <v>0</v>
      </c>
      <c r="DX129" s="1509">
        <v>0.97861900800000001</v>
      </c>
      <c r="DY129" s="1509">
        <v>0.98581662000000003</v>
      </c>
      <c r="DZ129" s="1509">
        <v>0</v>
      </c>
      <c r="EA129" s="1509">
        <v>0</v>
      </c>
      <c r="EB129" s="1509">
        <v>0</v>
      </c>
      <c r="EC129" s="1509">
        <v>0</v>
      </c>
      <c r="ED129" s="1509">
        <v>0.98186548500000004</v>
      </c>
      <c r="EE129" s="1509">
        <v>0</v>
      </c>
      <c r="EF129" s="1509">
        <v>0</v>
      </c>
      <c r="EG129" s="1509">
        <v>0</v>
      </c>
      <c r="EH129" s="1509">
        <v>0.98581662000000003</v>
      </c>
      <c r="EI129" s="1509">
        <v>0</v>
      </c>
      <c r="EJ129" s="1509">
        <v>0</v>
      </c>
      <c r="EK129" s="1509">
        <v>0</v>
      </c>
      <c r="EL129" s="1509">
        <v>0</v>
      </c>
      <c r="EM129" s="1509">
        <v>0</v>
      </c>
      <c r="EN129" s="1509">
        <v>0</v>
      </c>
      <c r="EO129" s="1509">
        <v>0</v>
      </c>
      <c r="EP129" s="1509">
        <v>0</v>
      </c>
      <c r="EQ129" s="1509">
        <v>0.99786484600000003</v>
      </c>
      <c r="ER129" s="1509">
        <v>1</v>
      </c>
      <c r="ES129" s="1509">
        <v>0.98581662000000003</v>
      </c>
      <c r="ET129" s="1509">
        <v>0</v>
      </c>
      <c r="EU129" s="1509">
        <v>0</v>
      </c>
      <c r="EV129" s="1509">
        <v>0</v>
      </c>
      <c r="EW129" s="1509">
        <v>0</v>
      </c>
      <c r="EX129" s="1509">
        <v>0</v>
      </c>
      <c r="EY129" s="1509">
        <v>0</v>
      </c>
      <c r="EZ129" s="1509">
        <v>0</v>
      </c>
      <c r="FA129" s="1509">
        <v>0.99961816599999997</v>
      </c>
      <c r="FB129" s="1509">
        <v>0</v>
      </c>
      <c r="FC129" s="1509">
        <v>0.98581662000000003</v>
      </c>
      <c r="FD129" s="1509">
        <v>0</v>
      </c>
      <c r="FE129" s="1509">
        <v>0.98581662000000003</v>
      </c>
      <c r="FF129" s="1509">
        <v>0</v>
      </c>
      <c r="FG129" s="1509">
        <v>0</v>
      </c>
      <c r="FH129" s="1509">
        <v>0</v>
      </c>
      <c r="FI129" s="1509">
        <v>0</v>
      </c>
      <c r="FJ129" s="1509">
        <v>1</v>
      </c>
      <c r="FK129" s="1509">
        <v>0</v>
      </c>
      <c r="FL129" s="1509">
        <v>0</v>
      </c>
      <c r="FM129" s="1509">
        <v>0</v>
      </c>
      <c r="FN129" s="1509">
        <v>1</v>
      </c>
      <c r="FO129" s="1509">
        <v>0</v>
      </c>
      <c r="FP129" s="1509">
        <v>0</v>
      </c>
      <c r="FQ129" s="1509">
        <v>0</v>
      </c>
      <c r="FR129" s="1509">
        <v>0</v>
      </c>
      <c r="FS129" s="1509">
        <v>0</v>
      </c>
      <c r="FT129" s="1509">
        <v>0</v>
      </c>
      <c r="FU129" s="1509">
        <v>0</v>
      </c>
    </row>
    <row r="130" spans="1:177" s="1509" customFormat="1" x14ac:dyDescent="0.2">
      <c r="A130" s="1512" t="s">
        <v>670</v>
      </c>
      <c r="B130" s="1512" t="s">
        <v>1402</v>
      </c>
      <c r="C130" s="1509">
        <v>1</v>
      </c>
      <c r="D130" s="1509">
        <v>0.8</v>
      </c>
      <c r="E130" s="1509">
        <v>0</v>
      </c>
      <c r="F130" s="1509">
        <v>0</v>
      </c>
      <c r="G130" s="1509">
        <v>0</v>
      </c>
      <c r="H130" s="1509">
        <v>0</v>
      </c>
      <c r="I130" s="1509">
        <v>0.8</v>
      </c>
      <c r="J130" s="1509">
        <v>0.8</v>
      </c>
      <c r="K130" s="1509">
        <v>0.8</v>
      </c>
      <c r="L130" s="1509">
        <v>1</v>
      </c>
      <c r="M130" s="1509">
        <v>0.8</v>
      </c>
      <c r="N130" s="1509">
        <v>1</v>
      </c>
      <c r="O130" s="1509">
        <v>1</v>
      </c>
      <c r="P130" s="1509">
        <v>1</v>
      </c>
      <c r="Q130" s="1509">
        <v>0</v>
      </c>
      <c r="R130" s="1509">
        <v>0.8</v>
      </c>
      <c r="S130" s="1509">
        <v>0</v>
      </c>
      <c r="T130" s="1509">
        <v>1</v>
      </c>
      <c r="U130" s="1509">
        <v>1</v>
      </c>
      <c r="V130" s="1509">
        <v>0.8</v>
      </c>
      <c r="W130" s="1509">
        <v>1</v>
      </c>
      <c r="X130" s="1509">
        <v>0</v>
      </c>
      <c r="Y130" s="1509">
        <v>0</v>
      </c>
      <c r="Z130" s="1509">
        <v>0</v>
      </c>
      <c r="AA130" s="1509">
        <v>1</v>
      </c>
      <c r="AB130" s="1509">
        <v>0.4</v>
      </c>
      <c r="AC130" s="1509">
        <v>0</v>
      </c>
      <c r="AD130" s="1509">
        <v>0.8</v>
      </c>
      <c r="AE130" s="1509">
        <v>1</v>
      </c>
      <c r="AF130" s="1509">
        <v>0.6</v>
      </c>
      <c r="AG130" s="1509">
        <v>0.8</v>
      </c>
      <c r="AH130" s="1509">
        <v>1</v>
      </c>
      <c r="AI130" s="1509">
        <v>0</v>
      </c>
      <c r="AJ130" s="1509">
        <v>1</v>
      </c>
      <c r="AK130" s="1509">
        <v>0.8</v>
      </c>
      <c r="AL130" s="1509">
        <v>1</v>
      </c>
      <c r="AM130" s="1509">
        <v>1</v>
      </c>
      <c r="AN130" s="1509">
        <v>0</v>
      </c>
      <c r="AO130" s="1509">
        <v>0.4</v>
      </c>
      <c r="AP130" s="1509">
        <v>0</v>
      </c>
      <c r="AQ130" s="1509">
        <v>0</v>
      </c>
      <c r="AR130" s="1509">
        <v>0.6</v>
      </c>
      <c r="AS130" s="1509">
        <v>0.6</v>
      </c>
      <c r="AT130" s="1509">
        <v>1</v>
      </c>
      <c r="AU130" s="1509">
        <v>0.2</v>
      </c>
      <c r="AV130" s="1509">
        <v>0.8</v>
      </c>
      <c r="AW130" s="1509">
        <v>0.8</v>
      </c>
      <c r="AX130" s="1509">
        <v>1</v>
      </c>
      <c r="AY130" s="1509">
        <v>0.8</v>
      </c>
      <c r="AZ130" s="1509">
        <v>1</v>
      </c>
      <c r="BA130" s="1509">
        <v>1</v>
      </c>
      <c r="BB130" s="1509">
        <v>0.8</v>
      </c>
      <c r="BC130" s="1509">
        <v>0</v>
      </c>
      <c r="BD130" s="1509">
        <v>0.8</v>
      </c>
      <c r="BE130" s="1509">
        <v>1</v>
      </c>
      <c r="BF130" s="1509">
        <v>0</v>
      </c>
      <c r="BG130" s="1509">
        <v>0</v>
      </c>
      <c r="BH130" s="1509">
        <v>0.6</v>
      </c>
      <c r="BI130" s="1509">
        <v>1</v>
      </c>
      <c r="BJ130" s="1509">
        <v>0.8</v>
      </c>
      <c r="BK130" s="1509">
        <v>0.6</v>
      </c>
      <c r="BL130" s="1509">
        <v>0.2</v>
      </c>
      <c r="BM130" s="1509">
        <v>0</v>
      </c>
      <c r="BN130" s="1509">
        <v>1</v>
      </c>
      <c r="BO130" s="1509">
        <v>0.6</v>
      </c>
      <c r="BP130" s="1509">
        <v>1</v>
      </c>
      <c r="BQ130" s="1509">
        <v>0.8</v>
      </c>
      <c r="BR130" s="1509">
        <v>0</v>
      </c>
      <c r="BS130" s="1509">
        <v>0.2</v>
      </c>
      <c r="BT130" s="1509">
        <v>1</v>
      </c>
      <c r="BU130" s="1509">
        <v>1</v>
      </c>
      <c r="BV130" s="1509">
        <v>0.8</v>
      </c>
      <c r="BW130" s="1509">
        <v>0</v>
      </c>
      <c r="BX130" s="1509">
        <v>1</v>
      </c>
      <c r="BY130" s="1509">
        <v>0.2</v>
      </c>
      <c r="BZ130" s="1509">
        <v>0.2</v>
      </c>
      <c r="CA130" s="1509">
        <v>0</v>
      </c>
      <c r="CB130" s="1509">
        <v>0</v>
      </c>
      <c r="CC130" s="1509">
        <v>1</v>
      </c>
      <c r="CD130" s="1509">
        <v>1</v>
      </c>
      <c r="CE130" s="1509">
        <v>1</v>
      </c>
      <c r="CF130" s="1509">
        <v>0</v>
      </c>
      <c r="CG130" s="1509">
        <v>0.6</v>
      </c>
      <c r="CH130" s="1509">
        <v>1</v>
      </c>
      <c r="CI130" s="1509">
        <v>0.4</v>
      </c>
      <c r="CJ130" s="1509">
        <v>0.8</v>
      </c>
      <c r="CK130" s="1509">
        <v>0</v>
      </c>
      <c r="CL130" s="1509">
        <v>0</v>
      </c>
      <c r="CM130" s="1509">
        <v>0</v>
      </c>
      <c r="CN130" s="1509">
        <v>0.6</v>
      </c>
      <c r="CO130" s="1509">
        <v>0.2</v>
      </c>
      <c r="CP130" s="1509">
        <v>0.2</v>
      </c>
      <c r="CQ130" s="1509">
        <v>1</v>
      </c>
      <c r="CR130" s="1509">
        <v>0</v>
      </c>
      <c r="CS130" s="1509">
        <v>1</v>
      </c>
      <c r="CT130" s="1509">
        <v>0.8</v>
      </c>
      <c r="CU130" s="1509">
        <v>0</v>
      </c>
      <c r="CV130" s="1509">
        <v>0</v>
      </c>
      <c r="CW130" s="1509">
        <v>0</v>
      </c>
      <c r="CX130" s="1509">
        <v>0</v>
      </c>
      <c r="CY130" s="1509">
        <v>0.6</v>
      </c>
      <c r="CZ130" s="1509">
        <v>1</v>
      </c>
      <c r="DA130" s="1509">
        <v>1</v>
      </c>
      <c r="DB130" s="1509">
        <v>0.8</v>
      </c>
      <c r="DC130" s="1509">
        <v>0.4</v>
      </c>
      <c r="DD130" s="1509">
        <v>1</v>
      </c>
      <c r="DE130" s="1509">
        <v>0.8</v>
      </c>
      <c r="DF130" s="1509">
        <v>0.4</v>
      </c>
      <c r="DG130" s="1509">
        <v>0.4</v>
      </c>
      <c r="DH130" s="1509">
        <v>0</v>
      </c>
      <c r="DI130" s="1509">
        <v>1</v>
      </c>
      <c r="DJ130" s="1509">
        <v>1</v>
      </c>
      <c r="DK130" s="1509">
        <v>0.6</v>
      </c>
      <c r="DL130" s="1509">
        <v>1</v>
      </c>
      <c r="DM130" s="1509">
        <v>0.2</v>
      </c>
      <c r="DN130" s="1509">
        <v>0</v>
      </c>
      <c r="DO130" s="1509">
        <v>0.8</v>
      </c>
      <c r="DP130" s="1509">
        <v>1</v>
      </c>
      <c r="DQ130" s="1509">
        <v>0.6</v>
      </c>
      <c r="DR130" s="1509">
        <v>0.4</v>
      </c>
      <c r="DS130" s="1509">
        <v>0.8</v>
      </c>
      <c r="DT130" s="1509">
        <v>0.8</v>
      </c>
      <c r="DU130" s="1509">
        <v>0.8</v>
      </c>
      <c r="DV130" s="1509">
        <v>0</v>
      </c>
      <c r="DW130" s="1509">
        <v>0</v>
      </c>
      <c r="DX130" s="1509">
        <v>0.6</v>
      </c>
      <c r="DY130" s="1509">
        <v>0.8</v>
      </c>
      <c r="DZ130" s="1509">
        <v>0</v>
      </c>
      <c r="EA130" s="1509">
        <v>0</v>
      </c>
      <c r="EB130" s="1509">
        <v>0</v>
      </c>
      <c r="EC130" s="1509">
        <v>0</v>
      </c>
      <c r="ED130" s="1509">
        <v>1</v>
      </c>
      <c r="EE130" s="1509">
        <v>0</v>
      </c>
      <c r="EF130" s="1509">
        <v>0</v>
      </c>
      <c r="EG130" s="1509">
        <v>0</v>
      </c>
      <c r="EH130" s="1509">
        <v>0</v>
      </c>
      <c r="EI130" s="1509">
        <v>0</v>
      </c>
      <c r="EJ130" s="1509">
        <v>0</v>
      </c>
      <c r="EK130" s="1509">
        <v>0</v>
      </c>
      <c r="EL130" s="1509">
        <v>0.8</v>
      </c>
      <c r="EM130" s="1509">
        <v>0.4</v>
      </c>
      <c r="EN130" s="1509">
        <v>0.8</v>
      </c>
      <c r="EO130" s="1509">
        <v>0</v>
      </c>
      <c r="EP130" s="1509">
        <v>0</v>
      </c>
      <c r="EQ130" s="1509">
        <v>0.4</v>
      </c>
      <c r="ER130" s="1509">
        <v>0.6</v>
      </c>
      <c r="ES130" s="1509">
        <v>1</v>
      </c>
      <c r="ET130" s="1509">
        <v>0</v>
      </c>
      <c r="EU130" s="1509">
        <v>0</v>
      </c>
      <c r="EV130" s="1509">
        <v>0.8</v>
      </c>
      <c r="EW130" s="1509">
        <v>0</v>
      </c>
      <c r="EX130" s="1509">
        <v>0</v>
      </c>
      <c r="EY130" s="1509">
        <v>0.8</v>
      </c>
      <c r="EZ130" s="1509">
        <v>0</v>
      </c>
      <c r="FA130" s="1509">
        <v>1</v>
      </c>
      <c r="FB130" s="1509">
        <v>0.8</v>
      </c>
      <c r="FC130" s="1509">
        <v>0</v>
      </c>
      <c r="FD130" s="1509">
        <v>0</v>
      </c>
      <c r="FE130" s="1509">
        <v>0.4</v>
      </c>
      <c r="FF130" s="1509">
        <v>0</v>
      </c>
      <c r="FG130" s="1509">
        <v>0</v>
      </c>
      <c r="FH130" s="1509">
        <v>0</v>
      </c>
      <c r="FI130" s="1509">
        <v>0</v>
      </c>
      <c r="FJ130" s="1509">
        <v>0.8</v>
      </c>
      <c r="FK130" s="1509">
        <v>0</v>
      </c>
      <c r="FL130" s="1509">
        <v>0</v>
      </c>
      <c r="FM130" s="1509">
        <v>0.8</v>
      </c>
      <c r="FN130" s="1509">
        <v>1</v>
      </c>
      <c r="FO130" s="1509">
        <v>0.4</v>
      </c>
      <c r="FP130" s="1509">
        <v>0</v>
      </c>
      <c r="FQ130" s="1509">
        <v>0</v>
      </c>
      <c r="FR130" s="1509">
        <v>0</v>
      </c>
      <c r="FS130" s="1509">
        <v>0.6</v>
      </c>
      <c r="FT130" s="1509">
        <v>0</v>
      </c>
      <c r="FU130" s="1509">
        <v>0.4</v>
      </c>
    </row>
    <row r="131" spans="1:177" s="1509" customFormat="1" x14ac:dyDescent="0.2">
      <c r="A131" s="1512" t="s">
        <v>670</v>
      </c>
      <c r="B131" s="1512" t="s">
        <v>1064</v>
      </c>
      <c r="C131" s="1509">
        <v>1</v>
      </c>
      <c r="D131" s="1509">
        <v>0.90836320800000003</v>
      </c>
      <c r="E131" s="1509">
        <v>0</v>
      </c>
      <c r="F131" s="1509">
        <v>1</v>
      </c>
      <c r="G131" s="1509">
        <v>0</v>
      </c>
      <c r="H131" s="1509">
        <v>0</v>
      </c>
      <c r="I131" s="1509">
        <v>1</v>
      </c>
      <c r="J131" s="1509">
        <v>1</v>
      </c>
      <c r="K131" s="1509">
        <v>1</v>
      </c>
      <c r="L131" s="1509">
        <v>1</v>
      </c>
      <c r="M131" s="1509">
        <v>1</v>
      </c>
      <c r="N131" s="1509">
        <v>1</v>
      </c>
      <c r="O131" s="1509">
        <v>1</v>
      </c>
      <c r="P131" s="1509">
        <v>1</v>
      </c>
      <c r="Q131" s="1509">
        <v>1</v>
      </c>
      <c r="R131" s="1509">
        <v>1</v>
      </c>
      <c r="S131" s="1509">
        <v>0.83462521700000003</v>
      </c>
      <c r="T131" s="1509">
        <v>1</v>
      </c>
      <c r="U131" s="1509">
        <v>0</v>
      </c>
      <c r="V131" s="1509">
        <v>0</v>
      </c>
      <c r="W131" s="1509">
        <v>0.82952351800000002</v>
      </c>
      <c r="X131" s="1509">
        <v>0.907442741</v>
      </c>
      <c r="Y131" s="1509">
        <v>0</v>
      </c>
      <c r="Z131" s="1509">
        <v>0</v>
      </c>
      <c r="AA131" s="1509">
        <v>0</v>
      </c>
      <c r="AB131" s="1509">
        <v>0.78265049799999997</v>
      </c>
      <c r="AC131" s="1509">
        <v>0.76660753800000003</v>
      </c>
      <c r="AD131" s="1509">
        <v>0</v>
      </c>
      <c r="AE131" s="1509">
        <v>1</v>
      </c>
      <c r="AF131" s="1509">
        <v>0.83749841599999997</v>
      </c>
      <c r="AG131" s="1509">
        <v>0.79482525999999998</v>
      </c>
      <c r="AH131" s="1509">
        <v>0</v>
      </c>
      <c r="AI131" s="1509">
        <v>0.86704652999999998</v>
      </c>
      <c r="AJ131" s="1509">
        <v>0.892566203</v>
      </c>
      <c r="AK131" s="1509">
        <v>1</v>
      </c>
      <c r="AL131" s="1509">
        <v>0</v>
      </c>
      <c r="AM131" s="1509">
        <v>0.72604119300000003</v>
      </c>
      <c r="AN131" s="1509">
        <v>0.83070129000000004</v>
      </c>
      <c r="AO131" s="1509">
        <v>0.60758471199999997</v>
      </c>
      <c r="AP131" s="1509">
        <v>0.654415203</v>
      </c>
      <c r="AQ131" s="1509">
        <v>1</v>
      </c>
      <c r="AR131" s="1509">
        <v>0.50290559099999999</v>
      </c>
      <c r="AS131" s="1509">
        <v>0</v>
      </c>
      <c r="AT131" s="1509">
        <v>1</v>
      </c>
      <c r="AU131" s="1509">
        <v>0.53096991400000004</v>
      </c>
      <c r="AV131" s="1509">
        <v>0</v>
      </c>
      <c r="AW131" s="1509">
        <v>0.88886570099999995</v>
      </c>
      <c r="AX131" s="1509">
        <v>1</v>
      </c>
      <c r="AY131" s="1509">
        <v>1</v>
      </c>
      <c r="AZ131" s="1509">
        <v>0.77130528600000003</v>
      </c>
      <c r="BA131" s="1509">
        <v>0</v>
      </c>
      <c r="BB131" s="1509">
        <v>1</v>
      </c>
      <c r="BC131" s="1509">
        <v>0</v>
      </c>
      <c r="BD131" s="1509">
        <v>0.57071040900000003</v>
      </c>
      <c r="BE131" s="1509">
        <v>1</v>
      </c>
      <c r="BF131" s="1509">
        <v>0</v>
      </c>
      <c r="BG131" s="1509">
        <v>0</v>
      </c>
      <c r="BH131" s="1509">
        <v>0</v>
      </c>
      <c r="BI131" s="1509">
        <v>1</v>
      </c>
      <c r="BJ131" s="1509">
        <v>0.89738095399999995</v>
      </c>
      <c r="BK131" s="1509">
        <v>0.85342585199999998</v>
      </c>
      <c r="BL131" s="1509">
        <v>1</v>
      </c>
      <c r="BM131" s="1509">
        <v>0.826419401</v>
      </c>
      <c r="BN131" s="1509">
        <v>0</v>
      </c>
      <c r="BO131" s="1509">
        <v>0.86358080400000004</v>
      </c>
      <c r="BP131" s="1509">
        <v>0.77416133099999995</v>
      </c>
      <c r="BQ131" s="1509">
        <v>0.79428490500000004</v>
      </c>
      <c r="BR131" s="1509">
        <v>0</v>
      </c>
      <c r="BS131" s="1509">
        <v>0.823672776</v>
      </c>
      <c r="BT131" s="1509">
        <v>0</v>
      </c>
      <c r="BU131" s="1509">
        <v>0</v>
      </c>
      <c r="BV131" s="1509">
        <v>0.80218171400000005</v>
      </c>
      <c r="BW131" s="1509">
        <v>1</v>
      </c>
      <c r="BX131" s="1509">
        <v>1</v>
      </c>
      <c r="BY131" s="1509">
        <v>1</v>
      </c>
      <c r="BZ131" s="1509">
        <v>1</v>
      </c>
      <c r="CA131" s="1509">
        <v>0.798989952</v>
      </c>
      <c r="CB131" s="1509">
        <v>1</v>
      </c>
      <c r="CC131" s="1509">
        <v>1</v>
      </c>
      <c r="CD131" s="1509">
        <v>0.75301559799999995</v>
      </c>
      <c r="CE131" s="1509">
        <v>0</v>
      </c>
      <c r="CF131" s="1509">
        <v>1</v>
      </c>
      <c r="CG131" s="1509">
        <v>0.78903414299999997</v>
      </c>
      <c r="CH131" s="1509">
        <v>0.78903041600000001</v>
      </c>
      <c r="CI131" s="1509">
        <v>0.77611033699999998</v>
      </c>
      <c r="CJ131" s="1509">
        <v>1</v>
      </c>
      <c r="CK131" s="1509">
        <v>0.863747441</v>
      </c>
      <c r="CL131" s="1509">
        <v>0</v>
      </c>
      <c r="CM131" s="1509">
        <v>0.44206346200000002</v>
      </c>
      <c r="CN131" s="1509">
        <v>0</v>
      </c>
      <c r="CO131" s="1509">
        <v>0</v>
      </c>
      <c r="CP131" s="1509">
        <v>0</v>
      </c>
      <c r="CQ131" s="1509">
        <v>0.788188208</v>
      </c>
      <c r="CR131" s="1509">
        <v>0.90434221999999997</v>
      </c>
      <c r="CS131" s="1509">
        <v>0.79767237300000005</v>
      </c>
      <c r="CT131" s="1509">
        <v>1</v>
      </c>
      <c r="CU131" s="1509">
        <v>0</v>
      </c>
      <c r="CV131" s="1509">
        <v>0.88319243599999997</v>
      </c>
      <c r="CW131" s="1509">
        <v>0.89729872499999996</v>
      </c>
      <c r="CX131" s="1509">
        <v>0.77099156800000002</v>
      </c>
      <c r="CY131" s="1509">
        <v>0.88090835000000001</v>
      </c>
      <c r="CZ131" s="1509">
        <v>1</v>
      </c>
      <c r="DA131" s="1509">
        <v>1</v>
      </c>
      <c r="DB131" s="1509">
        <v>0.40750006900000002</v>
      </c>
      <c r="DC131" s="1509">
        <v>0.41714879599999999</v>
      </c>
      <c r="DD131" s="1509">
        <v>0.41363515099999998</v>
      </c>
      <c r="DE131" s="1509">
        <v>0</v>
      </c>
      <c r="DF131" s="1509">
        <v>0.422134126</v>
      </c>
      <c r="DG131" s="1509">
        <v>0</v>
      </c>
      <c r="DH131" s="1509">
        <v>0</v>
      </c>
      <c r="DI131" s="1509">
        <v>0.41202549700000002</v>
      </c>
      <c r="DJ131" s="1509">
        <v>1</v>
      </c>
      <c r="DK131" s="1509">
        <v>1</v>
      </c>
      <c r="DL131" s="1509">
        <v>1</v>
      </c>
      <c r="DM131" s="1509">
        <v>0.75435089099999997</v>
      </c>
      <c r="DN131" s="1509">
        <v>1</v>
      </c>
      <c r="DO131" s="1509">
        <v>1</v>
      </c>
      <c r="DP131" s="1509">
        <v>1</v>
      </c>
      <c r="DQ131" s="1509">
        <v>0.54007461599999995</v>
      </c>
      <c r="DR131" s="1509">
        <v>0.54007461599999995</v>
      </c>
      <c r="DS131" s="1509">
        <v>1</v>
      </c>
      <c r="DT131" s="1509">
        <v>1</v>
      </c>
      <c r="DU131" s="1509">
        <v>0</v>
      </c>
      <c r="DV131" s="1509">
        <v>0.80485723399999998</v>
      </c>
      <c r="DW131" s="1509">
        <v>1</v>
      </c>
      <c r="DX131" s="1509">
        <v>0.53634295200000004</v>
      </c>
      <c r="DY131" s="1509">
        <v>0</v>
      </c>
      <c r="DZ131" s="1509">
        <v>0</v>
      </c>
      <c r="EA131" s="1509">
        <v>0</v>
      </c>
      <c r="EB131" s="1509">
        <v>1</v>
      </c>
      <c r="EC131" s="1509">
        <v>0</v>
      </c>
      <c r="ED131" s="1509">
        <v>0</v>
      </c>
      <c r="EE131" s="1509">
        <v>1</v>
      </c>
      <c r="EF131" s="1509">
        <v>0</v>
      </c>
      <c r="EG131" s="1509">
        <v>1</v>
      </c>
      <c r="EH131" s="1509">
        <v>0</v>
      </c>
      <c r="EI131" s="1509">
        <v>1</v>
      </c>
      <c r="EJ131" s="1509">
        <v>1</v>
      </c>
      <c r="EK131" s="1509">
        <v>1</v>
      </c>
      <c r="EL131" s="1509">
        <v>0.45751892500000002</v>
      </c>
      <c r="EM131" s="1509">
        <v>0</v>
      </c>
      <c r="EN131" s="1509">
        <v>0.48146138199999999</v>
      </c>
      <c r="EO131" s="1509">
        <v>0</v>
      </c>
      <c r="EP131" s="1509">
        <v>1</v>
      </c>
      <c r="EQ131" s="1509">
        <v>0</v>
      </c>
      <c r="ER131" s="1509">
        <v>1</v>
      </c>
      <c r="ES131" s="1509">
        <v>1</v>
      </c>
      <c r="ET131" s="1509">
        <v>1</v>
      </c>
      <c r="EU131" s="1509">
        <v>1</v>
      </c>
      <c r="EV131" s="1509">
        <v>0</v>
      </c>
      <c r="EW131" s="1509">
        <v>0.86512053099999997</v>
      </c>
      <c r="EX131" s="1509">
        <v>1</v>
      </c>
      <c r="EY131" s="1509">
        <v>1</v>
      </c>
      <c r="EZ131" s="1509">
        <v>1</v>
      </c>
      <c r="FA131" s="1509">
        <v>0.70810052700000004</v>
      </c>
      <c r="FB131" s="1509">
        <v>0.64344628199999998</v>
      </c>
      <c r="FC131" s="1509">
        <v>0.85081346499999999</v>
      </c>
      <c r="FD131" s="1509">
        <v>0.85087950999999995</v>
      </c>
      <c r="FE131" s="1509">
        <v>1</v>
      </c>
      <c r="FF131" s="1509">
        <v>1</v>
      </c>
      <c r="FG131" s="1509">
        <v>1</v>
      </c>
      <c r="FH131" s="1509">
        <v>1</v>
      </c>
      <c r="FI131" s="1509">
        <v>0.79303601000000001</v>
      </c>
      <c r="FJ131" s="1509">
        <v>0.76603812999999998</v>
      </c>
      <c r="FK131" s="1509">
        <v>1</v>
      </c>
      <c r="FL131" s="1509">
        <v>0.40546730600000003</v>
      </c>
      <c r="FM131" s="1509">
        <v>0.90836320800000003</v>
      </c>
      <c r="FN131" s="1509">
        <v>1</v>
      </c>
      <c r="FO131" s="1509">
        <v>0.454118894</v>
      </c>
      <c r="FP131" s="1509">
        <v>0.88733472199999996</v>
      </c>
      <c r="FQ131" s="1509">
        <v>1</v>
      </c>
      <c r="FR131" s="1509">
        <v>0.890661119</v>
      </c>
      <c r="FS131" s="1509">
        <v>0</v>
      </c>
      <c r="FT131" s="1509">
        <v>1</v>
      </c>
      <c r="FU131" s="1509">
        <v>0.78268776399999995</v>
      </c>
    </row>
    <row r="132" spans="1:177" s="1509" customFormat="1" x14ac:dyDescent="0.2">
      <c r="A132" s="1512" t="s">
        <v>670</v>
      </c>
      <c r="B132" s="1512" t="s">
        <v>1070</v>
      </c>
      <c r="C132" s="1509" t="s">
        <v>2372</v>
      </c>
      <c r="D132" s="1509" t="s">
        <v>2372</v>
      </c>
      <c r="E132" s="1509" t="s">
        <v>2372</v>
      </c>
      <c r="F132" s="1509" t="s">
        <v>2372</v>
      </c>
      <c r="G132" s="1509" t="s">
        <v>2372</v>
      </c>
      <c r="H132" s="1509" t="s">
        <v>2372</v>
      </c>
      <c r="I132" s="1509" t="s">
        <v>2372</v>
      </c>
      <c r="J132" s="1509" t="s">
        <v>2372</v>
      </c>
      <c r="K132" s="1509" t="s">
        <v>2372</v>
      </c>
      <c r="L132" s="1509" t="s">
        <v>2372</v>
      </c>
      <c r="M132" s="1509" t="s">
        <v>2372</v>
      </c>
      <c r="N132" s="1509" t="s">
        <v>2372</v>
      </c>
      <c r="O132" s="1509" t="s">
        <v>2372</v>
      </c>
      <c r="P132" s="1509" t="s">
        <v>2372</v>
      </c>
      <c r="Q132" s="1509" t="s">
        <v>2372</v>
      </c>
      <c r="R132" s="1509" t="s">
        <v>2372</v>
      </c>
      <c r="S132" s="1509" t="s">
        <v>2372</v>
      </c>
      <c r="T132" s="1509" t="s">
        <v>2372</v>
      </c>
      <c r="U132" s="1509" t="s">
        <v>2372</v>
      </c>
      <c r="V132" s="1509" t="s">
        <v>2372</v>
      </c>
      <c r="W132" s="1509" t="s">
        <v>2372</v>
      </c>
      <c r="X132" s="1509" t="s">
        <v>2372</v>
      </c>
      <c r="Y132" s="1509" t="s">
        <v>2372</v>
      </c>
      <c r="Z132" s="1509" t="s">
        <v>2372</v>
      </c>
      <c r="AA132" s="1509" t="s">
        <v>2372</v>
      </c>
      <c r="AB132" s="1509" t="s">
        <v>2372</v>
      </c>
      <c r="AC132" s="1509" t="s">
        <v>2372</v>
      </c>
      <c r="AD132" s="1509" t="s">
        <v>2372</v>
      </c>
      <c r="AE132" s="1509" t="s">
        <v>2372</v>
      </c>
      <c r="AF132" s="1509" t="s">
        <v>2372</v>
      </c>
      <c r="AG132" s="1509" t="s">
        <v>2372</v>
      </c>
      <c r="AH132" s="1509" t="s">
        <v>2372</v>
      </c>
      <c r="AI132" s="1509" t="s">
        <v>2372</v>
      </c>
      <c r="AJ132" s="1509" t="s">
        <v>2372</v>
      </c>
      <c r="AK132" s="1509" t="s">
        <v>2372</v>
      </c>
      <c r="AL132" s="1509" t="s">
        <v>2372</v>
      </c>
      <c r="AM132" s="1509" t="s">
        <v>2372</v>
      </c>
      <c r="AN132" s="1509" t="s">
        <v>2372</v>
      </c>
      <c r="AO132" s="1509" t="s">
        <v>2372</v>
      </c>
      <c r="AP132" s="1509" t="s">
        <v>2372</v>
      </c>
      <c r="AQ132" s="1509" t="s">
        <v>2372</v>
      </c>
      <c r="AR132" s="1509" t="s">
        <v>2372</v>
      </c>
      <c r="AS132" s="1509" t="s">
        <v>2372</v>
      </c>
      <c r="AT132" s="1509" t="s">
        <v>2372</v>
      </c>
      <c r="AU132" s="1509" t="s">
        <v>2372</v>
      </c>
      <c r="AV132" s="1509" t="s">
        <v>2372</v>
      </c>
      <c r="AW132" s="1509" t="s">
        <v>2372</v>
      </c>
      <c r="AX132" s="1509" t="s">
        <v>2372</v>
      </c>
      <c r="AY132" s="1509" t="s">
        <v>2372</v>
      </c>
      <c r="AZ132" s="1509" t="s">
        <v>2372</v>
      </c>
      <c r="BA132" s="1509" t="s">
        <v>2372</v>
      </c>
      <c r="BB132" s="1509" t="s">
        <v>2372</v>
      </c>
      <c r="BC132" s="1509" t="s">
        <v>2372</v>
      </c>
      <c r="BD132" s="1509" t="s">
        <v>2372</v>
      </c>
      <c r="BE132" s="1509">
        <v>1</v>
      </c>
      <c r="BF132" s="1509" t="s">
        <v>2372</v>
      </c>
      <c r="BG132" s="1509" t="s">
        <v>2372</v>
      </c>
      <c r="BH132" s="1509" t="s">
        <v>2372</v>
      </c>
      <c r="BI132" s="1509" t="s">
        <v>2372</v>
      </c>
      <c r="BJ132" s="1509" t="s">
        <v>2372</v>
      </c>
      <c r="BK132" s="1509" t="s">
        <v>2372</v>
      </c>
      <c r="BL132" s="1509" t="s">
        <v>2372</v>
      </c>
      <c r="BM132" s="1509">
        <v>1</v>
      </c>
      <c r="BN132" s="1509" t="s">
        <v>2372</v>
      </c>
      <c r="BO132" s="1509" t="s">
        <v>2372</v>
      </c>
      <c r="BP132" s="1509" t="s">
        <v>2372</v>
      </c>
      <c r="BQ132" s="1509" t="s">
        <v>2372</v>
      </c>
      <c r="BR132" s="1509" t="s">
        <v>2372</v>
      </c>
      <c r="BS132" s="1509" t="s">
        <v>2372</v>
      </c>
      <c r="BT132" s="1509" t="s">
        <v>2372</v>
      </c>
      <c r="BU132" s="1509" t="s">
        <v>2372</v>
      </c>
      <c r="BV132" s="1509" t="s">
        <v>2372</v>
      </c>
      <c r="BW132" s="1509" t="s">
        <v>2372</v>
      </c>
      <c r="BX132" s="1509" t="s">
        <v>2372</v>
      </c>
      <c r="BY132" s="1509" t="s">
        <v>2372</v>
      </c>
      <c r="BZ132" s="1509" t="s">
        <v>2372</v>
      </c>
      <c r="CA132" s="1509" t="s">
        <v>2372</v>
      </c>
      <c r="CB132" s="1509" t="s">
        <v>2372</v>
      </c>
      <c r="CC132" s="1509" t="s">
        <v>2372</v>
      </c>
      <c r="CD132" s="1509" t="s">
        <v>2372</v>
      </c>
      <c r="CE132" s="1509" t="s">
        <v>2372</v>
      </c>
      <c r="CF132" s="1509" t="s">
        <v>2372</v>
      </c>
      <c r="CG132" s="1509" t="s">
        <v>2372</v>
      </c>
      <c r="CH132" s="1509" t="s">
        <v>2372</v>
      </c>
      <c r="CI132" s="1509" t="s">
        <v>2372</v>
      </c>
      <c r="CJ132" s="1509" t="s">
        <v>2372</v>
      </c>
      <c r="CK132" s="1509" t="s">
        <v>2372</v>
      </c>
      <c r="CL132" s="1509" t="s">
        <v>2372</v>
      </c>
      <c r="CM132" s="1509" t="s">
        <v>2372</v>
      </c>
      <c r="CN132" s="1509" t="s">
        <v>2372</v>
      </c>
      <c r="CO132" s="1509" t="s">
        <v>2372</v>
      </c>
      <c r="CP132" s="1509" t="s">
        <v>2372</v>
      </c>
      <c r="CQ132" s="1509" t="s">
        <v>2372</v>
      </c>
      <c r="CR132" s="1509" t="s">
        <v>2372</v>
      </c>
      <c r="CS132" s="1509" t="s">
        <v>2372</v>
      </c>
      <c r="CT132" s="1509" t="s">
        <v>2372</v>
      </c>
      <c r="CU132" s="1509" t="s">
        <v>2372</v>
      </c>
      <c r="CV132" s="1509" t="s">
        <v>2372</v>
      </c>
      <c r="CW132" s="1509" t="s">
        <v>2372</v>
      </c>
      <c r="CX132" s="1509" t="s">
        <v>2372</v>
      </c>
      <c r="CY132" s="1509" t="s">
        <v>2372</v>
      </c>
      <c r="CZ132" s="1509" t="s">
        <v>2372</v>
      </c>
      <c r="DA132" s="1509" t="s">
        <v>2372</v>
      </c>
      <c r="DB132" s="1509" t="s">
        <v>2372</v>
      </c>
      <c r="DC132" s="1509" t="s">
        <v>2372</v>
      </c>
      <c r="DD132" s="1509">
        <v>1</v>
      </c>
      <c r="DE132" s="1509" t="s">
        <v>2372</v>
      </c>
      <c r="DF132" s="1509" t="s">
        <v>2372</v>
      </c>
      <c r="DG132" s="1509" t="s">
        <v>2372</v>
      </c>
      <c r="DH132" s="1509" t="s">
        <v>2372</v>
      </c>
      <c r="DI132" s="1509" t="s">
        <v>2372</v>
      </c>
      <c r="DJ132" s="1509" t="s">
        <v>2372</v>
      </c>
      <c r="DK132" s="1509" t="s">
        <v>2372</v>
      </c>
      <c r="DL132" s="1509" t="s">
        <v>2372</v>
      </c>
      <c r="DM132" s="1509" t="s">
        <v>2372</v>
      </c>
      <c r="DN132" s="1509" t="s">
        <v>2372</v>
      </c>
      <c r="DO132" s="1509" t="s">
        <v>2372</v>
      </c>
      <c r="DP132" s="1509" t="s">
        <v>2372</v>
      </c>
      <c r="DQ132" s="1509" t="s">
        <v>2372</v>
      </c>
      <c r="DR132" s="1509" t="s">
        <v>2372</v>
      </c>
      <c r="DS132" s="1509" t="s">
        <v>2372</v>
      </c>
      <c r="DT132" s="1509" t="s">
        <v>2372</v>
      </c>
      <c r="DU132" s="1509" t="s">
        <v>2372</v>
      </c>
      <c r="DV132" s="1509" t="s">
        <v>2372</v>
      </c>
      <c r="DW132" s="1509" t="s">
        <v>2372</v>
      </c>
      <c r="DX132" s="1509" t="s">
        <v>2372</v>
      </c>
      <c r="DY132" s="1509" t="s">
        <v>2372</v>
      </c>
      <c r="DZ132" s="1509" t="s">
        <v>2372</v>
      </c>
      <c r="EA132" s="1509" t="s">
        <v>2372</v>
      </c>
      <c r="EB132" s="1509" t="s">
        <v>2372</v>
      </c>
      <c r="EC132" s="1509" t="s">
        <v>2372</v>
      </c>
      <c r="ED132" s="1509" t="s">
        <v>2372</v>
      </c>
      <c r="EE132" s="1509" t="s">
        <v>2372</v>
      </c>
      <c r="EF132" s="1509" t="s">
        <v>2372</v>
      </c>
      <c r="EG132" s="1509" t="s">
        <v>2372</v>
      </c>
      <c r="EH132" s="1509" t="s">
        <v>2372</v>
      </c>
      <c r="EI132" s="1509" t="s">
        <v>2372</v>
      </c>
      <c r="EJ132" s="1509" t="s">
        <v>2372</v>
      </c>
      <c r="EK132" s="1509" t="s">
        <v>2372</v>
      </c>
      <c r="EL132" s="1509" t="s">
        <v>2372</v>
      </c>
      <c r="EM132" s="1509" t="s">
        <v>2372</v>
      </c>
      <c r="EN132" s="1509" t="s">
        <v>2372</v>
      </c>
      <c r="EO132" s="1509" t="s">
        <v>2372</v>
      </c>
      <c r="EP132" s="1509" t="s">
        <v>2372</v>
      </c>
      <c r="EQ132" s="1509" t="s">
        <v>2372</v>
      </c>
      <c r="ER132" s="1509" t="s">
        <v>2372</v>
      </c>
      <c r="ES132" s="1509" t="s">
        <v>2372</v>
      </c>
      <c r="ET132" s="1509" t="s">
        <v>2372</v>
      </c>
      <c r="EU132" s="1509" t="s">
        <v>2372</v>
      </c>
      <c r="EV132" s="1509" t="s">
        <v>2372</v>
      </c>
      <c r="EW132" s="1509" t="s">
        <v>2372</v>
      </c>
      <c r="EX132" s="1509" t="s">
        <v>2372</v>
      </c>
      <c r="EY132" s="1509" t="s">
        <v>2372</v>
      </c>
      <c r="EZ132" s="1509" t="s">
        <v>2372</v>
      </c>
      <c r="FA132" s="1509" t="s">
        <v>2372</v>
      </c>
      <c r="FB132" s="1509" t="s">
        <v>2372</v>
      </c>
      <c r="FC132" s="1509" t="s">
        <v>2372</v>
      </c>
      <c r="FD132" s="1509" t="s">
        <v>2372</v>
      </c>
      <c r="FE132" s="1509" t="s">
        <v>2372</v>
      </c>
      <c r="FF132" s="1509" t="s">
        <v>2372</v>
      </c>
      <c r="FG132" s="1509" t="s">
        <v>2372</v>
      </c>
      <c r="FH132" s="1509" t="s">
        <v>2372</v>
      </c>
      <c r="FI132" s="1509" t="s">
        <v>2372</v>
      </c>
      <c r="FJ132" s="1509" t="s">
        <v>2372</v>
      </c>
      <c r="FK132" s="1509" t="s">
        <v>2372</v>
      </c>
      <c r="FL132" s="1509" t="s">
        <v>2372</v>
      </c>
      <c r="FM132" s="1509" t="s">
        <v>2372</v>
      </c>
      <c r="FN132" s="1509" t="s">
        <v>2372</v>
      </c>
      <c r="FO132" s="1509" t="s">
        <v>2372</v>
      </c>
      <c r="FP132" s="1509" t="s">
        <v>2372</v>
      </c>
      <c r="FQ132" s="1509" t="s">
        <v>2372</v>
      </c>
      <c r="FR132" s="1509" t="s">
        <v>2372</v>
      </c>
      <c r="FS132" s="1509" t="s">
        <v>2372</v>
      </c>
      <c r="FT132" s="1509" t="s">
        <v>2372</v>
      </c>
      <c r="FU132" s="1509" t="s">
        <v>2372</v>
      </c>
    </row>
    <row r="133" spans="1:177" s="1509" customFormat="1" x14ac:dyDescent="0.2">
      <c r="A133" s="1512" t="s">
        <v>670</v>
      </c>
      <c r="B133" s="1512" t="s">
        <v>1077</v>
      </c>
      <c r="C133" s="1509" t="s">
        <v>2372</v>
      </c>
      <c r="D133" s="1509" t="s">
        <v>2372</v>
      </c>
      <c r="E133" s="1509" t="s">
        <v>2372</v>
      </c>
      <c r="F133" s="1509" t="s">
        <v>2372</v>
      </c>
      <c r="G133" s="1509" t="s">
        <v>2372</v>
      </c>
      <c r="H133" s="1509" t="s">
        <v>2372</v>
      </c>
      <c r="I133" s="1509" t="s">
        <v>2372</v>
      </c>
      <c r="J133" s="1509" t="s">
        <v>2372</v>
      </c>
      <c r="K133" s="1509">
        <v>1</v>
      </c>
      <c r="L133" s="1509" t="s">
        <v>2372</v>
      </c>
      <c r="M133" s="1509" t="s">
        <v>2372</v>
      </c>
      <c r="N133" s="1509">
        <v>1</v>
      </c>
      <c r="O133" s="1509">
        <v>1</v>
      </c>
      <c r="P133" s="1509">
        <v>1</v>
      </c>
      <c r="Q133" s="1509" t="s">
        <v>2372</v>
      </c>
      <c r="R133" s="1509" t="s">
        <v>2372</v>
      </c>
      <c r="S133" s="1509" t="s">
        <v>2372</v>
      </c>
      <c r="T133" s="1509" t="s">
        <v>2372</v>
      </c>
      <c r="U133" s="1509" t="s">
        <v>2372</v>
      </c>
      <c r="V133" s="1509" t="s">
        <v>2372</v>
      </c>
      <c r="W133" s="1509" t="s">
        <v>2372</v>
      </c>
      <c r="X133" s="1509" t="s">
        <v>2372</v>
      </c>
      <c r="Y133" s="1509">
        <v>1</v>
      </c>
      <c r="Z133" s="1509" t="s">
        <v>2372</v>
      </c>
      <c r="AA133" s="1509">
        <v>1</v>
      </c>
      <c r="AB133" s="1509">
        <v>1</v>
      </c>
      <c r="AC133" s="1509" t="s">
        <v>2372</v>
      </c>
      <c r="AD133" s="1509" t="s">
        <v>2372</v>
      </c>
      <c r="AE133" s="1509">
        <v>1</v>
      </c>
      <c r="AF133" s="1509" t="s">
        <v>2372</v>
      </c>
      <c r="AG133" s="1509">
        <v>1</v>
      </c>
      <c r="AH133" s="1509">
        <v>1</v>
      </c>
      <c r="AI133" s="1509" t="s">
        <v>2372</v>
      </c>
      <c r="AJ133" s="1509" t="s">
        <v>2372</v>
      </c>
      <c r="AK133" s="1509" t="s">
        <v>2372</v>
      </c>
      <c r="AL133" s="1509">
        <v>1</v>
      </c>
      <c r="AM133" s="1509">
        <v>1</v>
      </c>
      <c r="AN133" s="1509" t="s">
        <v>2372</v>
      </c>
      <c r="AO133" s="1509">
        <v>1</v>
      </c>
      <c r="AP133" s="1509" t="s">
        <v>2372</v>
      </c>
      <c r="AQ133" s="1509" t="s">
        <v>2372</v>
      </c>
      <c r="AR133" s="1509">
        <v>1</v>
      </c>
      <c r="AS133" s="1509">
        <v>1</v>
      </c>
      <c r="AT133" s="1509" t="s">
        <v>2372</v>
      </c>
      <c r="AU133" s="1509">
        <v>1</v>
      </c>
      <c r="AV133" s="1509">
        <v>1</v>
      </c>
      <c r="AW133" s="1509" t="s">
        <v>2372</v>
      </c>
      <c r="AX133" s="1509">
        <v>1</v>
      </c>
      <c r="AY133" s="1509">
        <v>1</v>
      </c>
      <c r="AZ133" s="1509">
        <v>1</v>
      </c>
      <c r="BA133" s="1509">
        <v>1</v>
      </c>
      <c r="BB133" s="1509">
        <v>1</v>
      </c>
      <c r="BC133" s="1509" t="s">
        <v>2372</v>
      </c>
      <c r="BD133" s="1509">
        <v>1</v>
      </c>
      <c r="BE133" s="1509">
        <v>1</v>
      </c>
      <c r="BF133" s="1509" t="s">
        <v>2372</v>
      </c>
      <c r="BG133" s="1509" t="s">
        <v>2372</v>
      </c>
      <c r="BH133" s="1509" t="s">
        <v>2372</v>
      </c>
      <c r="BI133" s="1509" t="s">
        <v>2372</v>
      </c>
      <c r="BJ133" s="1509" t="s">
        <v>2372</v>
      </c>
      <c r="BK133" s="1509">
        <v>1</v>
      </c>
      <c r="BL133" s="1509">
        <v>1</v>
      </c>
      <c r="BM133" s="1509" t="s">
        <v>2372</v>
      </c>
      <c r="BN133" s="1509" t="s">
        <v>2372</v>
      </c>
      <c r="BO133" s="1509">
        <v>1</v>
      </c>
      <c r="BP133" s="1509">
        <v>1</v>
      </c>
      <c r="BQ133" s="1509" t="s">
        <v>2372</v>
      </c>
      <c r="BR133" s="1509" t="s">
        <v>2372</v>
      </c>
      <c r="BS133" s="1509">
        <v>1</v>
      </c>
      <c r="BT133" s="1509">
        <v>1</v>
      </c>
      <c r="BU133" s="1509" t="s">
        <v>2372</v>
      </c>
      <c r="BV133" s="1509" t="s">
        <v>2372</v>
      </c>
      <c r="BW133" s="1509" t="s">
        <v>2372</v>
      </c>
      <c r="BX133" s="1509">
        <v>1</v>
      </c>
      <c r="BY133" s="1509" t="s">
        <v>2372</v>
      </c>
      <c r="BZ133" s="1509">
        <v>1</v>
      </c>
      <c r="CA133" s="1509">
        <v>1</v>
      </c>
      <c r="CB133" s="1509">
        <v>1</v>
      </c>
      <c r="CC133" s="1509">
        <v>1</v>
      </c>
      <c r="CD133" s="1509">
        <v>1</v>
      </c>
      <c r="CE133" s="1509">
        <v>1</v>
      </c>
      <c r="CF133" s="1509" t="s">
        <v>2372</v>
      </c>
      <c r="CG133" s="1509" t="s">
        <v>2372</v>
      </c>
      <c r="CH133" s="1509">
        <v>1</v>
      </c>
      <c r="CI133" s="1509">
        <v>1</v>
      </c>
      <c r="CJ133" s="1509">
        <v>1</v>
      </c>
      <c r="CK133" s="1509" t="s">
        <v>2372</v>
      </c>
      <c r="CL133" s="1509" t="s">
        <v>2372</v>
      </c>
      <c r="CM133" s="1509" t="s">
        <v>2372</v>
      </c>
      <c r="CN133" s="1509" t="s">
        <v>2372</v>
      </c>
      <c r="CO133" s="1509" t="s">
        <v>2372</v>
      </c>
      <c r="CP133" s="1509">
        <v>1</v>
      </c>
      <c r="CQ133" s="1509">
        <v>1</v>
      </c>
      <c r="CR133" s="1509">
        <v>1</v>
      </c>
      <c r="CS133" s="1509" t="s">
        <v>2372</v>
      </c>
      <c r="CT133" s="1509" t="s">
        <v>2372</v>
      </c>
      <c r="CU133" s="1509" t="s">
        <v>2372</v>
      </c>
      <c r="CV133" s="1509" t="s">
        <v>2372</v>
      </c>
      <c r="CW133" s="1509" t="s">
        <v>2372</v>
      </c>
      <c r="CX133" s="1509">
        <v>1</v>
      </c>
      <c r="CY133" s="1509">
        <v>1</v>
      </c>
      <c r="CZ133" s="1509">
        <v>1</v>
      </c>
      <c r="DA133" s="1509">
        <v>1</v>
      </c>
      <c r="DB133" s="1509">
        <v>1</v>
      </c>
      <c r="DC133" s="1509">
        <v>1</v>
      </c>
      <c r="DD133" s="1509">
        <v>1</v>
      </c>
      <c r="DE133" s="1509" t="s">
        <v>2372</v>
      </c>
      <c r="DF133" s="1509">
        <v>1</v>
      </c>
      <c r="DG133" s="1509">
        <v>1</v>
      </c>
      <c r="DH133" s="1509" t="s">
        <v>2372</v>
      </c>
      <c r="DI133" s="1509">
        <v>1</v>
      </c>
      <c r="DJ133" s="1509">
        <v>1</v>
      </c>
      <c r="DK133" s="1509">
        <v>1</v>
      </c>
      <c r="DL133" s="1509">
        <v>1</v>
      </c>
      <c r="DM133" s="1509">
        <v>1</v>
      </c>
      <c r="DN133" s="1509" t="s">
        <v>2372</v>
      </c>
      <c r="DO133" s="1509" t="s">
        <v>2372</v>
      </c>
      <c r="DP133" s="1509">
        <v>1</v>
      </c>
      <c r="DQ133" s="1509">
        <v>1</v>
      </c>
      <c r="DR133" s="1509">
        <v>1</v>
      </c>
      <c r="DS133" s="1509">
        <v>1</v>
      </c>
      <c r="DT133" s="1509">
        <v>1</v>
      </c>
      <c r="DU133" s="1509" t="s">
        <v>2372</v>
      </c>
      <c r="DV133" s="1509">
        <v>1</v>
      </c>
      <c r="DW133" s="1509" t="s">
        <v>2372</v>
      </c>
      <c r="DX133" s="1509" t="s">
        <v>2372</v>
      </c>
      <c r="DY133" s="1509">
        <v>1</v>
      </c>
      <c r="DZ133" s="1509" t="s">
        <v>2372</v>
      </c>
      <c r="EA133" s="1509">
        <v>1</v>
      </c>
      <c r="EB133" s="1509">
        <v>1</v>
      </c>
      <c r="EC133" s="1509" t="s">
        <v>2372</v>
      </c>
      <c r="ED133" s="1509">
        <v>1</v>
      </c>
      <c r="EE133" s="1509">
        <v>1</v>
      </c>
      <c r="EF133" s="1509">
        <v>1</v>
      </c>
      <c r="EG133" s="1509">
        <v>1</v>
      </c>
      <c r="EH133" s="1509">
        <v>1</v>
      </c>
      <c r="EI133" s="1509" t="s">
        <v>2372</v>
      </c>
      <c r="EJ133" s="1509" t="s">
        <v>2372</v>
      </c>
      <c r="EK133" s="1509" t="s">
        <v>2372</v>
      </c>
      <c r="EL133" s="1509">
        <v>1</v>
      </c>
      <c r="EM133" s="1509">
        <v>1</v>
      </c>
      <c r="EN133" s="1509">
        <v>1</v>
      </c>
      <c r="EO133" s="1509">
        <v>1</v>
      </c>
      <c r="EP133" s="1509">
        <v>1</v>
      </c>
      <c r="EQ133" s="1509">
        <v>1</v>
      </c>
      <c r="ER133" s="1509" t="s">
        <v>2372</v>
      </c>
      <c r="ES133" s="1509" t="s">
        <v>2372</v>
      </c>
      <c r="ET133" s="1509" t="s">
        <v>2372</v>
      </c>
      <c r="EU133" s="1509">
        <v>1</v>
      </c>
      <c r="EV133" s="1509" t="s">
        <v>2372</v>
      </c>
      <c r="EW133" s="1509">
        <v>1</v>
      </c>
      <c r="EX133" s="1509" t="s">
        <v>2372</v>
      </c>
      <c r="EY133" s="1509" t="s">
        <v>2372</v>
      </c>
      <c r="EZ133" s="1509" t="s">
        <v>2372</v>
      </c>
      <c r="FA133" s="1509">
        <v>1</v>
      </c>
      <c r="FB133" s="1509">
        <v>1</v>
      </c>
      <c r="FC133" s="1509" t="s">
        <v>2372</v>
      </c>
      <c r="FD133" s="1509">
        <v>1</v>
      </c>
      <c r="FE133" s="1509">
        <v>1</v>
      </c>
      <c r="FF133" s="1509" t="s">
        <v>2372</v>
      </c>
      <c r="FG133" s="1509" t="s">
        <v>2372</v>
      </c>
      <c r="FH133" s="1509">
        <v>1</v>
      </c>
      <c r="FI133" s="1509" t="s">
        <v>2372</v>
      </c>
      <c r="FJ133" s="1509">
        <v>1</v>
      </c>
      <c r="FK133" s="1509">
        <v>1</v>
      </c>
      <c r="FL133" s="1509">
        <v>1</v>
      </c>
      <c r="FM133" s="1509" t="s">
        <v>2372</v>
      </c>
      <c r="FN133" s="1509" t="s">
        <v>2372</v>
      </c>
      <c r="FO133" s="1509">
        <v>1</v>
      </c>
      <c r="FP133" s="1509" t="s">
        <v>2372</v>
      </c>
      <c r="FQ133" s="1509">
        <v>1</v>
      </c>
      <c r="FR133" s="1509">
        <v>1</v>
      </c>
      <c r="FS133" s="1509" t="s">
        <v>2372</v>
      </c>
      <c r="FT133" s="1509">
        <v>1</v>
      </c>
      <c r="FU133" s="1509" t="s">
        <v>2372</v>
      </c>
    </row>
    <row r="134" spans="1:177" s="1509" customFormat="1" x14ac:dyDescent="0.2">
      <c r="A134" s="1512" t="s">
        <v>670</v>
      </c>
      <c r="B134" s="1512" t="s">
        <v>1073</v>
      </c>
      <c r="C134" s="1509" t="s">
        <v>2372</v>
      </c>
      <c r="D134" s="1509" t="s">
        <v>2372</v>
      </c>
      <c r="E134" s="1509" t="s">
        <v>2372</v>
      </c>
      <c r="F134" s="1509" t="s">
        <v>2372</v>
      </c>
      <c r="G134" s="1509" t="s">
        <v>2372</v>
      </c>
      <c r="H134" s="1509" t="s">
        <v>2372</v>
      </c>
      <c r="I134" s="1509" t="s">
        <v>2372</v>
      </c>
      <c r="J134" s="1509" t="s">
        <v>2372</v>
      </c>
      <c r="K134" s="1509" t="s">
        <v>2372</v>
      </c>
      <c r="L134" s="1509" t="s">
        <v>2372</v>
      </c>
      <c r="M134" s="1509" t="s">
        <v>2372</v>
      </c>
      <c r="N134" s="1509" t="s">
        <v>2372</v>
      </c>
      <c r="O134" s="1509" t="s">
        <v>2372</v>
      </c>
      <c r="P134" s="1509" t="s">
        <v>2372</v>
      </c>
      <c r="Q134" s="1509" t="s">
        <v>2372</v>
      </c>
      <c r="R134" s="1509" t="s">
        <v>2372</v>
      </c>
      <c r="S134" s="1509" t="s">
        <v>2372</v>
      </c>
      <c r="T134" s="1509" t="s">
        <v>2372</v>
      </c>
      <c r="U134" s="1509" t="s">
        <v>2372</v>
      </c>
      <c r="V134" s="1509" t="s">
        <v>2372</v>
      </c>
      <c r="W134" s="1509" t="s">
        <v>2372</v>
      </c>
      <c r="X134" s="1509" t="s">
        <v>2372</v>
      </c>
      <c r="Y134" s="1509" t="s">
        <v>2372</v>
      </c>
      <c r="Z134" s="1509" t="s">
        <v>2372</v>
      </c>
      <c r="AA134" s="1509" t="s">
        <v>2372</v>
      </c>
      <c r="AB134" s="1509" t="s">
        <v>2372</v>
      </c>
      <c r="AC134" s="1509" t="s">
        <v>2372</v>
      </c>
      <c r="AD134" s="1509" t="s">
        <v>2372</v>
      </c>
      <c r="AE134" s="1509" t="s">
        <v>2372</v>
      </c>
      <c r="AF134" s="1509" t="s">
        <v>2372</v>
      </c>
      <c r="AG134" s="1509" t="s">
        <v>2372</v>
      </c>
      <c r="AH134" s="1509" t="s">
        <v>2372</v>
      </c>
      <c r="AI134" s="1509" t="s">
        <v>2372</v>
      </c>
      <c r="AJ134" s="1509" t="s">
        <v>2372</v>
      </c>
      <c r="AK134" s="1509" t="s">
        <v>2372</v>
      </c>
      <c r="AL134" s="1509" t="s">
        <v>2372</v>
      </c>
      <c r="AM134" s="1509" t="s">
        <v>2372</v>
      </c>
      <c r="AN134" s="1509" t="s">
        <v>2372</v>
      </c>
      <c r="AO134" s="1509" t="s">
        <v>2372</v>
      </c>
      <c r="AP134" s="1509" t="s">
        <v>2372</v>
      </c>
      <c r="AQ134" s="1509" t="s">
        <v>2372</v>
      </c>
      <c r="AR134" s="1509" t="s">
        <v>2372</v>
      </c>
      <c r="AS134" s="1509" t="s">
        <v>2372</v>
      </c>
      <c r="AT134" s="1509" t="s">
        <v>2372</v>
      </c>
      <c r="AU134" s="1509" t="s">
        <v>2372</v>
      </c>
      <c r="AV134" s="1509" t="s">
        <v>2372</v>
      </c>
      <c r="AW134" s="1509" t="s">
        <v>2372</v>
      </c>
      <c r="AX134" s="1509" t="s">
        <v>2372</v>
      </c>
      <c r="AY134" s="1509" t="s">
        <v>2372</v>
      </c>
      <c r="AZ134" s="1509" t="s">
        <v>2372</v>
      </c>
      <c r="BA134" s="1509" t="s">
        <v>2372</v>
      </c>
      <c r="BB134" s="1509" t="s">
        <v>2372</v>
      </c>
      <c r="BC134" s="1509" t="s">
        <v>2372</v>
      </c>
      <c r="BD134" s="1509" t="s">
        <v>2372</v>
      </c>
      <c r="BE134" s="1509" t="s">
        <v>2372</v>
      </c>
      <c r="BF134" s="1509" t="s">
        <v>2372</v>
      </c>
      <c r="BG134" s="1509" t="s">
        <v>2372</v>
      </c>
      <c r="BH134" s="1509" t="s">
        <v>2372</v>
      </c>
      <c r="BI134" s="1509" t="s">
        <v>2372</v>
      </c>
      <c r="BJ134" s="1509" t="s">
        <v>2372</v>
      </c>
      <c r="BK134" s="1509" t="s">
        <v>2372</v>
      </c>
      <c r="BL134" s="1509" t="s">
        <v>2372</v>
      </c>
      <c r="BM134" s="1509" t="s">
        <v>2372</v>
      </c>
      <c r="BN134" s="1509" t="s">
        <v>2372</v>
      </c>
      <c r="BO134" s="1509" t="s">
        <v>2372</v>
      </c>
      <c r="BP134" s="1509" t="s">
        <v>2372</v>
      </c>
      <c r="BQ134" s="1509" t="s">
        <v>2372</v>
      </c>
      <c r="BR134" s="1509" t="s">
        <v>2372</v>
      </c>
      <c r="BS134" s="1509" t="s">
        <v>2372</v>
      </c>
      <c r="BT134" s="1509" t="s">
        <v>2372</v>
      </c>
      <c r="BU134" s="1509" t="s">
        <v>2372</v>
      </c>
      <c r="BV134" s="1509" t="s">
        <v>2372</v>
      </c>
      <c r="BW134" s="1509" t="s">
        <v>2372</v>
      </c>
      <c r="BX134" s="1509" t="s">
        <v>2372</v>
      </c>
      <c r="BY134" s="1509" t="s">
        <v>2372</v>
      </c>
      <c r="BZ134" s="1509" t="s">
        <v>2372</v>
      </c>
      <c r="CA134" s="1509" t="s">
        <v>2372</v>
      </c>
      <c r="CB134" s="1509" t="s">
        <v>2372</v>
      </c>
      <c r="CC134" s="1509" t="s">
        <v>2372</v>
      </c>
      <c r="CD134" s="1509">
        <v>1</v>
      </c>
      <c r="CE134" s="1509" t="s">
        <v>2372</v>
      </c>
      <c r="CF134" s="1509" t="s">
        <v>2372</v>
      </c>
      <c r="CG134" s="1509" t="s">
        <v>2372</v>
      </c>
      <c r="CH134" s="1509" t="s">
        <v>2372</v>
      </c>
      <c r="CI134" s="1509" t="s">
        <v>2372</v>
      </c>
      <c r="CJ134" s="1509" t="s">
        <v>2372</v>
      </c>
      <c r="CK134" s="1509" t="s">
        <v>2372</v>
      </c>
      <c r="CL134" s="1509" t="s">
        <v>2372</v>
      </c>
      <c r="CM134" s="1509" t="s">
        <v>2372</v>
      </c>
      <c r="CN134" s="1509" t="s">
        <v>2372</v>
      </c>
      <c r="CO134" s="1509" t="s">
        <v>2372</v>
      </c>
      <c r="CP134" s="1509" t="s">
        <v>2372</v>
      </c>
      <c r="CQ134" s="1509" t="s">
        <v>2372</v>
      </c>
      <c r="CR134" s="1509" t="s">
        <v>2372</v>
      </c>
      <c r="CS134" s="1509" t="s">
        <v>2372</v>
      </c>
      <c r="CT134" s="1509" t="s">
        <v>2372</v>
      </c>
      <c r="CU134" s="1509" t="s">
        <v>2372</v>
      </c>
      <c r="CV134" s="1509" t="s">
        <v>2372</v>
      </c>
      <c r="CW134" s="1509" t="s">
        <v>2372</v>
      </c>
      <c r="CX134" s="1509" t="s">
        <v>2372</v>
      </c>
      <c r="CY134" s="1509" t="s">
        <v>2372</v>
      </c>
      <c r="CZ134" s="1509" t="s">
        <v>2372</v>
      </c>
      <c r="DA134" s="1509" t="s">
        <v>2372</v>
      </c>
      <c r="DB134" s="1509" t="s">
        <v>2372</v>
      </c>
      <c r="DC134" s="1509" t="s">
        <v>2372</v>
      </c>
      <c r="DD134" s="1509" t="s">
        <v>2372</v>
      </c>
      <c r="DE134" s="1509" t="s">
        <v>2372</v>
      </c>
      <c r="DF134" s="1509" t="s">
        <v>2372</v>
      </c>
      <c r="DG134" s="1509" t="s">
        <v>2372</v>
      </c>
      <c r="DH134" s="1509" t="s">
        <v>2372</v>
      </c>
      <c r="DI134" s="1509" t="s">
        <v>2372</v>
      </c>
      <c r="DJ134" s="1509" t="s">
        <v>2372</v>
      </c>
      <c r="DK134" s="1509" t="s">
        <v>2372</v>
      </c>
      <c r="DL134" s="1509" t="s">
        <v>2372</v>
      </c>
      <c r="DM134" s="1509" t="s">
        <v>2372</v>
      </c>
      <c r="DN134" s="1509" t="s">
        <v>2372</v>
      </c>
      <c r="DO134" s="1509" t="s">
        <v>2372</v>
      </c>
      <c r="DP134" s="1509" t="s">
        <v>2372</v>
      </c>
      <c r="DQ134" s="1509" t="s">
        <v>2372</v>
      </c>
      <c r="DR134" s="1509" t="s">
        <v>2372</v>
      </c>
      <c r="DS134" s="1509" t="s">
        <v>2372</v>
      </c>
      <c r="DT134" s="1509" t="s">
        <v>2372</v>
      </c>
      <c r="DU134" s="1509" t="s">
        <v>2372</v>
      </c>
      <c r="DV134" s="1509" t="s">
        <v>2372</v>
      </c>
      <c r="DW134" s="1509" t="s">
        <v>2372</v>
      </c>
      <c r="DX134" s="1509" t="s">
        <v>2372</v>
      </c>
      <c r="DY134" s="1509" t="s">
        <v>2372</v>
      </c>
      <c r="DZ134" s="1509" t="s">
        <v>2372</v>
      </c>
      <c r="EA134" s="1509" t="s">
        <v>2372</v>
      </c>
      <c r="EB134" s="1509" t="s">
        <v>2372</v>
      </c>
      <c r="EC134" s="1509" t="s">
        <v>2372</v>
      </c>
      <c r="ED134" s="1509" t="s">
        <v>2372</v>
      </c>
      <c r="EE134" s="1509" t="s">
        <v>2372</v>
      </c>
      <c r="EF134" s="1509" t="s">
        <v>2372</v>
      </c>
      <c r="EG134" s="1509" t="s">
        <v>2372</v>
      </c>
      <c r="EH134" s="1509" t="s">
        <v>2372</v>
      </c>
      <c r="EI134" s="1509" t="s">
        <v>2372</v>
      </c>
      <c r="EJ134" s="1509" t="s">
        <v>2372</v>
      </c>
      <c r="EK134" s="1509" t="s">
        <v>2372</v>
      </c>
      <c r="EL134" s="1509" t="s">
        <v>2372</v>
      </c>
      <c r="EM134" s="1509" t="s">
        <v>2372</v>
      </c>
      <c r="EN134" s="1509" t="s">
        <v>2372</v>
      </c>
      <c r="EO134" s="1509" t="s">
        <v>2372</v>
      </c>
      <c r="EP134" s="1509" t="s">
        <v>2372</v>
      </c>
      <c r="EQ134" s="1509" t="s">
        <v>2372</v>
      </c>
      <c r="ER134" s="1509" t="s">
        <v>2372</v>
      </c>
      <c r="ES134" s="1509" t="s">
        <v>2372</v>
      </c>
      <c r="ET134" s="1509" t="s">
        <v>2372</v>
      </c>
      <c r="EU134" s="1509" t="s">
        <v>2372</v>
      </c>
      <c r="EV134" s="1509" t="s">
        <v>2372</v>
      </c>
      <c r="EW134" s="1509" t="s">
        <v>2372</v>
      </c>
      <c r="EX134" s="1509" t="s">
        <v>2372</v>
      </c>
      <c r="EY134" s="1509" t="s">
        <v>2372</v>
      </c>
      <c r="EZ134" s="1509" t="s">
        <v>2372</v>
      </c>
      <c r="FA134" s="1509" t="s">
        <v>2372</v>
      </c>
      <c r="FB134" s="1509" t="s">
        <v>2372</v>
      </c>
      <c r="FC134" s="1509" t="s">
        <v>2372</v>
      </c>
      <c r="FD134" s="1509" t="s">
        <v>2372</v>
      </c>
      <c r="FE134" s="1509" t="s">
        <v>2372</v>
      </c>
      <c r="FF134" s="1509" t="s">
        <v>2372</v>
      </c>
      <c r="FG134" s="1509" t="s">
        <v>2372</v>
      </c>
      <c r="FH134" s="1509" t="s">
        <v>2372</v>
      </c>
      <c r="FI134" s="1509" t="s">
        <v>2372</v>
      </c>
      <c r="FJ134" s="1509" t="s">
        <v>2372</v>
      </c>
      <c r="FK134" s="1509" t="s">
        <v>2372</v>
      </c>
      <c r="FL134" s="1509" t="s">
        <v>2372</v>
      </c>
      <c r="FM134" s="1509" t="s">
        <v>2372</v>
      </c>
      <c r="FN134" s="1509" t="s">
        <v>2372</v>
      </c>
      <c r="FO134" s="1509" t="s">
        <v>2372</v>
      </c>
      <c r="FP134" s="1509" t="s">
        <v>2372</v>
      </c>
      <c r="FQ134" s="1509" t="s">
        <v>2372</v>
      </c>
      <c r="FR134" s="1509" t="s">
        <v>2372</v>
      </c>
      <c r="FS134" s="1509" t="s">
        <v>2372</v>
      </c>
      <c r="FT134" s="1509" t="s">
        <v>2372</v>
      </c>
      <c r="FU134" s="1509" t="s">
        <v>2372</v>
      </c>
    </row>
    <row r="135" spans="1:177" s="1509" customFormat="1" x14ac:dyDescent="0.2">
      <c r="A135" s="1512" t="s">
        <v>670</v>
      </c>
      <c r="B135" s="1512" t="s">
        <v>1071</v>
      </c>
      <c r="C135" s="1509" t="s">
        <v>2372</v>
      </c>
      <c r="D135" s="1509" t="s">
        <v>2372</v>
      </c>
      <c r="E135" s="1509" t="s">
        <v>2372</v>
      </c>
      <c r="F135" s="1509" t="s">
        <v>2372</v>
      </c>
      <c r="G135" s="1509" t="s">
        <v>2372</v>
      </c>
      <c r="H135" s="1509" t="s">
        <v>2372</v>
      </c>
      <c r="I135" s="1509" t="s">
        <v>2372</v>
      </c>
      <c r="J135" s="1509" t="s">
        <v>2372</v>
      </c>
      <c r="K135" s="1509" t="s">
        <v>2372</v>
      </c>
      <c r="L135" s="1509" t="s">
        <v>2372</v>
      </c>
      <c r="M135" s="1509" t="s">
        <v>2372</v>
      </c>
      <c r="N135" s="1509" t="s">
        <v>2372</v>
      </c>
      <c r="O135" s="1509" t="s">
        <v>2372</v>
      </c>
      <c r="P135" s="1509" t="s">
        <v>2372</v>
      </c>
      <c r="Q135" s="1509" t="s">
        <v>2372</v>
      </c>
      <c r="R135" s="1509" t="s">
        <v>2372</v>
      </c>
      <c r="S135" s="1509" t="s">
        <v>2372</v>
      </c>
      <c r="T135" s="1509" t="s">
        <v>2372</v>
      </c>
      <c r="U135" s="1509" t="s">
        <v>2372</v>
      </c>
      <c r="V135" s="1509" t="s">
        <v>2372</v>
      </c>
      <c r="W135" s="1509" t="s">
        <v>2372</v>
      </c>
      <c r="X135" s="1509" t="s">
        <v>2372</v>
      </c>
      <c r="Y135" s="1509" t="s">
        <v>2372</v>
      </c>
      <c r="Z135" s="1509" t="s">
        <v>2372</v>
      </c>
      <c r="AA135" s="1509" t="s">
        <v>2372</v>
      </c>
      <c r="AB135" s="1509" t="s">
        <v>2372</v>
      </c>
      <c r="AC135" s="1509" t="s">
        <v>2372</v>
      </c>
      <c r="AD135" s="1509" t="s">
        <v>2372</v>
      </c>
      <c r="AE135" s="1509" t="s">
        <v>2372</v>
      </c>
      <c r="AF135" s="1509" t="s">
        <v>2372</v>
      </c>
      <c r="AG135" s="1509" t="s">
        <v>2372</v>
      </c>
      <c r="AH135" s="1509" t="s">
        <v>2372</v>
      </c>
      <c r="AI135" s="1509" t="s">
        <v>2372</v>
      </c>
      <c r="AJ135" s="1509" t="s">
        <v>2372</v>
      </c>
      <c r="AK135" s="1509" t="s">
        <v>2372</v>
      </c>
      <c r="AL135" s="1509" t="s">
        <v>2372</v>
      </c>
      <c r="AM135" s="1509" t="s">
        <v>2372</v>
      </c>
      <c r="AN135" s="1509" t="s">
        <v>2372</v>
      </c>
      <c r="AO135" s="1509" t="s">
        <v>2372</v>
      </c>
      <c r="AP135" s="1509" t="s">
        <v>2372</v>
      </c>
      <c r="AQ135" s="1509" t="s">
        <v>2372</v>
      </c>
      <c r="AR135" s="1509" t="s">
        <v>2372</v>
      </c>
      <c r="AS135" s="1509" t="s">
        <v>2372</v>
      </c>
      <c r="AT135" s="1509" t="s">
        <v>2372</v>
      </c>
      <c r="AU135" s="1509" t="s">
        <v>2372</v>
      </c>
      <c r="AV135" s="1509" t="s">
        <v>2372</v>
      </c>
      <c r="AW135" s="1509" t="s">
        <v>2372</v>
      </c>
      <c r="AX135" s="1509" t="s">
        <v>2372</v>
      </c>
      <c r="AY135" s="1509" t="s">
        <v>2372</v>
      </c>
      <c r="AZ135" s="1509" t="s">
        <v>2372</v>
      </c>
      <c r="BA135" s="1509" t="s">
        <v>2372</v>
      </c>
      <c r="BB135" s="1509" t="s">
        <v>2372</v>
      </c>
      <c r="BC135" s="1509" t="s">
        <v>2372</v>
      </c>
      <c r="BD135" s="1509" t="s">
        <v>2372</v>
      </c>
      <c r="BE135" s="1509" t="s">
        <v>2372</v>
      </c>
      <c r="BF135" s="1509" t="s">
        <v>2372</v>
      </c>
      <c r="BG135" s="1509" t="s">
        <v>2372</v>
      </c>
      <c r="BH135" s="1509" t="s">
        <v>2372</v>
      </c>
      <c r="BI135" s="1509" t="s">
        <v>2372</v>
      </c>
      <c r="BJ135" s="1509" t="s">
        <v>2372</v>
      </c>
      <c r="BK135" s="1509" t="s">
        <v>2372</v>
      </c>
      <c r="BL135" s="1509" t="s">
        <v>2372</v>
      </c>
      <c r="BM135" s="1509">
        <v>1</v>
      </c>
      <c r="BN135" s="1509" t="s">
        <v>2372</v>
      </c>
      <c r="BO135" s="1509" t="s">
        <v>2372</v>
      </c>
      <c r="BP135" s="1509" t="s">
        <v>2372</v>
      </c>
      <c r="BQ135" s="1509" t="s">
        <v>2372</v>
      </c>
      <c r="BR135" s="1509" t="s">
        <v>2372</v>
      </c>
      <c r="BS135" s="1509" t="s">
        <v>2372</v>
      </c>
      <c r="BT135" s="1509" t="s">
        <v>2372</v>
      </c>
      <c r="BU135" s="1509" t="s">
        <v>2372</v>
      </c>
      <c r="BV135" s="1509" t="s">
        <v>2372</v>
      </c>
      <c r="BW135" s="1509" t="s">
        <v>2372</v>
      </c>
      <c r="BX135" s="1509" t="s">
        <v>2372</v>
      </c>
      <c r="BY135" s="1509" t="s">
        <v>2372</v>
      </c>
      <c r="BZ135" s="1509" t="s">
        <v>2372</v>
      </c>
      <c r="CA135" s="1509" t="s">
        <v>2372</v>
      </c>
      <c r="CB135" s="1509" t="s">
        <v>2372</v>
      </c>
      <c r="CC135" s="1509" t="s">
        <v>2372</v>
      </c>
      <c r="CD135" s="1509" t="s">
        <v>2372</v>
      </c>
      <c r="CE135" s="1509" t="s">
        <v>2372</v>
      </c>
      <c r="CF135" s="1509" t="s">
        <v>2372</v>
      </c>
      <c r="CG135" s="1509" t="s">
        <v>2372</v>
      </c>
      <c r="CH135" s="1509" t="s">
        <v>2372</v>
      </c>
      <c r="CI135" s="1509" t="s">
        <v>2372</v>
      </c>
      <c r="CJ135" s="1509" t="s">
        <v>2372</v>
      </c>
      <c r="CK135" s="1509" t="s">
        <v>2372</v>
      </c>
      <c r="CL135" s="1509" t="s">
        <v>2372</v>
      </c>
      <c r="CM135" s="1509" t="s">
        <v>2372</v>
      </c>
      <c r="CN135" s="1509" t="s">
        <v>2372</v>
      </c>
      <c r="CO135" s="1509" t="s">
        <v>2372</v>
      </c>
      <c r="CP135" s="1509" t="s">
        <v>2372</v>
      </c>
      <c r="CQ135" s="1509" t="s">
        <v>2372</v>
      </c>
      <c r="CR135" s="1509" t="s">
        <v>2372</v>
      </c>
      <c r="CS135" s="1509" t="s">
        <v>2372</v>
      </c>
      <c r="CT135" s="1509" t="s">
        <v>2372</v>
      </c>
      <c r="CU135" s="1509" t="s">
        <v>2372</v>
      </c>
      <c r="CV135" s="1509" t="s">
        <v>2372</v>
      </c>
      <c r="CW135" s="1509" t="s">
        <v>2372</v>
      </c>
      <c r="CX135" s="1509" t="s">
        <v>2372</v>
      </c>
      <c r="CY135" s="1509" t="s">
        <v>2372</v>
      </c>
      <c r="CZ135" s="1509" t="s">
        <v>2372</v>
      </c>
      <c r="DA135" s="1509" t="s">
        <v>2372</v>
      </c>
      <c r="DB135" s="1509" t="s">
        <v>2372</v>
      </c>
      <c r="DC135" s="1509" t="s">
        <v>2372</v>
      </c>
      <c r="DD135" s="1509">
        <v>1</v>
      </c>
      <c r="DE135" s="1509" t="s">
        <v>2372</v>
      </c>
      <c r="DF135" s="1509" t="s">
        <v>2372</v>
      </c>
      <c r="DG135" s="1509" t="s">
        <v>2372</v>
      </c>
      <c r="DH135" s="1509" t="s">
        <v>2372</v>
      </c>
      <c r="DI135" s="1509" t="s">
        <v>2372</v>
      </c>
      <c r="DJ135" s="1509" t="s">
        <v>2372</v>
      </c>
      <c r="DK135" s="1509" t="s">
        <v>2372</v>
      </c>
      <c r="DL135" s="1509" t="s">
        <v>2372</v>
      </c>
      <c r="DM135" s="1509" t="s">
        <v>2372</v>
      </c>
      <c r="DN135" s="1509" t="s">
        <v>2372</v>
      </c>
      <c r="DO135" s="1509" t="s">
        <v>2372</v>
      </c>
      <c r="DP135" s="1509" t="s">
        <v>2372</v>
      </c>
      <c r="DQ135" s="1509" t="s">
        <v>2372</v>
      </c>
      <c r="DR135" s="1509" t="s">
        <v>2372</v>
      </c>
      <c r="DS135" s="1509" t="s">
        <v>2372</v>
      </c>
      <c r="DT135" s="1509" t="s">
        <v>2372</v>
      </c>
      <c r="DU135" s="1509" t="s">
        <v>2372</v>
      </c>
      <c r="DV135" s="1509" t="s">
        <v>2372</v>
      </c>
      <c r="DW135" s="1509" t="s">
        <v>2372</v>
      </c>
      <c r="DX135" s="1509" t="s">
        <v>2372</v>
      </c>
      <c r="DY135" s="1509" t="s">
        <v>2372</v>
      </c>
      <c r="DZ135" s="1509" t="s">
        <v>2372</v>
      </c>
      <c r="EA135" s="1509" t="s">
        <v>2372</v>
      </c>
      <c r="EB135" s="1509" t="s">
        <v>2372</v>
      </c>
      <c r="EC135" s="1509" t="s">
        <v>2372</v>
      </c>
      <c r="ED135" s="1509" t="s">
        <v>2372</v>
      </c>
      <c r="EE135" s="1509" t="s">
        <v>2372</v>
      </c>
      <c r="EF135" s="1509" t="s">
        <v>2372</v>
      </c>
      <c r="EG135" s="1509" t="s">
        <v>2372</v>
      </c>
      <c r="EH135" s="1509" t="s">
        <v>2372</v>
      </c>
      <c r="EI135" s="1509" t="s">
        <v>2372</v>
      </c>
      <c r="EJ135" s="1509" t="s">
        <v>2372</v>
      </c>
      <c r="EK135" s="1509" t="s">
        <v>2372</v>
      </c>
      <c r="EL135" s="1509" t="s">
        <v>2372</v>
      </c>
      <c r="EM135" s="1509" t="s">
        <v>2372</v>
      </c>
      <c r="EN135" s="1509" t="s">
        <v>2372</v>
      </c>
      <c r="EO135" s="1509" t="s">
        <v>2372</v>
      </c>
      <c r="EP135" s="1509" t="s">
        <v>2372</v>
      </c>
      <c r="EQ135" s="1509" t="s">
        <v>2372</v>
      </c>
      <c r="ER135" s="1509" t="s">
        <v>2372</v>
      </c>
      <c r="ES135" s="1509" t="s">
        <v>2372</v>
      </c>
      <c r="ET135" s="1509" t="s">
        <v>2372</v>
      </c>
      <c r="EU135" s="1509" t="s">
        <v>2372</v>
      </c>
      <c r="EV135" s="1509" t="s">
        <v>2372</v>
      </c>
      <c r="EW135" s="1509" t="s">
        <v>2372</v>
      </c>
      <c r="EX135" s="1509" t="s">
        <v>2372</v>
      </c>
      <c r="EY135" s="1509" t="s">
        <v>2372</v>
      </c>
      <c r="EZ135" s="1509" t="s">
        <v>2372</v>
      </c>
      <c r="FA135" s="1509" t="s">
        <v>2372</v>
      </c>
      <c r="FB135" s="1509" t="s">
        <v>2372</v>
      </c>
      <c r="FC135" s="1509" t="s">
        <v>2372</v>
      </c>
      <c r="FD135" s="1509" t="s">
        <v>2372</v>
      </c>
      <c r="FE135" s="1509" t="s">
        <v>2372</v>
      </c>
      <c r="FF135" s="1509" t="s">
        <v>2372</v>
      </c>
      <c r="FG135" s="1509" t="s">
        <v>2372</v>
      </c>
      <c r="FH135" s="1509" t="s">
        <v>2372</v>
      </c>
      <c r="FI135" s="1509" t="s">
        <v>2372</v>
      </c>
      <c r="FJ135" s="1509" t="s">
        <v>2372</v>
      </c>
      <c r="FK135" s="1509" t="s">
        <v>2372</v>
      </c>
      <c r="FL135" s="1509" t="s">
        <v>2372</v>
      </c>
      <c r="FM135" s="1509" t="s">
        <v>2372</v>
      </c>
      <c r="FN135" s="1509" t="s">
        <v>2372</v>
      </c>
      <c r="FO135" s="1509" t="s">
        <v>2372</v>
      </c>
      <c r="FP135" s="1509" t="s">
        <v>2372</v>
      </c>
      <c r="FQ135" s="1509" t="s">
        <v>2372</v>
      </c>
      <c r="FR135" s="1509" t="s">
        <v>2372</v>
      </c>
      <c r="FS135" s="1509" t="s">
        <v>2372</v>
      </c>
      <c r="FT135" s="1509" t="s">
        <v>2372</v>
      </c>
      <c r="FU135" s="1509" t="s">
        <v>2372</v>
      </c>
    </row>
    <row r="136" spans="1:177" s="1509" customFormat="1" x14ac:dyDescent="0.2">
      <c r="A136" s="1512" t="s">
        <v>670</v>
      </c>
      <c r="B136" s="1512" t="s">
        <v>1062</v>
      </c>
      <c r="C136" s="1509">
        <v>0.79197442100000004</v>
      </c>
      <c r="D136" s="1509">
        <v>0.77984810400000004</v>
      </c>
      <c r="E136" s="1509">
        <v>0.96068077299999999</v>
      </c>
      <c r="F136" s="1509">
        <v>0.51699579500000004</v>
      </c>
      <c r="G136" s="1509">
        <v>0.75624762400000001</v>
      </c>
      <c r="H136" s="1509">
        <v>0.75960900600000003</v>
      </c>
      <c r="I136" s="1509">
        <v>0.319823211</v>
      </c>
      <c r="J136" s="1509">
        <v>0.35264326899999998</v>
      </c>
      <c r="K136" s="1509">
        <v>0.41841381500000002</v>
      </c>
      <c r="L136" s="1509">
        <v>0.455396472</v>
      </c>
      <c r="M136" s="1509">
        <v>0.52890714100000003</v>
      </c>
      <c r="N136" s="1509">
        <v>0.362615617</v>
      </c>
      <c r="O136" s="1509">
        <v>0.24818701500000001</v>
      </c>
      <c r="P136" s="1509">
        <v>0.51765657300000001</v>
      </c>
      <c r="Q136" s="1509">
        <v>0.18509097099999999</v>
      </c>
      <c r="R136" s="1509">
        <v>0.67412143000000002</v>
      </c>
      <c r="S136" s="1509">
        <v>0.929399796</v>
      </c>
      <c r="T136" s="1509">
        <v>0.49716406699999999</v>
      </c>
      <c r="U136" s="1509">
        <v>0.30411937</v>
      </c>
      <c r="V136" s="1509">
        <v>0.72927458199999995</v>
      </c>
      <c r="W136" s="1509">
        <v>0.85461836000000002</v>
      </c>
      <c r="X136" s="1509">
        <v>0.98495949199999999</v>
      </c>
      <c r="Y136" s="1509">
        <v>0.59644408999999998</v>
      </c>
      <c r="Z136" s="1509">
        <v>0.19942088799999999</v>
      </c>
      <c r="AA136" s="1509">
        <v>0.69480737299999995</v>
      </c>
      <c r="AB136" s="1509">
        <v>0.89766417499999995</v>
      </c>
      <c r="AC136" s="1509">
        <v>0.896617004</v>
      </c>
      <c r="AD136" s="1509">
        <v>0.92567693500000003</v>
      </c>
      <c r="AE136" s="1509">
        <v>0.44550289799999998</v>
      </c>
      <c r="AF136" s="1509">
        <v>0.28404051499999999</v>
      </c>
      <c r="AG136" s="1509">
        <v>0.862365936</v>
      </c>
      <c r="AH136" s="1509">
        <v>0.90606763000000001</v>
      </c>
      <c r="AI136" s="1509">
        <v>0.72565233900000004</v>
      </c>
      <c r="AJ136" s="1509">
        <v>0.87745488999999999</v>
      </c>
      <c r="AK136" s="1509">
        <v>0.600866821</v>
      </c>
      <c r="AL136" s="1509">
        <v>0.78759147500000004</v>
      </c>
      <c r="AM136" s="1509">
        <v>0.32098498399999997</v>
      </c>
      <c r="AN136" s="1509">
        <v>0.35477758799999998</v>
      </c>
      <c r="AO136" s="1509">
        <v>0.35094171200000002</v>
      </c>
      <c r="AP136" s="1509">
        <v>0.36044385899999998</v>
      </c>
      <c r="AQ136" s="1509">
        <v>0.34971417100000002</v>
      </c>
      <c r="AR136" s="1509">
        <v>0.202745707</v>
      </c>
      <c r="AS136" s="1509">
        <v>0.22057127900000001</v>
      </c>
      <c r="AT136" s="1509">
        <v>0.41772871900000003</v>
      </c>
      <c r="AU136" s="1509">
        <v>0.33124510000000001</v>
      </c>
      <c r="AV136" s="1509">
        <v>0.59587764899999995</v>
      </c>
      <c r="AW136" s="1509">
        <v>0.32217841400000002</v>
      </c>
      <c r="AX136" s="1509">
        <v>0.85948074799999996</v>
      </c>
      <c r="AY136" s="1509">
        <v>0.31468639199999998</v>
      </c>
      <c r="AZ136" s="1509">
        <v>0.44893556099999998</v>
      </c>
      <c r="BA136" s="1509">
        <v>0.32668471900000001</v>
      </c>
      <c r="BB136" s="1509">
        <v>0.79306738899999996</v>
      </c>
      <c r="BC136" s="1509">
        <v>0.35889433799999998</v>
      </c>
      <c r="BD136" s="1509">
        <v>0.36611988299999998</v>
      </c>
      <c r="BE136" s="1509">
        <v>0.31091277499999997</v>
      </c>
      <c r="BF136" s="1509">
        <v>0.38054022500000001</v>
      </c>
      <c r="BG136" s="1509">
        <v>0.920040521</v>
      </c>
      <c r="BH136" s="1509">
        <v>0.35300102100000003</v>
      </c>
      <c r="BI136" s="1509">
        <v>0.73192418599999998</v>
      </c>
      <c r="BJ136" s="1509">
        <v>0.206207004</v>
      </c>
      <c r="BK136" s="1509">
        <v>0.48643522099999997</v>
      </c>
      <c r="BL136" s="1509">
        <v>0.85987657500000003</v>
      </c>
      <c r="BM136" s="1509">
        <v>0.45397715799999999</v>
      </c>
      <c r="BN136" s="1509">
        <v>0.193741569</v>
      </c>
      <c r="BO136" s="1509">
        <v>0.79838415200000001</v>
      </c>
      <c r="BP136" s="1509">
        <v>0.54825931100000003</v>
      </c>
      <c r="BQ136" s="1509">
        <v>0.82599816699999995</v>
      </c>
      <c r="BR136" s="1509">
        <v>0.67559681299999996</v>
      </c>
      <c r="BS136" s="1509">
        <v>0.303224989</v>
      </c>
      <c r="BT136" s="1509">
        <v>0.19254012300000001</v>
      </c>
      <c r="BU136" s="1509">
        <v>0.73196398299999998</v>
      </c>
      <c r="BV136" s="1509">
        <v>0.91509807799999998</v>
      </c>
      <c r="BW136" s="1509">
        <v>0.29995598800000001</v>
      </c>
      <c r="BX136" s="1509">
        <v>0.83571401300000003</v>
      </c>
      <c r="BY136" s="1509">
        <v>0.77575913200000002</v>
      </c>
      <c r="BZ136" s="1509">
        <v>0.72775589799999996</v>
      </c>
      <c r="CA136" s="1509">
        <v>0.55186381500000004</v>
      </c>
      <c r="CB136" s="1509">
        <v>0.91045332800000001</v>
      </c>
      <c r="CC136" s="1509">
        <v>0.49150708999999998</v>
      </c>
      <c r="CD136" s="1509">
        <v>0.88915578200000001</v>
      </c>
      <c r="CE136" s="1509">
        <v>0.86111463399999999</v>
      </c>
      <c r="CF136" s="1509">
        <v>0.19137952899999999</v>
      </c>
      <c r="CG136" s="1509">
        <v>0.52840777800000005</v>
      </c>
      <c r="CH136" s="1509">
        <v>0.65451923300000003</v>
      </c>
      <c r="CI136" s="1509">
        <v>0.76160273099999998</v>
      </c>
      <c r="CJ136" s="1509">
        <v>0.75905378300000004</v>
      </c>
      <c r="CK136" s="1509">
        <v>0.32944213300000003</v>
      </c>
      <c r="CL136" s="1509">
        <v>0.33813266400000003</v>
      </c>
      <c r="CM136" s="1509">
        <v>0.91055929099999999</v>
      </c>
      <c r="CN136" s="1509">
        <v>8.5018611999999993E-2</v>
      </c>
      <c r="CO136" s="1509">
        <v>6.2617025000000007E-2</v>
      </c>
      <c r="CP136" s="1509">
        <v>0.127785279</v>
      </c>
      <c r="CQ136" s="1509">
        <v>0.72769450899999999</v>
      </c>
      <c r="CR136" s="1509">
        <v>0.54654880699999997</v>
      </c>
      <c r="CS136" s="1509">
        <v>0.61107094699999998</v>
      </c>
      <c r="CT136" s="1509">
        <v>0.68010225800000002</v>
      </c>
      <c r="CU136" s="1509">
        <v>0.45083885499999998</v>
      </c>
      <c r="CV136" s="1509">
        <v>0.67362899899999995</v>
      </c>
      <c r="CW136" s="1509">
        <v>0.64109041700000002</v>
      </c>
      <c r="CX136" s="1509">
        <v>0.29281421299999999</v>
      </c>
      <c r="CY136" s="1509">
        <v>0.68941395299999997</v>
      </c>
      <c r="CZ136" s="1509">
        <v>0.70177690599999998</v>
      </c>
      <c r="DA136" s="1509">
        <v>0.85921309199999996</v>
      </c>
      <c r="DB136" s="1509">
        <v>0.81186361200000001</v>
      </c>
      <c r="DC136" s="1509">
        <v>0.92163283299999998</v>
      </c>
      <c r="DD136" s="1509">
        <v>0.80446839999999997</v>
      </c>
      <c r="DE136" s="1509">
        <v>0.53122269300000002</v>
      </c>
      <c r="DF136" s="1509">
        <v>0.94322059599999997</v>
      </c>
      <c r="DG136" s="1509">
        <v>0.81002400699999999</v>
      </c>
      <c r="DH136" s="1509">
        <v>0.88072921900000001</v>
      </c>
      <c r="DI136" s="1509">
        <v>0.619882449</v>
      </c>
      <c r="DJ136" s="1509">
        <v>0.79664720200000005</v>
      </c>
      <c r="DK136" s="1509">
        <v>0.80992620299999996</v>
      </c>
      <c r="DL136" s="1509" t="s">
        <v>2372</v>
      </c>
      <c r="DM136" s="1509">
        <v>0.83457289300000004</v>
      </c>
      <c r="DN136" s="1509">
        <v>0.14229837200000001</v>
      </c>
      <c r="DO136" s="1509">
        <v>1.1772670000000001E-2</v>
      </c>
      <c r="DP136" s="1509">
        <v>0.73984956700000004</v>
      </c>
      <c r="DQ136" s="1509">
        <v>0.74494594999999997</v>
      </c>
      <c r="DR136" s="1509">
        <v>0.80194569299999996</v>
      </c>
      <c r="DS136" s="1509">
        <v>0.59879500299999999</v>
      </c>
      <c r="DT136" s="1509">
        <v>0.90095099700000003</v>
      </c>
      <c r="DU136" s="1509">
        <v>0.27296136999999998</v>
      </c>
      <c r="DV136" s="1509">
        <v>0.88710302500000004</v>
      </c>
      <c r="DW136" s="1509">
        <v>0.38170145799999999</v>
      </c>
      <c r="DX136" s="1509">
        <v>0.46595538600000003</v>
      </c>
      <c r="DY136" s="1509">
        <v>0.45109856199999998</v>
      </c>
      <c r="DZ136" s="1509">
        <v>0.369809522</v>
      </c>
      <c r="EA136" s="1509">
        <v>0.94369592499999999</v>
      </c>
      <c r="EB136" s="1509">
        <v>0.82403425500000005</v>
      </c>
      <c r="EC136" s="1509">
        <v>0.81513888999999995</v>
      </c>
      <c r="ED136" s="1509">
        <v>0.50796744500000002</v>
      </c>
      <c r="EE136" s="1509">
        <v>0.553311004</v>
      </c>
      <c r="EF136" s="1509">
        <v>0.72710961399999996</v>
      </c>
      <c r="EG136" s="1509">
        <v>0.753685728</v>
      </c>
      <c r="EH136" s="1509">
        <v>0.30933667999999997</v>
      </c>
      <c r="EI136" s="1509">
        <v>5.9386959000000003E-2</v>
      </c>
      <c r="EJ136" s="1509">
        <v>0.196765458</v>
      </c>
      <c r="EK136" s="1509">
        <v>0.72021152099999997</v>
      </c>
      <c r="EL136" s="1509">
        <v>0.95855370299999998</v>
      </c>
      <c r="EM136" s="1509">
        <v>0.70300499500000002</v>
      </c>
      <c r="EN136" s="1509">
        <v>0.79917953600000002</v>
      </c>
      <c r="EO136" s="1509">
        <v>0.82030739799999997</v>
      </c>
      <c r="EP136" s="1509">
        <v>0.48522158100000001</v>
      </c>
      <c r="EQ136" s="1509" t="s">
        <v>2372</v>
      </c>
      <c r="ER136" s="1509">
        <v>4.9127094000000003E-2</v>
      </c>
      <c r="ES136" s="1509">
        <v>6.7724501000000006E-2</v>
      </c>
      <c r="ET136" s="1509">
        <v>0.63172774899999995</v>
      </c>
      <c r="EU136" s="1509">
        <v>0.79985907099999998</v>
      </c>
      <c r="EV136" s="1509">
        <v>0.92285963400000004</v>
      </c>
      <c r="EW136" s="1509">
        <v>0.63194592100000002</v>
      </c>
      <c r="EX136" s="1509">
        <v>0.63292274800000003</v>
      </c>
      <c r="EY136" s="1509">
        <v>0.56503863700000001</v>
      </c>
      <c r="EZ136" s="1509">
        <v>0.90688858400000005</v>
      </c>
      <c r="FA136" s="1509">
        <v>0.847634891</v>
      </c>
      <c r="FB136" s="1509">
        <v>0.55191105799999995</v>
      </c>
      <c r="FC136" s="1509">
        <v>0.86088545500000002</v>
      </c>
      <c r="FD136" s="1509">
        <v>0.87298284999999998</v>
      </c>
      <c r="FE136" s="1509">
        <v>0.602277481</v>
      </c>
      <c r="FF136" s="1509">
        <v>0.60107988599999995</v>
      </c>
      <c r="FG136" s="1509">
        <v>0.90548110299999995</v>
      </c>
      <c r="FH136" s="1509">
        <v>0.83243659599999997</v>
      </c>
      <c r="FI136" s="1509">
        <v>0.31427235199999998</v>
      </c>
      <c r="FJ136" s="1509">
        <v>0.81157673399999997</v>
      </c>
      <c r="FK136" s="1509">
        <v>0.84540424199999997</v>
      </c>
      <c r="FL136" s="1509">
        <v>0.86995833300000003</v>
      </c>
      <c r="FM136" s="1509">
        <v>0.74412130799999998</v>
      </c>
      <c r="FN136" s="1509">
        <v>0.42530427599999998</v>
      </c>
      <c r="FO136" s="1509">
        <v>0.82017359400000001</v>
      </c>
      <c r="FP136" s="1509">
        <v>0.81675949199999998</v>
      </c>
      <c r="FQ136" s="1509">
        <v>0.76790971799999996</v>
      </c>
      <c r="FR136" s="1509">
        <v>0.82713052899999995</v>
      </c>
      <c r="FS136" s="1509">
        <v>0.21191700999999999</v>
      </c>
      <c r="FT136" s="1509">
        <v>0.63923509199999995</v>
      </c>
      <c r="FU136" s="1509">
        <v>0.44144412700000002</v>
      </c>
    </row>
    <row r="137" spans="1:177" s="1509" customFormat="1" x14ac:dyDescent="0.2">
      <c r="A137" s="1512" t="s">
        <v>670</v>
      </c>
      <c r="B137" s="1512" t="s">
        <v>1254</v>
      </c>
      <c r="C137" s="1509">
        <v>1.7675205999999999E-2</v>
      </c>
      <c r="D137" s="1509">
        <v>0</v>
      </c>
      <c r="E137" s="1509">
        <v>1</v>
      </c>
      <c r="F137" s="1509">
        <v>1</v>
      </c>
      <c r="G137" s="1509">
        <v>1</v>
      </c>
      <c r="H137" s="1509">
        <v>1</v>
      </c>
      <c r="I137" s="1509">
        <v>1</v>
      </c>
      <c r="J137" s="1509">
        <v>1</v>
      </c>
      <c r="K137" s="1509">
        <v>1.7675205999999999E-2</v>
      </c>
      <c r="L137" s="1509">
        <v>1.7675205999999999E-2</v>
      </c>
      <c r="M137" s="1509">
        <v>1.7675205999999999E-2</v>
      </c>
      <c r="N137" s="1509">
        <v>1.7675205999999999E-2</v>
      </c>
      <c r="O137" s="1509">
        <v>1.7675205999999999E-2</v>
      </c>
      <c r="P137" s="1509">
        <v>1.7675205999999999E-2</v>
      </c>
      <c r="Q137" s="1509">
        <v>0.98674404900000001</v>
      </c>
      <c r="R137" s="1509">
        <v>0.98147747500000004</v>
      </c>
      <c r="S137" s="1509">
        <v>1</v>
      </c>
      <c r="T137" s="1509">
        <v>1.7675205999999999E-2</v>
      </c>
      <c r="U137" s="1509">
        <v>1.7675205999999999E-2</v>
      </c>
      <c r="V137" s="1509">
        <v>1</v>
      </c>
      <c r="W137" s="1509">
        <v>1.7675205999999999E-2</v>
      </c>
      <c r="X137" s="1509">
        <v>1</v>
      </c>
      <c r="Y137" s="1509">
        <v>1</v>
      </c>
      <c r="Z137" s="1509">
        <v>1.7675205999999999E-2</v>
      </c>
      <c r="AA137" s="1509">
        <v>1</v>
      </c>
      <c r="AB137" s="1509">
        <v>1</v>
      </c>
      <c r="AC137" s="1509">
        <v>1</v>
      </c>
      <c r="AD137" s="1509">
        <v>1</v>
      </c>
      <c r="AE137" s="1509">
        <v>0.97149634799999995</v>
      </c>
      <c r="AF137" s="1509">
        <v>1.7675205999999999E-2</v>
      </c>
      <c r="AG137" s="1509">
        <v>1</v>
      </c>
      <c r="AH137" s="1509">
        <v>1.7675205999999999E-2</v>
      </c>
      <c r="AI137" s="1509">
        <v>1</v>
      </c>
      <c r="AJ137" s="1509">
        <v>1.7675205999999999E-2</v>
      </c>
      <c r="AK137" s="1509">
        <v>0.97827724900000002</v>
      </c>
      <c r="AL137" s="1509">
        <v>0.97832200700000005</v>
      </c>
      <c r="AM137" s="1509">
        <v>0.97445786400000001</v>
      </c>
      <c r="AN137" s="1509">
        <v>0.987169254</v>
      </c>
      <c r="AO137" s="1509">
        <v>0</v>
      </c>
      <c r="AP137" s="1509">
        <v>0</v>
      </c>
      <c r="AQ137" s="1509">
        <v>1</v>
      </c>
      <c r="AR137" s="1509">
        <v>2.1230802E-2</v>
      </c>
      <c r="AS137" s="1509">
        <v>2.1230802E-2</v>
      </c>
      <c r="AT137" s="1509">
        <v>2.1230802E-2</v>
      </c>
      <c r="AU137" s="1509">
        <v>0</v>
      </c>
      <c r="AV137" s="1509">
        <v>1.7675205999999999E-2</v>
      </c>
      <c r="AW137" s="1509">
        <v>1.7675205999999999E-2</v>
      </c>
      <c r="AX137" s="1509">
        <v>0</v>
      </c>
      <c r="AY137" s="1509">
        <v>1</v>
      </c>
      <c r="AZ137" s="1509">
        <v>1.5680382E-2</v>
      </c>
      <c r="BA137" s="1509">
        <v>1.5680382E-2</v>
      </c>
      <c r="BB137" s="1509">
        <v>1.5680382E-2</v>
      </c>
      <c r="BC137" s="1509">
        <v>1</v>
      </c>
      <c r="BD137" s="1509">
        <v>2.1230802E-2</v>
      </c>
      <c r="BE137" s="1509">
        <v>1</v>
      </c>
      <c r="BF137" s="1509">
        <v>1</v>
      </c>
      <c r="BG137" s="1509">
        <v>1</v>
      </c>
      <c r="BH137" s="1509">
        <v>1.7675205999999999E-2</v>
      </c>
      <c r="BI137" s="1509">
        <v>1.7675205999999999E-2</v>
      </c>
      <c r="BJ137" s="1509">
        <v>1.7675205999999999E-2</v>
      </c>
      <c r="BK137" s="1509">
        <v>1.7675205999999999E-2</v>
      </c>
      <c r="BL137" s="1509">
        <v>0</v>
      </c>
      <c r="BM137" s="1509">
        <v>0</v>
      </c>
      <c r="BN137" s="1509">
        <v>1.7675205999999999E-2</v>
      </c>
      <c r="BO137" s="1509">
        <v>1.7675205999999999E-2</v>
      </c>
      <c r="BP137" s="1509">
        <v>1.7675205999999999E-2</v>
      </c>
      <c r="BQ137" s="1509">
        <v>1.7675205999999999E-2</v>
      </c>
      <c r="BR137" s="1509">
        <v>1</v>
      </c>
      <c r="BS137" s="1509">
        <v>0</v>
      </c>
      <c r="BT137" s="1509">
        <v>1.5680382E-2</v>
      </c>
      <c r="BU137" s="1509">
        <v>1.5680382E-2</v>
      </c>
      <c r="BV137" s="1509">
        <v>1.5680382E-2</v>
      </c>
      <c r="BW137" s="1509">
        <v>0</v>
      </c>
      <c r="BX137" s="1509">
        <v>0.525948949</v>
      </c>
      <c r="BY137" s="1509">
        <v>0</v>
      </c>
      <c r="BZ137" s="1509">
        <v>0</v>
      </c>
      <c r="CA137" s="1509">
        <v>0</v>
      </c>
      <c r="CB137" s="1509">
        <v>0</v>
      </c>
      <c r="CC137" s="1509">
        <v>0.98514020599999996</v>
      </c>
      <c r="CD137" s="1509">
        <v>0.97885910799999998</v>
      </c>
      <c r="CE137" s="1509">
        <v>0.98249945900000002</v>
      </c>
      <c r="CF137" s="1509">
        <v>0</v>
      </c>
      <c r="CG137" s="1509">
        <v>1.7675205999999999E-2</v>
      </c>
      <c r="CH137" s="1509">
        <v>0</v>
      </c>
      <c r="CI137" s="1509">
        <v>1.7675205999999999E-2</v>
      </c>
      <c r="CJ137" s="1509">
        <v>1</v>
      </c>
      <c r="CK137" s="1509">
        <v>1</v>
      </c>
      <c r="CL137" s="1509">
        <v>1</v>
      </c>
      <c r="CM137" s="1509">
        <v>0</v>
      </c>
      <c r="CN137" s="1509">
        <v>0.96790075600000003</v>
      </c>
      <c r="CO137" s="1509">
        <v>0</v>
      </c>
      <c r="CP137" s="1509">
        <v>0</v>
      </c>
      <c r="CQ137" s="1509">
        <v>1.7675205999999999E-2</v>
      </c>
      <c r="CR137" s="1509">
        <v>1</v>
      </c>
      <c r="CS137" s="1509">
        <v>1.7675205999999999E-2</v>
      </c>
      <c r="CT137" s="1509">
        <v>1.7675205999999999E-2</v>
      </c>
      <c r="CU137" s="1509">
        <v>1</v>
      </c>
      <c r="CV137" s="1509">
        <v>1</v>
      </c>
      <c r="CW137" s="1509">
        <v>1</v>
      </c>
      <c r="CX137" s="1509">
        <v>1</v>
      </c>
      <c r="CY137" s="1509">
        <v>1.5680382E-2</v>
      </c>
      <c r="CZ137" s="1509">
        <v>1</v>
      </c>
      <c r="DA137" s="1509">
        <v>1</v>
      </c>
      <c r="DB137" s="1509">
        <v>0</v>
      </c>
      <c r="DC137" s="1509">
        <v>0</v>
      </c>
      <c r="DD137" s="1509">
        <v>0</v>
      </c>
      <c r="DE137" s="1509">
        <v>0</v>
      </c>
      <c r="DF137" s="1509">
        <v>1</v>
      </c>
      <c r="DG137" s="1509">
        <v>0</v>
      </c>
      <c r="DH137" s="1509">
        <v>0</v>
      </c>
      <c r="DI137" s="1509">
        <v>0</v>
      </c>
      <c r="DJ137" s="1509">
        <v>0</v>
      </c>
      <c r="DK137" s="1509">
        <v>0</v>
      </c>
      <c r="DL137" s="1509">
        <v>0</v>
      </c>
      <c r="DM137" s="1509">
        <v>0</v>
      </c>
      <c r="DN137" s="1509">
        <v>1</v>
      </c>
      <c r="DO137" s="1509">
        <v>1</v>
      </c>
      <c r="DP137" s="1509">
        <v>0</v>
      </c>
      <c r="DQ137" s="1509">
        <v>0</v>
      </c>
      <c r="DR137" s="1509">
        <v>1</v>
      </c>
      <c r="DS137" s="1509">
        <v>0</v>
      </c>
      <c r="DT137" s="1509">
        <v>0</v>
      </c>
      <c r="DU137" s="1509">
        <v>1.7675205999999999E-2</v>
      </c>
      <c r="DV137" s="1509">
        <v>1</v>
      </c>
      <c r="DW137" s="1509">
        <v>1</v>
      </c>
      <c r="DX137" s="1509">
        <v>0</v>
      </c>
      <c r="DY137" s="1509">
        <v>1.5680382E-2</v>
      </c>
      <c r="DZ137" s="1509">
        <v>1</v>
      </c>
      <c r="EA137" s="1509">
        <v>1</v>
      </c>
      <c r="EB137" s="1509">
        <v>1</v>
      </c>
      <c r="EC137" s="1509">
        <v>1</v>
      </c>
      <c r="ED137" s="1509">
        <v>1.7675205999999999E-2</v>
      </c>
      <c r="EE137" s="1509">
        <v>0.98582650100000002</v>
      </c>
      <c r="EF137" s="1509">
        <v>1</v>
      </c>
      <c r="EG137" s="1509">
        <v>1</v>
      </c>
      <c r="EH137" s="1509">
        <v>1.5680382E-2</v>
      </c>
      <c r="EI137" s="1509">
        <v>0.98243232199999997</v>
      </c>
      <c r="EJ137" s="1509">
        <v>0</v>
      </c>
      <c r="EK137" s="1509">
        <v>0</v>
      </c>
      <c r="EL137" s="1509">
        <v>1</v>
      </c>
      <c r="EM137" s="1509">
        <v>0</v>
      </c>
      <c r="EN137" s="1509">
        <v>0</v>
      </c>
      <c r="EO137" s="1509">
        <v>1</v>
      </c>
      <c r="EP137" s="1509">
        <v>0</v>
      </c>
      <c r="EQ137" s="1509">
        <v>0</v>
      </c>
      <c r="ER137" s="1509">
        <v>1.5680382E-2</v>
      </c>
      <c r="ES137" s="1509">
        <v>1.5680382E-2</v>
      </c>
      <c r="ET137" s="1509">
        <v>0</v>
      </c>
      <c r="EU137" s="1509">
        <v>0</v>
      </c>
      <c r="EV137" s="1509">
        <v>1</v>
      </c>
      <c r="EW137" s="1509">
        <v>0</v>
      </c>
      <c r="EX137" s="1509">
        <v>1</v>
      </c>
      <c r="EY137" s="1509">
        <v>1.5680382E-2</v>
      </c>
      <c r="EZ137" s="1509">
        <v>0</v>
      </c>
      <c r="FA137" s="1509">
        <v>0.96890781999999998</v>
      </c>
      <c r="FB137" s="1509">
        <v>1</v>
      </c>
      <c r="FC137" s="1509">
        <v>1</v>
      </c>
      <c r="FD137" s="1509">
        <v>1</v>
      </c>
      <c r="FE137" s="1509">
        <v>0</v>
      </c>
      <c r="FF137" s="1509">
        <v>1</v>
      </c>
      <c r="FG137" s="1509">
        <v>0</v>
      </c>
      <c r="FH137" s="1509">
        <v>0</v>
      </c>
      <c r="FI137" s="1509">
        <v>1</v>
      </c>
      <c r="FJ137" s="1509">
        <v>1.5680382E-2</v>
      </c>
      <c r="FK137" s="1509">
        <v>0</v>
      </c>
      <c r="FL137" s="1509">
        <v>0</v>
      </c>
      <c r="FM137" s="1509">
        <v>1.7675205999999999E-2</v>
      </c>
      <c r="FN137" s="1509">
        <v>1</v>
      </c>
      <c r="FO137" s="1509">
        <v>0</v>
      </c>
      <c r="FP137" s="1509">
        <v>0</v>
      </c>
      <c r="FQ137" s="1509">
        <v>0</v>
      </c>
      <c r="FR137" s="1509">
        <v>1.5680382E-2</v>
      </c>
      <c r="FS137" s="1509">
        <v>0.90370307400000005</v>
      </c>
      <c r="FT137" s="1509">
        <v>0</v>
      </c>
      <c r="FU137" s="1509">
        <v>1.7675205999999999E-2</v>
      </c>
    </row>
    <row r="138" spans="1:177" s="1509" customFormat="1" x14ac:dyDescent="0.2">
      <c r="A138" s="1512" t="s">
        <v>670</v>
      </c>
      <c r="B138" s="1512" t="s">
        <v>1030</v>
      </c>
      <c r="C138" s="1509">
        <v>1</v>
      </c>
      <c r="D138" s="1509">
        <v>1</v>
      </c>
      <c r="E138" s="1509">
        <v>0</v>
      </c>
      <c r="F138" s="1509">
        <v>1</v>
      </c>
      <c r="G138" s="1509">
        <v>0</v>
      </c>
      <c r="H138" s="1509">
        <v>0</v>
      </c>
      <c r="I138" s="1509">
        <v>1</v>
      </c>
      <c r="J138" s="1509">
        <v>1</v>
      </c>
      <c r="K138" s="1509">
        <v>1</v>
      </c>
      <c r="L138" s="1509">
        <v>1</v>
      </c>
      <c r="M138" s="1509">
        <v>1</v>
      </c>
      <c r="N138" s="1509">
        <v>1</v>
      </c>
      <c r="O138" s="1509">
        <v>1</v>
      </c>
      <c r="P138" s="1509">
        <v>1</v>
      </c>
      <c r="Q138" s="1509">
        <v>1</v>
      </c>
      <c r="R138" s="1509">
        <v>1</v>
      </c>
      <c r="S138" s="1509">
        <v>0</v>
      </c>
      <c r="T138" s="1509">
        <v>1</v>
      </c>
      <c r="U138" s="1509">
        <v>0</v>
      </c>
      <c r="V138" s="1509">
        <v>0</v>
      </c>
      <c r="W138" s="1509">
        <v>1</v>
      </c>
      <c r="X138" s="1509">
        <v>1</v>
      </c>
      <c r="Y138" s="1509">
        <v>0</v>
      </c>
      <c r="Z138" s="1509">
        <v>0</v>
      </c>
      <c r="AA138" s="1509">
        <v>0</v>
      </c>
      <c r="AB138" s="1509">
        <v>0</v>
      </c>
      <c r="AC138" s="1509">
        <v>0</v>
      </c>
      <c r="AD138" s="1509">
        <v>0</v>
      </c>
      <c r="AE138" s="1509">
        <v>1</v>
      </c>
      <c r="AF138" s="1509">
        <v>0</v>
      </c>
      <c r="AG138" s="1509">
        <v>1</v>
      </c>
      <c r="AH138" s="1509">
        <v>0</v>
      </c>
      <c r="AI138" s="1509">
        <v>1</v>
      </c>
      <c r="AJ138" s="1509">
        <v>0</v>
      </c>
      <c r="AK138" s="1509">
        <v>1</v>
      </c>
      <c r="AL138" s="1509">
        <v>0</v>
      </c>
      <c r="AM138" s="1509">
        <v>1</v>
      </c>
      <c r="AN138" s="1509">
        <v>1</v>
      </c>
      <c r="AO138" s="1509">
        <v>1</v>
      </c>
      <c r="AP138" s="1509">
        <v>1</v>
      </c>
      <c r="AQ138" s="1509">
        <v>1</v>
      </c>
      <c r="AR138" s="1509">
        <v>0</v>
      </c>
      <c r="AS138" s="1509">
        <v>0</v>
      </c>
      <c r="AT138" s="1509">
        <v>1</v>
      </c>
      <c r="AU138" s="1509">
        <v>1</v>
      </c>
      <c r="AV138" s="1509">
        <v>0</v>
      </c>
      <c r="AW138" s="1509">
        <v>1</v>
      </c>
      <c r="AX138" s="1509">
        <v>1</v>
      </c>
      <c r="AY138" s="1509">
        <v>1</v>
      </c>
      <c r="AZ138" s="1509">
        <v>1</v>
      </c>
      <c r="BA138" s="1509">
        <v>0</v>
      </c>
      <c r="BB138" s="1509">
        <v>1</v>
      </c>
      <c r="BC138" s="1509">
        <v>0</v>
      </c>
      <c r="BD138" s="1509">
        <v>1</v>
      </c>
      <c r="BE138" s="1509">
        <v>1</v>
      </c>
      <c r="BF138" s="1509">
        <v>0</v>
      </c>
      <c r="BG138" s="1509">
        <v>0</v>
      </c>
      <c r="BH138" s="1509">
        <v>0</v>
      </c>
      <c r="BI138" s="1509">
        <v>1</v>
      </c>
      <c r="BJ138" s="1509">
        <v>1</v>
      </c>
      <c r="BK138" s="1509">
        <v>1</v>
      </c>
      <c r="BL138" s="1509">
        <v>1</v>
      </c>
      <c r="BM138" s="1509">
        <v>1</v>
      </c>
      <c r="BN138" s="1509">
        <v>0</v>
      </c>
      <c r="BO138" s="1509">
        <v>1</v>
      </c>
      <c r="BP138" s="1509">
        <v>0</v>
      </c>
      <c r="BQ138" s="1509">
        <v>1</v>
      </c>
      <c r="BR138" s="1509">
        <v>0</v>
      </c>
      <c r="BS138" s="1509">
        <v>0</v>
      </c>
      <c r="BT138" s="1509">
        <v>0</v>
      </c>
      <c r="BU138" s="1509">
        <v>0</v>
      </c>
      <c r="BV138" s="1509">
        <v>1</v>
      </c>
      <c r="BW138" s="1509">
        <v>1</v>
      </c>
      <c r="BX138" s="1509">
        <v>1</v>
      </c>
      <c r="BY138" s="1509">
        <v>1</v>
      </c>
      <c r="BZ138" s="1509">
        <v>1</v>
      </c>
      <c r="CA138" s="1509">
        <v>1</v>
      </c>
      <c r="CB138" s="1509">
        <v>1</v>
      </c>
      <c r="CC138" s="1509">
        <v>1</v>
      </c>
      <c r="CD138" s="1509">
        <v>1</v>
      </c>
      <c r="CE138" s="1509">
        <v>0</v>
      </c>
      <c r="CF138" s="1509">
        <v>1</v>
      </c>
      <c r="CG138" s="1509">
        <v>1</v>
      </c>
      <c r="CH138" s="1509">
        <v>0</v>
      </c>
      <c r="CI138" s="1509">
        <v>1</v>
      </c>
      <c r="CJ138" s="1509">
        <v>1</v>
      </c>
      <c r="CK138" s="1509">
        <v>0</v>
      </c>
      <c r="CL138" s="1509">
        <v>0</v>
      </c>
      <c r="CM138" s="1509">
        <v>0</v>
      </c>
      <c r="CN138" s="1509">
        <v>0</v>
      </c>
      <c r="CO138" s="1509">
        <v>0</v>
      </c>
      <c r="CP138" s="1509">
        <v>0</v>
      </c>
      <c r="CQ138" s="1509">
        <v>1</v>
      </c>
      <c r="CR138" s="1509">
        <v>1</v>
      </c>
      <c r="CS138" s="1509">
        <v>0</v>
      </c>
      <c r="CT138" s="1509">
        <v>1</v>
      </c>
      <c r="CU138" s="1509">
        <v>0</v>
      </c>
      <c r="CV138" s="1509">
        <v>1</v>
      </c>
      <c r="CW138" s="1509">
        <v>1</v>
      </c>
      <c r="CX138" s="1509">
        <v>1</v>
      </c>
      <c r="CY138" s="1509">
        <v>1</v>
      </c>
      <c r="CZ138" s="1509">
        <v>1</v>
      </c>
      <c r="DA138" s="1509">
        <v>1</v>
      </c>
      <c r="DB138" s="1509">
        <v>1</v>
      </c>
      <c r="DC138" s="1509">
        <v>0</v>
      </c>
      <c r="DD138" s="1509">
        <v>0</v>
      </c>
      <c r="DE138" s="1509">
        <v>0</v>
      </c>
      <c r="DF138" s="1509">
        <v>1</v>
      </c>
      <c r="DG138" s="1509">
        <v>0</v>
      </c>
      <c r="DH138" s="1509">
        <v>0</v>
      </c>
      <c r="DI138" s="1509">
        <v>1</v>
      </c>
      <c r="DJ138" s="1509">
        <v>1</v>
      </c>
      <c r="DK138" s="1509">
        <v>1</v>
      </c>
      <c r="DL138" s="1509">
        <v>1</v>
      </c>
      <c r="DM138" s="1509">
        <v>1</v>
      </c>
      <c r="DN138" s="1509">
        <v>1</v>
      </c>
      <c r="DO138" s="1509">
        <v>1</v>
      </c>
      <c r="DP138" s="1509">
        <v>1</v>
      </c>
      <c r="DQ138" s="1509">
        <v>1</v>
      </c>
      <c r="DR138" s="1509">
        <v>1</v>
      </c>
      <c r="DS138" s="1509">
        <v>1</v>
      </c>
      <c r="DT138" s="1509">
        <v>1</v>
      </c>
      <c r="DU138" s="1509">
        <v>0</v>
      </c>
      <c r="DV138" s="1509">
        <v>1</v>
      </c>
      <c r="DW138" s="1509">
        <v>1</v>
      </c>
      <c r="DX138" s="1509">
        <v>1</v>
      </c>
      <c r="DY138" s="1509">
        <v>0</v>
      </c>
      <c r="DZ138" s="1509">
        <v>0</v>
      </c>
      <c r="EA138" s="1509">
        <v>0</v>
      </c>
      <c r="EB138" s="1509">
        <v>1</v>
      </c>
      <c r="EC138" s="1509">
        <v>0</v>
      </c>
      <c r="ED138" s="1509">
        <v>0</v>
      </c>
      <c r="EE138" s="1509">
        <v>1</v>
      </c>
      <c r="EF138" s="1509">
        <v>0</v>
      </c>
      <c r="EG138" s="1509">
        <v>1</v>
      </c>
      <c r="EH138" s="1509">
        <v>0</v>
      </c>
      <c r="EI138" s="1509">
        <v>1</v>
      </c>
      <c r="EJ138" s="1509">
        <v>1</v>
      </c>
      <c r="EK138" s="1509">
        <v>1</v>
      </c>
      <c r="EL138" s="1509">
        <v>0</v>
      </c>
      <c r="EM138" s="1509">
        <v>0</v>
      </c>
      <c r="EN138" s="1509">
        <v>1</v>
      </c>
      <c r="EO138" s="1509">
        <v>0</v>
      </c>
      <c r="EP138" s="1509">
        <v>1</v>
      </c>
      <c r="EQ138" s="1509">
        <v>0</v>
      </c>
      <c r="ER138" s="1509">
        <v>1</v>
      </c>
      <c r="ES138" s="1509">
        <v>1</v>
      </c>
      <c r="ET138" s="1509">
        <v>1</v>
      </c>
      <c r="EU138" s="1509">
        <v>1</v>
      </c>
      <c r="EV138" s="1509">
        <v>0</v>
      </c>
      <c r="EW138" s="1509">
        <v>1</v>
      </c>
      <c r="EX138" s="1509">
        <v>1</v>
      </c>
      <c r="EY138" s="1509">
        <v>1</v>
      </c>
      <c r="EZ138" s="1509">
        <v>1</v>
      </c>
      <c r="FA138" s="1509">
        <v>1</v>
      </c>
      <c r="FB138" s="1509">
        <v>1</v>
      </c>
      <c r="FC138" s="1509">
        <v>1</v>
      </c>
      <c r="FD138" s="1509">
        <v>1</v>
      </c>
      <c r="FE138" s="1509">
        <v>1</v>
      </c>
      <c r="FF138" s="1509">
        <v>1</v>
      </c>
      <c r="FG138" s="1509">
        <v>1</v>
      </c>
      <c r="FH138" s="1509">
        <v>1</v>
      </c>
      <c r="FI138" s="1509">
        <v>1</v>
      </c>
      <c r="FJ138" s="1509">
        <v>0</v>
      </c>
      <c r="FK138" s="1509">
        <v>1</v>
      </c>
      <c r="FL138" s="1509">
        <v>1</v>
      </c>
      <c r="FM138" s="1509">
        <v>1</v>
      </c>
      <c r="FN138" s="1509">
        <v>1</v>
      </c>
      <c r="FO138" s="1509">
        <v>1</v>
      </c>
      <c r="FP138" s="1509">
        <v>0</v>
      </c>
      <c r="FQ138" s="1509">
        <v>1</v>
      </c>
      <c r="FR138" s="1509">
        <v>1</v>
      </c>
      <c r="FS138" s="1509">
        <v>0</v>
      </c>
      <c r="FT138" s="1509">
        <v>1</v>
      </c>
      <c r="FU138" s="1509">
        <v>0</v>
      </c>
    </row>
    <row r="139" spans="1:177" s="1509" customFormat="1" x14ac:dyDescent="0.2">
      <c r="A139" s="1512" t="s">
        <v>670</v>
      </c>
      <c r="B139" s="1512" t="s">
        <v>1026</v>
      </c>
      <c r="C139" s="1509">
        <v>0</v>
      </c>
      <c r="D139" s="1509">
        <v>0</v>
      </c>
      <c r="E139" s="1509">
        <v>0</v>
      </c>
      <c r="F139" s="1509">
        <v>0</v>
      </c>
      <c r="G139" s="1509">
        <v>0</v>
      </c>
      <c r="H139" s="1509">
        <v>0</v>
      </c>
      <c r="I139" s="1509">
        <v>1</v>
      </c>
      <c r="J139" s="1509">
        <v>1</v>
      </c>
      <c r="K139" s="1509">
        <v>0</v>
      </c>
      <c r="L139" s="1509">
        <v>0.993985287</v>
      </c>
      <c r="M139" s="1509">
        <v>0</v>
      </c>
      <c r="N139" s="1509">
        <v>0</v>
      </c>
      <c r="O139" s="1509">
        <v>1</v>
      </c>
      <c r="P139" s="1509">
        <v>0.993985287</v>
      </c>
      <c r="Q139" s="1509">
        <v>0</v>
      </c>
      <c r="R139" s="1509">
        <v>0</v>
      </c>
      <c r="S139" s="1509">
        <v>0.98701656800000004</v>
      </c>
      <c r="T139" s="1509">
        <v>0</v>
      </c>
      <c r="U139" s="1509">
        <v>0</v>
      </c>
      <c r="V139" s="1509">
        <v>0</v>
      </c>
      <c r="W139" s="1509">
        <v>0.993985287</v>
      </c>
      <c r="X139" s="1509">
        <v>0</v>
      </c>
      <c r="Y139" s="1509">
        <v>0</v>
      </c>
      <c r="Z139" s="1509">
        <v>0</v>
      </c>
      <c r="AA139" s="1509">
        <v>0</v>
      </c>
      <c r="AB139" s="1509">
        <v>0</v>
      </c>
      <c r="AC139" s="1509">
        <v>0</v>
      </c>
      <c r="AD139" s="1509">
        <v>0</v>
      </c>
      <c r="AE139" s="1509">
        <v>0</v>
      </c>
      <c r="AF139" s="1509">
        <v>0</v>
      </c>
      <c r="AG139" s="1509">
        <v>0</v>
      </c>
      <c r="AH139" s="1509">
        <v>0</v>
      </c>
      <c r="AI139" s="1509">
        <v>0</v>
      </c>
      <c r="AJ139" s="1509">
        <v>0</v>
      </c>
      <c r="AK139" s="1509">
        <v>0</v>
      </c>
      <c r="AL139" s="1509">
        <v>0</v>
      </c>
      <c r="AM139" s="1509">
        <v>0</v>
      </c>
      <c r="AN139" s="1509">
        <v>0</v>
      </c>
      <c r="AO139" s="1509">
        <v>0</v>
      </c>
      <c r="AP139" s="1509">
        <v>1</v>
      </c>
      <c r="AQ139" s="1509">
        <v>0</v>
      </c>
      <c r="AR139" s="1509">
        <v>0.98639445299999995</v>
      </c>
      <c r="AS139" s="1509">
        <v>0</v>
      </c>
      <c r="AT139" s="1509">
        <v>0</v>
      </c>
      <c r="AU139" s="1509">
        <v>0</v>
      </c>
      <c r="AV139" s="1509">
        <v>0</v>
      </c>
      <c r="AW139" s="1509">
        <v>0</v>
      </c>
      <c r="AX139" s="1509">
        <v>0.99183376899999998</v>
      </c>
      <c r="AY139" s="1509">
        <v>0</v>
      </c>
      <c r="AZ139" s="1509">
        <v>0</v>
      </c>
      <c r="BA139" s="1509">
        <v>0</v>
      </c>
      <c r="BB139" s="1509">
        <v>0</v>
      </c>
      <c r="BC139" s="1509">
        <v>0</v>
      </c>
      <c r="BD139" s="1509">
        <v>0</v>
      </c>
      <c r="BE139" s="1509">
        <v>1</v>
      </c>
      <c r="BF139" s="1509">
        <v>0</v>
      </c>
      <c r="BG139" s="1509">
        <v>0</v>
      </c>
      <c r="BH139" s="1509">
        <v>0</v>
      </c>
      <c r="BI139" s="1509">
        <v>0.993985287</v>
      </c>
      <c r="BJ139" s="1509">
        <v>0</v>
      </c>
      <c r="BK139" s="1509">
        <v>1</v>
      </c>
      <c r="BL139" s="1509">
        <v>0</v>
      </c>
      <c r="BM139" s="1509" t="s">
        <v>2372</v>
      </c>
      <c r="BN139" s="1509">
        <v>0</v>
      </c>
      <c r="BO139" s="1509">
        <v>0.993985287</v>
      </c>
      <c r="BP139" s="1509">
        <v>0</v>
      </c>
      <c r="BQ139" s="1509">
        <v>0</v>
      </c>
      <c r="BR139" s="1509">
        <v>0</v>
      </c>
      <c r="BS139" s="1509">
        <v>0</v>
      </c>
      <c r="BT139" s="1509">
        <v>0</v>
      </c>
      <c r="BU139" s="1509">
        <v>0</v>
      </c>
      <c r="BV139" s="1509">
        <v>0</v>
      </c>
      <c r="BW139" s="1509">
        <v>0</v>
      </c>
      <c r="BX139" s="1509">
        <v>0</v>
      </c>
      <c r="BY139" s="1509">
        <v>0</v>
      </c>
      <c r="BZ139" s="1509">
        <v>0</v>
      </c>
      <c r="CA139" s="1509">
        <v>0</v>
      </c>
      <c r="CB139" s="1509">
        <v>0</v>
      </c>
      <c r="CC139" s="1509">
        <v>0</v>
      </c>
      <c r="CD139" s="1509">
        <v>0</v>
      </c>
      <c r="CE139" s="1509">
        <v>0</v>
      </c>
      <c r="CF139" s="1509">
        <v>0</v>
      </c>
      <c r="CG139" s="1509">
        <v>0</v>
      </c>
      <c r="CH139" s="1509">
        <v>0</v>
      </c>
      <c r="CI139" s="1509">
        <v>0</v>
      </c>
      <c r="CJ139" s="1509">
        <v>0</v>
      </c>
      <c r="CK139" s="1509">
        <v>0</v>
      </c>
      <c r="CL139" s="1509">
        <v>0</v>
      </c>
      <c r="CM139" s="1509">
        <v>0</v>
      </c>
      <c r="CN139" s="1509">
        <v>0</v>
      </c>
      <c r="CO139" s="1509">
        <v>0</v>
      </c>
      <c r="CP139" s="1509">
        <v>0</v>
      </c>
      <c r="CQ139" s="1509">
        <v>1</v>
      </c>
      <c r="CR139" s="1509">
        <v>0</v>
      </c>
      <c r="CS139" s="1509">
        <v>0</v>
      </c>
      <c r="CT139" s="1509">
        <v>0</v>
      </c>
      <c r="CU139" s="1509">
        <v>0</v>
      </c>
      <c r="CV139" s="1509">
        <v>0</v>
      </c>
      <c r="CW139" s="1509">
        <v>0</v>
      </c>
      <c r="CX139" s="1509">
        <v>0</v>
      </c>
      <c r="CY139" s="1509">
        <v>0</v>
      </c>
      <c r="CZ139" s="1509">
        <v>0</v>
      </c>
      <c r="DA139" s="1509">
        <v>0</v>
      </c>
      <c r="DB139" s="1509">
        <v>0</v>
      </c>
      <c r="DC139" s="1509">
        <v>0</v>
      </c>
      <c r="DD139" s="1509">
        <v>0</v>
      </c>
      <c r="DE139" s="1509" t="s">
        <v>2372</v>
      </c>
      <c r="DF139" s="1509">
        <v>0</v>
      </c>
      <c r="DG139" s="1509">
        <v>0</v>
      </c>
      <c r="DH139" s="1509">
        <v>0</v>
      </c>
      <c r="DI139" s="1509">
        <v>0</v>
      </c>
      <c r="DJ139" s="1509">
        <v>0</v>
      </c>
      <c r="DK139" s="1509">
        <v>0.99183376899999998</v>
      </c>
      <c r="DL139" s="1509">
        <v>0</v>
      </c>
      <c r="DM139" s="1509" t="s">
        <v>2372</v>
      </c>
      <c r="DN139" s="1509">
        <v>0</v>
      </c>
      <c r="DO139" s="1509">
        <v>0</v>
      </c>
      <c r="DP139" s="1509">
        <v>0</v>
      </c>
      <c r="DQ139" s="1509">
        <v>1</v>
      </c>
      <c r="DR139" s="1509">
        <v>0</v>
      </c>
      <c r="DS139" s="1509">
        <v>0</v>
      </c>
      <c r="DT139" s="1509">
        <v>0</v>
      </c>
      <c r="DU139" s="1509">
        <v>0</v>
      </c>
      <c r="DV139" s="1509">
        <v>0</v>
      </c>
      <c r="DW139" s="1509">
        <v>0</v>
      </c>
      <c r="DX139" s="1509">
        <v>0</v>
      </c>
      <c r="DY139" s="1509">
        <v>0</v>
      </c>
      <c r="DZ139" s="1509">
        <v>0</v>
      </c>
      <c r="EA139" s="1509">
        <v>0</v>
      </c>
      <c r="EB139" s="1509">
        <v>0</v>
      </c>
      <c r="EC139" s="1509">
        <v>0</v>
      </c>
      <c r="ED139" s="1509">
        <v>0</v>
      </c>
      <c r="EE139" s="1509">
        <v>0</v>
      </c>
      <c r="EF139" s="1509">
        <v>0</v>
      </c>
      <c r="EG139" s="1509">
        <v>0</v>
      </c>
      <c r="EH139" s="1509">
        <v>0</v>
      </c>
      <c r="EI139" s="1509">
        <v>0</v>
      </c>
      <c r="EJ139" s="1509">
        <v>0</v>
      </c>
      <c r="EK139" s="1509">
        <v>0</v>
      </c>
      <c r="EL139" s="1509">
        <v>0</v>
      </c>
      <c r="EM139" s="1509">
        <v>0</v>
      </c>
      <c r="EN139" s="1509">
        <v>0</v>
      </c>
      <c r="EO139" s="1509">
        <v>0</v>
      </c>
      <c r="EP139" s="1509">
        <v>0</v>
      </c>
      <c r="EQ139" s="1509">
        <v>0</v>
      </c>
      <c r="ER139" s="1509">
        <v>0</v>
      </c>
      <c r="ES139" s="1509">
        <v>0</v>
      </c>
      <c r="ET139" s="1509">
        <v>0</v>
      </c>
      <c r="EU139" s="1509">
        <v>0</v>
      </c>
      <c r="EV139" s="1509">
        <v>0</v>
      </c>
      <c r="EW139" s="1509">
        <v>0</v>
      </c>
      <c r="EX139" s="1509">
        <v>0</v>
      </c>
      <c r="EY139" s="1509">
        <v>0</v>
      </c>
      <c r="EZ139" s="1509">
        <v>0</v>
      </c>
      <c r="FA139" s="1509">
        <v>0</v>
      </c>
      <c r="FB139" s="1509">
        <v>0</v>
      </c>
      <c r="FC139" s="1509">
        <v>0</v>
      </c>
      <c r="FD139" s="1509">
        <v>0</v>
      </c>
      <c r="FE139" s="1509">
        <v>0</v>
      </c>
      <c r="FF139" s="1509">
        <v>0</v>
      </c>
      <c r="FG139" s="1509">
        <v>0</v>
      </c>
      <c r="FH139" s="1509">
        <v>0.99183376899999998</v>
      </c>
      <c r="FI139" s="1509">
        <v>0</v>
      </c>
      <c r="FJ139" s="1509">
        <v>1</v>
      </c>
      <c r="FK139" s="1509">
        <v>0</v>
      </c>
      <c r="FL139" s="1509">
        <v>0</v>
      </c>
      <c r="FM139" s="1509">
        <v>0</v>
      </c>
      <c r="FN139" s="1509">
        <v>0.993985287</v>
      </c>
      <c r="FO139" s="1509">
        <v>0</v>
      </c>
      <c r="FP139" s="1509">
        <v>0</v>
      </c>
      <c r="FQ139" s="1509">
        <v>0</v>
      </c>
      <c r="FR139" s="1509">
        <v>0</v>
      </c>
      <c r="FS139" s="1509">
        <v>0</v>
      </c>
      <c r="FT139" s="1509">
        <v>0</v>
      </c>
      <c r="FU139" s="1509">
        <v>0</v>
      </c>
    </row>
    <row r="140" spans="1:177" s="1509" customFormat="1" x14ac:dyDescent="0.2">
      <c r="A140" s="1512" t="s">
        <v>670</v>
      </c>
      <c r="B140" s="1512" t="s">
        <v>1072</v>
      </c>
      <c r="C140" s="1509" t="s">
        <v>2372</v>
      </c>
      <c r="D140" s="1509">
        <v>1</v>
      </c>
      <c r="E140" s="1509" t="s">
        <v>2372</v>
      </c>
      <c r="F140" s="1509" t="s">
        <v>2372</v>
      </c>
      <c r="G140" s="1509">
        <v>1</v>
      </c>
      <c r="H140" s="1509">
        <v>1</v>
      </c>
      <c r="I140" s="1509">
        <v>1</v>
      </c>
      <c r="J140" s="1509">
        <v>1</v>
      </c>
      <c r="K140" s="1509">
        <v>1</v>
      </c>
      <c r="L140" s="1509">
        <v>1</v>
      </c>
      <c r="M140" s="1509">
        <v>1</v>
      </c>
      <c r="N140" s="1509">
        <v>1</v>
      </c>
      <c r="O140" s="1509">
        <v>1</v>
      </c>
      <c r="P140" s="1509">
        <v>1</v>
      </c>
      <c r="Q140" s="1509">
        <v>1</v>
      </c>
      <c r="R140" s="1509">
        <v>1</v>
      </c>
      <c r="S140" s="1509" t="s">
        <v>2372</v>
      </c>
      <c r="T140" s="1509" t="s">
        <v>2372</v>
      </c>
      <c r="U140" s="1509">
        <v>1</v>
      </c>
      <c r="V140" s="1509">
        <v>1</v>
      </c>
      <c r="W140" s="1509" t="s">
        <v>2372</v>
      </c>
      <c r="X140" s="1509" t="s">
        <v>2372</v>
      </c>
      <c r="Y140" s="1509" t="s">
        <v>2372</v>
      </c>
      <c r="Z140" s="1509" t="s">
        <v>2372</v>
      </c>
      <c r="AA140" s="1509" t="s">
        <v>2372</v>
      </c>
      <c r="AB140" s="1509" t="s">
        <v>2372</v>
      </c>
      <c r="AC140" s="1509" t="s">
        <v>2372</v>
      </c>
      <c r="AD140" s="1509">
        <v>1</v>
      </c>
      <c r="AE140" s="1509" t="s">
        <v>2372</v>
      </c>
      <c r="AF140" s="1509" t="s">
        <v>2372</v>
      </c>
      <c r="AG140" s="1509">
        <v>1</v>
      </c>
      <c r="AH140" s="1509" t="s">
        <v>2372</v>
      </c>
      <c r="AI140" s="1509">
        <v>1</v>
      </c>
      <c r="AJ140" s="1509">
        <v>1</v>
      </c>
      <c r="AK140" s="1509" t="s">
        <v>2372</v>
      </c>
      <c r="AL140" s="1509" t="s">
        <v>2372</v>
      </c>
      <c r="AM140" s="1509" t="s">
        <v>2372</v>
      </c>
      <c r="AN140" s="1509" t="s">
        <v>2372</v>
      </c>
      <c r="AO140" s="1509" t="s">
        <v>2372</v>
      </c>
      <c r="AP140" s="1509" t="s">
        <v>2372</v>
      </c>
      <c r="AQ140" s="1509" t="s">
        <v>2372</v>
      </c>
      <c r="AR140" s="1509" t="s">
        <v>2372</v>
      </c>
      <c r="AS140" s="1509" t="s">
        <v>2372</v>
      </c>
      <c r="AT140" s="1509" t="s">
        <v>2372</v>
      </c>
      <c r="AU140" s="1509">
        <v>1</v>
      </c>
      <c r="AV140" s="1509" t="s">
        <v>2372</v>
      </c>
      <c r="AW140" s="1509" t="s">
        <v>2372</v>
      </c>
      <c r="AX140" s="1509" t="s">
        <v>2372</v>
      </c>
      <c r="AY140" s="1509" t="s">
        <v>2372</v>
      </c>
      <c r="AZ140" s="1509" t="s">
        <v>2372</v>
      </c>
      <c r="BA140" s="1509" t="s">
        <v>2372</v>
      </c>
      <c r="BB140" s="1509" t="s">
        <v>2372</v>
      </c>
      <c r="BC140" s="1509" t="s">
        <v>2372</v>
      </c>
      <c r="BD140" s="1509" t="s">
        <v>2372</v>
      </c>
      <c r="BE140" s="1509">
        <v>1</v>
      </c>
      <c r="BF140" s="1509" t="s">
        <v>2372</v>
      </c>
      <c r="BG140" s="1509" t="s">
        <v>2372</v>
      </c>
      <c r="BH140" s="1509" t="s">
        <v>2372</v>
      </c>
      <c r="BI140" s="1509" t="s">
        <v>2372</v>
      </c>
      <c r="BJ140" s="1509" t="s">
        <v>2372</v>
      </c>
      <c r="BK140" s="1509" t="s">
        <v>2372</v>
      </c>
      <c r="BL140" s="1509" t="s">
        <v>2372</v>
      </c>
      <c r="BM140" s="1509">
        <v>1</v>
      </c>
      <c r="BN140" s="1509" t="s">
        <v>2372</v>
      </c>
      <c r="BO140" s="1509" t="s">
        <v>2372</v>
      </c>
      <c r="BP140" s="1509" t="s">
        <v>2372</v>
      </c>
      <c r="BQ140" s="1509" t="s">
        <v>2372</v>
      </c>
      <c r="BR140" s="1509" t="s">
        <v>2372</v>
      </c>
      <c r="BS140" s="1509" t="s">
        <v>2372</v>
      </c>
      <c r="BT140" s="1509" t="s">
        <v>2372</v>
      </c>
      <c r="BU140" s="1509">
        <v>1</v>
      </c>
      <c r="BV140" s="1509" t="s">
        <v>2372</v>
      </c>
      <c r="BW140" s="1509" t="s">
        <v>2372</v>
      </c>
      <c r="BX140" s="1509" t="s">
        <v>2372</v>
      </c>
      <c r="BY140" s="1509" t="s">
        <v>2372</v>
      </c>
      <c r="BZ140" s="1509">
        <v>1</v>
      </c>
      <c r="CA140" s="1509" t="s">
        <v>2372</v>
      </c>
      <c r="CB140" s="1509" t="s">
        <v>2372</v>
      </c>
      <c r="CC140" s="1509" t="s">
        <v>2372</v>
      </c>
      <c r="CD140" s="1509">
        <v>1</v>
      </c>
      <c r="CE140" s="1509">
        <v>1</v>
      </c>
      <c r="CF140" s="1509" t="s">
        <v>2372</v>
      </c>
      <c r="CG140" s="1509" t="s">
        <v>2372</v>
      </c>
      <c r="CH140" s="1509" t="s">
        <v>2372</v>
      </c>
      <c r="CI140" s="1509">
        <v>1</v>
      </c>
      <c r="CJ140" s="1509" t="s">
        <v>2372</v>
      </c>
      <c r="CK140" s="1509" t="s">
        <v>2372</v>
      </c>
      <c r="CL140" s="1509" t="s">
        <v>2372</v>
      </c>
      <c r="CM140" s="1509" t="s">
        <v>2372</v>
      </c>
      <c r="CN140" s="1509" t="s">
        <v>2372</v>
      </c>
      <c r="CO140" s="1509" t="s">
        <v>2372</v>
      </c>
      <c r="CP140" s="1509" t="s">
        <v>2372</v>
      </c>
      <c r="CQ140" s="1509">
        <v>1</v>
      </c>
      <c r="CR140" s="1509" t="s">
        <v>2372</v>
      </c>
      <c r="CS140" s="1509">
        <v>1</v>
      </c>
      <c r="CT140" s="1509" t="s">
        <v>2372</v>
      </c>
      <c r="CU140" s="1509">
        <v>1</v>
      </c>
      <c r="CV140" s="1509" t="s">
        <v>2372</v>
      </c>
      <c r="CW140" s="1509" t="s">
        <v>2372</v>
      </c>
      <c r="CX140" s="1509" t="s">
        <v>2372</v>
      </c>
      <c r="CY140" s="1509" t="s">
        <v>2372</v>
      </c>
      <c r="CZ140" s="1509" t="s">
        <v>2372</v>
      </c>
      <c r="DA140" s="1509" t="s">
        <v>2372</v>
      </c>
      <c r="DB140" s="1509">
        <v>1</v>
      </c>
      <c r="DC140" s="1509" t="s">
        <v>2372</v>
      </c>
      <c r="DD140" s="1509">
        <v>1</v>
      </c>
      <c r="DE140" s="1509" t="s">
        <v>2372</v>
      </c>
      <c r="DF140" s="1509" t="s">
        <v>2372</v>
      </c>
      <c r="DG140" s="1509" t="s">
        <v>2372</v>
      </c>
      <c r="DH140" s="1509" t="s">
        <v>2372</v>
      </c>
      <c r="DI140" s="1509" t="s">
        <v>2372</v>
      </c>
      <c r="DJ140" s="1509" t="s">
        <v>2372</v>
      </c>
      <c r="DK140" s="1509" t="s">
        <v>2372</v>
      </c>
      <c r="DL140" s="1509" t="s">
        <v>2372</v>
      </c>
      <c r="DM140" s="1509" t="s">
        <v>2372</v>
      </c>
      <c r="DN140" s="1509" t="s">
        <v>2372</v>
      </c>
      <c r="DO140" s="1509" t="s">
        <v>2372</v>
      </c>
      <c r="DP140" s="1509" t="s">
        <v>2372</v>
      </c>
      <c r="DQ140" s="1509" t="s">
        <v>2372</v>
      </c>
      <c r="DR140" s="1509">
        <v>1</v>
      </c>
      <c r="DS140" s="1509">
        <v>1</v>
      </c>
      <c r="DT140" s="1509" t="s">
        <v>2372</v>
      </c>
      <c r="DU140" s="1509" t="s">
        <v>2372</v>
      </c>
      <c r="DV140" s="1509" t="s">
        <v>2372</v>
      </c>
      <c r="DW140" s="1509" t="s">
        <v>2372</v>
      </c>
      <c r="DX140" s="1509" t="s">
        <v>2372</v>
      </c>
      <c r="DY140" s="1509" t="s">
        <v>2372</v>
      </c>
      <c r="DZ140" s="1509" t="s">
        <v>2372</v>
      </c>
      <c r="EA140" s="1509" t="s">
        <v>2372</v>
      </c>
      <c r="EB140" s="1509" t="s">
        <v>2372</v>
      </c>
      <c r="EC140" s="1509" t="s">
        <v>2372</v>
      </c>
      <c r="ED140" s="1509" t="s">
        <v>2372</v>
      </c>
      <c r="EE140" s="1509" t="s">
        <v>2372</v>
      </c>
      <c r="EF140" s="1509" t="s">
        <v>2372</v>
      </c>
      <c r="EG140" s="1509" t="s">
        <v>2372</v>
      </c>
      <c r="EH140" s="1509" t="s">
        <v>2372</v>
      </c>
      <c r="EI140" s="1509" t="s">
        <v>2372</v>
      </c>
      <c r="EJ140" s="1509" t="s">
        <v>2372</v>
      </c>
      <c r="EK140" s="1509" t="s">
        <v>2372</v>
      </c>
      <c r="EL140" s="1509">
        <v>1</v>
      </c>
      <c r="EM140" s="1509" t="s">
        <v>2372</v>
      </c>
      <c r="EN140" s="1509">
        <v>1</v>
      </c>
      <c r="EO140" s="1509" t="s">
        <v>2372</v>
      </c>
      <c r="EP140" s="1509" t="s">
        <v>2372</v>
      </c>
      <c r="EQ140" s="1509" t="s">
        <v>2372</v>
      </c>
      <c r="ER140" s="1509" t="s">
        <v>2372</v>
      </c>
      <c r="ES140" s="1509" t="s">
        <v>2372</v>
      </c>
      <c r="ET140" s="1509" t="s">
        <v>2372</v>
      </c>
      <c r="EU140" s="1509" t="s">
        <v>2372</v>
      </c>
      <c r="EV140" s="1509">
        <v>1</v>
      </c>
      <c r="EW140" s="1509" t="s">
        <v>2372</v>
      </c>
      <c r="EX140" s="1509" t="s">
        <v>2372</v>
      </c>
      <c r="EY140" s="1509" t="s">
        <v>2372</v>
      </c>
      <c r="EZ140" s="1509" t="s">
        <v>2372</v>
      </c>
      <c r="FA140" s="1509" t="s">
        <v>2372</v>
      </c>
      <c r="FB140" s="1509" t="s">
        <v>2372</v>
      </c>
      <c r="FC140" s="1509" t="s">
        <v>2372</v>
      </c>
      <c r="FD140" s="1509" t="s">
        <v>2372</v>
      </c>
      <c r="FE140" s="1509" t="s">
        <v>2372</v>
      </c>
      <c r="FF140" s="1509" t="s">
        <v>2372</v>
      </c>
      <c r="FG140" s="1509" t="s">
        <v>2372</v>
      </c>
      <c r="FH140" s="1509" t="s">
        <v>2372</v>
      </c>
      <c r="FI140" s="1509" t="s">
        <v>2372</v>
      </c>
      <c r="FJ140" s="1509">
        <v>1</v>
      </c>
      <c r="FK140" s="1509" t="s">
        <v>2372</v>
      </c>
      <c r="FL140" s="1509" t="s">
        <v>2372</v>
      </c>
      <c r="FM140" s="1509" t="s">
        <v>2372</v>
      </c>
      <c r="FN140" s="1509" t="s">
        <v>2372</v>
      </c>
      <c r="FO140" s="1509" t="s">
        <v>2372</v>
      </c>
      <c r="FP140" s="1509" t="s">
        <v>2372</v>
      </c>
      <c r="FQ140" s="1509" t="s">
        <v>2372</v>
      </c>
      <c r="FR140" s="1509" t="s">
        <v>2372</v>
      </c>
      <c r="FS140" s="1509" t="s">
        <v>2372</v>
      </c>
      <c r="FT140" s="1509">
        <v>1</v>
      </c>
      <c r="FU140" s="1509" t="s">
        <v>2372</v>
      </c>
    </row>
    <row r="141" spans="1:177" s="1509" customFormat="1" x14ac:dyDescent="0.2">
      <c r="A141" s="1512" t="s">
        <v>670</v>
      </c>
      <c r="B141" s="1512" t="s">
        <v>1101</v>
      </c>
      <c r="C141" s="1509">
        <v>0.50989408999999997</v>
      </c>
      <c r="D141" s="1509">
        <v>0.96569676000000004</v>
      </c>
      <c r="E141" s="1509">
        <v>0.70651631100000001</v>
      </c>
      <c r="F141" s="1509">
        <v>0.69791185099999997</v>
      </c>
      <c r="G141" s="1509">
        <v>0.68783492700000004</v>
      </c>
      <c r="H141" s="1509">
        <v>0.70269655900000005</v>
      </c>
      <c r="I141" s="1509">
        <v>0.45730075799999997</v>
      </c>
      <c r="J141" s="1509">
        <v>0.55257097300000002</v>
      </c>
      <c r="K141" s="1509">
        <v>0.95062271300000001</v>
      </c>
      <c r="L141" s="1509">
        <v>0.946158261</v>
      </c>
      <c r="M141" s="1509">
        <v>0.91453816399999999</v>
      </c>
      <c r="N141" s="1509">
        <v>0.782184675</v>
      </c>
      <c r="O141" s="1509">
        <v>0.39868153299999998</v>
      </c>
      <c r="P141" s="1509">
        <v>0.95487847599999998</v>
      </c>
      <c r="Q141" s="1509">
        <v>0.684356187</v>
      </c>
      <c r="R141" s="1509">
        <v>6.5362207000000005E-2</v>
      </c>
      <c r="S141" s="1509">
        <v>0.658953872</v>
      </c>
      <c r="T141" s="1509">
        <v>8.5316499000000004E-2</v>
      </c>
      <c r="U141" s="1509">
        <v>0.96064350700000001</v>
      </c>
      <c r="V141" s="1509">
        <v>0.94418316899999999</v>
      </c>
      <c r="W141" s="1509">
        <v>0.97452877299999996</v>
      </c>
      <c r="X141" s="1509">
        <v>0.92072057299999999</v>
      </c>
      <c r="Y141" s="1509">
        <v>0.93093142299999998</v>
      </c>
      <c r="Z141" s="1509">
        <v>7.0372881999999998E-2</v>
      </c>
      <c r="AA141" s="1509">
        <v>0.97225555399999997</v>
      </c>
      <c r="AB141" s="1509">
        <v>4.8106520999999999E-2</v>
      </c>
      <c r="AC141" s="1509">
        <v>8.0654537999999998E-2</v>
      </c>
      <c r="AD141" s="1509">
        <v>6.4443880999999995E-2</v>
      </c>
      <c r="AE141" s="1509">
        <v>0.19193900899999999</v>
      </c>
      <c r="AF141" s="1509">
        <v>0.18982865099999999</v>
      </c>
      <c r="AG141" s="1509">
        <v>8.0654537999999998E-2</v>
      </c>
      <c r="AH141" s="1509">
        <v>6.6679833999999993E-2</v>
      </c>
      <c r="AI141" s="1509">
        <v>0.106133218</v>
      </c>
      <c r="AJ141" s="1509">
        <v>5.7985700000000003E-3</v>
      </c>
      <c r="AK141" s="1509">
        <v>0.602530342</v>
      </c>
      <c r="AL141" s="1509">
        <v>0.69262903499999995</v>
      </c>
      <c r="AM141" s="1509">
        <v>0.50592676000000003</v>
      </c>
      <c r="AN141" s="1509">
        <v>0.77895310100000004</v>
      </c>
      <c r="AO141" s="1509">
        <v>0.71784788099999997</v>
      </c>
      <c r="AP141" s="1509">
        <v>0.55671527600000004</v>
      </c>
      <c r="AQ141" s="1509">
        <v>0.192019885</v>
      </c>
      <c r="AR141" s="1509">
        <v>2.3421526000000002E-2</v>
      </c>
      <c r="AS141" s="1509">
        <v>6.495303E-3</v>
      </c>
      <c r="AT141" s="1509">
        <v>0.28844527800000003</v>
      </c>
      <c r="AU141" s="1509">
        <v>0</v>
      </c>
      <c r="AV141" s="1509">
        <v>0.99063135800000002</v>
      </c>
      <c r="AW141" s="1509">
        <v>3.76758E-3</v>
      </c>
      <c r="AX141" s="1509">
        <v>0.20436879699999999</v>
      </c>
      <c r="AY141" s="1509">
        <v>0.37729234099999998</v>
      </c>
      <c r="AZ141" s="1509">
        <v>0.15269797199999999</v>
      </c>
      <c r="BA141" s="1509">
        <v>0.47148470999999997</v>
      </c>
      <c r="BB141" s="1509">
        <v>0.191279748</v>
      </c>
      <c r="BC141" s="1509">
        <v>0.13828462499999999</v>
      </c>
      <c r="BD141" s="1509">
        <v>0.20626623799999999</v>
      </c>
      <c r="BE141" s="1509">
        <v>3.2783736000000001E-2</v>
      </c>
      <c r="BF141" s="1509">
        <v>9.4131935E-2</v>
      </c>
      <c r="BG141" s="1509">
        <v>0.29489642599999999</v>
      </c>
      <c r="BH141" s="1509">
        <v>0.13008399700000001</v>
      </c>
      <c r="BI141" s="1509">
        <v>0.18479775800000001</v>
      </c>
      <c r="BJ141" s="1509">
        <v>0.190931721</v>
      </c>
      <c r="BK141" s="1509">
        <v>4.0213607999999998E-2</v>
      </c>
      <c r="BL141" s="1509">
        <v>0.76872796700000001</v>
      </c>
      <c r="BM141" s="1509">
        <v>0.11787129</v>
      </c>
      <c r="BN141" s="1509">
        <v>0.78848633499999998</v>
      </c>
      <c r="BO141" s="1509">
        <v>2.1215464E-2</v>
      </c>
      <c r="BP141" s="1509">
        <v>0.39741821999999999</v>
      </c>
      <c r="BQ141" s="1509">
        <v>0.20511138800000001</v>
      </c>
      <c r="BR141" s="1509">
        <v>7.0372881999999998E-2</v>
      </c>
      <c r="BS141" s="1509">
        <v>0.55925647099999998</v>
      </c>
      <c r="BT141" s="1509">
        <v>0.53991920400000004</v>
      </c>
      <c r="BU141" s="1509">
        <v>0.76352288499999998</v>
      </c>
      <c r="BV141" s="1509">
        <v>0.78030403100000001</v>
      </c>
      <c r="BW141" s="1509">
        <v>2.9824025000000001E-2</v>
      </c>
      <c r="BX141" s="1509">
        <v>0.464781424</v>
      </c>
      <c r="BY141" s="1509">
        <v>0.69111983899999996</v>
      </c>
      <c r="BZ141" s="1509">
        <v>0.21263335</v>
      </c>
      <c r="CA141" s="1509">
        <v>0.77205284500000004</v>
      </c>
      <c r="CB141" s="1509">
        <v>0.24171036800000001</v>
      </c>
      <c r="CC141" s="1509">
        <v>0.42577189599999998</v>
      </c>
      <c r="CD141" s="1509">
        <v>0.102138706</v>
      </c>
      <c r="CE141" s="1509">
        <v>0.45307452999999998</v>
      </c>
      <c r="CF141" s="1509">
        <v>0.60905015200000001</v>
      </c>
      <c r="CG141" s="1509">
        <v>0.24019721099999999</v>
      </c>
      <c r="CH141" s="1509">
        <v>0.99770069500000003</v>
      </c>
      <c r="CI141" s="1509">
        <v>0.96569676000000004</v>
      </c>
      <c r="CJ141" s="1509">
        <v>8.2711402000000003E-2</v>
      </c>
      <c r="CK141" s="1509">
        <v>2.5653302999999999E-2</v>
      </c>
      <c r="CL141" s="1509">
        <v>1.6065650000000001E-2</v>
      </c>
      <c r="CM141" s="1509">
        <v>0.666899727</v>
      </c>
      <c r="CN141" s="1509">
        <v>0.115514013</v>
      </c>
      <c r="CO141" s="1509">
        <v>0.27447352899999999</v>
      </c>
      <c r="CP141" s="1509">
        <v>6.8622111999999999E-2</v>
      </c>
      <c r="CQ141" s="1509">
        <v>0.80043377500000001</v>
      </c>
      <c r="CR141" s="1509">
        <v>0.725998912</v>
      </c>
      <c r="CS141" s="1509">
        <v>0.77693391300000003</v>
      </c>
      <c r="CT141" s="1509">
        <v>0.60868220399999995</v>
      </c>
      <c r="CU141" s="1509">
        <v>0.65364348500000002</v>
      </c>
      <c r="CV141" s="1509">
        <v>0.77552121200000002</v>
      </c>
      <c r="CW141" s="1509">
        <v>0.79660084099999995</v>
      </c>
      <c r="CX141" s="1509">
        <v>0.91430552799999998</v>
      </c>
      <c r="CY141" s="1509">
        <v>3.2549588999999997E-2</v>
      </c>
      <c r="CZ141" s="1509">
        <v>0.16341747200000001</v>
      </c>
      <c r="DA141" s="1509">
        <v>0.19159779499999999</v>
      </c>
      <c r="DB141" s="1509">
        <v>0.13381285700000001</v>
      </c>
      <c r="DC141" s="1509">
        <v>0</v>
      </c>
      <c r="DD141" s="1509">
        <v>2.8835805999999999E-2</v>
      </c>
      <c r="DE141" s="1509">
        <v>9.5530680000000007E-2</v>
      </c>
      <c r="DF141" s="1509">
        <v>8.2901793000000001E-2</v>
      </c>
      <c r="DG141" s="1509">
        <v>0.99387411599999997</v>
      </c>
      <c r="DH141" s="1509">
        <v>0.99783846399999998</v>
      </c>
      <c r="DI141" s="1509">
        <v>0.166769378</v>
      </c>
      <c r="DJ141" s="1509">
        <v>9.9813733000000002E-2</v>
      </c>
      <c r="DK141" s="1509">
        <v>0.25182579399999999</v>
      </c>
      <c r="DL141" s="1509">
        <v>2.2714895999999998E-2</v>
      </c>
      <c r="DM141" s="1509">
        <v>0.29663640499999999</v>
      </c>
      <c r="DN141" s="1509">
        <v>0.30712979899999998</v>
      </c>
      <c r="DO141" s="1509">
        <v>4.8411598E-2</v>
      </c>
      <c r="DP141" s="1509">
        <v>6.4565109999999998E-3</v>
      </c>
      <c r="DQ141" s="1509">
        <v>0.167508781</v>
      </c>
      <c r="DR141" s="1509">
        <v>0.37114562099999998</v>
      </c>
      <c r="DS141" s="1509">
        <v>0.79104828199999999</v>
      </c>
      <c r="DT141" s="1509">
        <v>0.66669215800000003</v>
      </c>
      <c r="DU141" s="1509">
        <v>0.68621758799999999</v>
      </c>
      <c r="DV141" s="1509">
        <v>9.9108600000000005E-2</v>
      </c>
      <c r="DW141" s="1509">
        <v>0.26165979299999997</v>
      </c>
      <c r="DX141" s="1509">
        <v>0.24805909600000001</v>
      </c>
      <c r="DY141" s="1509">
        <v>0.48187592200000001</v>
      </c>
      <c r="DZ141" s="1509">
        <v>7.0718095999999994E-2</v>
      </c>
      <c r="EA141" s="1509">
        <v>0.499251481</v>
      </c>
      <c r="EB141" s="1509">
        <v>0.18174195600000001</v>
      </c>
      <c r="EC141" s="1509">
        <v>0.94489494699999999</v>
      </c>
      <c r="ED141" s="1509">
        <v>0.195519151</v>
      </c>
      <c r="EE141" s="1509">
        <v>0.78757655599999998</v>
      </c>
      <c r="EF141" s="1509">
        <v>0.405719569</v>
      </c>
      <c r="EG141" s="1509">
        <v>0.76205406600000003</v>
      </c>
      <c r="EH141" s="1509">
        <v>0.59828170800000002</v>
      </c>
      <c r="EI141" s="1509">
        <v>0.96142570500000002</v>
      </c>
      <c r="EJ141" s="1509">
        <v>0.59344438399999999</v>
      </c>
      <c r="EK141" s="1509">
        <v>0.66161092899999996</v>
      </c>
      <c r="EL141" s="1509">
        <v>0</v>
      </c>
      <c r="EM141" s="1509">
        <v>0.39947939199999999</v>
      </c>
      <c r="EN141" s="1509">
        <v>0.10265914900000001</v>
      </c>
      <c r="EO141" s="1509">
        <v>3.6801294999999998E-2</v>
      </c>
      <c r="EP141" s="1509">
        <v>0.118931999</v>
      </c>
      <c r="EQ141" s="1509">
        <v>0</v>
      </c>
      <c r="ER141" s="1509">
        <v>3.2549588999999997E-2</v>
      </c>
      <c r="ES141" s="1509">
        <v>2.1365828E-2</v>
      </c>
      <c r="ET141" s="1509">
        <v>2.3386272999999999E-2</v>
      </c>
      <c r="EU141" s="1509">
        <v>0.57358074199999998</v>
      </c>
      <c r="EV141" s="1509">
        <v>6.8107116999999995E-2</v>
      </c>
      <c r="EW141" s="1509">
        <v>0.51407253100000005</v>
      </c>
      <c r="EX141" s="1509">
        <v>0.98445170900000001</v>
      </c>
      <c r="EY141" s="1509">
        <v>0.96818241900000002</v>
      </c>
      <c r="EZ141" s="1509">
        <v>0.47521999700000001</v>
      </c>
      <c r="FA141" s="1509">
        <v>0.89357194500000003</v>
      </c>
      <c r="FB141" s="1509">
        <v>0.70645380700000004</v>
      </c>
      <c r="FC141" s="1509">
        <v>0.96589283000000004</v>
      </c>
      <c r="FD141" s="1509">
        <v>0.96818241900000002</v>
      </c>
      <c r="FE141" s="1509">
        <v>0.36495277700000001</v>
      </c>
      <c r="FF141" s="1509">
        <v>9.6615789999999993E-2</v>
      </c>
      <c r="FG141" s="1509">
        <v>8.6397041999999993E-2</v>
      </c>
      <c r="FH141" s="1509">
        <v>3.8673520000000001E-3</v>
      </c>
      <c r="FI141" s="1509">
        <v>0.50244462400000001</v>
      </c>
      <c r="FJ141" s="1509">
        <v>1.9351429999999999E-2</v>
      </c>
      <c r="FK141" s="1509">
        <v>0.90067787899999996</v>
      </c>
      <c r="FL141" s="1509">
        <v>0.97415355199999998</v>
      </c>
      <c r="FM141" s="1509">
        <v>0.99362753500000001</v>
      </c>
      <c r="FN141" s="1509">
        <v>2.932825E-3</v>
      </c>
      <c r="FO141" s="1509">
        <v>8.5414948000000004E-2</v>
      </c>
      <c r="FP141" s="1509">
        <v>0.10307810000000001</v>
      </c>
      <c r="FQ141" s="1509">
        <v>0.67587984999999995</v>
      </c>
      <c r="FR141" s="1509">
        <v>0.14508068599999999</v>
      </c>
      <c r="FS141" s="1509">
        <v>0.44069129699999998</v>
      </c>
      <c r="FT141" s="1509">
        <v>0.171478766</v>
      </c>
      <c r="FU141" s="1509">
        <v>0.49992919499999999</v>
      </c>
    </row>
    <row r="142" spans="1:177" s="1509" customFormat="1" x14ac:dyDescent="0.2">
      <c r="A142" s="1512" t="s">
        <v>670</v>
      </c>
      <c r="B142" s="1512" t="s">
        <v>1011</v>
      </c>
      <c r="C142" s="1509">
        <v>0.68050845599999998</v>
      </c>
      <c r="D142" s="1509">
        <v>0.98817553700000005</v>
      </c>
      <c r="E142" s="1509">
        <v>0.85599347100000001</v>
      </c>
      <c r="F142" s="1509">
        <v>0.65511965299999997</v>
      </c>
      <c r="G142" s="1509">
        <v>0.91849952700000004</v>
      </c>
      <c r="H142" s="1509">
        <v>0.70084444499999998</v>
      </c>
      <c r="I142" s="1509">
        <v>0.91948334600000003</v>
      </c>
      <c r="J142" s="1509">
        <v>0.90925758899999998</v>
      </c>
      <c r="K142" s="1509">
        <v>0.934482861</v>
      </c>
      <c r="L142" s="1509">
        <v>0.88882843499999997</v>
      </c>
      <c r="M142" s="1509">
        <v>0.93471018299999997</v>
      </c>
      <c r="N142" s="1509">
        <v>0.979142289</v>
      </c>
      <c r="O142" s="1509">
        <v>0.95608961699999995</v>
      </c>
      <c r="P142" s="1509">
        <v>0.93911128300000002</v>
      </c>
      <c r="Q142" s="1509">
        <v>0.79165703099999996</v>
      </c>
      <c r="R142" s="1509">
        <v>0.96203740299999996</v>
      </c>
      <c r="S142" s="1509">
        <v>0.98418063499999997</v>
      </c>
      <c r="T142" s="1509">
        <v>0.48846621099999998</v>
      </c>
      <c r="U142" s="1509">
        <v>0.50755751999999998</v>
      </c>
      <c r="V142" s="1509">
        <v>0.72068107100000001</v>
      </c>
      <c r="W142" s="1509">
        <v>0.83343643599999995</v>
      </c>
      <c r="X142" s="1509">
        <v>0.62348793700000005</v>
      </c>
      <c r="Y142" s="1509">
        <v>0.95408843899999995</v>
      </c>
      <c r="Z142" s="1509">
        <v>0.729636061</v>
      </c>
      <c r="AA142" s="1509">
        <v>0.94749237900000005</v>
      </c>
      <c r="AB142" s="1509">
        <v>0.82425412300000001</v>
      </c>
      <c r="AC142" s="1509">
        <v>0.77927793599999995</v>
      </c>
      <c r="AD142" s="1509">
        <v>0.59727139200000001</v>
      </c>
      <c r="AE142" s="1509">
        <v>0.88380715099999996</v>
      </c>
      <c r="AF142" s="1509">
        <v>0.75523026599999998</v>
      </c>
      <c r="AG142" s="1509">
        <v>0.99996273400000002</v>
      </c>
      <c r="AH142" s="1509">
        <v>0.75657183699999997</v>
      </c>
      <c r="AI142" s="1509">
        <v>0.77334148199999997</v>
      </c>
      <c r="AJ142" s="1509">
        <v>0.75228998800000002</v>
      </c>
      <c r="AK142" s="1509">
        <v>0.92289616799999996</v>
      </c>
      <c r="AL142" s="1509">
        <v>0.657075933</v>
      </c>
      <c r="AM142" s="1509">
        <v>0.97480101200000002</v>
      </c>
      <c r="AN142" s="1509">
        <v>0.76201949999999996</v>
      </c>
      <c r="AO142" s="1509">
        <v>0.61277156600000005</v>
      </c>
      <c r="AP142" s="1509">
        <v>0</v>
      </c>
      <c r="AQ142" s="1509">
        <v>0.91576048499999996</v>
      </c>
      <c r="AR142" s="1509">
        <v>0.55402247599999999</v>
      </c>
      <c r="AS142" s="1509">
        <v>0.154319185</v>
      </c>
      <c r="AT142" s="1509">
        <v>2.745707E-2</v>
      </c>
      <c r="AU142" s="1509">
        <v>2.1230802E-2</v>
      </c>
      <c r="AV142" s="1509">
        <v>0.74900313799999996</v>
      </c>
      <c r="AW142" s="1509">
        <v>0.930655656</v>
      </c>
      <c r="AX142" s="1509">
        <v>0.990451792</v>
      </c>
      <c r="AY142" s="1509">
        <v>0.86183211100000001</v>
      </c>
      <c r="AZ142" s="1509">
        <v>0.87591638599999999</v>
      </c>
      <c r="BA142" s="1509">
        <v>0.87709420299999996</v>
      </c>
      <c r="BB142" s="1509">
        <v>0.951748013</v>
      </c>
      <c r="BC142" s="1509">
        <v>6.1194212999999997E-2</v>
      </c>
      <c r="BD142" s="1509">
        <v>0.97893830599999998</v>
      </c>
      <c r="BE142" s="1509">
        <v>0.99975547600000003</v>
      </c>
      <c r="BF142" s="1509">
        <v>0.13354189999999999</v>
      </c>
      <c r="BG142" s="1509">
        <v>0.25124882100000001</v>
      </c>
      <c r="BH142" s="1509">
        <v>0.71104038899999999</v>
      </c>
      <c r="BI142" s="1509">
        <v>0.59664905199999996</v>
      </c>
      <c r="BJ142" s="1509">
        <v>0.51278592199999995</v>
      </c>
      <c r="BK142" s="1509">
        <v>0.97589643100000001</v>
      </c>
      <c r="BL142" s="1509">
        <v>1.7559681000000001E-2</v>
      </c>
      <c r="BM142" s="1509">
        <v>0</v>
      </c>
      <c r="BN142" s="1509">
        <v>0.89992994000000004</v>
      </c>
      <c r="BO142" s="1509">
        <v>0.982268896</v>
      </c>
      <c r="BP142" s="1509">
        <v>0.985324698</v>
      </c>
      <c r="BQ142" s="1509">
        <v>0.97512129999999997</v>
      </c>
      <c r="BR142" s="1509">
        <v>0.40784148599999998</v>
      </c>
      <c r="BS142" s="1509">
        <v>1.7559681000000001E-2</v>
      </c>
      <c r="BT142" s="1509">
        <v>0.87595491299999995</v>
      </c>
      <c r="BU142" s="1509">
        <v>0.56564956099999997</v>
      </c>
      <c r="BV142" s="1509">
        <v>0.91104176299999995</v>
      </c>
      <c r="BW142" s="1509">
        <v>0</v>
      </c>
      <c r="BX142" s="1509">
        <v>0.89766265499999998</v>
      </c>
      <c r="BY142" s="1509">
        <v>5.0035230000000002E-3</v>
      </c>
      <c r="BZ142" s="1509">
        <v>5.0035230000000002E-3</v>
      </c>
      <c r="CA142" s="1509">
        <v>0</v>
      </c>
      <c r="CB142" s="1509">
        <v>0</v>
      </c>
      <c r="CC142" s="1509">
        <v>0.85016374100000003</v>
      </c>
      <c r="CD142" s="1509">
        <v>0.99643424599999997</v>
      </c>
      <c r="CE142" s="1509">
        <v>0.83443115800000001</v>
      </c>
      <c r="CF142" s="1509">
        <v>0.52433738900000004</v>
      </c>
      <c r="CG142" s="1509">
        <v>0.78305669600000005</v>
      </c>
      <c r="CH142" s="1509">
        <v>0.970627036</v>
      </c>
      <c r="CI142" s="1509">
        <v>0.98713581900000003</v>
      </c>
      <c r="CJ142" s="1509">
        <v>0.96746141799999996</v>
      </c>
      <c r="CK142" s="1509">
        <v>0.56985998299999996</v>
      </c>
      <c r="CL142" s="1509">
        <v>0.493307355</v>
      </c>
      <c r="CM142" s="1509">
        <v>0.81393011500000001</v>
      </c>
      <c r="CN142" s="1509">
        <v>0.841010645</v>
      </c>
      <c r="CO142" s="1509">
        <v>4.3997522999999997E-2</v>
      </c>
      <c r="CP142" s="1509">
        <v>4.3997522999999997E-2</v>
      </c>
      <c r="CQ142" s="1509">
        <v>0.99986956900000001</v>
      </c>
      <c r="CR142" s="1509">
        <v>0.99967578700000004</v>
      </c>
      <c r="CS142" s="1509">
        <v>0.797154378</v>
      </c>
      <c r="CT142" s="1509">
        <v>0.38095788200000003</v>
      </c>
      <c r="CU142" s="1509">
        <v>0.544603528</v>
      </c>
      <c r="CV142" s="1509">
        <v>0.88224027500000002</v>
      </c>
      <c r="CW142" s="1509">
        <v>0.68419633199999996</v>
      </c>
      <c r="CX142" s="1509">
        <v>0.98521123700000002</v>
      </c>
      <c r="CY142" s="1509">
        <v>0.99706646399999999</v>
      </c>
      <c r="CZ142" s="1509">
        <v>0.90623310099999999</v>
      </c>
      <c r="DA142" s="1509">
        <v>0.97111503200000004</v>
      </c>
      <c r="DB142" s="1509">
        <v>0.96487274499999998</v>
      </c>
      <c r="DC142" s="1509">
        <v>0.57415907099999997</v>
      </c>
      <c r="DD142" s="1509">
        <v>0.92735400400000001</v>
      </c>
      <c r="DE142" s="1509">
        <v>0.687184393</v>
      </c>
      <c r="DF142" s="1509">
        <v>0.77595452499999995</v>
      </c>
      <c r="DG142" s="1509">
        <v>0.88606407300000001</v>
      </c>
      <c r="DH142" s="1509">
        <v>0.227264784</v>
      </c>
      <c r="DI142" s="1509">
        <v>0.47442489399999999</v>
      </c>
      <c r="DJ142" s="1509">
        <v>0.89071453199999995</v>
      </c>
      <c r="DK142" s="1509">
        <v>0.99383299400000003</v>
      </c>
      <c r="DL142" s="1509">
        <v>0.73173297100000001</v>
      </c>
      <c r="DM142" s="1509">
        <v>4.3997522999999997E-2</v>
      </c>
      <c r="DN142" s="1509">
        <v>0.123400366</v>
      </c>
      <c r="DO142" s="1509">
        <v>0.95677299999999998</v>
      </c>
      <c r="DP142" s="1509">
        <v>0.94785083400000003</v>
      </c>
      <c r="DQ142" s="1509">
        <v>0.99719780899999999</v>
      </c>
      <c r="DR142" s="1509">
        <v>0.97177597800000004</v>
      </c>
      <c r="DS142" s="1509">
        <v>0.96578376700000002</v>
      </c>
      <c r="DT142" s="1509">
        <v>0.98961605100000005</v>
      </c>
      <c r="DU142" s="1509">
        <v>0.70606912099999997</v>
      </c>
      <c r="DV142" s="1509">
        <v>0.84065110899999995</v>
      </c>
      <c r="DW142" s="1509">
        <v>0.48154840399999999</v>
      </c>
      <c r="DX142" s="1509">
        <v>0.33894722300000002</v>
      </c>
      <c r="DY142" s="1509">
        <v>0.58709794599999998</v>
      </c>
      <c r="DZ142" s="1509">
        <v>0.19649638</v>
      </c>
      <c r="EA142" s="1509">
        <v>0.91830130099999996</v>
      </c>
      <c r="EB142" s="1509">
        <v>0.43671881400000001</v>
      </c>
      <c r="EC142" s="1509">
        <v>0.77937482800000002</v>
      </c>
      <c r="ED142" s="1509">
        <v>0.96503342700000005</v>
      </c>
      <c r="EE142" s="1509">
        <v>0.96158981899999996</v>
      </c>
      <c r="EF142" s="1509">
        <v>0.96452788199999995</v>
      </c>
      <c r="EG142" s="1509">
        <v>0.24273096199999999</v>
      </c>
      <c r="EH142" s="1509">
        <v>0.99175527799999996</v>
      </c>
      <c r="EI142" s="1509">
        <v>0.74489194599999997</v>
      </c>
      <c r="EJ142" s="1509">
        <v>0.59021431800000002</v>
      </c>
      <c r="EK142" s="1509">
        <v>0.944097458</v>
      </c>
      <c r="EL142" s="1509">
        <v>0.68726717500000001</v>
      </c>
      <c r="EM142" s="1509">
        <v>0.94177650599999996</v>
      </c>
      <c r="EN142" s="1509">
        <v>0.96298715000000001</v>
      </c>
      <c r="EO142" s="1509">
        <v>0.47434211100000001</v>
      </c>
      <c r="EP142" s="1509">
        <v>0.52558843300000002</v>
      </c>
      <c r="EQ142" s="1509">
        <v>0.96916145099999995</v>
      </c>
      <c r="ER142" s="1509">
        <v>0.96977852600000003</v>
      </c>
      <c r="ES142" s="1509">
        <v>0.96507275999999997</v>
      </c>
      <c r="ET142" s="1509">
        <v>0.908886784</v>
      </c>
      <c r="EU142" s="1509">
        <v>0.42949456800000002</v>
      </c>
      <c r="EV142" s="1509">
        <v>0.69942834099999995</v>
      </c>
      <c r="EW142" s="1509">
        <v>0.97559627599999998</v>
      </c>
      <c r="EX142" s="1509">
        <v>0.30470246400000001</v>
      </c>
      <c r="EY142" s="1509">
        <v>0.93444400400000005</v>
      </c>
      <c r="EZ142" s="1509">
        <v>0.90874578699999997</v>
      </c>
      <c r="FA142" s="1509">
        <v>0.83555757799999997</v>
      </c>
      <c r="FB142" s="1509">
        <v>0.75145614599999999</v>
      </c>
      <c r="FC142" s="1509">
        <v>0.83149505800000001</v>
      </c>
      <c r="FD142" s="1509">
        <v>0.88831098799999997</v>
      </c>
      <c r="FE142" s="1509">
        <v>0.98503511399999999</v>
      </c>
      <c r="FF142" s="1509">
        <v>0.65896432999999999</v>
      </c>
      <c r="FG142" s="1509">
        <v>0.75501062399999996</v>
      </c>
      <c r="FH142" s="1509">
        <v>0.84968127100000002</v>
      </c>
      <c r="FI142" s="1509">
        <v>0.62522851899999998</v>
      </c>
      <c r="FJ142" s="1509">
        <v>0.99837086900000005</v>
      </c>
      <c r="FK142" s="1509">
        <v>0.96580015399999997</v>
      </c>
      <c r="FL142" s="1509">
        <v>0.99541938399999996</v>
      </c>
      <c r="FM142" s="1509">
        <v>0.29683016400000001</v>
      </c>
      <c r="FN142" s="1509">
        <v>0.96029320799999995</v>
      </c>
      <c r="FO142" s="1509">
        <v>0.99507294999999996</v>
      </c>
      <c r="FP142" s="1509">
        <v>0.57535819099999996</v>
      </c>
      <c r="FQ142" s="1509">
        <v>0.95438381800000005</v>
      </c>
      <c r="FR142" s="1509">
        <v>0.700162913</v>
      </c>
      <c r="FS142" s="1509">
        <v>0.37430381400000001</v>
      </c>
      <c r="FT142" s="1509">
        <v>0.37172895299999997</v>
      </c>
      <c r="FU142" s="1509">
        <v>0.96402724900000003</v>
      </c>
    </row>
    <row r="143" spans="1:177" s="1509" customFormat="1" x14ac:dyDescent="0.2">
      <c r="A143" s="1512" t="s">
        <v>671</v>
      </c>
      <c r="B143" s="1512" t="s">
        <v>1067</v>
      </c>
      <c r="C143" s="1509" t="s">
        <v>2372</v>
      </c>
      <c r="D143" s="1509" t="s">
        <v>2372</v>
      </c>
      <c r="E143" s="1509" t="s">
        <v>2372</v>
      </c>
      <c r="F143" s="1509" t="s">
        <v>2372</v>
      </c>
      <c r="G143" s="1509" t="s">
        <v>2372</v>
      </c>
      <c r="H143" s="1509" t="s">
        <v>2372</v>
      </c>
      <c r="I143" s="1509" t="s">
        <v>2372</v>
      </c>
      <c r="J143" s="1509" t="s">
        <v>2372</v>
      </c>
      <c r="K143" s="1509" t="s">
        <v>2372</v>
      </c>
      <c r="L143" s="1509" t="s">
        <v>2372</v>
      </c>
      <c r="M143" s="1509" t="s">
        <v>2372</v>
      </c>
      <c r="N143" s="1509" t="s">
        <v>2372</v>
      </c>
      <c r="O143" s="1509" t="s">
        <v>2372</v>
      </c>
      <c r="P143" s="1509" t="s">
        <v>2372</v>
      </c>
      <c r="Q143" s="1509" t="s">
        <v>2372</v>
      </c>
      <c r="R143" s="1509" t="s">
        <v>2372</v>
      </c>
      <c r="S143" s="1509" t="s">
        <v>2372</v>
      </c>
      <c r="T143" s="1509" t="s">
        <v>2372</v>
      </c>
      <c r="U143" s="1509" t="s">
        <v>2372</v>
      </c>
      <c r="V143" s="1509" t="s">
        <v>2372</v>
      </c>
      <c r="W143" s="1509" t="s">
        <v>2372</v>
      </c>
      <c r="X143" s="1509" t="s">
        <v>2372</v>
      </c>
      <c r="Y143" s="1509" t="s">
        <v>2372</v>
      </c>
      <c r="Z143" s="1509" t="s">
        <v>2372</v>
      </c>
      <c r="AA143" s="1509" t="s">
        <v>2372</v>
      </c>
      <c r="AB143" s="1509" t="s">
        <v>2372</v>
      </c>
      <c r="AC143" s="1509" t="s">
        <v>2372</v>
      </c>
      <c r="AD143" s="1509" t="s">
        <v>2372</v>
      </c>
      <c r="AE143" s="1509" t="s">
        <v>2372</v>
      </c>
      <c r="AF143" s="1509" t="s">
        <v>2372</v>
      </c>
      <c r="AG143" s="1509" t="s">
        <v>2372</v>
      </c>
      <c r="AH143" s="1509" t="s">
        <v>2372</v>
      </c>
      <c r="AI143" s="1509" t="s">
        <v>2372</v>
      </c>
      <c r="AJ143" s="1509" t="s">
        <v>2372</v>
      </c>
      <c r="AK143" s="1509" t="s">
        <v>2372</v>
      </c>
      <c r="AL143" s="1509" t="s">
        <v>2372</v>
      </c>
      <c r="AM143" s="1509" t="s">
        <v>2372</v>
      </c>
      <c r="AN143" s="1509" t="s">
        <v>2372</v>
      </c>
      <c r="AO143" s="1509" t="s">
        <v>2372</v>
      </c>
      <c r="AP143" s="1509" t="s">
        <v>2372</v>
      </c>
      <c r="AQ143" s="1509" t="s">
        <v>2372</v>
      </c>
      <c r="AR143" s="1509" t="s">
        <v>2372</v>
      </c>
      <c r="AS143" s="1509">
        <v>1</v>
      </c>
      <c r="AT143" s="1509" t="s">
        <v>2372</v>
      </c>
      <c r="AU143" s="1509">
        <v>1</v>
      </c>
      <c r="AV143" s="1509" t="s">
        <v>2372</v>
      </c>
      <c r="AW143" s="1509" t="s">
        <v>2372</v>
      </c>
      <c r="AX143" s="1509" t="s">
        <v>2372</v>
      </c>
      <c r="AY143" s="1509" t="s">
        <v>2372</v>
      </c>
      <c r="AZ143" s="1509" t="s">
        <v>2372</v>
      </c>
      <c r="BA143" s="1509" t="s">
        <v>2372</v>
      </c>
      <c r="BB143" s="1509" t="s">
        <v>2372</v>
      </c>
      <c r="BC143" s="1509" t="s">
        <v>2372</v>
      </c>
      <c r="BD143" s="1509" t="s">
        <v>2372</v>
      </c>
      <c r="BE143" s="1509" t="s">
        <v>2372</v>
      </c>
      <c r="BF143" s="1509" t="s">
        <v>2372</v>
      </c>
      <c r="BG143" s="1509" t="s">
        <v>2372</v>
      </c>
      <c r="BH143" s="1509" t="s">
        <v>2372</v>
      </c>
      <c r="BI143" s="1509" t="s">
        <v>2372</v>
      </c>
      <c r="BJ143" s="1509" t="s">
        <v>2372</v>
      </c>
      <c r="BK143" s="1509" t="s">
        <v>2372</v>
      </c>
      <c r="BL143" s="1509" t="s">
        <v>2372</v>
      </c>
      <c r="BM143" s="1509" t="s">
        <v>2372</v>
      </c>
      <c r="BN143" s="1509" t="s">
        <v>2372</v>
      </c>
      <c r="BO143" s="1509" t="s">
        <v>2372</v>
      </c>
      <c r="BP143" s="1509" t="s">
        <v>2372</v>
      </c>
      <c r="BQ143" s="1509" t="s">
        <v>2372</v>
      </c>
      <c r="BR143" s="1509" t="s">
        <v>2372</v>
      </c>
      <c r="BS143" s="1509" t="s">
        <v>2372</v>
      </c>
      <c r="BT143" s="1509" t="s">
        <v>2372</v>
      </c>
      <c r="BU143" s="1509" t="s">
        <v>2372</v>
      </c>
      <c r="BV143" s="1509" t="s">
        <v>2372</v>
      </c>
      <c r="BW143" s="1509" t="s">
        <v>2372</v>
      </c>
      <c r="BX143" s="1509" t="s">
        <v>2372</v>
      </c>
      <c r="BY143" s="1509" t="s">
        <v>2372</v>
      </c>
      <c r="BZ143" s="1509">
        <v>1</v>
      </c>
      <c r="CA143" s="1509">
        <v>1</v>
      </c>
      <c r="CB143" s="1509" t="s">
        <v>2372</v>
      </c>
      <c r="CC143" s="1509">
        <v>1</v>
      </c>
      <c r="CD143" s="1509" t="s">
        <v>2372</v>
      </c>
      <c r="CE143" s="1509" t="s">
        <v>2372</v>
      </c>
      <c r="CF143" s="1509" t="s">
        <v>2372</v>
      </c>
      <c r="CG143" s="1509" t="s">
        <v>2372</v>
      </c>
      <c r="CH143" s="1509" t="s">
        <v>2372</v>
      </c>
      <c r="CI143" s="1509" t="s">
        <v>2372</v>
      </c>
      <c r="CJ143" s="1509" t="s">
        <v>2372</v>
      </c>
      <c r="CK143" s="1509" t="s">
        <v>2372</v>
      </c>
      <c r="CL143" s="1509" t="s">
        <v>2372</v>
      </c>
      <c r="CM143" s="1509" t="s">
        <v>2372</v>
      </c>
      <c r="CN143" s="1509" t="s">
        <v>2372</v>
      </c>
      <c r="CO143" s="1509" t="s">
        <v>2372</v>
      </c>
      <c r="CP143" s="1509" t="s">
        <v>2372</v>
      </c>
      <c r="CQ143" s="1509" t="s">
        <v>2372</v>
      </c>
      <c r="CR143" s="1509" t="s">
        <v>2372</v>
      </c>
      <c r="CS143" s="1509" t="s">
        <v>2372</v>
      </c>
      <c r="CT143" s="1509" t="s">
        <v>2372</v>
      </c>
      <c r="CU143" s="1509" t="s">
        <v>2372</v>
      </c>
      <c r="CV143" s="1509" t="s">
        <v>2372</v>
      </c>
      <c r="CW143" s="1509" t="s">
        <v>2372</v>
      </c>
      <c r="CX143" s="1509" t="s">
        <v>2372</v>
      </c>
      <c r="CY143" s="1509" t="s">
        <v>2372</v>
      </c>
      <c r="CZ143" s="1509" t="s">
        <v>2372</v>
      </c>
      <c r="DA143" s="1509" t="s">
        <v>2372</v>
      </c>
      <c r="DB143" s="1509" t="s">
        <v>2372</v>
      </c>
      <c r="DC143" s="1509" t="s">
        <v>2372</v>
      </c>
      <c r="DD143" s="1509" t="s">
        <v>2372</v>
      </c>
      <c r="DE143" s="1509" t="s">
        <v>2372</v>
      </c>
      <c r="DF143" s="1509" t="s">
        <v>2372</v>
      </c>
      <c r="DG143" s="1509" t="s">
        <v>2372</v>
      </c>
      <c r="DH143" s="1509" t="s">
        <v>2372</v>
      </c>
      <c r="DI143" s="1509">
        <v>1</v>
      </c>
      <c r="DJ143" s="1509">
        <v>1</v>
      </c>
      <c r="DK143" s="1509" t="s">
        <v>2372</v>
      </c>
      <c r="DL143" s="1509" t="s">
        <v>2372</v>
      </c>
      <c r="DM143" s="1509" t="s">
        <v>2372</v>
      </c>
      <c r="DN143" s="1509" t="s">
        <v>2372</v>
      </c>
      <c r="DO143" s="1509" t="s">
        <v>2372</v>
      </c>
      <c r="DP143" s="1509" t="s">
        <v>2372</v>
      </c>
      <c r="DQ143" s="1509" t="s">
        <v>2372</v>
      </c>
      <c r="DR143" s="1509" t="s">
        <v>2372</v>
      </c>
      <c r="DS143" s="1509">
        <v>1</v>
      </c>
      <c r="DT143" s="1509" t="s">
        <v>2372</v>
      </c>
      <c r="DU143" s="1509" t="s">
        <v>2372</v>
      </c>
      <c r="DV143" s="1509" t="s">
        <v>2372</v>
      </c>
      <c r="DW143" s="1509" t="s">
        <v>2372</v>
      </c>
      <c r="DX143" s="1509" t="s">
        <v>2372</v>
      </c>
      <c r="DY143" s="1509" t="s">
        <v>2372</v>
      </c>
      <c r="DZ143" s="1509" t="s">
        <v>2372</v>
      </c>
      <c r="EA143" s="1509" t="s">
        <v>2372</v>
      </c>
      <c r="EB143" s="1509" t="s">
        <v>2372</v>
      </c>
      <c r="EC143" s="1509" t="s">
        <v>2372</v>
      </c>
      <c r="ED143" s="1509" t="s">
        <v>2372</v>
      </c>
      <c r="EE143" s="1509" t="s">
        <v>2372</v>
      </c>
      <c r="EF143" s="1509" t="s">
        <v>2372</v>
      </c>
      <c r="EG143" s="1509">
        <v>1</v>
      </c>
      <c r="EH143" s="1509" t="s">
        <v>2372</v>
      </c>
      <c r="EI143" s="1509">
        <v>1</v>
      </c>
      <c r="EJ143" s="1509" t="s">
        <v>2372</v>
      </c>
      <c r="EK143" s="1509" t="s">
        <v>2372</v>
      </c>
      <c r="EL143" s="1509" t="s">
        <v>2372</v>
      </c>
      <c r="EM143" s="1509" t="s">
        <v>2372</v>
      </c>
      <c r="EN143" s="1509" t="s">
        <v>2372</v>
      </c>
      <c r="EO143" s="1509">
        <v>1</v>
      </c>
      <c r="EP143" s="1509">
        <v>1</v>
      </c>
      <c r="EQ143" s="1509" t="s">
        <v>2372</v>
      </c>
      <c r="ER143" s="1509" t="s">
        <v>2372</v>
      </c>
      <c r="ES143" s="1509" t="s">
        <v>2372</v>
      </c>
      <c r="ET143" s="1509">
        <v>1</v>
      </c>
      <c r="EU143" s="1509" t="s">
        <v>2372</v>
      </c>
      <c r="EV143" s="1509" t="s">
        <v>2372</v>
      </c>
      <c r="EW143" s="1509" t="s">
        <v>2372</v>
      </c>
      <c r="EX143" s="1509" t="s">
        <v>2372</v>
      </c>
      <c r="EY143" s="1509" t="s">
        <v>2372</v>
      </c>
      <c r="EZ143" s="1509" t="s">
        <v>2372</v>
      </c>
      <c r="FA143" s="1509" t="s">
        <v>2372</v>
      </c>
      <c r="FB143" s="1509" t="s">
        <v>2372</v>
      </c>
      <c r="FC143" s="1509" t="s">
        <v>2372</v>
      </c>
      <c r="FD143" s="1509" t="s">
        <v>2372</v>
      </c>
      <c r="FE143" s="1509" t="s">
        <v>2372</v>
      </c>
      <c r="FF143" s="1509" t="s">
        <v>2372</v>
      </c>
      <c r="FG143" s="1509" t="s">
        <v>2372</v>
      </c>
      <c r="FH143" s="1509" t="s">
        <v>2372</v>
      </c>
      <c r="FI143" s="1509" t="s">
        <v>2372</v>
      </c>
      <c r="FJ143" s="1509" t="s">
        <v>2372</v>
      </c>
      <c r="FK143" s="1509" t="s">
        <v>2372</v>
      </c>
      <c r="FL143" s="1509" t="s">
        <v>2372</v>
      </c>
      <c r="FM143" s="1509" t="s">
        <v>2372</v>
      </c>
      <c r="FN143" s="1509" t="s">
        <v>2372</v>
      </c>
      <c r="FO143" s="1509">
        <v>1</v>
      </c>
      <c r="FP143" s="1509" t="s">
        <v>2372</v>
      </c>
      <c r="FQ143" s="1509">
        <v>1</v>
      </c>
      <c r="FR143" s="1509" t="s">
        <v>2372</v>
      </c>
      <c r="FS143" s="1509" t="s">
        <v>2372</v>
      </c>
      <c r="FT143" s="1509" t="s">
        <v>2372</v>
      </c>
      <c r="FU143" s="1509" t="s">
        <v>2372</v>
      </c>
    </row>
    <row r="144" spans="1:177" s="1509" customFormat="1" x14ac:dyDescent="0.2">
      <c r="A144" s="1512" t="s">
        <v>671</v>
      </c>
      <c r="B144" s="1512" t="s">
        <v>1261</v>
      </c>
      <c r="C144" s="1509">
        <v>0.97468901600000002</v>
      </c>
      <c r="D144" s="1509">
        <v>0.97468901600000002</v>
      </c>
      <c r="E144" s="1509">
        <v>0.97468901600000002</v>
      </c>
      <c r="F144" s="1509">
        <v>0.94296391700000004</v>
      </c>
      <c r="G144" s="1509">
        <v>0.97468901600000002</v>
      </c>
      <c r="H144" s="1509">
        <v>0.97468901600000002</v>
      </c>
      <c r="I144" s="1509">
        <v>0.97468901600000002</v>
      </c>
      <c r="J144" s="1509">
        <v>0.97468901600000002</v>
      </c>
      <c r="K144" s="1509">
        <v>0.97468901600000002</v>
      </c>
      <c r="L144" s="1509">
        <v>0.99886339099999999</v>
      </c>
      <c r="M144" s="1509">
        <v>0.99886339099999999</v>
      </c>
      <c r="N144" s="1509">
        <v>0.97468901600000002</v>
      </c>
      <c r="O144" s="1509">
        <v>0.97468901600000002</v>
      </c>
      <c r="P144" s="1509">
        <v>0.99886339099999999</v>
      </c>
      <c r="Q144" s="1509">
        <v>0.98968318499999997</v>
      </c>
      <c r="R144" s="1509">
        <v>0.55454186000000005</v>
      </c>
      <c r="S144" s="1509">
        <v>0.29541406100000001</v>
      </c>
      <c r="T144" s="1509">
        <v>0.29541406100000001</v>
      </c>
      <c r="U144" s="1509">
        <v>0.97468901600000002</v>
      </c>
      <c r="V144" s="1509">
        <v>0.97468901600000002</v>
      </c>
      <c r="W144" s="1509">
        <v>0.97468901600000002</v>
      </c>
      <c r="X144" s="1509">
        <v>0.29541406100000001</v>
      </c>
      <c r="Y144" s="1509">
        <v>0.29541406100000001</v>
      </c>
      <c r="Z144" s="1509">
        <v>0.29541406100000001</v>
      </c>
      <c r="AA144" s="1509">
        <v>0.99886339099999999</v>
      </c>
      <c r="AB144" s="1509">
        <v>0.99886339099999999</v>
      </c>
      <c r="AC144" s="1509">
        <v>0.99886339099999999</v>
      </c>
      <c r="AD144" s="1509">
        <v>0.99886339099999999</v>
      </c>
      <c r="AE144" s="1509">
        <v>0.55454186000000005</v>
      </c>
      <c r="AF144" s="1509">
        <v>0.97468901600000002</v>
      </c>
      <c r="AG144" s="1509">
        <v>0.99994037499999999</v>
      </c>
      <c r="AH144" s="1509">
        <v>0.97468901600000002</v>
      </c>
      <c r="AI144" s="1509">
        <v>0.97468901600000002</v>
      </c>
      <c r="AJ144" s="1509">
        <v>0.97468901600000002</v>
      </c>
      <c r="AK144" s="1509">
        <v>0.55454186000000005</v>
      </c>
      <c r="AL144" s="1509">
        <v>0.98968318499999997</v>
      </c>
      <c r="AM144" s="1509">
        <v>0.98968318499999997</v>
      </c>
      <c r="AN144" s="1509">
        <v>0.98968318499999997</v>
      </c>
      <c r="AO144" s="1509">
        <v>0.85631988400000003</v>
      </c>
      <c r="AP144" s="1509">
        <v>0.69323157999999996</v>
      </c>
      <c r="AQ144" s="1509">
        <v>0.99886339099999999</v>
      </c>
      <c r="AR144" s="1509">
        <v>1</v>
      </c>
      <c r="AS144" s="1509">
        <v>1</v>
      </c>
      <c r="AT144" s="1509">
        <v>1</v>
      </c>
      <c r="AU144" s="1509">
        <v>0.72459913600000003</v>
      </c>
      <c r="AV144" s="1509">
        <v>0.29541406100000001</v>
      </c>
      <c r="AW144" s="1509">
        <v>0.29541406100000001</v>
      </c>
      <c r="AX144" s="1509">
        <v>0.45258943299999999</v>
      </c>
      <c r="AY144" s="1509">
        <v>0.99264689699999997</v>
      </c>
      <c r="AZ144" s="1509">
        <v>0.94296391700000004</v>
      </c>
      <c r="BA144" s="1509">
        <v>0.94296391700000004</v>
      </c>
      <c r="BB144" s="1509">
        <v>0.94296391700000004</v>
      </c>
      <c r="BC144" s="1509">
        <v>1</v>
      </c>
      <c r="BD144" s="1509">
        <v>1</v>
      </c>
      <c r="BE144" s="1509">
        <v>0.98593984700000004</v>
      </c>
      <c r="BF144" s="1509">
        <v>1</v>
      </c>
      <c r="BG144" s="1509">
        <v>0.74616620700000003</v>
      </c>
      <c r="BH144" s="1509">
        <v>0.97468901600000002</v>
      </c>
      <c r="BI144" s="1509">
        <v>0.97468901600000002</v>
      </c>
      <c r="BJ144" s="1509">
        <v>0.97468901600000002</v>
      </c>
      <c r="BK144" s="1509">
        <v>0.97468901600000002</v>
      </c>
      <c r="BL144" s="1509">
        <v>0.97468901600000002</v>
      </c>
      <c r="BM144" s="1509">
        <v>0.98968318499999997</v>
      </c>
      <c r="BN144" s="1509">
        <v>0.97468901600000002</v>
      </c>
      <c r="BO144" s="1509">
        <v>0.97468901600000002</v>
      </c>
      <c r="BP144" s="1509">
        <v>0.97468901600000002</v>
      </c>
      <c r="BQ144" s="1509">
        <v>0.97468901600000002</v>
      </c>
      <c r="BR144" s="1509">
        <v>0.97468901600000002</v>
      </c>
      <c r="BS144" s="1509">
        <v>0.97468901600000002</v>
      </c>
      <c r="BT144" s="1509">
        <v>0.94296391700000004</v>
      </c>
      <c r="BU144" s="1509">
        <v>0.94296391700000004</v>
      </c>
      <c r="BV144" s="1509">
        <v>0.94296391700000004</v>
      </c>
      <c r="BW144" s="1509">
        <v>0.70780213800000003</v>
      </c>
      <c r="BX144" s="1509">
        <v>1</v>
      </c>
      <c r="BY144" s="1509">
        <v>1</v>
      </c>
      <c r="BZ144" s="1509">
        <v>1</v>
      </c>
      <c r="CA144" s="1509">
        <v>0.98968318499999997</v>
      </c>
      <c r="CB144" s="1509">
        <v>0.55454186000000005</v>
      </c>
      <c r="CC144" s="1509">
        <v>0.70780213800000003</v>
      </c>
      <c r="CD144" s="1509">
        <v>0.55454186000000005</v>
      </c>
      <c r="CE144" s="1509">
        <v>0.70780213800000003</v>
      </c>
      <c r="CF144" s="1509">
        <v>0.98968318499999997</v>
      </c>
      <c r="CG144" s="1509">
        <v>0.97468901600000002</v>
      </c>
      <c r="CH144" s="1509">
        <v>0.99994037499999999</v>
      </c>
      <c r="CI144" s="1509">
        <v>0.97468901600000002</v>
      </c>
      <c r="CJ144" s="1509">
        <v>0.94296391700000004</v>
      </c>
      <c r="CK144" s="1509">
        <v>0.94296391700000004</v>
      </c>
      <c r="CL144" s="1509">
        <v>0.94296391700000004</v>
      </c>
      <c r="CM144" s="1509">
        <v>2.037461E-3</v>
      </c>
      <c r="CN144" s="1509">
        <v>0.98968318499999997</v>
      </c>
      <c r="CO144" s="1509">
        <v>0.98968318499999997</v>
      </c>
      <c r="CP144" s="1509">
        <v>0.98968318499999997</v>
      </c>
      <c r="CQ144" s="1509">
        <v>0.99886339099999999</v>
      </c>
      <c r="CR144" s="1509">
        <v>0.97468901600000002</v>
      </c>
      <c r="CS144" s="1509">
        <v>0.97468901600000002</v>
      </c>
      <c r="CT144" s="1509">
        <v>0.97468901600000002</v>
      </c>
      <c r="CU144" s="1509">
        <v>0.97468901600000002</v>
      </c>
      <c r="CV144" s="1509">
        <v>0.94296391700000004</v>
      </c>
      <c r="CW144" s="1509">
        <v>0.94296391700000004</v>
      </c>
      <c r="CX144" s="1509">
        <v>0.94296391700000004</v>
      </c>
      <c r="CY144" s="1509">
        <v>0.94296391700000004</v>
      </c>
      <c r="CZ144" s="1509">
        <v>0.45258943299999999</v>
      </c>
      <c r="DA144" s="1509">
        <v>1</v>
      </c>
      <c r="DB144" s="1509">
        <v>1</v>
      </c>
      <c r="DC144" s="1509">
        <v>0.60168875700000002</v>
      </c>
      <c r="DD144" s="1509">
        <v>0.60168875700000002</v>
      </c>
      <c r="DE144" s="1509">
        <v>0.33134042800000002</v>
      </c>
      <c r="DF144" s="1509">
        <v>0.33134042800000002</v>
      </c>
      <c r="DG144" s="1509">
        <v>0.60168875700000002</v>
      </c>
      <c r="DH144" s="1509">
        <v>0.60168875700000002</v>
      </c>
      <c r="DI144" s="1509">
        <v>0.60168875700000002</v>
      </c>
      <c r="DJ144" s="1509">
        <v>1</v>
      </c>
      <c r="DK144" s="1509">
        <v>0.68505661699999998</v>
      </c>
      <c r="DL144" s="1509">
        <v>0.70780213800000003</v>
      </c>
      <c r="DM144" s="1509">
        <v>0.98968318499999997</v>
      </c>
      <c r="DN144" s="1509">
        <v>0.98777687999999997</v>
      </c>
      <c r="DO144" s="1509">
        <v>0.99697840299999996</v>
      </c>
      <c r="DP144" s="1509">
        <v>3.7116746999999999E-2</v>
      </c>
      <c r="DQ144" s="1509">
        <v>1</v>
      </c>
      <c r="DR144" s="1509">
        <v>1</v>
      </c>
      <c r="DS144" s="1509">
        <v>0.68505661699999998</v>
      </c>
      <c r="DT144" s="1509">
        <v>1</v>
      </c>
      <c r="DU144" s="1509">
        <v>0.29541406100000001</v>
      </c>
      <c r="DV144" s="1509">
        <v>0.99886339099999999</v>
      </c>
      <c r="DW144" s="1509">
        <v>0.85631988400000003</v>
      </c>
      <c r="DX144" s="1509">
        <v>1</v>
      </c>
      <c r="DY144" s="1509">
        <v>0.94296391700000004</v>
      </c>
      <c r="DZ144" s="1509">
        <v>1</v>
      </c>
      <c r="EA144" s="1509">
        <v>0.94296391700000004</v>
      </c>
      <c r="EB144" s="1509">
        <v>0.99886339099999999</v>
      </c>
      <c r="EC144" s="1509">
        <v>0.97468901600000002</v>
      </c>
      <c r="ED144" s="1509">
        <v>0.97468901600000002</v>
      </c>
      <c r="EE144" s="1509">
        <v>0.70780213800000003</v>
      </c>
      <c r="EF144" s="1509">
        <v>0.99264689699999997</v>
      </c>
      <c r="EG144" s="1509">
        <v>0.68505661699999998</v>
      </c>
      <c r="EH144" s="1509">
        <v>0.94296391700000004</v>
      </c>
      <c r="EI144" s="1509">
        <v>0.70780213800000003</v>
      </c>
      <c r="EJ144" s="1509">
        <v>0.98968318499999997</v>
      </c>
      <c r="EK144" s="1509">
        <v>0.99994037499999999</v>
      </c>
      <c r="EL144" s="1509">
        <v>0.60168875700000002</v>
      </c>
      <c r="EM144" s="1509">
        <v>1</v>
      </c>
      <c r="EN144" s="1509">
        <v>0.60168875700000002</v>
      </c>
      <c r="EO144" s="1509">
        <v>0.33134042800000002</v>
      </c>
      <c r="EP144" s="1509">
        <v>3.7116746999999999E-2</v>
      </c>
      <c r="EQ144" s="1509">
        <v>0</v>
      </c>
      <c r="ER144" s="1509">
        <v>1</v>
      </c>
      <c r="ES144" s="1509">
        <v>0.99697840299999996</v>
      </c>
      <c r="ET144" s="1509">
        <v>0.98968318499999997</v>
      </c>
      <c r="EU144" s="1509">
        <v>1</v>
      </c>
      <c r="EV144" s="1509">
        <v>0.99886339099999999</v>
      </c>
      <c r="EW144" s="1509">
        <v>0.85631988400000003</v>
      </c>
      <c r="EX144" s="1509">
        <v>0.99264689699999997</v>
      </c>
      <c r="EY144" s="1509">
        <v>0.94296391700000004</v>
      </c>
      <c r="EZ144" s="1509">
        <v>1</v>
      </c>
      <c r="FA144" s="1509">
        <v>0.55454186000000005</v>
      </c>
      <c r="FB144" s="1509">
        <v>0.69323157999999996</v>
      </c>
      <c r="FC144" s="1509">
        <v>0.94296391700000004</v>
      </c>
      <c r="FD144" s="1509">
        <v>0.94296391700000004</v>
      </c>
      <c r="FE144" s="1509">
        <v>0.99697840299999996</v>
      </c>
      <c r="FF144" s="1509">
        <v>0.85631988400000003</v>
      </c>
      <c r="FG144" s="1509">
        <v>0.114368234</v>
      </c>
      <c r="FH144" s="1509">
        <v>2.037461E-3</v>
      </c>
      <c r="FI144" s="1509">
        <v>0.69323157999999996</v>
      </c>
      <c r="FJ144" s="1509">
        <v>0.94296391700000004</v>
      </c>
      <c r="FK144" s="1509">
        <v>0.45258943299999999</v>
      </c>
      <c r="FL144" s="1509">
        <v>1</v>
      </c>
      <c r="FM144" s="1509">
        <v>0.97468901600000002</v>
      </c>
      <c r="FN144" s="1509">
        <v>0.97468901600000002</v>
      </c>
      <c r="FO144" s="1509">
        <v>1</v>
      </c>
      <c r="FP144" s="1509">
        <v>0.69323157999999996</v>
      </c>
      <c r="FQ144" s="1509">
        <v>1</v>
      </c>
      <c r="FR144" s="1509">
        <v>0.254925919</v>
      </c>
      <c r="FS144" s="1509">
        <v>0.85631988400000003</v>
      </c>
      <c r="FT144" s="1509">
        <v>0.60168875700000002</v>
      </c>
      <c r="FU144" s="1509">
        <v>0.97468901600000002</v>
      </c>
    </row>
    <row r="145" spans="1:177" s="1509" customFormat="1" x14ac:dyDescent="0.2">
      <c r="A145" s="1512" t="s">
        <v>671</v>
      </c>
      <c r="B145" s="1512" t="s">
        <v>1060</v>
      </c>
      <c r="C145" s="1509">
        <v>0.99901245400000005</v>
      </c>
      <c r="D145" s="1509">
        <v>0.99901245400000005</v>
      </c>
      <c r="E145" s="1509">
        <v>0.96312914100000002</v>
      </c>
      <c r="F145" s="1509">
        <v>0.95428527399999996</v>
      </c>
      <c r="G145" s="1509">
        <v>0.96312914100000002</v>
      </c>
      <c r="H145" s="1509">
        <v>0.96312914100000002</v>
      </c>
      <c r="I145" s="1509">
        <v>0.99901245400000005</v>
      </c>
      <c r="J145" s="1509">
        <v>0.99901245400000005</v>
      </c>
      <c r="K145" s="1509">
        <v>0.99901245400000005</v>
      </c>
      <c r="L145" s="1509">
        <v>0.99901245400000005</v>
      </c>
      <c r="M145" s="1509">
        <v>0.99901245400000005</v>
      </c>
      <c r="N145" s="1509">
        <v>0.99901245400000005</v>
      </c>
      <c r="O145" s="1509">
        <v>0.99901245400000005</v>
      </c>
      <c r="P145" s="1509">
        <v>0.99901245400000005</v>
      </c>
      <c r="Q145" s="1509">
        <v>0.90511215700000003</v>
      </c>
      <c r="R145" s="1509">
        <v>0.98352890299999995</v>
      </c>
      <c r="S145" s="1509">
        <v>0.96312914100000002</v>
      </c>
      <c r="T145" s="1509">
        <v>0.99901245400000005</v>
      </c>
      <c r="U145" s="1509">
        <v>0.99901245400000005</v>
      </c>
      <c r="V145" s="1509">
        <v>0.99901245400000005</v>
      </c>
      <c r="W145" s="1509">
        <v>0.99901245400000005</v>
      </c>
      <c r="X145" s="1509">
        <v>0.96312914100000002</v>
      </c>
      <c r="Y145" s="1509">
        <v>0.96312914100000002</v>
      </c>
      <c r="Z145" s="1509">
        <v>0.96312914100000002</v>
      </c>
      <c r="AA145" s="1509">
        <v>0.99901245400000005</v>
      </c>
      <c r="AB145" s="1509">
        <v>0.99901245400000005</v>
      </c>
      <c r="AC145" s="1509">
        <v>0.96312914100000002</v>
      </c>
      <c r="AD145" s="1509">
        <v>0.99901245400000005</v>
      </c>
      <c r="AE145" s="1509">
        <v>0.98352890299999995</v>
      </c>
      <c r="AF145" s="1509">
        <v>0.99901245400000005</v>
      </c>
      <c r="AG145" s="1509">
        <v>0.99901245400000005</v>
      </c>
      <c r="AH145" s="1509">
        <v>0.99901245400000005</v>
      </c>
      <c r="AI145" s="1509">
        <v>0.96312914100000002</v>
      </c>
      <c r="AJ145" s="1509">
        <v>0.99901245400000005</v>
      </c>
      <c r="AK145" s="1509">
        <v>0.98352890299999995</v>
      </c>
      <c r="AL145" s="1509">
        <v>0.98352890299999995</v>
      </c>
      <c r="AM145" s="1509">
        <v>0.98352890299999995</v>
      </c>
      <c r="AN145" s="1509">
        <v>0.90511215700000003</v>
      </c>
      <c r="AO145" s="1509">
        <v>0.983312784</v>
      </c>
      <c r="AP145" s="1509">
        <v>0.92096424499999996</v>
      </c>
      <c r="AQ145" s="1509">
        <v>0.96312914100000002</v>
      </c>
      <c r="AR145" s="1509">
        <v>1</v>
      </c>
      <c r="AS145" s="1509">
        <v>1</v>
      </c>
      <c r="AT145" s="1509">
        <v>1</v>
      </c>
      <c r="AU145" s="1509">
        <v>0.99015327399999997</v>
      </c>
      <c r="AV145" s="1509">
        <v>0.99901245400000005</v>
      </c>
      <c r="AW145" s="1509">
        <v>0.99901245400000005</v>
      </c>
      <c r="AX145" s="1509">
        <v>0.92204117500000005</v>
      </c>
      <c r="AY145" s="1509">
        <v>0.99649406699999998</v>
      </c>
      <c r="AZ145" s="1509">
        <v>0.99649406699999998</v>
      </c>
      <c r="BA145" s="1509">
        <v>0.99649406699999998</v>
      </c>
      <c r="BB145" s="1509">
        <v>0.99649406699999998</v>
      </c>
      <c r="BC145" s="1509">
        <v>0.99015327399999997</v>
      </c>
      <c r="BD145" s="1509">
        <v>1</v>
      </c>
      <c r="BE145" s="1509">
        <v>0.99952841699999995</v>
      </c>
      <c r="BF145" s="1509">
        <v>0.99015327399999997</v>
      </c>
      <c r="BG145" s="1509">
        <v>0.99524924000000003</v>
      </c>
      <c r="BH145" s="1509">
        <v>0.99901245400000005</v>
      </c>
      <c r="BI145" s="1509">
        <v>0.99901245400000005</v>
      </c>
      <c r="BJ145" s="1509">
        <v>0.99901245400000005</v>
      </c>
      <c r="BK145" s="1509">
        <v>0.99901245400000005</v>
      </c>
      <c r="BL145" s="1509">
        <v>0.96312914100000002</v>
      </c>
      <c r="BM145" s="1509">
        <v>0.90511215700000003</v>
      </c>
      <c r="BN145" s="1509">
        <v>0.99901245400000005</v>
      </c>
      <c r="BO145" s="1509">
        <v>0.99901245400000005</v>
      </c>
      <c r="BP145" s="1509">
        <v>0.99901245400000005</v>
      </c>
      <c r="BQ145" s="1509">
        <v>0.99901245400000005</v>
      </c>
      <c r="BR145" s="1509">
        <v>0.96312914100000002</v>
      </c>
      <c r="BS145" s="1509">
        <v>0.96312914100000002</v>
      </c>
      <c r="BT145" s="1509">
        <v>0.99649406699999998</v>
      </c>
      <c r="BU145" s="1509">
        <v>0.99649406699999998</v>
      </c>
      <c r="BV145" s="1509">
        <v>0.99649406699999998</v>
      </c>
      <c r="BW145" s="1509">
        <v>0.90511215700000003</v>
      </c>
      <c r="BX145" s="1509">
        <v>0.92204117500000005</v>
      </c>
      <c r="BY145" s="1509">
        <v>0.76944464199999996</v>
      </c>
      <c r="BZ145" s="1509">
        <v>0.76944464199999996</v>
      </c>
      <c r="CA145" s="1509">
        <v>0.90511215700000003</v>
      </c>
      <c r="CB145" s="1509">
        <v>0.90511215700000003</v>
      </c>
      <c r="CC145" s="1509">
        <v>0.98352890299999995</v>
      </c>
      <c r="CD145" s="1509">
        <v>0.98352890299999995</v>
      </c>
      <c r="CE145" s="1509">
        <v>0.98352890299999995</v>
      </c>
      <c r="CF145" s="1509">
        <v>0.90511215700000003</v>
      </c>
      <c r="CG145" s="1509">
        <v>0.99901245400000005</v>
      </c>
      <c r="CH145" s="1509">
        <v>0.99901245400000005</v>
      </c>
      <c r="CI145" s="1509">
        <v>0.99901245400000005</v>
      </c>
      <c r="CJ145" s="1509">
        <v>0.99649406699999998</v>
      </c>
      <c r="CK145" s="1509">
        <v>0.95428527399999996</v>
      </c>
      <c r="CL145" s="1509">
        <v>0.95428527399999996</v>
      </c>
      <c r="CM145" s="1509">
        <v>0.76944464199999996</v>
      </c>
      <c r="CN145" s="1509">
        <v>0.98352890299999995</v>
      </c>
      <c r="CO145" s="1509">
        <v>0.90511215700000003</v>
      </c>
      <c r="CP145" s="1509">
        <v>0.90511215700000003</v>
      </c>
      <c r="CQ145" s="1509">
        <v>0.99901245400000005</v>
      </c>
      <c r="CR145" s="1509">
        <v>0.99901245400000005</v>
      </c>
      <c r="CS145" s="1509">
        <v>0.99901245400000005</v>
      </c>
      <c r="CT145" s="1509">
        <v>0.99901245400000005</v>
      </c>
      <c r="CU145" s="1509">
        <v>0.96312914100000002</v>
      </c>
      <c r="CV145" s="1509">
        <v>0.95428527399999996</v>
      </c>
      <c r="CW145" s="1509">
        <v>0.95428527399999996</v>
      </c>
      <c r="CX145" s="1509">
        <v>0.95428527399999996</v>
      </c>
      <c r="CY145" s="1509">
        <v>0.99649406699999998</v>
      </c>
      <c r="CZ145" s="1509">
        <v>0.92204117500000005</v>
      </c>
      <c r="DA145" s="1509">
        <v>0.92204117500000005</v>
      </c>
      <c r="DB145" s="1509">
        <v>0.94554769599999999</v>
      </c>
      <c r="DC145" s="1509">
        <v>0.94554769599999999</v>
      </c>
      <c r="DD145" s="1509">
        <v>0.94554769599999999</v>
      </c>
      <c r="DE145" s="1509">
        <v>0.79607980199999995</v>
      </c>
      <c r="DF145" s="1509">
        <v>0.94554769599999999</v>
      </c>
      <c r="DG145" s="1509">
        <v>0.94554769599999999</v>
      </c>
      <c r="DH145" s="1509">
        <v>0.79607980199999995</v>
      </c>
      <c r="DI145" s="1509">
        <v>0.94554769599999999</v>
      </c>
      <c r="DJ145" s="1509">
        <v>0.92204117500000005</v>
      </c>
      <c r="DK145" s="1509">
        <v>0.92204117500000005</v>
      </c>
      <c r="DL145" s="1509">
        <v>0.90511215700000003</v>
      </c>
      <c r="DM145" s="1509">
        <v>0.90511215700000003</v>
      </c>
      <c r="DN145" s="1509">
        <v>0.92096424499999996</v>
      </c>
      <c r="DO145" s="1509">
        <v>0.99649406699999998</v>
      </c>
      <c r="DP145" s="1509">
        <v>0.92204117500000005</v>
      </c>
      <c r="DQ145" s="1509">
        <v>0.92204117500000005</v>
      </c>
      <c r="DR145" s="1509">
        <v>0.92204117500000005</v>
      </c>
      <c r="DS145" s="1509">
        <v>0.92204117500000005</v>
      </c>
      <c r="DT145" s="1509">
        <v>0.92204117500000005</v>
      </c>
      <c r="DU145" s="1509">
        <v>0.99901245400000005</v>
      </c>
      <c r="DV145" s="1509">
        <v>0.96312914100000002</v>
      </c>
      <c r="DW145" s="1509">
        <v>0.92096424499999996</v>
      </c>
      <c r="DX145" s="1509">
        <v>1</v>
      </c>
      <c r="DY145" s="1509">
        <v>0.99649406699999998</v>
      </c>
      <c r="DZ145" s="1509">
        <v>0.99015327399999997</v>
      </c>
      <c r="EA145" s="1509">
        <v>0.95428527399999996</v>
      </c>
      <c r="EB145" s="1509">
        <v>0.96312914100000002</v>
      </c>
      <c r="EC145" s="1509">
        <v>0.96312914100000002</v>
      </c>
      <c r="ED145" s="1509">
        <v>0.99901245400000005</v>
      </c>
      <c r="EE145" s="1509">
        <v>0.90511215700000003</v>
      </c>
      <c r="EF145" s="1509">
        <v>0.95428527399999996</v>
      </c>
      <c r="EG145" s="1509">
        <v>0.76944464199999996</v>
      </c>
      <c r="EH145" s="1509">
        <v>0.99649406699999998</v>
      </c>
      <c r="EI145" s="1509">
        <v>0.90511215700000003</v>
      </c>
      <c r="EJ145" s="1509">
        <v>0.90511215700000003</v>
      </c>
      <c r="EK145" s="1509">
        <v>0.96312914100000002</v>
      </c>
      <c r="EL145" s="1509">
        <v>0.94554769599999999</v>
      </c>
      <c r="EM145" s="1509">
        <v>0.79607980199999995</v>
      </c>
      <c r="EN145" s="1509">
        <v>0.94554769599999999</v>
      </c>
      <c r="EO145" s="1509">
        <v>0.79607980199999995</v>
      </c>
      <c r="EP145" s="1509">
        <v>0.76944464199999996</v>
      </c>
      <c r="EQ145" s="1509">
        <v>0.90511215700000003</v>
      </c>
      <c r="ER145" s="1509">
        <v>0.99649406699999998</v>
      </c>
      <c r="ES145" s="1509">
        <v>0.99649406699999998</v>
      </c>
      <c r="ET145" s="1509">
        <v>0</v>
      </c>
      <c r="EU145" s="1509">
        <v>0.76944464199999996</v>
      </c>
      <c r="EV145" s="1509">
        <v>0.99901245400000005</v>
      </c>
      <c r="EW145" s="1509">
        <v>0.92096424499999996</v>
      </c>
      <c r="EX145" s="1509">
        <v>0.95428527399999996</v>
      </c>
      <c r="EY145" s="1509">
        <v>0.99649406699999998</v>
      </c>
      <c r="EZ145" s="1509">
        <v>0.76944464199999996</v>
      </c>
      <c r="FA145" s="1509">
        <v>0.98352890299999995</v>
      </c>
      <c r="FB145" s="1509">
        <v>0.983312784</v>
      </c>
      <c r="FC145" s="1509">
        <v>0.95428527399999996</v>
      </c>
      <c r="FD145" s="1509">
        <v>0.95428527399999996</v>
      </c>
      <c r="FE145" s="1509">
        <v>0.99649406699999998</v>
      </c>
      <c r="FF145" s="1509">
        <v>0.92096424499999996</v>
      </c>
      <c r="FG145" s="1509">
        <v>0</v>
      </c>
      <c r="FH145" s="1509">
        <v>0</v>
      </c>
      <c r="FI145" s="1509">
        <v>0.92096424499999996</v>
      </c>
      <c r="FJ145" s="1509">
        <v>0.99649406699999998</v>
      </c>
      <c r="FK145" s="1509">
        <v>0.92204117500000005</v>
      </c>
      <c r="FL145" s="1509">
        <v>0.79607980199999995</v>
      </c>
      <c r="FM145" s="1509">
        <v>0.99901245400000005</v>
      </c>
      <c r="FN145" s="1509">
        <v>0.99901245400000005</v>
      </c>
      <c r="FO145" s="1509">
        <v>0.76944464199999996</v>
      </c>
      <c r="FP145" s="1509">
        <v>0.92096424499999996</v>
      </c>
      <c r="FQ145" s="1509">
        <v>0.76944464199999996</v>
      </c>
      <c r="FR145" s="1509">
        <v>0.95428527399999996</v>
      </c>
      <c r="FS145" s="1509">
        <v>0.983312784</v>
      </c>
      <c r="FT145" s="1509">
        <v>0.79607980199999995</v>
      </c>
      <c r="FU145" s="1509">
        <v>0.99901245400000005</v>
      </c>
    </row>
    <row r="146" spans="1:177" s="1509" customFormat="1" x14ac:dyDescent="0.2">
      <c r="A146" s="1512" t="s">
        <v>671</v>
      </c>
      <c r="B146" s="1512" t="s">
        <v>1257</v>
      </c>
      <c r="C146" s="1509">
        <v>0.96154161500000002</v>
      </c>
      <c r="D146" s="1509">
        <v>0</v>
      </c>
      <c r="E146" s="1509">
        <v>0</v>
      </c>
      <c r="F146" s="1509">
        <v>0</v>
      </c>
      <c r="G146" s="1509">
        <v>0</v>
      </c>
      <c r="H146" s="1509">
        <v>0</v>
      </c>
      <c r="I146" s="1509">
        <v>0</v>
      </c>
      <c r="J146" s="1509">
        <v>0</v>
      </c>
      <c r="K146" s="1509">
        <v>0</v>
      </c>
      <c r="L146" s="1509">
        <v>0</v>
      </c>
      <c r="M146" s="1509">
        <v>0</v>
      </c>
      <c r="N146" s="1509">
        <v>0</v>
      </c>
      <c r="O146" s="1509">
        <v>0</v>
      </c>
      <c r="P146" s="1509">
        <v>0</v>
      </c>
      <c r="Q146" s="1509">
        <v>0</v>
      </c>
      <c r="R146" s="1509">
        <v>0</v>
      </c>
      <c r="S146" s="1509">
        <v>0</v>
      </c>
      <c r="T146" s="1509">
        <v>0</v>
      </c>
      <c r="U146" s="1509">
        <v>0</v>
      </c>
      <c r="V146" s="1509">
        <v>0</v>
      </c>
      <c r="W146" s="1509">
        <v>0</v>
      </c>
      <c r="X146" s="1509">
        <v>0.96686690900000005</v>
      </c>
      <c r="Y146" s="1509">
        <v>0</v>
      </c>
      <c r="Z146" s="1509">
        <v>0</v>
      </c>
      <c r="AA146" s="1509">
        <v>0</v>
      </c>
      <c r="AB146" s="1509">
        <v>0</v>
      </c>
      <c r="AC146" s="1509">
        <v>0</v>
      </c>
      <c r="AD146" s="1509">
        <v>0</v>
      </c>
      <c r="AE146" s="1509">
        <v>0</v>
      </c>
      <c r="AF146" s="1509">
        <v>0</v>
      </c>
      <c r="AG146" s="1509">
        <v>0</v>
      </c>
      <c r="AH146" s="1509">
        <v>0</v>
      </c>
      <c r="AI146" s="1509">
        <v>0</v>
      </c>
      <c r="AJ146" s="1509">
        <v>0</v>
      </c>
      <c r="AK146" s="1509">
        <v>0</v>
      </c>
      <c r="AL146" s="1509">
        <v>0</v>
      </c>
      <c r="AM146" s="1509">
        <v>0</v>
      </c>
      <c r="AN146" s="1509">
        <v>0</v>
      </c>
      <c r="AO146" s="1509">
        <v>0.68843124899999997</v>
      </c>
      <c r="AP146" s="1509">
        <v>0</v>
      </c>
      <c r="AQ146" s="1509">
        <v>0.94979168400000002</v>
      </c>
      <c r="AR146" s="1509">
        <v>0</v>
      </c>
      <c r="AS146" s="1509">
        <v>0</v>
      </c>
      <c r="AT146" s="1509">
        <v>0</v>
      </c>
      <c r="AU146" s="1509">
        <v>0</v>
      </c>
      <c r="AV146" s="1509">
        <v>0</v>
      </c>
      <c r="AW146" s="1509">
        <v>0</v>
      </c>
      <c r="AX146" s="1509">
        <v>0.60804603800000001</v>
      </c>
      <c r="AY146" s="1509">
        <v>0</v>
      </c>
      <c r="AZ146" s="1509">
        <v>0</v>
      </c>
      <c r="BA146" s="1509">
        <v>0</v>
      </c>
      <c r="BB146" s="1509">
        <v>0</v>
      </c>
      <c r="BC146" s="1509">
        <v>0</v>
      </c>
      <c r="BD146" s="1509">
        <v>0</v>
      </c>
      <c r="BE146" s="1509">
        <v>0.94702553499999997</v>
      </c>
      <c r="BF146" s="1509">
        <v>0</v>
      </c>
      <c r="BG146" s="1509">
        <v>0.96950431400000003</v>
      </c>
      <c r="BH146" s="1509">
        <v>0</v>
      </c>
      <c r="BI146" s="1509">
        <v>0</v>
      </c>
      <c r="BJ146" s="1509">
        <v>0.88784461599999998</v>
      </c>
      <c r="BK146" s="1509">
        <v>0</v>
      </c>
      <c r="BL146" s="1509">
        <v>0.89634868899999998</v>
      </c>
      <c r="BM146" s="1509">
        <v>0</v>
      </c>
      <c r="BN146" s="1509">
        <v>0</v>
      </c>
      <c r="BO146" s="1509">
        <v>0.96765694499999999</v>
      </c>
      <c r="BP146" s="1509">
        <v>0</v>
      </c>
      <c r="BQ146" s="1509">
        <v>0</v>
      </c>
      <c r="BR146" s="1509">
        <v>0</v>
      </c>
      <c r="BS146" s="1509">
        <v>0</v>
      </c>
      <c r="BT146" s="1509">
        <v>0</v>
      </c>
      <c r="BU146" s="1509">
        <v>0</v>
      </c>
      <c r="BV146" s="1509">
        <v>0</v>
      </c>
      <c r="BW146" s="1509">
        <v>0.91005523300000002</v>
      </c>
      <c r="BX146" s="1509">
        <v>0.35986748299999999</v>
      </c>
      <c r="BY146" s="1509">
        <v>0.17532073300000001</v>
      </c>
      <c r="BZ146" s="1509">
        <v>0.37479541700000002</v>
      </c>
      <c r="CA146" s="1509">
        <v>0.92212644300000002</v>
      </c>
      <c r="CB146" s="1509">
        <v>0.93228721299999995</v>
      </c>
      <c r="CC146" s="1509">
        <v>0.92131758799999997</v>
      </c>
      <c r="CD146" s="1509">
        <v>0</v>
      </c>
      <c r="CE146" s="1509">
        <v>0</v>
      </c>
      <c r="CF146" s="1509">
        <v>0</v>
      </c>
      <c r="CG146" s="1509">
        <v>0</v>
      </c>
      <c r="CH146" s="1509">
        <v>0</v>
      </c>
      <c r="CI146" s="1509">
        <v>0</v>
      </c>
      <c r="CJ146" s="1509">
        <v>0</v>
      </c>
      <c r="CK146" s="1509">
        <v>0</v>
      </c>
      <c r="CL146" s="1509">
        <v>0</v>
      </c>
      <c r="CM146" s="1509">
        <v>0</v>
      </c>
      <c r="CN146" s="1509">
        <v>0</v>
      </c>
      <c r="CO146" s="1509">
        <v>0</v>
      </c>
      <c r="CP146" s="1509">
        <v>0</v>
      </c>
      <c r="CQ146" s="1509">
        <v>0</v>
      </c>
      <c r="CR146" s="1509">
        <v>0.97767028600000006</v>
      </c>
      <c r="CS146" s="1509">
        <v>0</v>
      </c>
      <c r="CT146" s="1509">
        <v>0</v>
      </c>
      <c r="CU146" s="1509">
        <v>0</v>
      </c>
      <c r="CV146" s="1509">
        <v>0</v>
      </c>
      <c r="CW146" s="1509">
        <v>0</v>
      </c>
      <c r="CX146" s="1509">
        <v>0</v>
      </c>
      <c r="CY146" s="1509">
        <v>0</v>
      </c>
      <c r="CZ146" s="1509">
        <v>0.79268517999999999</v>
      </c>
      <c r="DA146" s="1509">
        <v>0.68840082400000002</v>
      </c>
      <c r="DB146" s="1509">
        <v>0.54616238100000003</v>
      </c>
      <c r="DC146" s="1509">
        <v>0.47199890999999999</v>
      </c>
      <c r="DD146" s="1509">
        <v>0</v>
      </c>
      <c r="DE146" s="1509">
        <v>0.411539135</v>
      </c>
      <c r="DF146" s="1509">
        <v>0.26138243799999999</v>
      </c>
      <c r="DG146" s="1509">
        <v>0.54877075500000005</v>
      </c>
      <c r="DH146" s="1509">
        <v>0.38208786700000003</v>
      </c>
      <c r="DI146" s="1509">
        <v>0.29484359500000001</v>
      </c>
      <c r="DJ146" s="1509">
        <v>0.15458529100000001</v>
      </c>
      <c r="DK146" s="1509">
        <v>0.66779737100000003</v>
      </c>
      <c r="DL146" s="1509">
        <v>0</v>
      </c>
      <c r="DM146" s="1509">
        <v>0.94819471099999997</v>
      </c>
      <c r="DN146" s="1509">
        <v>0</v>
      </c>
      <c r="DO146" s="1509">
        <v>0.99860663599999999</v>
      </c>
      <c r="DP146" s="1509">
        <v>0.28528060799999999</v>
      </c>
      <c r="DQ146" s="1509">
        <v>0.740853176</v>
      </c>
      <c r="DR146" s="1509">
        <v>0.42343329299999999</v>
      </c>
      <c r="DS146" s="1509">
        <v>0.70392270700000004</v>
      </c>
      <c r="DT146" s="1509">
        <v>0.53872551599999996</v>
      </c>
      <c r="DU146" s="1509">
        <v>0</v>
      </c>
      <c r="DV146" s="1509">
        <v>0</v>
      </c>
      <c r="DW146" s="1509">
        <v>0</v>
      </c>
      <c r="DX146" s="1509">
        <v>0</v>
      </c>
      <c r="DY146" s="1509">
        <v>0</v>
      </c>
      <c r="DZ146" s="1509">
        <v>0</v>
      </c>
      <c r="EA146" s="1509">
        <v>0</v>
      </c>
      <c r="EB146" s="1509">
        <v>0.89450402799999995</v>
      </c>
      <c r="EC146" s="1509">
        <v>0</v>
      </c>
      <c r="ED146" s="1509">
        <v>0</v>
      </c>
      <c r="EE146" s="1509">
        <v>0.95171515900000003</v>
      </c>
      <c r="EF146" s="1509">
        <v>0</v>
      </c>
      <c r="EG146" s="1509">
        <v>0.100298295</v>
      </c>
      <c r="EH146" s="1509">
        <v>0</v>
      </c>
      <c r="EI146" s="1509">
        <v>0.92861269700000004</v>
      </c>
      <c r="EJ146" s="1509">
        <v>0</v>
      </c>
      <c r="EK146" s="1509">
        <v>0.88218765600000004</v>
      </c>
      <c r="EL146" s="1509">
        <v>0.27152395200000001</v>
      </c>
      <c r="EM146" s="1509">
        <v>0.50022385300000005</v>
      </c>
      <c r="EN146" s="1509">
        <v>0.46933213899999998</v>
      </c>
      <c r="EO146" s="1509">
        <v>0</v>
      </c>
      <c r="EP146" s="1509">
        <v>0.10887756699999999</v>
      </c>
      <c r="EQ146" s="1509">
        <v>0.98901496799999999</v>
      </c>
      <c r="ER146" s="1509">
        <v>0.99941621899999999</v>
      </c>
      <c r="ES146" s="1509">
        <v>0.99927853499999997</v>
      </c>
      <c r="ET146" s="1509">
        <v>0.94366511799999997</v>
      </c>
      <c r="EU146" s="1509">
        <v>0.12907185500000001</v>
      </c>
      <c r="EV146" s="1509">
        <v>0</v>
      </c>
      <c r="EW146" s="1509">
        <v>0.87842230399999999</v>
      </c>
      <c r="EX146" s="1509">
        <v>0.97690761400000004</v>
      </c>
      <c r="EY146" s="1509">
        <v>0.98743219100000001</v>
      </c>
      <c r="EZ146" s="1509">
        <v>0.23783063199999999</v>
      </c>
      <c r="FA146" s="1509">
        <v>0</v>
      </c>
      <c r="FB146" s="1509">
        <v>0</v>
      </c>
      <c r="FC146" s="1509">
        <v>0</v>
      </c>
      <c r="FD146" s="1509">
        <v>0</v>
      </c>
      <c r="FE146" s="1509">
        <v>0.97592730299999997</v>
      </c>
      <c r="FF146" s="1509">
        <v>0.93099762200000002</v>
      </c>
      <c r="FG146" s="1509">
        <v>0</v>
      </c>
      <c r="FH146" s="1509">
        <v>0.101578586</v>
      </c>
      <c r="FI146" s="1509">
        <v>0.65758415299999995</v>
      </c>
      <c r="FJ146" s="1509">
        <v>0</v>
      </c>
      <c r="FK146" s="1509">
        <v>0.48805501299999998</v>
      </c>
      <c r="FL146" s="1509">
        <v>0.60699199999999998</v>
      </c>
      <c r="FM146" s="1509">
        <v>0</v>
      </c>
      <c r="FN146" s="1509">
        <v>0.98633087600000002</v>
      </c>
      <c r="FO146" s="1509">
        <v>0</v>
      </c>
      <c r="FP146" s="1509">
        <v>0</v>
      </c>
      <c r="FQ146" s="1509">
        <v>0.27122380000000001</v>
      </c>
      <c r="FR146" s="1509">
        <v>0</v>
      </c>
      <c r="FS146" s="1509">
        <v>0</v>
      </c>
      <c r="FT146" s="1509">
        <v>0.36071477200000002</v>
      </c>
      <c r="FU146" s="1509">
        <v>0</v>
      </c>
    </row>
    <row r="147" spans="1:177" s="1509" customFormat="1" x14ac:dyDescent="0.2">
      <c r="A147" s="1512" t="s">
        <v>671</v>
      </c>
      <c r="B147" s="1512" t="s">
        <v>1270</v>
      </c>
      <c r="C147" s="1509">
        <v>0.86777321500000004</v>
      </c>
      <c r="D147" s="1509">
        <v>0.58464943999999996</v>
      </c>
      <c r="E147" s="1509">
        <v>0.69298879800000002</v>
      </c>
      <c r="F147" s="1509">
        <v>0.43306804900000001</v>
      </c>
      <c r="G147" s="1509">
        <v>0.25677307300000002</v>
      </c>
      <c r="H147" s="1509">
        <v>0.14533692100000001</v>
      </c>
      <c r="I147" s="1509">
        <v>0.20921063400000001</v>
      </c>
      <c r="J147" s="1509">
        <v>0.48400548599999998</v>
      </c>
      <c r="K147" s="1509">
        <v>0.42020257700000002</v>
      </c>
      <c r="L147" s="1509">
        <v>0.88729680799999999</v>
      </c>
      <c r="M147" s="1509">
        <v>0.96078884399999998</v>
      </c>
      <c r="N147" s="1509">
        <v>0.89991503399999995</v>
      </c>
      <c r="O147" s="1509">
        <v>0.56653449700000003</v>
      </c>
      <c r="P147" s="1509">
        <v>0.65260004000000005</v>
      </c>
      <c r="Q147" s="1509">
        <v>0.24315009700000001</v>
      </c>
      <c r="R147" s="1509">
        <v>0.89292294800000005</v>
      </c>
      <c r="S147" s="1509">
        <v>0.713362053</v>
      </c>
      <c r="T147" s="1509">
        <v>0.440404409</v>
      </c>
      <c r="U147" s="1509">
        <v>0.12845920499999999</v>
      </c>
      <c r="V147" s="1509">
        <v>0.47666783400000001</v>
      </c>
      <c r="W147" s="1509">
        <v>0.81142348200000003</v>
      </c>
      <c r="X147" s="1509">
        <v>0.78734599900000002</v>
      </c>
      <c r="Y147" s="1509">
        <v>0.85847910500000002</v>
      </c>
      <c r="Z147" s="1509">
        <v>0.283600778</v>
      </c>
      <c r="AA147" s="1509">
        <v>0.246688927</v>
      </c>
      <c r="AB147" s="1509">
        <v>0.54787919900000004</v>
      </c>
      <c r="AC147" s="1509">
        <v>0.43891377399999998</v>
      </c>
      <c r="AD147" s="1509">
        <v>0.45453563000000002</v>
      </c>
      <c r="AE147" s="1509">
        <v>0.481443907</v>
      </c>
      <c r="AF147" s="1509">
        <v>0.25021055199999997</v>
      </c>
      <c r="AG147" s="1509">
        <v>0.95341019999999999</v>
      </c>
      <c r="AH147" s="1509">
        <v>0.12267926799999999</v>
      </c>
      <c r="AI147" s="1509">
        <v>0.573667186</v>
      </c>
      <c r="AJ147" s="1509">
        <v>0.14312332799999999</v>
      </c>
      <c r="AK147" s="1509">
        <v>0.46126531999999998</v>
      </c>
      <c r="AL147" s="1509">
        <v>0.164763191</v>
      </c>
      <c r="AM147" s="1509">
        <v>0.60655113999999999</v>
      </c>
      <c r="AN147" s="1509">
        <v>0.18579964600000001</v>
      </c>
      <c r="AO147" s="1509">
        <v>0.24584413899999999</v>
      </c>
      <c r="AP147" s="1509">
        <v>0.65694485800000002</v>
      </c>
      <c r="AQ147" s="1509">
        <v>0.12775115300000001</v>
      </c>
      <c r="AR147" s="1509">
        <v>0.255276954</v>
      </c>
      <c r="AS147" s="1509">
        <v>7.2378434000000005E-2</v>
      </c>
      <c r="AT147" s="1509">
        <v>1.9239934E-2</v>
      </c>
      <c r="AU147" s="1509">
        <v>0.183528833</v>
      </c>
      <c r="AV147" s="1509">
        <v>6.7194103000000005E-2</v>
      </c>
      <c r="AW147" s="1509">
        <v>0.185099612</v>
      </c>
      <c r="AX147" s="1509">
        <v>0.87374297400000001</v>
      </c>
      <c r="AY147" s="1509">
        <v>0.30434471499999999</v>
      </c>
      <c r="AZ147" s="1509">
        <v>0.114138212</v>
      </c>
      <c r="BA147" s="1509">
        <v>0.205397046</v>
      </c>
      <c r="BB147" s="1509">
        <v>0.389428263</v>
      </c>
      <c r="BC147" s="1509">
        <v>2.348302E-2</v>
      </c>
      <c r="BD147" s="1509">
        <v>0.42224084099999998</v>
      </c>
      <c r="BE147" s="1509">
        <v>0.896688441</v>
      </c>
      <c r="BF147" s="1509">
        <v>0.131535659</v>
      </c>
      <c r="BG147" s="1509">
        <v>8.5269152000000001E-2</v>
      </c>
      <c r="BH147" s="1509">
        <v>0.150904443</v>
      </c>
      <c r="BI147" s="1509">
        <v>7.4255986999999996E-2</v>
      </c>
      <c r="BJ147" s="1509">
        <v>8.9315127999999994E-2</v>
      </c>
      <c r="BK147" s="1509">
        <v>0.69087582299999994</v>
      </c>
      <c r="BL147" s="1509">
        <v>0.237063151</v>
      </c>
      <c r="BM147" s="1509">
        <v>0.97489798800000005</v>
      </c>
      <c r="BN147" s="1509">
        <v>0.16596731000000001</v>
      </c>
      <c r="BO147" s="1509">
        <v>0.60313704199999996</v>
      </c>
      <c r="BP147" s="1509">
        <v>0.49228969</v>
      </c>
      <c r="BQ147" s="1509">
        <v>0.27602835199999998</v>
      </c>
      <c r="BR147" s="1509">
        <v>5.0670412999999997E-2</v>
      </c>
      <c r="BS147" s="1509">
        <v>0.58134395699999997</v>
      </c>
      <c r="BT147" s="1509">
        <v>0.17453712900000001</v>
      </c>
      <c r="BU147" s="1509">
        <v>3.2301917999999999E-2</v>
      </c>
      <c r="BV147" s="1509">
        <v>0.118970566</v>
      </c>
      <c r="BW147" s="1509">
        <v>0.20230804199999999</v>
      </c>
      <c r="BX147" s="1509">
        <v>0.82362034399999995</v>
      </c>
      <c r="BY147" s="1509">
        <v>0.78818054199999998</v>
      </c>
      <c r="BZ147" s="1509">
        <v>0.83934102099999996</v>
      </c>
      <c r="CA147" s="1509">
        <v>0.41260546199999998</v>
      </c>
      <c r="CB147" s="1509">
        <v>0.52130873600000005</v>
      </c>
      <c r="CC147" s="1509">
        <v>0.39957330299999999</v>
      </c>
      <c r="CD147" s="1509">
        <v>0.97267498699999999</v>
      </c>
      <c r="CE147" s="1509">
        <v>0.20585141700000001</v>
      </c>
      <c r="CF147" s="1509">
        <v>0.16289825699999999</v>
      </c>
      <c r="CG147" s="1509">
        <v>0.34110202699999997</v>
      </c>
      <c r="CH147" s="1509">
        <v>0.37611331799999997</v>
      </c>
      <c r="CI147" s="1509">
        <v>0.301626283</v>
      </c>
      <c r="CJ147" s="1509">
        <v>0.78222486400000002</v>
      </c>
      <c r="CK147" s="1509">
        <v>5.6810425999999997E-2</v>
      </c>
      <c r="CL147" s="1509">
        <v>1.6742619E-2</v>
      </c>
      <c r="CM147" s="1509">
        <v>0.78269086899999996</v>
      </c>
      <c r="CN147" s="1509">
        <v>0.269542644</v>
      </c>
      <c r="CO147" s="1509">
        <v>6.7853759E-2</v>
      </c>
      <c r="CP147" s="1509">
        <v>0.198928782</v>
      </c>
      <c r="CQ147" s="1509">
        <v>0.99569579100000005</v>
      </c>
      <c r="CR147" s="1509">
        <v>0.41869330900000001</v>
      </c>
      <c r="CS147" s="1509">
        <v>0.103602865</v>
      </c>
      <c r="CT147" s="1509">
        <v>9.8892458000000003E-2</v>
      </c>
      <c r="CU147" s="1509">
        <v>6.5524592000000006E-2</v>
      </c>
      <c r="CV147" s="1509">
        <v>0.29178499899999999</v>
      </c>
      <c r="CW147" s="1509">
        <v>0.35256918300000001</v>
      </c>
      <c r="CX147" s="1509">
        <v>0.34767628699999997</v>
      </c>
      <c r="CY147" s="1509">
        <v>0.84769830300000004</v>
      </c>
      <c r="CZ147" s="1509">
        <v>0.82477836500000001</v>
      </c>
      <c r="DA147" s="1509">
        <v>0.83470347600000006</v>
      </c>
      <c r="DB147" s="1509">
        <v>0.397888134</v>
      </c>
      <c r="DC147" s="1509">
        <v>3.4593769000000003E-2</v>
      </c>
      <c r="DD147" s="1509">
        <v>0.25381947999999999</v>
      </c>
      <c r="DE147" s="1509">
        <v>0.31327550799999998</v>
      </c>
      <c r="DF147" s="1509">
        <v>8.2819009999999998E-2</v>
      </c>
      <c r="DG147" s="1509">
        <v>0.224211039</v>
      </c>
      <c r="DH147" s="1509">
        <v>0.121395524</v>
      </c>
      <c r="DI147" s="1509">
        <v>0.139966335</v>
      </c>
      <c r="DJ147" s="1509">
        <v>0.78791834900000002</v>
      </c>
      <c r="DK147" s="1509">
        <v>0.88809259799999996</v>
      </c>
      <c r="DL147" s="1509">
        <v>0.98879547599999995</v>
      </c>
      <c r="DM147" s="1509">
        <v>0.79596129900000001</v>
      </c>
      <c r="DN147" s="1509">
        <v>9.3831045000000002E-2</v>
      </c>
      <c r="DO147" s="1509">
        <v>0.44034409899999999</v>
      </c>
      <c r="DP147" s="1509">
        <v>0.802759585</v>
      </c>
      <c r="DQ147" s="1509">
        <v>0.92361433500000001</v>
      </c>
      <c r="DR147" s="1509">
        <v>0.85246161300000001</v>
      </c>
      <c r="DS147" s="1509">
        <v>0.822462323</v>
      </c>
      <c r="DT147" s="1509">
        <v>0.86640156000000002</v>
      </c>
      <c r="DU147" s="1509">
        <v>7.3301980000000003E-2</v>
      </c>
      <c r="DV147" s="1509">
        <v>0.28566903399999999</v>
      </c>
      <c r="DW147" s="1509">
        <v>0.86497172700000002</v>
      </c>
      <c r="DX147" s="1509">
        <v>0.169646563</v>
      </c>
      <c r="DY147" s="1509">
        <v>0.108381217</v>
      </c>
      <c r="DZ147" s="1509">
        <v>0.101849432</v>
      </c>
      <c r="EA147" s="1509">
        <v>0.26829469700000003</v>
      </c>
      <c r="EB147" s="1509">
        <v>0.112569035</v>
      </c>
      <c r="EC147" s="1509">
        <v>0.14418167900000001</v>
      </c>
      <c r="ED147" s="1509">
        <v>0.46655014900000003</v>
      </c>
      <c r="EE147" s="1509">
        <v>0.882852305</v>
      </c>
      <c r="EF147" s="1509">
        <v>0.15509213399999999</v>
      </c>
      <c r="EG147" s="1509">
        <v>0.76748365399999996</v>
      </c>
      <c r="EH147" s="1509">
        <v>0.67105321100000004</v>
      </c>
      <c r="EI147" s="1509">
        <v>0.426323917</v>
      </c>
      <c r="EJ147" s="1509">
        <v>0.24629810599999999</v>
      </c>
      <c r="EK147" s="1509">
        <v>0.245500145</v>
      </c>
      <c r="EL147" s="1509">
        <v>9.7995751000000006E-2</v>
      </c>
      <c r="EM147" s="1509">
        <v>0.275508421</v>
      </c>
      <c r="EN147" s="1509">
        <v>0.37516901400000002</v>
      </c>
      <c r="EO147" s="1509">
        <v>7.3749758999999998E-2</v>
      </c>
      <c r="EP147" s="1509">
        <v>0.782778266</v>
      </c>
      <c r="EQ147" s="1509">
        <v>0.96957173699999999</v>
      </c>
      <c r="ER147" s="1509">
        <v>0.84116526899999999</v>
      </c>
      <c r="ES147" s="1509">
        <v>0.80847258</v>
      </c>
      <c r="ET147" s="1509">
        <v>0.281045557</v>
      </c>
      <c r="EU147" s="1509">
        <v>0.85850844800000004</v>
      </c>
      <c r="EV147" s="1509">
        <v>0.66355620800000004</v>
      </c>
      <c r="EW147" s="1509">
        <v>0.653947536</v>
      </c>
      <c r="EX147" s="1509">
        <v>4.1278649999999997E-3</v>
      </c>
      <c r="EY147" s="1509">
        <v>0.38887237699999999</v>
      </c>
      <c r="EZ147" s="1509">
        <v>0.79678376100000003</v>
      </c>
      <c r="FA147" s="1509">
        <v>0.18626214999999999</v>
      </c>
      <c r="FB147" s="1509">
        <v>0.26584753999999999</v>
      </c>
      <c r="FC147" s="1509">
        <v>0.11950994</v>
      </c>
      <c r="FD147" s="1509">
        <v>4.8835391999999998E-2</v>
      </c>
      <c r="FE147" s="1509">
        <v>0.33537525000000001</v>
      </c>
      <c r="FF147" s="1509">
        <v>0.58645465799999996</v>
      </c>
      <c r="FG147" s="1509">
        <v>0.30826258499999998</v>
      </c>
      <c r="FH147" s="1509">
        <v>0.83229457399999995</v>
      </c>
      <c r="FI147" s="1509">
        <v>0.13294502799999999</v>
      </c>
      <c r="FJ147" s="1509">
        <v>0.82780199499999996</v>
      </c>
      <c r="FK147" s="1509">
        <v>0.84258020099999997</v>
      </c>
      <c r="FL147" s="1509">
        <v>0.44017145099999999</v>
      </c>
      <c r="FM147" s="1509">
        <v>0.549198411</v>
      </c>
      <c r="FN147" s="1509">
        <v>0.30238650700000003</v>
      </c>
      <c r="FO147" s="1509">
        <v>0.80919970900000004</v>
      </c>
      <c r="FP147" s="1509">
        <v>0.12590876200000001</v>
      </c>
      <c r="FQ147" s="1509">
        <v>0.807970678</v>
      </c>
      <c r="FR147" s="1509">
        <v>0.22400545999999999</v>
      </c>
      <c r="FS147" s="1509">
        <v>0.20932358300000001</v>
      </c>
      <c r="FT147" s="1509">
        <v>0.14315805000000001</v>
      </c>
      <c r="FU147" s="1509">
        <v>0.200635756</v>
      </c>
    </row>
    <row r="148" spans="1:177" s="1509" customFormat="1" x14ac:dyDescent="0.2">
      <c r="A148" s="1512" t="s">
        <v>671</v>
      </c>
      <c r="B148" s="1512" t="s">
        <v>1041</v>
      </c>
      <c r="C148" s="1509">
        <v>1</v>
      </c>
      <c r="D148" s="1509">
        <v>1</v>
      </c>
      <c r="E148" s="1509">
        <v>1</v>
      </c>
      <c r="F148" s="1509">
        <v>1</v>
      </c>
      <c r="G148" s="1509">
        <v>1</v>
      </c>
      <c r="H148" s="1509">
        <v>1</v>
      </c>
      <c r="I148" s="1509">
        <v>1</v>
      </c>
      <c r="J148" s="1509">
        <v>1</v>
      </c>
      <c r="K148" s="1509">
        <v>1</v>
      </c>
      <c r="L148" s="1509">
        <v>1</v>
      </c>
      <c r="M148" s="1509">
        <v>1</v>
      </c>
      <c r="N148" s="1509">
        <v>1</v>
      </c>
      <c r="O148" s="1509">
        <v>1</v>
      </c>
      <c r="P148" s="1509">
        <v>1</v>
      </c>
      <c r="Q148" s="1509">
        <v>1</v>
      </c>
      <c r="R148" s="1509">
        <v>1</v>
      </c>
      <c r="S148" s="1509">
        <v>1</v>
      </c>
      <c r="T148" s="1509">
        <v>1</v>
      </c>
      <c r="U148" s="1509">
        <v>1</v>
      </c>
      <c r="V148" s="1509">
        <v>1</v>
      </c>
      <c r="W148" s="1509">
        <v>1</v>
      </c>
      <c r="X148" s="1509">
        <v>1</v>
      </c>
      <c r="Y148" s="1509">
        <v>1</v>
      </c>
      <c r="Z148" s="1509">
        <v>1</v>
      </c>
      <c r="AA148" s="1509">
        <v>1</v>
      </c>
      <c r="AB148" s="1509">
        <v>1</v>
      </c>
      <c r="AC148" s="1509">
        <v>0.191509343</v>
      </c>
      <c r="AD148" s="1509">
        <v>0.16649275899999999</v>
      </c>
      <c r="AE148" s="1509">
        <v>1</v>
      </c>
      <c r="AF148" s="1509">
        <v>0</v>
      </c>
      <c r="AG148" s="1509">
        <v>1</v>
      </c>
      <c r="AH148" s="1509">
        <v>0.13236094200000001</v>
      </c>
      <c r="AI148" s="1509">
        <v>1</v>
      </c>
      <c r="AJ148" s="1509">
        <v>1</v>
      </c>
      <c r="AK148" s="1509">
        <v>1</v>
      </c>
      <c r="AL148" s="1509">
        <v>1</v>
      </c>
      <c r="AM148" s="1509">
        <v>1</v>
      </c>
      <c r="AN148" s="1509">
        <v>1</v>
      </c>
      <c r="AO148" s="1509">
        <v>4.4322094999999999E-2</v>
      </c>
      <c r="AP148" s="1509">
        <v>8.8219038E-2</v>
      </c>
      <c r="AQ148" s="1509">
        <v>1</v>
      </c>
      <c r="AR148" s="1509">
        <v>5.2246836999999997E-2</v>
      </c>
      <c r="AS148" s="1509">
        <v>0</v>
      </c>
      <c r="AT148" s="1509">
        <v>0.12660845200000001</v>
      </c>
      <c r="AU148" s="1509">
        <v>7.9688533000000006E-2</v>
      </c>
      <c r="AV148" s="1509">
        <v>1.4682756E-2</v>
      </c>
      <c r="AW148" s="1509">
        <v>1</v>
      </c>
      <c r="AX148" s="1509">
        <v>1</v>
      </c>
      <c r="AY148" s="1509">
        <v>1</v>
      </c>
      <c r="AZ148" s="1509">
        <v>1</v>
      </c>
      <c r="BA148" s="1509">
        <v>1</v>
      </c>
      <c r="BB148" s="1509">
        <v>1</v>
      </c>
      <c r="BC148" s="1509">
        <v>0.120597414</v>
      </c>
      <c r="BD148" s="1509">
        <v>0.15713253499999999</v>
      </c>
      <c r="BE148" s="1509">
        <v>1</v>
      </c>
      <c r="BF148" s="1509">
        <v>0.10785278299999999</v>
      </c>
      <c r="BG148" s="1509">
        <v>1</v>
      </c>
      <c r="BH148" s="1509">
        <v>0</v>
      </c>
      <c r="BI148" s="1509">
        <v>5.5269022000000001E-2</v>
      </c>
      <c r="BJ148" s="1509">
        <v>1</v>
      </c>
      <c r="BK148" s="1509">
        <v>7.4084559999999999E-3</v>
      </c>
      <c r="BL148" s="1509">
        <v>1</v>
      </c>
      <c r="BM148" s="1509">
        <v>1</v>
      </c>
      <c r="BN148" s="1509">
        <v>1</v>
      </c>
      <c r="BO148" s="1509">
        <v>1</v>
      </c>
      <c r="BP148" s="1509">
        <v>0</v>
      </c>
      <c r="BQ148" s="1509">
        <v>1</v>
      </c>
      <c r="BR148" s="1509">
        <v>1</v>
      </c>
      <c r="BS148" s="1509">
        <v>2.9995304E-2</v>
      </c>
      <c r="BT148" s="1509">
        <v>0</v>
      </c>
      <c r="BU148" s="1509">
        <v>1</v>
      </c>
      <c r="BV148" s="1509">
        <v>1</v>
      </c>
      <c r="BW148" s="1509">
        <v>1</v>
      </c>
      <c r="BX148" s="1509">
        <v>1</v>
      </c>
      <c r="BY148" s="1509">
        <v>1</v>
      </c>
      <c r="BZ148" s="1509">
        <v>1</v>
      </c>
      <c r="CA148" s="1509">
        <v>3.5732135999999998E-2</v>
      </c>
      <c r="CB148" s="1509">
        <v>1</v>
      </c>
      <c r="CC148" s="1509">
        <v>1</v>
      </c>
      <c r="CD148" s="1509">
        <v>1</v>
      </c>
      <c r="CE148" s="1509">
        <v>1</v>
      </c>
      <c r="CF148" s="1509">
        <v>1</v>
      </c>
      <c r="CG148" s="1509">
        <v>1.3009517999999999E-2</v>
      </c>
      <c r="CH148" s="1509">
        <v>5.1508894999999999E-2</v>
      </c>
      <c r="CI148" s="1509">
        <v>1</v>
      </c>
      <c r="CJ148" s="1509">
        <v>4.8873918000000002E-2</v>
      </c>
      <c r="CK148" s="1509">
        <v>4.7057660000000001E-3</v>
      </c>
      <c r="CL148" s="1509">
        <v>3.9902690000000003E-3</v>
      </c>
      <c r="CM148" s="1509">
        <v>1</v>
      </c>
      <c r="CN148" s="1509">
        <v>7.5067324000000005E-2</v>
      </c>
      <c r="CO148" s="1509">
        <v>0.246581576</v>
      </c>
      <c r="CP148" s="1509">
        <v>0.15494617799999999</v>
      </c>
      <c r="CQ148" s="1509">
        <v>1</v>
      </c>
      <c r="CR148" s="1509">
        <v>5.8608044999999998E-2</v>
      </c>
      <c r="CS148" s="1509">
        <v>1</v>
      </c>
      <c r="CT148" s="1509">
        <v>1</v>
      </c>
      <c r="CU148" s="1509">
        <v>1</v>
      </c>
      <c r="CV148" s="1509">
        <v>1</v>
      </c>
      <c r="CW148" s="1509">
        <v>1</v>
      </c>
      <c r="CX148" s="1509">
        <v>1</v>
      </c>
      <c r="CY148" s="1509">
        <v>1.1293838E-2</v>
      </c>
      <c r="CZ148" s="1509">
        <v>1</v>
      </c>
      <c r="DA148" s="1509">
        <v>1</v>
      </c>
      <c r="DB148" s="1509">
        <v>1</v>
      </c>
      <c r="DC148" s="1509">
        <v>1</v>
      </c>
      <c r="DD148" s="1509">
        <v>0</v>
      </c>
      <c r="DE148" s="1509">
        <v>1</v>
      </c>
      <c r="DF148" s="1509">
        <v>1</v>
      </c>
      <c r="DG148" s="1509">
        <v>1</v>
      </c>
      <c r="DH148" s="1509">
        <v>1</v>
      </c>
      <c r="DI148" s="1509">
        <v>1</v>
      </c>
      <c r="DJ148" s="1509">
        <v>1</v>
      </c>
      <c r="DK148" s="1509">
        <v>1</v>
      </c>
      <c r="DL148" s="1509">
        <v>1</v>
      </c>
      <c r="DM148" s="1509">
        <v>1</v>
      </c>
      <c r="DN148" s="1509">
        <v>0.10465116300000001</v>
      </c>
      <c r="DO148" s="1509">
        <v>1</v>
      </c>
      <c r="DP148" s="1509">
        <v>9.4225739999999995E-3</v>
      </c>
      <c r="DQ148" s="1509">
        <v>1</v>
      </c>
      <c r="DR148" s="1509">
        <v>1</v>
      </c>
      <c r="DS148" s="1509">
        <v>1</v>
      </c>
      <c r="DT148" s="1509">
        <v>1</v>
      </c>
      <c r="DU148" s="1509">
        <v>1</v>
      </c>
      <c r="DV148" s="1509">
        <v>0.19256023999999999</v>
      </c>
      <c r="DW148" s="1509">
        <v>6.7875514999999997E-2</v>
      </c>
      <c r="DX148" s="1509">
        <v>1</v>
      </c>
      <c r="DY148" s="1509">
        <v>0</v>
      </c>
      <c r="DZ148" s="1509">
        <v>0.15184405100000001</v>
      </c>
      <c r="EA148" s="1509">
        <v>1</v>
      </c>
      <c r="EB148" s="1509">
        <v>1</v>
      </c>
      <c r="EC148" s="1509">
        <v>0</v>
      </c>
      <c r="ED148" s="1509">
        <v>1</v>
      </c>
      <c r="EE148" s="1509">
        <v>1</v>
      </c>
      <c r="EF148" s="1509">
        <v>1</v>
      </c>
      <c r="EG148" s="1509">
        <v>1</v>
      </c>
      <c r="EH148" s="1509">
        <v>1.8036017000000001E-2</v>
      </c>
      <c r="EI148" s="1509">
        <v>1</v>
      </c>
      <c r="EJ148" s="1509">
        <v>1</v>
      </c>
      <c r="EK148" s="1509">
        <v>1</v>
      </c>
      <c r="EL148" s="1509">
        <v>1</v>
      </c>
      <c r="EM148" s="1509">
        <v>1</v>
      </c>
      <c r="EN148" s="1509">
        <v>1</v>
      </c>
      <c r="EO148" s="1509">
        <v>0</v>
      </c>
      <c r="EP148" s="1509">
        <v>1</v>
      </c>
      <c r="EQ148" s="1509">
        <v>1</v>
      </c>
      <c r="ER148" s="1509">
        <v>1</v>
      </c>
      <c r="ES148" s="1509">
        <v>1</v>
      </c>
      <c r="ET148" s="1509">
        <v>1</v>
      </c>
      <c r="EU148" s="1509">
        <v>1</v>
      </c>
      <c r="EV148" s="1509">
        <v>0.15716138399999999</v>
      </c>
      <c r="EW148" s="1509">
        <v>1</v>
      </c>
      <c r="EX148" s="1509">
        <v>1</v>
      </c>
      <c r="EY148" s="1509">
        <v>1</v>
      </c>
      <c r="EZ148" s="1509">
        <v>1</v>
      </c>
      <c r="FA148" s="1509">
        <v>0.22584351</v>
      </c>
      <c r="FB148" s="1509">
        <v>0.22073891400000001</v>
      </c>
      <c r="FC148" s="1509">
        <v>1</v>
      </c>
      <c r="FD148" s="1509">
        <v>1</v>
      </c>
      <c r="FE148" s="1509">
        <v>1</v>
      </c>
      <c r="FF148" s="1509">
        <v>1</v>
      </c>
      <c r="FG148" s="1509">
        <v>1</v>
      </c>
      <c r="FH148" s="1509">
        <v>9.3406380000000001E-3</v>
      </c>
      <c r="FI148" s="1509">
        <v>1</v>
      </c>
      <c r="FJ148" s="1509">
        <v>1</v>
      </c>
      <c r="FK148" s="1509">
        <v>1</v>
      </c>
      <c r="FL148" s="1509">
        <v>1</v>
      </c>
      <c r="FM148" s="1509">
        <v>1</v>
      </c>
      <c r="FN148" s="1509">
        <v>1</v>
      </c>
      <c r="FO148" s="1509">
        <v>1</v>
      </c>
      <c r="FP148" s="1509">
        <v>1</v>
      </c>
      <c r="FQ148" s="1509">
        <v>1</v>
      </c>
      <c r="FR148" s="1509">
        <v>1</v>
      </c>
      <c r="FS148" s="1509">
        <v>0</v>
      </c>
      <c r="FT148" s="1509">
        <v>1</v>
      </c>
      <c r="FU148" s="1509">
        <v>3.5719343000000001E-2</v>
      </c>
    </row>
    <row r="149" spans="1:177" s="1509" customFormat="1" x14ac:dyDescent="0.2">
      <c r="A149" s="1512" t="s">
        <v>671</v>
      </c>
      <c r="B149" s="1512" t="s">
        <v>1078</v>
      </c>
      <c r="C149" s="1509">
        <v>6.3229014E-2</v>
      </c>
      <c r="D149" s="1509">
        <v>0.12803437400000001</v>
      </c>
      <c r="E149" s="1509">
        <v>0.47024692400000001</v>
      </c>
      <c r="F149" s="1509">
        <v>0.516913238</v>
      </c>
      <c r="G149" s="1509">
        <v>0.55080457000000005</v>
      </c>
      <c r="H149" s="1509">
        <v>0.55080457000000005</v>
      </c>
      <c r="I149" s="1509">
        <v>1.7678932000000001E-2</v>
      </c>
      <c r="J149" s="1509">
        <v>1.7678932000000001E-2</v>
      </c>
      <c r="K149" s="1509">
        <v>6.3229014E-2</v>
      </c>
      <c r="L149" s="1509">
        <v>6.3229014E-2</v>
      </c>
      <c r="M149" s="1509">
        <v>6.3229014E-2</v>
      </c>
      <c r="N149" s="1509">
        <v>1.7678932000000001E-2</v>
      </c>
      <c r="O149" s="1509">
        <v>1.7678932000000001E-2</v>
      </c>
      <c r="P149" s="1509">
        <v>6.3229014E-2</v>
      </c>
      <c r="Q149" s="1509">
        <v>0.26353755600000001</v>
      </c>
      <c r="R149" s="1509">
        <v>0.26353755600000001</v>
      </c>
      <c r="S149" s="1509">
        <v>0.39371399200000001</v>
      </c>
      <c r="T149" s="1509">
        <v>2.8612740000000001E-2</v>
      </c>
      <c r="U149" s="1509">
        <v>0.25465264500000001</v>
      </c>
      <c r="V149" s="1509">
        <v>0.21642530800000001</v>
      </c>
      <c r="W149" s="1509">
        <v>0.21642530800000001</v>
      </c>
      <c r="X149" s="1509">
        <v>0.21642530800000001</v>
      </c>
      <c r="Y149" s="1509">
        <v>0.29699786099999997</v>
      </c>
      <c r="Z149" s="1509">
        <v>0.67109136800000002</v>
      </c>
      <c r="AA149" s="1509">
        <v>9.484911E-2</v>
      </c>
      <c r="AB149" s="1509">
        <v>4.1529093000000003E-2</v>
      </c>
      <c r="AC149" s="1509">
        <v>4.1529093000000003E-2</v>
      </c>
      <c r="AD149" s="1509">
        <v>4.1529093000000003E-2</v>
      </c>
      <c r="AE149" s="1509">
        <v>0.62006818200000002</v>
      </c>
      <c r="AF149" s="1509">
        <v>4.1529093000000003E-2</v>
      </c>
      <c r="AG149" s="1509">
        <v>4.1529093000000003E-2</v>
      </c>
      <c r="AH149" s="1509">
        <v>0.114134202</v>
      </c>
      <c r="AI149" s="1509">
        <v>0.114134202</v>
      </c>
      <c r="AJ149" s="1509">
        <v>8.6818313999999994E-2</v>
      </c>
      <c r="AK149" s="1509">
        <v>0.32746003400000001</v>
      </c>
      <c r="AL149" s="1509">
        <v>0.13201494899999999</v>
      </c>
      <c r="AM149" s="1509">
        <v>9.6424547999999999E-2</v>
      </c>
      <c r="AN149" s="1509">
        <v>0.26353755600000001</v>
      </c>
      <c r="AO149" s="1509">
        <v>0.27464818699999999</v>
      </c>
      <c r="AP149" s="1509">
        <v>0.647612772</v>
      </c>
      <c r="AQ149" s="1509">
        <v>2.284398E-3</v>
      </c>
      <c r="AR149" s="1509">
        <v>8.6806463E-2</v>
      </c>
      <c r="AS149" s="1509">
        <v>7.227082E-2</v>
      </c>
      <c r="AT149" s="1509">
        <v>8.6806463E-2</v>
      </c>
      <c r="AU149" s="1509">
        <v>7.8443279000000005E-2</v>
      </c>
      <c r="AV149" s="1509">
        <v>5.3293931000000003E-2</v>
      </c>
      <c r="AW149" s="1509">
        <v>2.3648926000000001E-2</v>
      </c>
      <c r="AX149" s="1509">
        <v>0.65177991099999999</v>
      </c>
      <c r="AY149" s="1509">
        <v>0.862294432</v>
      </c>
      <c r="AZ149" s="1509">
        <v>0.862294432</v>
      </c>
      <c r="BA149" s="1509">
        <v>0.81339299499999995</v>
      </c>
      <c r="BB149" s="1509">
        <v>0.97395592499999994</v>
      </c>
      <c r="BC149" s="1509">
        <v>0.13134349000000001</v>
      </c>
      <c r="BD149" s="1509">
        <v>0.13134349000000001</v>
      </c>
      <c r="BE149" s="1509">
        <v>0.59716351700000003</v>
      </c>
      <c r="BF149" s="1509">
        <v>0.13134349000000001</v>
      </c>
      <c r="BG149" s="1509">
        <v>0.55884305000000001</v>
      </c>
      <c r="BH149" s="1509">
        <v>0.158502955</v>
      </c>
      <c r="BI149" s="1509">
        <v>0.173856497</v>
      </c>
      <c r="BJ149" s="1509">
        <v>0.29699786099999997</v>
      </c>
      <c r="BK149" s="1509">
        <v>0.158502955</v>
      </c>
      <c r="BL149" s="1509">
        <v>0.85182714599999998</v>
      </c>
      <c r="BM149" s="1509">
        <v>0.26353755600000001</v>
      </c>
      <c r="BN149" s="1509">
        <v>0.63893091700000004</v>
      </c>
      <c r="BO149" s="1509">
        <v>0.91489964300000004</v>
      </c>
      <c r="BP149" s="1509">
        <v>0.85182714599999998</v>
      </c>
      <c r="BQ149" s="1509">
        <v>0.77798108399999999</v>
      </c>
      <c r="BR149" s="1509">
        <v>0.71288132299999996</v>
      </c>
      <c r="BS149" s="1509">
        <v>0.63893091700000004</v>
      </c>
      <c r="BT149" s="1509">
        <v>0.28427228500000001</v>
      </c>
      <c r="BU149" s="1509">
        <v>0.65699095200000002</v>
      </c>
      <c r="BV149" s="1509">
        <v>0.65699095200000002</v>
      </c>
      <c r="BW149" s="1509">
        <v>0.35800765400000001</v>
      </c>
      <c r="BX149" s="1509">
        <v>0.70491230199999999</v>
      </c>
      <c r="BY149" s="1509">
        <v>0.70491230199999999</v>
      </c>
      <c r="BZ149" s="1509">
        <v>0.70491230199999999</v>
      </c>
      <c r="CA149" s="1509">
        <v>0.82325647300000004</v>
      </c>
      <c r="CB149" s="1509">
        <v>0.32746003400000001</v>
      </c>
      <c r="CC149" s="1509">
        <v>0.35800765400000001</v>
      </c>
      <c r="CD149" s="1509">
        <v>0.80107121800000003</v>
      </c>
      <c r="CE149" s="1509">
        <v>0.84500160400000002</v>
      </c>
      <c r="CF149" s="1509">
        <v>0.90012905300000001</v>
      </c>
      <c r="CG149" s="1509">
        <v>4.6541354E-2</v>
      </c>
      <c r="CH149" s="1509">
        <v>0.114134202</v>
      </c>
      <c r="CI149" s="1509">
        <v>0.34477271500000001</v>
      </c>
      <c r="CJ149" s="1509">
        <v>0.81339299499999995</v>
      </c>
      <c r="CK149" s="1509">
        <v>0.12942231900000001</v>
      </c>
      <c r="CL149" s="1509">
        <v>0.12942231900000001</v>
      </c>
      <c r="CM149" s="1509">
        <v>0.96761365799999999</v>
      </c>
      <c r="CN149" s="1509">
        <v>0.45375336599999999</v>
      </c>
      <c r="CO149" s="1509">
        <v>0.26353755600000001</v>
      </c>
      <c r="CP149" s="1509">
        <v>0.45375336599999999</v>
      </c>
      <c r="CQ149" s="1509">
        <v>9.484911E-2</v>
      </c>
      <c r="CR149" s="1509">
        <v>1.2346185000000001E-2</v>
      </c>
      <c r="CS149" s="1509">
        <v>0.47024692400000001</v>
      </c>
      <c r="CT149" s="1509">
        <v>0.29699786099999997</v>
      </c>
      <c r="CU149" s="1509">
        <v>0.47024692400000001</v>
      </c>
      <c r="CV149" s="1509">
        <v>0.28427228500000001</v>
      </c>
      <c r="CW149" s="1509">
        <v>0.28427228500000001</v>
      </c>
      <c r="CX149" s="1509">
        <v>0.77743654100000004</v>
      </c>
      <c r="CY149" s="1509">
        <v>0.84029016099999998</v>
      </c>
      <c r="CZ149" s="1509">
        <v>0.70491230199999999</v>
      </c>
      <c r="DA149" s="1509">
        <v>0.75159910600000002</v>
      </c>
      <c r="DB149" s="1509">
        <v>0.794736891</v>
      </c>
      <c r="DC149" s="1509">
        <v>0.41557593399999998</v>
      </c>
      <c r="DD149" s="1509">
        <v>0.88996403599999996</v>
      </c>
      <c r="DE149" s="1509">
        <v>0.68842612599999997</v>
      </c>
      <c r="DF149" s="1509">
        <v>0.65359320799999998</v>
      </c>
      <c r="DG149" s="1509">
        <v>0.60591984799999998</v>
      </c>
      <c r="DH149" s="1509">
        <v>0.68842612599999997</v>
      </c>
      <c r="DI149" s="1509">
        <v>0.68842612599999997</v>
      </c>
      <c r="DJ149" s="1509">
        <v>0.90556669300000003</v>
      </c>
      <c r="DK149" s="1509">
        <v>0.96761365799999999</v>
      </c>
      <c r="DL149" s="1509">
        <v>0.62006818200000002</v>
      </c>
      <c r="DM149" s="1509">
        <v>0.91310899400000001</v>
      </c>
      <c r="DN149" s="1509">
        <v>0.81624930900000003</v>
      </c>
      <c r="DO149" s="1509">
        <v>8.894173E-3</v>
      </c>
      <c r="DP149" s="1509">
        <v>0.67996569600000001</v>
      </c>
      <c r="DQ149" s="1509">
        <v>0.56619016700000002</v>
      </c>
      <c r="DR149" s="1509">
        <v>0.75159910600000002</v>
      </c>
      <c r="DS149" s="1509">
        <v>0.76248013100000001</v>
      </c>
      <c r="DT149" s="1509">
        <v>0.94387969699999996</v>
      </c>
      <c r="DU149" s="1509">
        <v>0.25465264500000001</v>
      </c>
      <c r="DV149" s="1509">
        <v>4.1529093000000003E-2</v>
      </c>
      <c r="DW149" s="1509">
        <v>0.87997959299999995</v>
      </c>
      <c r="DX149" s="1509">
        <v>5.3615077999999997E-2</v>
      </c>
      <c r="DY149" s="1509">
        <v>0.77743654100000004</v>
      </c>
      <c r="DZ149" s="1509">
        <v>0.13134349000000001</v>
      </c>
      <c r="EA149" s="1509">
        <v>0.97395592499999994</v>
      </c>
      <c r="EB149" s="1509">
        <v>0.34477271500000001</v>
      </c>
      <c r="EC149" s="1509">
        <v>0.34477271500000001</v>
      </c>
      <c r="ED149" s="1509">
        <v>0.63893091700000004</v>
      </c>
      <c r="EE149" s="1509">
        <v>0.39723840599999999</v>
      </c>
      <c r="EF149" s="1509">
        <v>0.65699095200000002</v>
      </c>
      <c r="EG149" s="1509">
        <v>0.70491230199999999</v>
      </c>
      <c r="EH149" s="1509">
        <v>0.69930982100000005</v>
      </c>
      <c r="EI149" s="1509">
        <v>0.90012905300000001</v>
      </c>
      <c r="EJ149" s="1509">
        <v>0.90012905300000001</v>
      </c>
      <c r="EK149" s="1509">
        <v>3.700502E-3</v>
      </c>
      <c r="EL149" s="1509">
        <v>0.794736891</v>
      </c>
      <c r="EM149" s="1509">
        <v>0.70016280500000005</v>
      </c>
      <c r="EN149" s="1509">
        <v>0.71477846599999995</v>
      </c>
      <c r="EO149" s="1509">
        <v>0.95809380099999997</v>
      </c>
      <c r="EP149" s="1509">
        <v>0.70491230199999999</v>
      </c>
      <c r="EQ149" s="1509">
        <v>9.6424547999999999E-2</v>
      </c>
      <c r="ER149" s="1509">
        <v>8.894173E-3</v>
      </c>
      <c r="ES149" s="1509">
        <v>8.894173E-3</v>
      </c>
      <c r="ET149" s="1509">
        <v>0.87132701199999996</v>
      </c>
      <c r="EU149" s="1509">
        <v>0.78045129999999996</v>
      </c>
      <c r="EV149" s="1509">
        <v>4.1529093000000003E-2</v>
      </c>
      <c r="EW149" s="1509">
        <v>0.59576548600000001</v>
      </c>
      <c r="EX149" s="1509">
        <v>0.77743654100000004</v>
      </c>
      <c r="EY149" s="1509">
        <v>0.93746560099999998</v>
      </c>
      <c r="EZ149" s="1509">
        <v>0.70491230199999999</v>
      </c>
      <c r="FA149" s="1509">
        <v>0.53935383800000003</v>
      </c>
      <c r="FB149" s="1509">
        <v>0.48465201299999999</v>
      </c>
      <c r="FC149" s="1509">
        <v>0.862294432</v>
      </c>
      <c r="FD149" s="1509">
        <v>0.97395592499999994</v>
      </c>
      <c r="FE149" s="1509">
        <v>0.77743654100000004</v>
      </c>
      <c r="FF149" s="1509">
        <v>0.27464818699999999</v>
      </c>
      <c r="FG149" s="1509">
        <v>0.928494559</v>
      </c>
      <c r="FH149" s="1509">
        <v>0.67996569600000001</v>
      </c>
      <c r="FI149" s="1509">
        <v>0.78406530299999999</v>
      </c>
      <c r="FJ149" s="1509">
        <v>0.69930982100000005</v>
      </c>
      <c r="FK149" s="1509">
        <v>0.75159910600000002</v>
      </c>
      <c r="FL149" s="1509">
        <v>0.68842612599999997</v>
      </c>
      <c r="FM149" s="1509">
        <v>0.158502955</v>
      </c>
      <c r="FN149" s="1509">
        <v>0.80623607200000003</v>
      </c>
      <c r="FO149" s="1509">
        <v>0.892315003</v>
      </c>
      <c r="FP149" s="1509">
        <v>0.45151141500000003</v>
      </c>
      <c r="FQ149" s="1509">
        <v>0.70491230199999999</v>
      </c>
      <c r="FR149" s="1509">
        <v>0.983884816</v>
      </c>
      <c r="FS149" s="1509">
        <v>0.89972790300000005</v>
      </c>
      <c r="FT149" s="1509">
        <v>0.71477846599999995</v>
      </c>
      <c r="FU149" s="1509">
        <v>0.114134202</v>
      </c>
    </row>
    <row r="150" spans="1:177" s="1509" customFormat="1" x14ac:dyDescent="0.2">
      <c r="A150" s="1512" t="s">
        <v>671</v>
      </c>
      <c r="B150" s="1512" t="s">
        <v>1061</v>
      </c>
      <c r="C150" s="1509">
        <v>0.99275551299999998</v>
      </c>
      <c r="D150" s="1509">
        <v>0.99940374600000004</v>
      </c>
      <c r="E150" s="1509">
        <v>0.99275551299999998</v>
      </c>
      <c r="F150" s="1509">
        <v>0.99200295000000005</v>
      </c>
      <c r="G150" s="1509">
        <v>0.99863234199999995</v>
      </c>
      <c r="H150" s="1509">
        <v>0.99275551299999998</v>
      </c>
      <c r="I150" s="1509">
        <v>0.99275551299999998</v>
      </c>
      <c r="J150" s="1509">
        <v>0</v>
      </c>
      <c r="K150" s="1509">
        <v>0</v>
      </c>
      <c r="L150" s="1509">
        <v>0.99275551299999998</v>
      </c>
      <c r="M150" s="1509">
        <v>0</v>
      </c>
      <c r="N150" s="1509">
        <v>0.99863234199999995</v>
      </c>
      <c r="O150" s="1509">
        <v>0</v>
      </c>
      <c r="P150" s="1509">
        <v>0</v>
      </c>
      <c r="Q150" s="1509">
        <v>0</v>
      </c>
      <c r="R150" s="1509">
        <v>0</v>
      </c>
      <c r="S150" s="1509">
        <v>0.99275551299999998</v>
      </c>
      <c r="T150" s="1509">
        <v>0</v>
      </c>
      <c r="U150" s="1509">
        <v>0.99275551299999998</v>
      </c>
      <c r="V150" s="1509">
        <v>0</v>
      </c>
      <c r="W150" s="1509">
        <v>0.99275551299999998</v>
      </c>
      <c r="X150" s="1509">
        <v>0</v>
      </c>
      <c r="Y150" s="1509">
        <v>0.99275551299999998</v>
      </c>
      <c r="Z150" s="1509">
        <v>0</v>
      </c>
      <c r="AA150" s="1509">
        <v>2.2270088E-2</v>
      </c>
      <c r="AB150" s="1509">
        <v>0</v>
      </c>
      <c r="AC150" s="1509">
        <v>0</v>
      </c>
      <c r="AD150" s="1509">
        <v>0</v>
      </c>
      <c r="AE150" s="1509">
        <v>0</v>
      </c>
      <c r="AF150" s="1509">
        <v>0.99275551299999998</v>
      </c>
      <c r="AG150" s="1509">
        <v>2.1632841999999999E-2</v>
      </c>
      <c r="AH150" s="1509">
        <v>0.99275551299999998</v>
      </c>
      <c r="AI150" s="1509">
        <v>0.99275551299999998</v>
      </c>
      <c r="AJ150" s="1509">
        <v>0</v>
      </c>
      <c r="AK150" s="1509">
        <v>0</v>
      </c>
      <c r="AL150" s="1509">
        <v>0</v>
      </c>
      <c r="AM150" s="1509">
        <v>0</v>
      </c>
      <c r="AN150" s="1509">
        <v>0</v>
      </c>
      <c r="AO150" s="1509">
        <v>0</v>
      </c>
      <c r="AP150" s="1509">
        <v>0</v>
      </c>
      <c r="AQ150" s="1509">
        <v>0</v>
      </c>
      <c r="AR150" s="1509">
        <v>0.99576460099999997</v>
      </c>
      <c r="AS150" s="1509">
        <v>0.99576460099999997</v>
      </c>
      <c r="AT150" s="1509">
        <v>0.99576460099999997</v>
      </c>
      <c r="AU150" s="1509">
        <v>0</v>
      </c>
      <c r="AV150" s="1509">
        <v>0</v>
      </c>
      <c r="AW150" s="1509">
        <v>0.99275551299999998</v>
      </c>
      <c r="AX150" s="1509">
        <v>0.99629651900000005</v>
      </c>
      <c r="AY150" s="1509">
        <v>0</v>
      </c>
      <c r="AZ150" s="1509">
        <v>0.99200295000000005</v>
      </c>
      <c r="BA150" s="1509">
        <v>0.99200295000000005</v>
      </c>
      <c r="BB150" s="1509">
        <v>0.99200295000000005</v>
      </c>
      <c r="BC150" s="1509">
        <v>0</v>
      </c>
      <c r="BD150" s="1509">
        <v>0.99576460099999997</v>
      </c>
      <c r="BE150" s="1509">
        <v>0.99910923299999999</v>
      </c>
      <c r="BF150" s="1509">
        <v>0.99576460099999997</v>
      </c>
      <c r="BG150" s="1509">
        <v>0.99395675400000005</v>
      </c>
      <c r="BH150" s="1509">
        <v>0.99275551299999998</v>
      </c>
      <c r="BI150" s="1509">
        <v>0.99275551299999998</v>
      </c>
      <c r="BJ150" s="1509">
        <v>0.99275551299999998</v>
      </c>
      <c r="BK150" s="1509">
        <v>0.99275551299999998</v>
      </c>
      <c r="BL150" s="1509">
        <v>0.99275551299999998</v>
      </c>
      <c r="BM150" s="1509">
        <v>0</v>
      </c>
      <c r="BN150" s="1509">
        <v>0.99275551299999998</v>
      </c>
      <c r="BO150" s="1509">
        <v>0</v>
      </c>
      <c r="BP150" s="1509">
        <v>0.99275551299999998</v>
      </c>
      <c r="BQ150" s="1509">
        <v>0.99863234199999995</v>
      </c>
      <c r="BR150" s="1509">
        <v>0.99275551299999998</v>
      </c>
      <c r="BS150" s="1509">
        <v>0.99275551299999998</v>
      </c>
      <c r="BT150" s="1509">
        <v>0.99200295000000005</v>
      </c>
      <c r="BU150" s="1509">
        <v>0.99200295000000005</v>
      </c>
      <c r="BV150" s="1509">
        <v>0.99200295000000005</v>
      </c>
      <c r="BW150" s="1509">
        <v>0</v>
      </c>
      <c r="BX150" s="1509">
        <v>0</v>
      </c>
      <c r="BY150" s="1509">
        <v>0</v>
      </c>
      <c r="BZ150" s="1509">
        <v>0.99909870999999995</v>
      </c>
      <c r="CA150" s="1509">
        <v>0.208126636</v>
      </c>
      <c r="CB150" s="1509">
        <v>0</v>
      </c>
      <c r="CC150" s="1509">
        <v>0.99006363200000003</v>
      </c>
      <c r="CD150" s="1509">
        <v>0.99006363200000003</v>
      </c>
      <c r="CE150" s="1509">
        <v>0</v>
      </c>
      <c r="CF150" s="1509">
        <v>0</v>
      </c>
      <c r="CG150" s="1509">
        <v>0.99275551299999998</v>
      </c>
      <c r="CH150" s="1509">
        <v>2.3552033999999999E-2</v>
      </c>
      <c r="CI150" s="1509">
        <v>0.99275551299999998</v>
      </c>
      <c r="CJ150" s="1509">
        <v>0</v>
      </c>
      <c r="CK150" s="1509">
        <v>0.99200295000000005</v>
      </c>
      <c r="CL150" s="1509">
        <v>0.99200295000000005</v>
      </c>
      <c r="CM150" s="1509">
        <v>0.97298862200000003</v>
      </c>
      <c r="CN150" s="1509">
        <v>0.99006363200000003</v>
      </c>
      <c r="CO150" s="1509">
        <v>0</v>
      </c>
      <c r="CP150" s="1509">
        <v>0</v>
      </c>
      <c r="CQ150" s="1509">
        <v>0.99880749199999996</v>
      </c>
      <c r="CR150" s="1509">
        <v>2.1651475E-2</v>
      </c>
      <c r="CS150" s="1509">
        <v>0.99863234199999995</v>
      </c>
      <c r="CT150" s="1509">
        <v>0.99275551299999998</v>
      </c>
      <c r="CU150" s="1509">
        <v>0.99275551299999998</v>
      </c>
      <c r="CV150" s="1509">
        <v>0.99200295000000005</v>
      </c>
      <c r="CW150" s="1509">
        <v>0.99200295000000005</v>
      </c>
      <c r="CX150" s="1509">
        <v>0.99200295000000005</v>
      </c>
      <c r="CY150" s="1509">
        <v>0.99959271699999996</v>
      </c>
      <c r="CZ150" s="1509">
        <v>0</v>
      </c>
      <c r="DA150" s="1509">
        <v>0.98982362000000002</v>
      </c>
      <c r="DB150" s="1509">
        <v>0.72677268900000003</v>
      </c>
      <c r="DC150" s="1509">
        <v>0</v>
      </c>
      <c r="DD150" s="1509">
        <v>0.98516358699999995</v>
      </c>
      <c r="DE150" s="1509">
        <v>0.75502902000000005</v>
      </c>
      <c r="DF150" s="1509">
        <v>0.95581269099999999</v>
      </c>
      <c r="DG150" s="1509">
        <v>0</v>
      </c>
      <c r="DH150" s="1509">
        <v>0</v>
      </c>
      <c r="DI150" s="1509">
        <v>0</v>
      </c>
      <c r="DJ150" s="1509">
        <v>0.982405733</v>
      </c>
      <c r="DK150" s="1509">
        <v>0.99922434500000001</v>
      </c>
      <c r="DL150" s="1509">
        <v>0</v>
      </c>
      <c r="DM150" s="1509">
        <v>0.99913467099999997</v>
      </c>
      <c r="DN150" s="1509">
        <v>0</v>
      </c>
      <c r="DO150" s="1509">
        <v>0.99892125099999995</v>
      </c>
      <c r="DP150" s="1509">
        <v>0.99548808899999996</v>
      </c>
      <c r="DQ150" s="1509">
        <v>0.99814825900000004</v>
      </c>
      <c r="DR150" s="1509">
        <v>0</v>
      </c>
      <c r="DS150" s="1509">
        <v>0</v>
      </c>
      <c r="DT150" s="1509">
        <v>0.918692748</v>
      </c>
      <c r="DU150" s="1509">
        <v>0.99275551299999998</v>
      </c>
      <c r="DV150" s="1509">
        <v>0</v>
      </c>
      <c r="DW150" s="1509">
        <v>0</v>
      </c>
      <c r="DX150" s="1509">
        <v>0.99576460099999997</v>
      </c>
      <c r="DY150" s="1509">
        <v>0.99200295000000005</v>
      </c>
      <c r="DZ150" s="1509">
        <v>0.99576460099999997</v>
      </c>
      <c r="EA150" s="1509">
        <v>0</v>
      </c>
      <c r="EB150" s="1509">
        <v>0</v>
      </c>
      <c r="EC150" s="1509">
        <v>0.99275551299999998</v>
      </c>
      <c r="ED150" s="1509">
        <v>0.99275551299999998</v>
      </c>
      <c r="EE150" s="1509">
        <v>0</v>
      </c>
      <c r="EF150" s="1509">
        <v>0</v>
      </c>
      <c r="EG150" s="1509">
        <v>0</v>
      </c>
      <c r="EH150" s="1509">
        <v>0.99981837399999995</v>
      </c>
      <c r="EI150" s="1509">
        <v>0</v>
      </c>
      <c r="EJ150" s="1509">
        <v>0</v>
      </c>
      <c r="EK150" s="1509">
        <v>0</v>
      </c>
      <c r="EL150" s="1509">
        <v>0</v>
      </c>
      <c r="EM150" s="1509">
        <v>0.717749427</v>
      </c>
      <c r="EN150" s="1509">
        <v>0</v>
      </c>
      <c r="EO150" s="1509">
        <v>0.95581269099999999</v>
      </c>
      <c r="EP150" s="1509">
        <v>0</v>
      </c>
      <c r="EQ150" s="1509">
        <v>0</v>
      </c>
      <c r="ER150" s="1509">
        <v>0.99959271699999996</v>
      </c>
      <c r="ES150" s="1509">
        <v>3.3815468000000001E-2</v>
      </c>
      <c r="ET150" s="1509">
        <v>0</v>
      </c>
      <c r="EU150" s="1509">
        <v>0</v>
      </c>
      <c r="EV150" s="1509">
        <v>0</v>
      </c>
      <c r="EW150" s="1509">
        <v>0.97846605200000003</v>
      </c>
      <c r="EX150" s="1509">
        <v>0</v>
      </c>
      <c r="EY150" s="1509">
        <v>0</v>
      </c>
      <c r="EZ150" s="1509">
        <v>0.97298862200000003</v>
      </c>
      <c r="FA150" s="1509">
        <v>0.99006363200000003</v>
      </c>
      <c r="FB150" s="1509">
        <v>0</v>
      </c>
      <c r="FC150" s="1509">
        <v>0.99200295000000005</v>
      </c>
      <c r="FD150" s="1509">
        <v>0.99200295000000005</v>
      </c>
      <c r="FE150" s="1509">
        <v>0.99200295000000005</v>
      </c>
      <c r="FF150" s="1509">
        <v>0</v>
      </c>
      <c r="FG150" s="1509">
        <v>0</v>
      </c>
      <c r="FH150" s="1509">
        <v>0.98496758100000004</v>
      </c>
      <c r="FI150" s="1509">
        <v>0.97846605200000003</v>
      </c>
      <c r="FJ150" s="1509">
        <v>0</v>
      </c>
      <c r="FK150" s="1509">
        <v>0</v>
      </c>
      <c r="FL150" s="1509">
        <v>0.97362926400000005</v>
      </c>
      <c r="FM150" s="1509">
        <v>0</v>
      </c>
      <c r="FN150" s="1509">
        <v>0.99275551299999998</v>
      </c>
      <c r="FO150" s="1509">
        <v>0.85268557</v>
      </c>
      <c r="FP150" s="1509">
        <v>0</v>
      </c>
      <c r="FQ150" s="1509">
        <v>0.97298862200000003</v>
      </c>
      <c r="FR150" s="1509">
        <v>0</v>
      </c>
      <c r="FS150" s="1509">
        <v>0.97846605200000003</v>
      </c>
      <c r="FT150" s="1509">
        <v>0</v>
      </c>
      <c r="FU150" s="1509">
        <v>0.99275551299999998</v>
      </c>
    </row>
    <row r="151" spans="1:177" s="1509" customFormat="1" x14ac:dyDescent="0.2">
      <c r="A151" s="1512" t="s">
        <v>671</v>
      </c>
      <c r="B151" s="1512" t="s">
        <v>1032</v>
      </c>
      <c r="C151" s="1509">
        <v>0</v>
      </c>
      <c r="D151" s="1509">
        <v>0</v>
      </c>
      <c r="E151" s="1509">
        <v>0.98186548500000004</v>
      </c>
      <c r="F151" s="1509">
        <v>0</v>
      </c>
      <c r="G151" s="1509">
        <v>0.98186548500000004</v>
      </c>
      <c r="H151" s="1509">
        <v>0</v>
      </c>
      <c r="I151" s="1509">
        <v>0</v>
      </c>
      <c r="J151" s="1509">
        <v>0.99998841999999999</v>
      </c>
      <c r="K151" s="1509">
        <v>0.99998841999999999</v>
      </c>
      <c r="L151" s="1509">
        <v>0</v>
      </c>
      <c r="M151" s="1509">
        <v>0</v>
      </c>
      <c r="N151" s="1509">
        <v>0.98186548500000004</v>
      </c>
      <c r="O151" s="1509">
        <v>0.99998841999999999</v>
      </c>
      <c r="P151" s="1509">
        <v>0.99998841999999999</v>
      </c>
      <c r="Q151" s="1509">
        <v>0</v>
      </c>
      <c r="R151" s="1509">
        <v>0.99786484600000003</v>
      </c>
      <c r="S151" s="1509">
        <v>0</v>
      </c>
      <c r="T151" s="1509">
        <v>0</v>
      </c>
      <c r="U151" s="1509">
        <v>0</v>
      </c>
      <c r="V151" s="1509">
        <v>0</v>
      </c>
      <c r="W151" s="1509">
        <v>0</v>
      </c>
      <c r="X151" s="1509">
        <v>0</v>
      </c>
      <c r="Y151" s="1509">
        <v>0</v>
      </c>
      <c r="Z151" s="1509">
        <v>0</v>
      </c>
      <c r="AA151" s="1509">
        <v>0</v>
      </c>
      <c r="AB151" s="1509">
        <v>0</v>
      </c>
      <c r="AC151" s="1509">
        <v>0</v>
      </c>
      <c r="AD151" s="1509">
        <v>0</v>
      </c>
      <c r="AE151" s="1509">
        <v>0.99786484600000003</v>
      </c>
      <c r="AF151" s="1509">
        <v>0</v>
      </c>
      <c r="AG151" s="1509">
        <v>1</v>
      </c>
      <c r="AH151" s="1509">
        <v>0.98186548500000004</v>
      </c>
      <c r="AI151" s="1509">
        <v>0</v>
      </c>
      <c r="AJ151" s="1509">
        <v>0</v>
      </c>
      <c r="AK151" s="1509">
        <v>0.99786484600000003</v>
      </c>
      <c r="AL151" s="1509">
        <v>0</v>
      </c>
      <c r="AM151" s="1509">
        <v>0.99982856399999998</v>
      </c>
      <c r="AN151" s="1509">
        <v>0</v>
      </c>
      <c r="AO151" s="1509">
        <v>0</v>
      </c>
      <c r="AP151" s="1509">
        <v>0.99506823700000002</v>
      </c>
      <c r="AQ151" s="1509">
        <v>0</v>
      </c>
      <c r="AR151" s="1509">
        <v>0.97861900800000001</v>
      </c>
      <c r="AS151" s="1509">
        <v>0.99997670900000002</v>
      </c>
      <c r="AT151" s="1509">
        <v>0</v>
      </c>
      <c r="AU151" s="1509">
        <v>0.99997670900000002</v>
      </c>
      <c r="AV151" s="1509">
        <v>0</v>
      </c>
      <c r="AW151" s="1509">
        <v>0</v>
      </c>
      <c r="AX151" s="1509">
        <v>0.99489016900000005</v>
      </c>
      <c r="AY151" s="1509">
        <v>0</v>
      </c>
      <c r="AZ151" s="1509">
        <v>0</v>
      </c>
      <c r="BA151" s="1509">
        <v>0</v>
      </c>
      <c r="BB151" s="1509">
        <v>0.98581662000000003</v>
      </c>
      <c r="BC151" s="1509">
        <v>0</v>
      </c>
      <c r="BD151" s="1509">
        <v>0.97861900800000001</v>
      </c>
      <c r="BE151" s="1509">
        <v>0.98404796100000003</v>
      </c>
      <c r="BF151" s="1509">
        <v>0</v>
      </c>
      <c r="BG151" s="1509">
        <v>0</v>
      </c>
      <c r="BH151" s="1509">
        <v>0.98186548500000004</v>
      </c>
      <c r="BI151" s="1509">
        <v>0</v>
      </c>
      <c r="BJ151" s="1509">
        <v>0.98186548500000004</v>
      </c>
      <c r="BK151" s="1509">
        <v>0.98186548500000004</v>
      </c>
      <c r="BL151" s="1509">
        <v>0.98186548500000004</v>
      </c>
      <c r="BM151" s="1509">
        <v>0.99786484600000003</v>
      </c>
      <c r="BN151" s="1509">
        <v>0</v>
      </c>
      <c r="BO151" s="1509">
        <v>0.99998841999999999</v>
      </c>
      <c r="BP151" s="1509">
        <v>0.98186548500000004</v>
      </c>
      <c r="BQ151" s="1509">
        <v>0.98186548500000004</v>
      </c>
      <c r="BR151" s="1509">
        <v>0.98186548500000004</v>
      </c>
      <c r="BS151" s="1509">
        <v>0.98186548500000004</v>
      </c>
      <c r="BT151" s="1509">
        <v>0</v>
      </c>
      <c r="BU151" s="1509">
        <v>0.98581662000000003</v>
      </c>
      <c r="BV151" s="1509">
        <v>0</v>
      </c>
      <c r="BW151" s="1509">
        <v>0.99786484600000003</v>
      </c>
      <c r="BX151" s="1509">
        <v>0.99968794900000002</v>
      </c>
      <c r="BY151" s="1509">
        <v>0.99968794900000002</v>
      </c>
      <c r="BZ151" s="1509">
        <v>0.99996099400000005</v>
      </c>
      <c r="CA151" s="1509">
        <v>0.95410978099999999</v>
      </c>
      <c r="CB151" s="1509">
        <v>0</v>
      </c>
      <c r="CC151" s="1509">
        <v>0</v>
      </c>
      <c r="CD151" s="1509">
        <v>0.95410978099999999</v>
      </c>
      <c r="CE151" s="1509">
        <v>0.99786484600000003</v>
      </c>
      <c r="CF151" s="1509">
        <v>0</v>
      </c>
      <c r="CG151" s="1509">
        <v>0.98186548500000004</v>
      </c>
      <c r="CH151" s="1509">
        <v>0</v>
      </c>
      <c r="CI151" s="1509">
        <v>0</v>
      </c>
      <c r="CJ151" s="1509">
        <v>1</v>
      </c>
      <c r="CK151" s="1509">
        <v>0</v>
      </c>
      <c r="CL151" s="1509">
        <v>0</v>
      </c>
      <c r="CM151" s="1509">
        <v>0</v>
      </c>
      <c r="CN151" s="1509">
        <v>0.95410978099999999</v>
      </c>
      <c r="CO151" s="1509">
        <v>0.99786484600000003</v>
      </c>
      <c r="CP151" s="1509">
        <v>0.99786484600000003</v>
      </c>
      <c r="CQ151" s="1509">
        <v>0.98186548500000004</v>
      </c>
      <c r="CR151" s="1509">
        <v>0</v>
      </c>
      <c r="CS151" s="1509">
        <v>0.98186548500000004</v>
      </c>
      <c r="CT151" s="1509">
        <v>0</v>
      </c>
      <c r="CU151" s="1509">
        <v>0</v>
      </c>
      <c r="CV151" s="1509">
        <v>0</v>
      </c>
      <c r="CW151" s="1509">
        <v>0</v>
      </c>
      <c r="CX151" s="1509">
        <v>0</v>
      </c>
      <c r="CY151" s="1509">
        <v>1</v>
      </c>
      <c r="CZ151" s="1509">
        <v>0.99489016900000005</v>
      </c>
      <c r="DA151" s="1509">
        <v>0.99489016900000005</v>
      </c>
      <c r="DB151" s="1509">
        <v>0.99833720000000004</v>
      </c>
      <c r="DC151" s="1509">
        <v>0</v>
      </c>
      <c r="DD151" s="1509">
        <v>0.93868909499999997</v>
      </c>
      <c r="DE151" s="1509">
        <v>0</v>
      </c>
      <c r="DF151" s="1509">
        <v>0</v>
      </c>
      <c r="DG151" s="1509">
        <v>0</v>
      </c>
      <c r="DH151" s="1509">
        <v>0</v>
      </c>
      <c r="DI151" s="1509">
        <v>0</v>
      </c>
      <c r="DJ151" s="1509">
        <v>0.99489016900000005</v>
      </c>
      <c r="DK151" s="1509">
        <v>0.99489016900000005</v>
      </c>
      <c r="DL151" s="1509">
        <v>0.99786484600000003</v>
      </c>
      <c r="DM151" s="1509">
        <v>0.99982856399999998</v>
      </c>
      <c r="DN151" s="1509">
        <v>0</v>
      </c>
      <c r="DO151" s="1509">
        <v>0.99997132399999999</v>
      </c>
      <c r="DP151" s="1509">
        <v>0.99996099400000005</v>
      </c>
      <c r="DQ151" s="1509">
        <v>1</v>
      </c>
      <c r="DR151" s="1509">
        <v>0.99489016900000005</v>
      </c>
      <c r="DS151" s="1509">
        <v>0.99489016900000005</v>
      </c>
      <c r="DT151" s="1509">
        <v>0.99489016900000005</v>
      </c>
      <c r="DU151" s="1509">
        <v>0</v>
      </c>
      <c r="DV151" s="1509">
        <v>0</v>
      </c>
      <c r="DW151" s="1509">
        <v>0</v>
      </c>
      <c r="DX151" s="1509">
        <v>0.97861900800000001</v>
      </c>
      <c r="DY151" s="1509">
        <v>0.98581662000000003</v>
      </c>
      <c r="DZ151" s="1509">
        <v>0</v>
      </c>
      <c r="EA151" s="1509">
        <v>0</v>
      </c>
      <c r="EB151" s="1509">
        <v>0</v>
      </c>
      <c r="EC151" s="1509">
        <v>0</v>
      </c>
      <c r="ED151" s="1509">
        <v>0.98186548500000004</v>
      </c>
      <c r="EE151" s="1509">
        <v>0</v>
      </c>
      <c r="EF151" s="1509">
        <v>0</v>
      </c>
      <c r="EG151" s="1509">
        <v>0</v>
      </c>
      <c r="EH151" s="1509">
        <v>0.98581662000000003</v>
      </c>
      <c r="EI151" s="1509">
        <v>0</v>
      </c>
      <c r="EJ151" s="1509">
        <v>0</v>
      </c>
      <c r="EK151" s="1509">
        <v>0</v>
      </c>
      <c r="EL151" s="1509">
        <v>0</v>
      </c>
      <c r="EM151" s="1509">
        <v>0</v>
      </c>
      <c r="EN151" s="1509">
        <v>0</v>
      </c>
      <c r="EO151" s="1509">
        <v>0</v>
      </c>
      <c r="EP151" s="1509">
        <v>0</v>
      </c>
      <c r="EQ151" s="1509">
        <v>0.99786484600000003</v>
      </c>
      <c r="ER151" s="1509">
        <v>1</v>
      </c>
      <c r="ES151" s="1509">
        <v>0.98581662000000003</v>
      </c>
      <c r="ET151" s="1509">
        <v>0</v>
      </c>
      <c r="EU151" s="1509">
        <v>0</v>
      </c>
      <c r="EV151" s="1509">
        <v>0</v>
      </c>
      <c r="EW151" s="1509">
        <v>0</v>
      </c>
      <c r="EX151" s="1509">
        <v>0</v>
      </c>
      <c r="EY151" s="1509">
        <v>0</v>
      </c>
      <c r="EZ151" s="1509">
        <v>0</v>
      </c>
      <c r="FA151" s="1509">
        <v>0.99961816599999997</v>
      </c>
      <c r="FB151" s="1509">
        <v>0</v>
      </c>
      <c r="FC151" s="1509">
        <v>0.98581662000000003</v>
      </c>
      <c r="FD151" s="1509">
        <v>0</v>
      </c>
      <c r="FE151" s="1509">
        <v>0.98581662000000003</v>
      </c>
      <c r="FF151" s="1509">
        <v>0</v>
      </c>
      <c r="FG151" s="1509">
        <v>0</v>
      </c>
      <c r="FH151" s="1509">
        <v>0</v>
      </c>
      <c r="FI151" s="1509">
        <v>0</v>
      </c>
      <c r="FJ151" s="1509">
        <v>1</v>
      </c>
      <c r="FK151" s="1509">
        <v>0</v>
      </c>
      <c r="FL151" s="1509">
        <v>0</v>
      </c>
      <c r="FM151" s="1509">
        <v>0</v>
      </c>
      <c r="FN151" s="1509">
        <v>1</v>
      </c>
      <c r="FO151" s="1509">
        <v>0</v>
      </c>
      <c r="FP151" s="1509">
        <v>0</v>
      </c>
      <c r="FQ151" s="1509">
        <v>0</v>
      </c>
      <c r="FR151" s="1509">
        <v>0</v>
      </c>
      <c r="FS151" s="1509">
        <v>0</v>
      </c>
      <c r="FT151" s="1509">
        <v>0</v>
      </c>
      <c r="FU151" s="1509">
        <v>0</v>
      </c>
    </row>
    <row r="152" spans="1:177" s="1509" customFormat="1" x14ac:dyDescent="0.2">
      <c r="A152" s="1512" t="s">
        <v>671</v>
      </c>
      <c r="B152" s="1512" t="s">
        <v>1063</v>
      </c>
      <c r="C152" s="1509">
        <v>0.92440244199999999</v>
      </c>
      <c r="D152" s="1509">
        <v>0.95370832699999997</v>
      </c>
      <c r="E152" s="1509">
        <v>0.65877872299999995</v>
      </c>
      <c r="F152" s="1509">
        <v>0.77375998899999998</v>
      </c>
      <c r="G152" s="1509">
        <v>0.33854931399999999</v>
      </c>
      <c r="H152" s="1509">
        <v>0.43569772899999998</v>
      </c>
      <c r="I152" s="1509">
        <v>0.97783798300000002</v>
      </c>
      <c r="J152" s="1509">
        <v>0.98586132599999998</v>
      </c>
      <c r="K152" s="1509">
        <v>0.99457036200000004</v>
      </c>
      <c r="L152" s="1509">
        <v>0.99512189699999998</v>
      </c>
      <c r="M152" s="1509">
        <v>0.99064999099999995</v>
      </c>
      <c r="N152" s="1509">
        <v>0.98975188400000003</v>
      </c>
      <c r="O152" s="1509">
        <v>0.984214174</v>
      </c>
      <c r="P152" s="1509">
        <v>0.98884632299999997</v>
      </c>
      <c r="Q152" s="1509">
        <v>0.94094872900000004</v>
      </c>
      <c r="R152" s="1509">
        <v>0.93107203900000002</v>
      </c>
      <c r="S152" s="1509">
        <v>0.87906104900000004</v>
      </c>
      <c r="T152" s="1509">
        <v>0.98361792000000003</v>
      </c>
      <c r="U152" s="1509">
        <v>0.31374141999999999</v>
      </c>
      <c r="V152" s="1509">
        <v>0.72641256300000001</v>
      </c>
      <c r="W152" s="1509">
        <v>0.85932876700000005</v>
      </c>
      <c r="X152" s="1509">
        <v>0.92426828500000002</v>
      </c>
      <c r="Y152" s="1509">
        <v>0.88238143899999999</v>
      </c>
      <c r="Z152" s="1509">
        <v>0.469971156</v>
      </c>
      <c r="AA152" s="1509">
        <v>0.69806068399999999</v>
      </c>
      <c r="AB152" s="1509">
        <v>0.549742493</v>
      </c>
      <c r="AC152" s="1509">
        <v>0.55981173299999998</v>
      </c>
      <c r="AD152" s="1509">
        <v>0.60703505199999996</v>
      </c>
      <c r="AE152" s="1509">
        <v>0.93084078699999995</v>
      </c>
      <c r="AF152" s="1509">
        <v>0.65632290100000001</v>
      </c>
      <c r="AG152" s="1509">
        <v>0.66377607699999996</v>
      </c>
      <c r="AH152" s="1509">
        <v>0.74109159199999997</v>
      </c>
      <c r="AI152" s="1509">
        <v>0.81610780299999997</v>
      </c>
      <c r="AJ152" s="1509">
        <v>0.50145336900000004</v>
      </c>
      <c r="AK152" s="1509">
        <v>0.91120676199999995</v>
      </c>
      <c r="AL152" s="1509">
        <v>0.73449307399999997</v>
      </c>
      <c r="AM152" s="1509">
        <v>0.69697060099999997</v>
      </c>
      <c r="AN152" s="1509">
        <v>0.766778811</v>
      </c>
      <c r="AO152" s="1509">
        <v>0.72556438899999998</v>
      </c>
      <c r="AP152" s="1509">
        <v>0.280366481</v>
      </c>
      <c r="AQ152" s="1509">
        <v>0.98619299299999996</v>
      </c>
      <c r="AR152" s="1509">
        <v>0.32306639799999998</v>
      </c>
      <c r="AS152" s="1509">
        <v>0.40567589599999998</v>
      </c>
      <c r="AT152" s="1509">
        <v>0.72220086999999999</v>
      </c>
      <c r="AU152" s="1509">
        <v>0.53425215599999998</v>
      </c>
      <c r="AV152" s="1509">
        <v>0.70110157900000003</v>
      </c>
      <c r="AW152" s="1509">
        <v>0.79320792100000004</v>
      </c>
      <c r="AX152" s="1509">
        <v>0.50972573499999996</v>
      </c>
      <c r="AY152" s="1509">
        <v>0.89680338199999998</v>
      </c>
      <c r="AZ152" s="1509">
        <v>0.62771613500000001</v>
      </c>
      <c r="BA152" s="1509">
        <v>0.50734759900000004</v>
      </c>
      <c r="BB152" s="1509">
        <v>0.94898509600000003</v>
      </c>
      <c r="BC152" s="1509">
        <v>0.297423402</v>
      </c>
      <c r="BD152" s="1509">
        <v>0.41426199499999999</v>
      </c>
      <c r="BE152" s="1509">
        <v>0.60636811400000001</v>
      </c>
      <c r="BF152" s="1509">
        <v>0.31279690100000002</v>
      </c>
      <c r="BG152" s="1509">
        <v>0.37812205300000001</v>
      </c>
      <c r="BH152" s="1509">
        <v>0.47458467199999999</v>
      </c>
      <c r="BI152" s="1509">
        <v>0.94425024800000001</v>
      </c>
      <c r="BJ152" s="1509">
        <v>0.85910889800000001</v>
      </c>
      <c r="BK152" s="1509">
        <v>0.84504475599999995</v>
      </c>
      <c r="BL152" s="1509">
        <v>0.76905217999999997</v>
      </c>
      <c r="BM152" s="1509">
        <v>0.69341230700000001</v>
      </c>
      <c r="BN152" s="1509">
        <v>0.47620573700000002</v>
      </c>
      <c r="BO152" s="1509">
        <v>0.927611034</v>
      </c>
      <c r="BP152" s="1509">
        <v>0.35735367600000001</v>
      </c>
      <c r="BQ152" s="1509">
        <v>0.84844340399999996</v>
      </c>
      <c r="BR152" s="1509">
        <v>0.88444224199999999</v>
      </c>
      <c r="BS152" s="1509">
        <v>0.102354458</v>
      </c>
      <c r="BT152" s="1509">
        <v>0.109256324</v>
      </c>
      <c r="BU152" s="1509">
        <v>0.105926513</v>
      </c>
      <c r="BV152" s="1509">
        <v>0.86984016900000005</v>
      </c>
      <c r="BW152" s="1509">
        <v>0.91231826199999999</v>
      </c>
      <c r="BX152" s="1509">
        <v>0.60834867299999995</v>
      </c>
      <c r="BY152" s="1509">
        <v>0.63939127399999995</v>
      </c>
      <c r="BZ152" s="1509">
        <v>0.568063757</v>
      </c>
      <c r="CA152" s="1509">
        <v>0.77515609500000004</v>
      </c>
      <c r="CB152" s="1509">
        <v>0.71179309700000004</v>
      </c>
      <c r="CC152" s="1509">
        <v>0.93040066200000004</v>
      </c>
      <c r="CD152" s="1509">
        <v>0.80883680300000005</v>
      </c>
      <c r="CE152" s="1509">
        <v>0.57792067300000005</v>
      </c>
      <c r="CF152" s="1509">
        <v>0.86643342599999995</v>
      </c>
      <c r="CG152" s="1509">
        <v>0.59724903299999998</v>
      </c>
      <c r="CH152" s="1509">
        <v>0.73060497400000002</v>
      </c>
      <c r="CI152" s="1509">
        <v>0.46654642200000002</v>
      </c>
      <c r="CJ152" s="1509">
        <v>0.93331572100000004</v>
      </c>
      <c r="CK152" s="1509">
        <v>0.71880434999999998</v>
      </c>
      <c r="CL152" s="1509">
        <v>0.71657530300000005</v>
      </c>
      <c r="CM152" s="1509">
        <v>0.38129468900000002</v>
      </c>
      <c r="CN152" s="1509">
        <v>0.10373509</v>
      </c>
      <c r="CO152" s="1509">
        <v>0.46717343099999997</v>
      </c>
      <c r="CP152" s="1509">
        <v>9.4678970000000001E-2</v>
      </c>
      <c r="CQ152" s="1509">
        <v>0.43046932599999999</v>
      </c>
      <c r="CR152" s="1509">
        <v>0.97134999399999999</v>
      </c>
      <c r="CS152" s="1509">
        <v>0.44987739500000001</v>
      </c>
      <c r="CT152" s="1509">
        <v>0.89714617900000004</v>
      </c>
      <c r="CU152" s="1509">
        <v>0.84234670700000003</v>
      </c>
      <c r="CV152" s="1509">
        <v>0.92686524400000003</v>
      </c>
      <c r="CW152" s="1509">
        <v>0.92837879499999998</v>
      </c>
      <c r="CX152" s="1509">
        <v>0.55655725099999998</v>
      </c>
      <c r="CY152" s="1509">
        <v>0.910546419</v>
      </c>
      <c r="CZ152" s="1509">
        <v>0.72699663000000003</v>
      </c>
      <c r="DA152" s="1509">
        <v>0.50124268699999996</v>
      </c>
      <c r="DB152" s="1509">
        <v>0.19513608499999999</v>
      </c>
      <c r="DC152" s="1509">
        <v>0.19249625200000001</v>
      </c>
      <c r="DD152" s="1509">
        <v>1.6390879000000001E-2</v>
      </c>
      <c r="DE152" s="1509">
        <v>0.202080593</v>
      </c>
      <c r="DF152" s="1509">
        <v>0.105317378</v>
      </c>
      <c r="DG152" s="1509">
        <v>0.26722100100000001</v>
      </c>
      <c r="DH152" s="1509">
        <v>0.23031852799999999</v>
      </c>
      <c r="DI152" s="1509">
        <v>0.288615605</v>
      </c>
      <c r="DJ152" s="1509">
        <v>0.63473188000000003</v>
      </c>
      <c r="DK152" s="1509">
        <v>0.52936292500000004</v>
      </c>
      <c r="DL152" s="1509">
        <v>1</v>
      </c>
      <c r="DM152" s="1509">
        <v>0.60696888500000001</v>
      </c>
      <c r="DN152" s="1509">
        <v>0.78808299000000004</v>
      </c>
      <c r="DO152" s="1509">
        <v>1</v>
      </c>
      <c r="DP152" s="1509">
        <v>0.42712936499999998</v>
      </c>
      <c r="DQ152" s="1509">
        <v>0.50353141700000004</v>
      </c>
      <c r="DR152" s="1509">
        <v>0.52181940299999996</v>
      </c>
      <c r="DS152" s="1509">
        <v>0.79739554599999996</v>
      </c>
      <c r="DT152" s="1509">
        <v>0.48380682899999999</v>
      </c>
      <c r="DU152" s="1509">
        <v>0.15012558600000001</v>
      </c>
      <c r="DV152" s="1509">
        <v>0.55681928300000005</v>
      </c>
      <c r="DW152" s="1509">
        <v>0.741996514</v>
      </c>
      <c r="DX152" s="1509">
        <v>0.59596906900000002</v>
      </c>
      <c r="DY152" s="1509">
        <v>0.16314972599999999</v>
      </c>
      <c r="DZ152" s="1509">
        <v>0.23317754900000001</v>
      </c>
      <c r="EA152" s="1509">
        <v>0.89863064999999998</v>
      </c>
      <c r="EB152" s="1509">
        <v>0.93313011000000001</v>
      </c>
      <c r="EC152" s="1509">
        <v>0.68261770399999999</v>
      </c>
      <c r="ED152" s="1509">
        <v>0.118736538</v>
      </c>
      <c r="EE152" s="1509">
        <v>0.88464264100000001</v>
      </c>
      <c r="EF152" s="1509">
        <v>0.61237699000000001</v>
      </c>
      <c r="EG152" s="1509">
        <v>0.68133128700000001</v>
      </c>
      <c r="EH152" s="1509">
        <v>0.13528388699999999</v>
      </c>
      <c r="EI152" s="1509">
        <v>0.89328847499999997</v>
      </c>
      <c r="EJ152" s="1509">
        <v>0.85494543199999995</v>
      </c>
      <c r="EK152" s="1509">
        <v>0.96397507699999996</v>
      </c>
      <c r="EL152" s="1509">
        <v>0.122490089</v>
      </c>
      <c r="EM152" s="1509">
        <v>0.27541644100000001</v>
      </c>
      <c r="EN152" s="1509">
        <v>0.123593852</v>
      </c>
      <c r="EO152" s="1509">
        <v>9.3856640000000005E-2</v>
      </c>
      <c r="EP152" s="1509">
        <v>0.517476826</v>
      </c>
      <c r="EQ152" s="1509">
        <v>1</v>
      </c>
      <c r="ER152" s="1509">
        <v>0.99512911999999998</v>
      </c>
      <c r="ES152" s="1509">
        <v>0.99451819600000002</v>
      </c>
      <c r="ET152" s="1509">
        <v>0.86243500699999998</v>
      </c>
      <c r="EU152" s="1509">
        <v>0.52999109600000005</v>
      </c>
      <c r="EV152" s="1509">
        <v>0.56420537999999998</v>
      </c>
      <c r="EW152" s="1509">
        <v>0.75749330400000003</v>
      </c>
      <c r="EX152" s="1509">
        <v>0.96636615800000003</v>
      </c>
      <c r="EY152" s="1509">
        <v>0.96009180400000005</v>
      </c>
      <c r="EZ152" s="1509">
        <v>0.51734026700000002</v>
      </c>
      <c r="FA152" s="1509">
        <v>0.42481704999999997</v>
      </c>
      <c r="FB152" s="1509">
        <v>0.41919986399999998</v>
      </c>
      <c r="FC152" s="1509">
        <v>0.82770843000000005</v>
      </c>
      <c r="FD152" s="1509">
        <v>0.72317438300000003</v>
      </c>
      <c r="FE152" s="1509">
        <v>0.97388987999999999</v>
      </c>
      <c r="FF152" s="1509">
        <v>0.839292547</v>
      </c>
      <c r="FG152" s="1509">
        <v>0.179444255</v>
      </c>
      <c r="FH152" s="1509">
        <v>0.479540725</v>
      </c>
      <c r="FI152" s="1509">
        <v>0.42113430600000001</v>
      </c>
      <c r="FJ152" s="1509">
        <v>0.40478942400000001</v>
      </c>
      <c r="FK152" s="1509">
        <v>0.56848435900000005</v>
      </c>
      <c r="FL152" s="1509">
        <v>0.218020769</v>
      </c>
      <c r="FM152" s="1509">
        <v>0.95464742800000002</v>
      </c>
      <c r="FN152" s="1509">
        <v>0.96453779100000003</v>
      </c>
      <c r="FO152" s="1509">
        <v>0.38191739800000002</v>
      </c>
      <c r="FP152" s="1509">
        <v>0.27968623799999998</v>
      </c>
      <c r="FQ152" s="1509">
        <v>0.677758902</v>
      </c>
      <c r="FR152" s="1509">
        <v>0.819705876</v>
      </c>
      <c r="FS152" s="1509" t="s">
        <v>2372</v>
      </c>
      <c r="FT152" s="1509">
        <v>0.115628363</v>
      </c>
      <c r="FU152" s="1509">
        <v>0.45079413600000001</v>
      </c>
    </row>
    <row r="153" spans="1:177" s="1509" customFormat="1" x14ac:dyDescent="0.2">
      <c r="A153" s="1512" t="s">
        <v>671</v>
      </c>
      <c r="B153" s="1512" t="s">
        <v>1205</v>
      </c>
      <c r="C153" s="1509">
        <v>2.1938421999999957E-2</v>
      </c>
      <c r="D153" s="1509">
        <v>4.3045815000000043E-2</v>
      </c>
      <c r="E153" s="1509">
        <v>1</v>
      </c>
      <c r="F153" s="1509">
        <v>1</v>
      </c>
      <c r="G153" s="1509">
        <v>1</v>
      </c>
      <c r="H153" s="1509">
        <v>1</v>
      </c>
      <c r="I153" s="1509">
        <v>3.8052187000000015E-2</v>
      </c>
      <c r="J153" s="1509">
        <v>3.5555373000000001E-2</v>
      </c>
      <c r="K153" s="1509">
        <v>3.9252147999999987E-2</v>
      </c>
      <c r="L153" s="1509">
        <v>3.1512026000000026E-2</v>
      </c>
      <c r="M153" s="1509">
        <v>4.1327858000000051E-2</v>
      </c>
      <c r="N153" s="1509">
        <v>2.6801618999999999E-2</v>
      </c>
      <c r="O153" s="1509">
        <v>2.9268619999999967E-2</v>
      </c>
      <c r="P153" s="1509">
        <v>2.7084839000000027E-2</v>
      </c>
      <c r="Q153" s="1509">
        <v>1</v>
      </c>
      <c r="R153" s="1509">
        <v>4.6524663999999993E-2</v>
      </c>
      <c r="S153" s="1509">
        <v>1</v>
      </c>
      <c r="T153" s="1509">
        <v>2.3373157999999949E-2</v>
      </c>
      <c r="U153" s="1509">
        <v>2.2452691000000025E-2</v>
      </c>
      <c r="V153" s="1509">
        <v>3.5864679999999982E-2</v>
      </c>
      <c r="W153" s="1509">
        <v>3.1068561999999966E-2</v>
      </c>
      <c r="X153" s="1509">
        <v>1</v>
      </c>
      <c r="Y153" s="1509">
        <v>1</v>
      </c>
      <c r="Z153" s="1509">
        <v>1</v>
      </c>
      <c r="AA153" s="1509">
        <v>2.2348346999999991E-2</v>
      </c>
      <c r="AB153" s="1509">
        <v>4.9708953E-2</v>
      </c>
      <c r="AC153" s="1509">
        <v>1</v>
      </c>
      <c r="AD153" s="1509">
        <v>3.9319227000000012E-2</v>
      </c>
      <c r="AE153" s="1509">
        <v>4.6026408000000019E-2</v>
      </c>
      <c r="AF153" s="1509">
        <v>1.782054200000005E-2</v>
      </c>
      <c r="AG153" s="1509">
        <v>4.5032085999999971E-2</v>
      </c>
      <c r="AH153" s="1509">
        <v>2.1729733000000029E-2</v>
      </c>
      <c r="AI153" s="1509">
        <v>1</v>
      </c>
      <c r="AJ153" s="1509">
        <v>2.5225272000000021E-2</v>
      </c>
      <c r="AK153" s="1509">
        <v>4.6353387999999995E-2</v>
      </c>
      <c r="AL153" s="1509">
        <v>4.6267750000000052E-2</v>
      </c>
      <c r="AM153" s="1509">
        <v>4.6026408000000019E-2</v>
      </c>
      <c r="AN153" s="1509">
        <v>1</v>
      </c>
      <c r="AO153" s="1509">
        <v>3.9879113999999993E-2</v>
      </c>
      <c r="AP153" s="1509">
        <v>0</v>
      </c>
      <c r="AQ153" s="1509">
        <v>1</v>
      </c>
      <c r="AR153" s="1509">
        <v>2.1791934999999985E-2</v>
      </c>
      <c r="AS153" s="1509">
        <v>2.1807309000000052E-2</v>
      </c>
      <c r="AT153" s="1509">
        <v>2.5043429999999978E-2</v>
      </c>
      <c r="AU153" s="1509">
        <v>2.1223116000000042E-2</v>
      </c>
      <c r="AV153" s="1509">
        <v>3.8655894000000024E-2</v>
      </c>
      <c r="AW153" s="1509">
        <v>4.7741315000000006E-2</v>
      </c>
      <c r="AX153" s="1509">
        <v>9.4225740000000169E-3</v>
      </c>
      <c r="AY153" s="1509">
        <v>4.1465776999999981E-2</v>
      </c>
      <c r="AZ153" s="1509">
        <v>2.4849746000000006E-2</v>
      </c>
      <c r="BA153" s="1509">
        <v>1.6748122999999948E-2</v>
      </c>
      <c r="BB153" s="1509">
        <v>3.0304031000000009E-2</v>
      </c>
      <c r="BC153" s="1509">
        <v>1</v>
      </c>
      <c r="BD153" s="1509">
        <v>2.9547864999999951E-2</v>
      </c>
      <c r="BE153" s="1509">
        <v>1.6854718000000046E-2</v>
      </c>
      <c r="BF153" s="1509">
        <v>1</v>
      </c>
      <c r="BG153" s="1509">
        <v>1</v>
      </c>
      <c r="BH153" s="1509">
        <v>1.9009323999999994E-2</v>
      </c>
      <c r="BI153" s="1509">
        <v>2.0160839999999958E-2</v>
      </c>
      <c r="BJ153" s="1509">
        <v>3.7262150999999966E-2</v>
      </c>
      <c r="BK153" s="1509">
        <v>1.7731103999999998E-2</v>
      </c>
      <c r="BL153" s="1509">
        <v>1.7555954999999956E-2</v>
      </c>
      <c r="BM153" s="1509">
        <v>0</v>
      </c>
      <c r="BN153" s="1509">
        <v>2.5713454999999996E-2</v>
      </c>
      <c r="BO153" s="1509">
        <v>1.7757189999999978E-2</v>
      </c>
      <c r="BP153" s="1509">
        <v>2.3593026999999989E-2</v>
      </c>
      <c r="BQ153" s="1509">
        <v>3.3632454000000034E-2</v>
      </c>
      <c r="BR153" s="1509">
        <v>1</v>
      </c>
      <c r="BS153" s="1509">
        <v>1.7555954999999956E-2</v>
      </c>
      <c r="BT153" s="1509">
        <v>1.5724413000000048E-2</v>
      </c>
      <c r="BU153" s="1509">
        <v>1.6175725999999946E-2</v>
      </c>
      <c r="BV153" s="1509">
        <v>4.1212601999999987E-2</v>
      </c>
      <c r="BW153" s="1509">
        <v>0</v>
      </c>
      <c r="BX153" s="1509">
        <v>9.7284659999999912E-3</v>
      </c>
      <c r="BY153" s="1509">
        <v>4.9980609999999981E-3</v>
      </c>
      <c r="BZ153" s="1509">
        <v>4.9980609999999981E-3</v>
      </c>
      <c r="CA153" s="1509">
        <v>0</v>
      </c>
      <c r="CB153" s="1509">
        <v>0</v>
      </c>
      <c r="CC153" s="1509">
        <v>4.623660900000004E-2</v>
      </c>
      <c r="CD153" s="1509">
        <v>4.6291105999999971E-2</v>
      </c>
      <c r="CE153" s="1509">
        <v>4.6057549000000031E-2</v>
      </c>
      <c r="CF153" s="1509">
        <v>1</v>
      </c>
      <c r="CG153" s="1509">
        <v>1.9430428000000055E-2</v>
      </c>
      <c r="CH153" s="1509">
        <v>2.4058849999999965E-2</v>
      </c>
      <c r="CI153" s="1509">
        <v>4.8583523999999989E-2</v>
      </c>
      <c r="CJ153" s="1509">
        <v>4.243995300000003E-2</v>
      </c>
      <c r="CK153" s="1509">
        <v>1</v>
      </c>
      <c r="CL153" s="1509">
        <v>1</v>
      </c>
      <c r="CM153" s="1509">
        <v>1</v>
      </c>
      <c r="CN153" s="1509">
        <v>4.595634000000004E-2</v>
      </c>
      <c r="CO153" s="1509">
        <v>4.5909628999999952E-2</v>
      </c>
      <c r="CP153" s="1509">
        <v>4.5909628999999952E-2</v>
      </c>
      <c r="CQ153" s="1509">
        <v>2.0690015000000006E-2</v>
      </c>
      <c r="CR153" s="1509">
        <v>5.1982171999999993E-2</v>
      </c>
      <c r="CS153" s="1509">
        <v>2.4629017999999947E-2</v>
      </c>
      <c r="CT153" s="1509">
        <v>3.4709438000000037E-2</v>
      </c>
      <c r="CU153" s="1509">
        <v>1</v>
      </c>
      <c r="CV153" s="1509">
        <v>1</v>
      </c>
      <c r="CW153" s="1509">
        <v>1</v>
      </c>
      <c r="CX153" s="1509">
        <v>1</v>
      </c>
      <c r="CY153" s="1509">
        <v>1.4045748000000025E-2</v>
      </c>
      <c r="CZ153" s="1509">
        <v>1.0602443999999989E-2</v>
      </c>
      <c r="DA153" s="1509">
        <v>1.0586057000000038E-2</v>
      </c>
      <c r="DB153" s="1509">
        <v>7.9406543000000052E-2</v>
      </c>
      <c r="DC153" s="1509">
        <v>0.10140821799999999</v>
      </c>
      <c r="DD153" s="1509">
        <v>6.4671308999999955E-2</v>
      </c>
      <c r="DE153" s="1509">
        <v>8.1954395999999985E-2</v>
      </c>
      <c r="DF153" s="1509">
        <v>0.10121505900000005</v>
      </c>
      <c r="DG153" s="1509">
        <v>9.7489858999999957E-2</v>
      </c>
      <c r="DH153" s="1509">
        <v>1</v>
      </c>
      <c r="DI153" s="1509">
        <v>7.2839153999999962E-2</v>
      </c>
      <c r="DJ153" s="1509">
        <v>9.4826599999999761E-3</v>
      </c>
      <c r="DK153" s="1509">
        <v>5.9758239999999629E-3</v>
      </c>
      <c r="DL153" s="1509">
        <v>4.6057549000000031E-2</v>
      </c>
      <c r="DM153" s="1509">
        <v>4.5909628999999952E-2</v>
      </c>
      <c r="DN153" s="1509">
        <v>1</v>
      </c>
      <c r="DO153" s="1509">
        <v>2.6126631999999983E-2</v>
      </c>
      <c r="DP153" s="1509">
        <v>7.701929999999968E-3</v>
      </c>
      <c r="DQ153" s="1509">
        <v>5.8064899999999975E-3</v>
      </c>
      <c r="DR153" s="1509">
        <v>2.0380071000000055E-2</v>
      </c>
      <c r="DS153" s="1509">
        <v>1.3737839000000029E-2</v>
      </c>
      <c r="DT153" s="1509">
        <v>1.9713662999999992E-2</v>
      </c>
      <c r="DU153" s="1509">
        <v>3.9185070000000044E-2</v>
      </c>
      <c r="DV153" s="1509">
        <v>1</v>
      </c>
      <c r="DW153" s="1509">
        <v>1</v>
      </c>
      <c r="DX153" s="1509">
        <v>2.159976600000002E-2</v>
      </c>
      <c r="DY153" s="1509">
        <v>2.9346365999999957E-2</v>
      </c>
      <c r="DZ153" s="1509">
        <v>1</v>
      </c>
      <c r="EA153" s="1509">
        <v>1</v>
      </c>
      <c r="EB153" s="1509">
        <v>1</v>
      </c>
      <c r="EC153" s="1509">
        <v>1</v>
      </c>
      <c r="ED153" s="1509">
        <v>2.9667365000000001E-2</v>
      </c>
      <c r="EE153" s="1509">
        <v>1</v>
      </c>
      <c r="EF153" s="1509">
        <v>1</v>
      </c>
      <c r="EG153" s="1509">
        <v>1</v>
      </c>
      <c r="EH153" s="1509">
        <v>5.3106356000000021E-2</v>
      </c>
      <c r="EI153" s="1509">
        <v>1</v>
      </c>
      <c r="EJ153" s="1509">
        <v>1</v>
      </c>
      <c r="EK153" s="1509">
        <v>1</v>
      </c>
      <c r="EL153" s="1509">
        <v>8.8549380000000011E-2</v>
      </c>
      <c r="EM153" s="1509">
        <v>0.10241080199999997</v>
      </c>
      <c r="EN153" s="1509">
        <v>9.3120797999999949E-2</v>
      </c>
      <c r="EO153" s="1509">
        <v>1</v>
      </c>
      <c r="EP153" s="1509">
        <v>1</v>
      </c>
      <c r="EQ153" s="1509">
        <v>4.6781576999999963E-2</v>
      </c>
      <c r="ER153" s="1509">
        <v>1.4579617999999961E-2</v>
      </c>
      <c r="ES153" s="1509">
        <v>1.6583008999999982E-2</v>
      </c>
      <c r="ET153" s="1509">
        <v>1</v>
      </c>
      <c r="EU153" s="1509">
        <v>1</v>
      </c>
      <c r="EV153" s="1509">
        <v>4.4260681999999996E-2</v>
      </c>
      <c r="EW153" s="1509">
        <v>1</v>
      </c>
      <c r="EX153" s="1509">
        <v>1</v>
      </c>
      <c r="EY153" s="1509">
        <v>4.6892543000000009E-2</v>
      </c>
      <c r="EZ153" s="1509">
        <v>1</v>
      </c>
      <c r="FA153" s="1509">
        <v>4.6057549000000031E-2</v>
      </c>
      <c r="FB153" s="1509">
        <v>3.9528721000000044E-2</v>
      </c>
      <c r="FC153" s="1509">
        <v>1</v>
      </c>
      <c r="FD153" s="1509">
        <v>1</v>
      </c>
      <c r="FE153" s="1509">
        <v>4.8455628000000028E-2</v>
      </c>
      <c r="FF153" s="1509">
        <v>1</v>
      </c>
      <c r="FG153" s="1509">
        <v>1</v>
      </c>
      <c r="FH153" s="1509">
        <v>1</v>
      </c>
      <c r="FI153" s="1509">
        <v>1</v>
      </c>
      <c r="FJ153" s="1509">
        <v>2.9098693999999981E-2</v>
      </c>
      <c r="FK153" s="1509">
        <v>2.4662563000000026E-2</v>
      </c>
      <c r="FL153" s="1509">
        <v>1</v>
      </c>
      <c r="FM153" s="1509">
        <v>3.2313241999999964E-2</v>
      </c>
      <c r="FN153" s="1509">
        <v>2.1003047999999969E-2</v>
      </c>
      <c r="FO153" s="1509">
        <v>2.0500242999999974E-2</v>
      </c>
      <c r="FP153" s="1509">
        <v>1</v>
      </c>
      <c r="FQ153" s="1509">
        <v>1</v>
      </c>
      <c r="FR153" s="1509">
        <v>1</v>
      </c>
      <c r="FS153" s="1509">
        <v>3.8827935000000036E-2</v>
      </c>
      <c r="FT153" s="1509">
        <v>1</v>
      </c>
      <c r="FU153" s="1509">
        <v>4.929902900000005E-2</v>
      </c>
    </row>
    <row r="154" spans="1:177" s="1509" customFormat="1" x14ac:dyDescent="0.2">
      <c r="A154" s="1512" t="s">
        <v>671</v>
      </c>
      <c r="B154" s="1512" t="s">
        <v>1064</v>
      </c>
      <c r="C154" s="1509">
        <v>1</v>
      </c>
      <c r="D154" s="1509">
        <v>0.90836320800000003</v>
      </c>
      <c r="E154" s="1509">
        <v>0</v>
      </c>
      <c r="F154" s="1509">
        <v>1</v>
      </c>
      <c r="G154" s="1509">
        <v>0</v>
      </c>
      <c r="H154" s="1509">
        <v>0</v>
      </c>
      <c r="I154" s="1509">
        <v>1</v>
      </c>
      <c r="J154" s="1509">
        <v>1</v>
      </c>
      <c r="K154" s="1509">
        <v>1</v>
      </c>
      <c r="L154" s="1509">
        <v>1</v>
      </c>
      <c r="M154" s="1509">
        <v>1</v>
      </c>
      <c r="N154" s="1509">
        <v>1</v>
      </c>
      <c r="O154" s="1509">
        <v>1</v>
      </c>
      <c r="P154" s="1509">
        <v>1</v>
      </c>
      <c r="Q154" s="1509">
        <v>1</v>
      </c>
      <c r="R154" s="1509">
        <v>1</v>
      </c>
      <c r="S154" s="1509">
        <v>0.83462521700000003</v>
      </c>
      <c r="T154" s="1509">
        <v>1</v>
      </c>
      <c r="U154" s="1509">
        <v>0</v>
      </c>
      <c r="V154" s="1509">
        <v>0</v>
      </c>
      <c r="W154" s="1509">
        <v>0.82952351800000002</v>
      </c>
      <c r="X154" s="1509">
        <v>0.907442741</v>
      </c>
      <c r="Y154" s="1509">
        <v>0</v>
      </c>
      <c r="Z154" s="1509">
        <v>0</v>
      </c>
      <c r="AA154" s="1509">
        <v>0</v>
      </c>
      <c r="AB154" s="1509">
        <v>0.78265049799999997</v>
      </c>
      <c r="AC154" s="1509">
        <v>0.76660753800000003</v>
      </c>
      <c r="AD154" s="1509">
        <v>0</v>
      </c>
      <c r="AE154" s="1509">
        <v>1</v>
      </c>
      <c r="AF154" s="1509">
        <v>0.83749841599999997</v>
      </c>
      <c r="AG154" s="1509">
        <v>0.79482525999999998</v>
      </c>
      <c r="AH154" s="1509">
        <v>0</v>
      </c>
      <c r="AI154" s="1509">
        <v>0.86704652999999998</v>
      </c>
      <c r="AJ154" s="1509">
        <v>0.892566203</v>
      </c>
      <c r="AK154" s="1509">
        <v>1</v>
      </c>
      <c r="AL154" s="1509">
        <v>0</v>
      </c>
      <c r="AM154" s="1509">
        <v>0.72604119300000003</v>
      </c>
      <c r="AN154" s="1509">
        <v>0.83070129000000004</v>
      </c>
      <c r="AO154" s="1509">
        <v>0.60758471199999997</v>
      </c>
      <c r="AP154" s="1509">
        <v>0.654415203</v>
      </c>
      <c r="AQ154" s="1509">
        <v>1</v>
      </c>
      <c r="AR154" s="1509">
        <v>0.50290559099999999</v>
      </c>
      <c r="AS154" s="1509">
        <v>0</v>
      </c>
      <c r="AT154" s="1509">
        <v>1</v>
      </c>
      <c r="AU154" s="1509">
        <v>0.53096991400000004</v>
      </c>
      <c r="AV154" s="1509">
        <v>0</v>
      </c>
      <c r="AW154" s="1509">
        <v>0.88886570099999995</v>
      </c>
      <c r="AX154" s="1509">
        <v>1</v>
      </c>
      <c r="AY154" s="1509">
        <v>1</v>
      </c>
      <c r="AZ154" s="1509">
        <v>0.77130528600000003</v>
      </c>
      <c r="BA154" s="1509">
        <v>0</v>
      </c>
      <c r="BB154" s="1509">
        <v>1</v>
      </c>
      <c r="BC154" s="1509">
        <v>0</v>
      </c>
      <c r="BD154" s="1509">
        <v>0.57071040900000003</v>
      </c>
      <c r="BE154" s="1509">
        <v>1</v>
      </c>
      <c r="BF154" s="1509">
        <v>0</v>
      </c>
      <c r="BG154" s="1509">
        <v>0</v>
      </c>
      <c r="BH154" s="1509">
        <v>0</v>
      </c>
      <c r="BI154" s="1509">
        <v>1</v>
      </c>
      <c r="BJ154" s="1509">
        <v>0.89738095399999995</v>
      </c>
      <c r="BK154" s="1509">
        <v>0.85342585199999998</v>
      </c>
      <c r="BL154" s="1509">
        <v>1</v>
      </c>
      <c r="BM154" s="1509">
        <v>0.826419401</v>
      </c>
      <c r="BN154" s="1509">
        <v>0</v>
      </c>
      <c r="BO154" s="1509">
        <v>0.86358080400000004</v>
      </c>
      <c r="BP154" s="1509">
        <v>0.77416133099999995</v>
      </c>
      <c r="BQ154" s="1509">
        <v>0.79428490500000004</v>
      </c>
      <c r="BR154" s="1509">
        <v>0</v>
      </c>
      <c r="BS154" s="1509">
        <v>0.823672776</v>
      </c>
      <c r="BT154" s="1509">
        <v>0</v>
      </c>
      <c r="BU154" s="1509">
        <v>0</v>
      </c>
      <c r="BV154" s="1509">
        <v>0.80218171400000005</v>
      </c>
      <c r="BW154" s="1509">
        <v>1</v>
      </c>
      <c r="BX154" s="1509">
        <v>1</v>
      </c>
      <c r="BY154" s="1509">
        <v>1</v>
      </c>
      <c r="BZ154" s="1509">
        <v>1</v>
      </c>
      <c r="CA154" s="1509">
        <v>0.798989952</v>
      </c>
      <c r="CB154" s="1509">
        <v>1</v>
      </c>
      <c r="CC154" s="1509">
        <v>1</v>
      </c>
      <c r="CD154" s="1509">
        <v>0.75301559799999995</v>
      </c>
      <c r="CE154" s="1509">
        <v>0</v>
      </c>
      <c r="CF154" s="1509">
        <v>1</v>
      </c>
      <c r="CG154" s="1509">
        <v>0.78903414299999997</v>
      </c>
      <c r="CH154" s="1509">
        <v>0.78903041600000001</v>
      </c>
      <c r="CI154" s="1509">
        <v>0.77611033699999998</v>
      </c>
      <c r="CJ154" s="1509">
        <v>1</v>
      </c>
      <c r="CK154" s="1509">
        <v>0.863747441</v>
      </c>
      <c r="CL154" s="1509">
        <v>0</v>
      </c>
      <c r="CM154" s="1509">
        <v>0.44206346200000002</v>
      </c>
      <c r="CN154" s="1509">
        <v>0</v>
      </c>
      <c r="CO154" s="1509">
        <v>0</v>
      </c>
      <c r="CP154" s="1509">
        <v>0</v>
      </c>
      <c r="CQ154" s="1509">
        <v>0.788188208</v>
      </c>
      <c r="CR154" s="1509">
        <v>0.90434221999999997</v>
      </c>
      <c r="CS154" s="1509">
        <v>0.79767237300000005</v>
      </c>
      <c r="CT154" s="1509">
        <v>1</v>
      </c>
      <c r="CU154" s="1509">
        <v>0</v>
      </c>
      <c r="CV154" s="1509">
        <v>0.88319243599999997</v>
      </c>
      <c r="CW154" s="1509">
        <v>0.89729872499999996</v>
      </c>
      <c r="CX154" s="1509">
        <v>0.77099156800000002</v>
      </c>
      <c r="CY154" s="1509">
        <v>0.88090835000000001</v>
      </c>
      <c r="CZ154" s="1509">
        <v>1</v>
      </c>
      <c r="DA154" s="1509">
        <v>1</v>
      </c>
      <c r="DB154" s="1509">
        <v>0.40750006900000002</v>
      </c>
      <c r="DC154" s="1509">
        <v>0.41714879599999999</v>
      </c>
      <c r="DD154" s="1509">
        <v>0.41363515099999998</v>
      </c>
      <c r="DE154" s="1509">
        <v>0</v>
      </c>
      <c r="DF154" s="1509">
        <v>0.422134126</v>
      </c>
      <c r="DG154" s="1509">
        <v>0</v>
      </c>
      <c r="DH154" s="1509">
        <v>0</v>
      </c>
      <c r="DI154" s="1509">
        <v>0.41202549700000002</v>
      </c>
      <c r="DJ154" s="1509">
        <v>1</v>
      </c>
      <c r="DK154" s="1509">
        <v>1</v>
      </c>
      <c r="DL154" s="1509">
        <v>1</v>
      </c>
      <c r="DM154" s="1509">
        <v>0.75435089099999997</v>
      </c>
      <c r="DN154" s="1509">
        <v>1</v>
      </c>
      <c r="DO154" s="1509">
        <v>1</v>
      </c>
      <c r="DP154" s="1509">
        <v>1</v>
      </c>
      <c r="DQ154" s="1509">
        <v>0.54007461599999995</v>
      </c>
      <c r="DR154" s="1509">
        <v>0.54007461599999995</v>
      </c>
      <c r="DS154" s="1509">
        <v>1</v>
      </c>
      <c r="DT154" s="1509">
        <v>1</v>
      </c>
      <c r="DU154" s="1509">
        <v>0</v>
      </c>
      <c r="DV154" s="1509">
        <v>0.80485723399999998</v>
      </c>
      <c r="DW154" s="1509">
        <v>1</v>
      </c>
      <c r="DX154" s="1509">
        <v>0.53634295200000004</v>
      </c>
      <c r="DY154" s="1509">
        <v>0</v>
      </c>
      <c r="DZ154" s="1509">
        <v>0</v>
      </c>
      <c r="EA154" s="1509">
        <v>0</v>
      </c>
      <c r="EB154" s="1509">
        <v>1</v>
      </c>
      <c r="EC154" s="1509">
        <v>0</v>
      </c>
      <c r="ED154" s="1509">
        <v>0</v>
      </c>
      <c r="EE154" s="1509">
        <v>1</v>
      </c>
      <c r="EF154" s="1509">
        <v>0</v>
      </c>
      <c r="EG154" s="1509">
        <v>1</v>
      </c>
      <c r="EH154" s="1509">
        <v>0</v>
      </c>
      <c r="EI154" s="1509">
        <v>1</v>
      </c>
      <c r="EJ154" s="1509">
        <v>1</v>
      </c>
      <c r="EK154" s="1509">
        <v>1</v>
      </c>
      <c r="EL154" s="1509">
        <v>0.45751892500000002</v>
      </c>
      <c r="EM154" s="1509">
        <v>0</v>
      </c>
      <c r="EN154" s="1509">
        <v>0.48146138199999999</v>
      </c>
      <c r="EO154" s="1509">
        <v>0</v>
      </c>
      <c r="EP154" s="1509">
        <v>1</v>
      </c>
      <c r="EQ154" s="1509">
        <v>0</v>
      </c>
      <c r="ER154" s="1509">
        <v>1</v>
      </c>
      <c r="ES154" s="1509">
        <v>1</v>
      </c>
      <c r="ET154" s="1509">
        <v>1</v>
      </c>
      <c r="EU154" s="1509">
        <v>1</v>
      </c>
      <c r="EV154" s="1509">
        <v>0</v>
      </c>
      <c r="EW154" s="1509">
        <v>0.86512053099999997</v>
      </c>
      <c r="EX154" s="1509">
        <v>1</v>
      </c>
      <c r="EY154" s="1509">
        <v>1</v>
      </c>
      <c r="EZ154" s="1509">
        <v>1</v>
      </c>
      <c r="FA154" s="1509">
        <v>0.70810052700000004</v>
      </c>
      <c r="FB154" s="1509">
        <v>0.64344628199999998</v>
      </c>
      <c r="FC154" s="1509">
        <v>0.85081346499999999</v>
      </c>
      <c r="FD154" s="1509">
        <v>0.85087950999999995</v>
      </c>
      <c r="FE154" s="1509">
        <v>1</v>
      </c>
      <c r="FF154" s="1509">
        <v>1</v>
      </c>
      <c r="FG154" s="1509">
        <v>1</v>
      </c>
      <c r="FH154" s="1509">
        <v>1</v>
      </c>
      <c r="FI154" s="1509">
        <v>0.79303601000000001</v>
      </c>
      <c r="FJ154" s="1509">
        <v>0.76603812999999998</v>
      </c>
      <c r="FK154" s="1509">
        <v>1</v>
      </c>
      <c r="FL154" s="1509">
        <v>0.40546730600000003</v>
      </c>
      <c r="FM154" s="1509">
        <v>0.90836320800000003</v>
      </c>
      <c r="FN154" s="1509">
        <v>1</v>
      </c>
      <c r="FO154" s="1509">
        <v>0.454118894</v>
      </c>
      <c r="FP154" s="1509">
        <v>0.88733472199999996</v>
      </c>
      <c r="FQ154" s="1509">
        <v>1</v>
      </c>
      <c r="FR154" s="1509">
        <v>0.890661119</v>
      </c>
      <c r="FS154" s="1509">
        <v>0</v>
      </c>
      <c r="FT154" s="1509">
        <v>1</v>
      </c>
      <c r="FU154" s="1509">
        <v>0.78268776399999995</v>
      </c>
    </row>
    <row r="155" spans="1:177" s="1509" customFormat="1" x14ac:dyDescent="0.2">
      <c r="A155" s="1512" t="s">
        <v>671</v>
      </c>
      <c r="B155" s="1512" t="s">
        <v>1069</v>
      </c>
      <c r="C155" s="1509">
        <v>1</v>
      </c>
      <c r="D155" s="1509">
        <v>1</v>
      </c>
      <c r="E155" s="1509" t="s">
        <v>2372</v>
      </c>
      <c r="F155" s="1509" t="s">
        <v>2372</v>
      </c>
      <c r="G155" s="1509" t="s">
        <v>2372</v>
      </c>
      <c r="H155" s="1509" t="s">
        <v>2372</v>
      </c>
      <c r="I155" s="1509" t="s">
        <v>2372</v>
      </c>
      <c r="J155" s="1509" t="s">
        <v>2372</v>
      </c>
      <c r="K155" s="1509" t="s">
        <v>2372</v>
      </c>
      <c r="L155" s="1509" t="s">
        <v>2372</v>
      </c>
      <c r="M155" s="1509" t="s">
        <v>2372</v>
      </c>
      <c r="N155" s="1509" t="s">
        <v>2372</v>
      </c>
      <c r="O155" s="1509" t="s">
        <v>2372</v>
      </c>
      <c r="P155" s="1509" t="s">
        <v>2372</v>
      </c>
      <c r="Q155" s="1509" t="s">
        <v>2372</v>
      </c>
      <c r="R155" s="1509" t="s">
        <v>2372</v>
      </c>
      <c r="S155" s="1509">
        <v>1</v>
      </c>
      <c r="T155" s="1509">
        <v>1</v>
      </c>
      <c r="U155" s="1509">
        <v>1</v>
      </c>
      <c r="V155" s="1509">
        <v>1</v>
      </c>
      <c r="W155" s="1509">
        <v>1</v>
      </c>
      <c r="X155" s="1509">
        <v>1</v>
      </c>
      <c r="Y155" s="1509">
        <v>1</v>
      </c>
      <c r="Z155" s="1509">
        <v>1</v>
      </c>
      <c r="AA155" s="1509">
        <v>1</v>
      </c>
      <c r="AB155" s="1509">
        <v>1</v>
      </c>
      <c r="AC155" s="1509">
        <v>1</v>
      </c>
      <c r="AD155" s="1509">
        <v>1</v>
      </c>
      <c r="AE155" s="1509" t="s">
        <v>2372</v>
      </c>
      <c r="AF155" s="1509">
        <v>1</v>
      </c>
      <c r="AG155" s="1509">
        <v>1</v>
      </c>
      <c r="AH155" s="1509">
        <v>1</v>
      </c>
      <c r="AI155" s="1509">
        <v>1</v>
      </c>
      <c r="AJ155" s="1509">
        <v>1</v>
      </c>
      <c r="AK155" s="1509" t="s">
        <v>2372</v>
      </c>
      <c r="AL155" s="1509" t="s">
        <v>2372</v>
      </c>
      <c r="AM155" s="1509" t="s">
        <v>2372</v>
      </c>
      <c r="AN155" s="1509">
        <v>1</v>
      </c>
      <c r="AO155" s="1509" t="s">
        <v>2372</v>
      </c>
      <c r="AP155" s="1509">
        <v>1</v>
      </c>
      <c r="AQ155" s="1509" t="s">
        <v>2372</v>
      </c>
      <c r="AR155" s="1509">
        <v>1</v>
      </c>
      <c r="AS155" s="1509">
        <v>1</v>
      </c>
      <c r="AT155" s="1509">
        <v>1</v>
      </c>
      <c r="AU155" s="1509">
        <v>1</v>
      </c>
      <c r="AV155" s="1509">
        <v>1</v>
      </c>
      <c r="AW155" s="1509">
        <v>1</v>
      </c>
      <c r="AX155" s="1509" t="s">
        <v>2372</v>
      </c>
      <c r="AY155" s="1509" t="s">
        <v>2372</v>
      </c>
      <c r="AZ155" s="1509">
        <v>1</v>
      </c>
      <c r="BA155" s="1509">
        <v>1</v>
      </c>
      <c r="BB155" s="1509">
        <v>1</v>
      </c>
      <c r="BC155" s="1509">
        <v>1</v>
      </c>
      <c r="BD155" s="1509">
        <v>1</v>
      </c>
      <c r="BE155" s="1509" t="s">
        <v>2372</v>
      </c>
      <c r="BF155" s="1509">
        <v>1</v>
      </c>
      <c r="BG155" s="1509" t="s">
        <v>2372</v>
      </c>
      <c r="BH155" s="1509">
        <v>1</v>
      </c>
      <c r="BI155" s="1509">
        <v>1</v>
      </c>
      <c r="BJ155" s="1509">
        <v>1</v>
      </c>
      <c r="BK155" s="1509">
        <v>1</v>
      </c>
      <c r="BL155" s="1509">
        <v>1</v>
      </c>
      <c r="BM155" s="1509" t="s">
        <v>2372</v>
      </c>
      <c r="BN155" s="1509" t="s">
        <v>2372</v>
      </c>
      <c r="BO155" s="1509" t="s">
        <v>2372</v>
      </c>
      <c r="BP155" s="1509" t="s">
        <v>2372</v>
      </c>
      <c r="BQ155" s="1509" t="s">
        <v>2372</v>
      </c>
      <c r="BR155" s="1509" t="s">
        <v>2372</v>
      </c>
      <c r="BS155" s="1509" t="s">
        <v>2372</v>
      </c>
      <c r="BT155" s="1509">
        <v>1</v>
      </c>
      <c r="BU155" s="1509" t="s">
        <v>2372</v>
      </c>
      <c r="BV155" s="1509" t="s">
        <v>2372</v>
      </c>
      <c r="BW155" s="1509" t="s">
        <v>2372</v>
      </c>
      <c r="BX155" s="1509" t="s">
        <v>2372</v>
      </c>
      <c r="BY155" s="1509" t="s">
        <v>2372</v>
      </c>
      <c r="BZ155" s="1509" t="s">
        <v>2372</v>
      </c>
      <c r="CA155" s="1509" t="s">
        <v>2372</v>
      </c>
      <c r="CB155" s="1509" t="s">
        <v>2372</v>
      </c>
      <c r="CC155" s="1509" t="s">
        <v>2372</v>
      </c>
      <c r="CD155" s="1509">
        <v>1</v>
      </c>
      <c r="CE155" s="1509">
        <v>1</v>
      </c>
      <c r="CF155" s="1509" t="s">
        <v>2372</v>
      </c>
      <c r="CG155" s="1509">
        <v>1</v>
      </c>
      <c r="CH155" s="1509">
        <v>1</v>
      </c>
      <c r="CI155" s="1509" t="s">
        <v>2372</v>
      </c>
      <c r="CJ155" s="1509" t="s">
        <v>2372</v>
      </c>
      <c r="CK155" s="1509" t="s">
        <v>2372</v>
      </c>
      <c r="CL155" s="1509" t="s">
        <v>2372</v>
      </c>
      <c r="CM155" s="1509" t="s">
        <v>2372</v>
      </c>
      <c r="CN155" s="1509">
        <v>1</v>
      </c>
      <c r="CO155" s="1509">
        <v>1</v>
      </c>
      <c r="CP155" s="1509">
        <v>1</v>
      </c>
      <c r="CQ155" s="1509">
        <v>1</v>
      </c>
      <c r="CR155" s="1509">
        <v>1</v>
      </c>
      <c r="CS155" s="1509" t="s">
        <v>2372</v>
      </c>
      <c r="CT155" s="1509" t="s">
        <v>2372</v>
      </c>
      <c r="CU155" s="1509" t="s">
        <v>2372</v>
      </c>
      <c r="CV155" s="1509">
        <v>1</v>
      </c>
      <c r="CW155" s="1509">
        <v>1</v>
      </c>
      <c r="CX155" s="1509">
        <v>1</v>
      </c>
      <c r="CY155" s="1509" t="s">
        <v>2372</v>
      </c>
      <c r="CZ155" s="1509" t="s">
        <v>2372</v>
      </c>
      <c r="DA155" s="1509" t="s">
        <v>2372</v>
      </c>
      <c r="DB155" s="1509" t="s">
        <v>2372</v>
      </c>
      <c r="DC155" s="1509" t="s">
        <v>2372</v>
      </c>
      <c r="DD155" s="1509" t="s">
        <v>2372</v>
      </c>
      <c r="DE155" s="1509" t="s">
        <v>2372</v>
      </c>
      <c r="DF155" s="1509" t="s">
        <v>2372</v>
      </c>
      <c r="DG155" s="1509" t="s">
        <v>2372</v>
      </c>
      <c r="DH155" s="1509" t="s">
        <v>2372</v>
      </c>
      <c r="DI155" s="1509" t="s">
        <v>2372</v>
      </c>
      <c r="DJ155" s="1509" t="s">
        <v>2372</v>
      </c>
      <c r="DK155" s="1509" t="s">
        <v>2372</v>
      </c>
      <c r="DL155" s="1509" t="s">
        <v>2372</v>
      </c>
      <c r="DM155" s="1509" t="s">
        <v>2372</v>
      </c>
      <c r="DN155" s="1509" t="s">
        <v>2372</v>
      </c>
      <c r="DO155" s="1509" t="s">
        <v>2372</v>
      </c>
      <c r="DP155" s="1509" t="s">
        <v>2372</v>
      </c>
      <c r="DQ155" s="1509" t="s">
        <v>2372</v>
      </c>
      <c r="DR155" s="1509" t="s">
        <v>2372</v>
      </c>
      <c r="DS155" s="1509" t="s">
        <v>2372</v>
      </c>
      <c r="DT155" s="1509" t="s">
        <v>2372</v>
      </c>
      <c r="DU155" s="1509">
        <v>1</v>
      </c>
      <c r="DV155" s="1509">
        <v>1</v>
      </c>
      <c r="DW155" s="1509">
        <v>1</v>
      </c>
      <c r="DX155" s="1509">
        <v>1</v>
      </c>
      <c r="DY155" s="1509" t="s">
        <v>2372</v>
      </c>
      <c r="DZ155" s="1509">
        <v>1</v>
      </c>
      <c r="EA155" s="1509" t="s">
        <v>2372</v>
      </c>
      <c r="EB155" s="1509">
        <v>1</v>
      </c>
      <c r="EC155" s="1509" t="s">
        <v>2372</v>
      </c>
      <c r="ED155" s="1509" t="s">
        <v>2372</v>
      </c>
      <c r="EE155" s="1509" t="s">
        <v>2372</v>
      </c>
      <c r="EF155" s="1509" t="s">
        <v>2372</v>
      </c>
      <c r="EG155" s="1509" t="s">
        <v>2372</v>
      </c>
      <c r="EH155" s="1509">
        <v>1</v>
      </c>
      <c r="EI155" s="1509" t="s">
        <v>2372</v>
      </c>
      <c r="EJ155" s="1509" t="s">
        <v>2372</v>
      </c>
      <c r="EK155" s="1509" t="s">
        <v>2372</v>
      </c>
      <c r="EL155" s="1509" t="s">
        <v>2372</v>
      </c>
      <c r="EM155" s="1509" t="s">
        <v>2372</v>
      </c>
      <c r="EN155" s="1509" t="s">
        <v>2372</v>
      </c>
      <c r="EO155" s="1509" t="s">
        <v>2372</v>
      </c>
      <c r="EP155" s="1509" t="s">
        <v>2372</v>
      </c>
      <c r="EQ155" s="1509" t="s">
        <v>2372</v>
      </c>
      <c r="ER155" s="1509" t="s">
        <v>2372</v>
      </c>
      <c r="ES155" s="1509" t="s">
        <v>2372</v>
      </c>
      <c r="ET155" s="1509" t="s">
        <v>2372</v>
      </c>
      <c r="EU155" s="1509" t="s">
        <v>2372</v>
      </c>
      <c r="EV155" s="1509">
        <v>1</v>
      </c>
      <c r="EW155" s="1509" t="s">
        <v>2372</v>
      </c>
      <c r="EX155" s="1509" t="s">
        <v>2372</v>
      </c>
      <c r="EY155" s="1509" t="s">
        <v>2372</v>
      </c>
      <c r="EZ155" s="1509" t="s">
        <v>2372</v>
      </c>
      <c r="FA155" s="1509">
        <v>1</v>
      </c>
      <c r="FB155" s="1509">
        <v>1</v>
      </c>
      <c r="FC155" s="1509" t="s">
        <v>2372</v>
      </c>
      <c r="FD155" s="1509">
        <v>1</v>
      </c>
      <c r="FE155" s="1509" t="s">
        <v>2372</v>
      </c>
      <c r="FF155" s="1509" t="s">
        <v>2372</v>
      </c>
      <c r="FG155" s="1509" t="s">
        <v>2372</v>
      </c>
      <c r="FH155" s="1509" t="s">
        <v>2372</v>
      </c>
      <c r="FI155" s="1509">
        <v>1</v>
      </c>
      <c r="FJ155" s="1509">
        <v>1</v>
      </c>
      <c r="FK155" s="1509" t="s">
        <v>2372</v>
      </c>
      <c r="FL155" s="1509" t="s">
        <v>2372</v>
      </c>
      <c r="FM155" s="1509">
        <v>1</v>
      </c>
      <c r="FN155" s="1509" t="s">
        <v>2372</v>
      </c>
      <c r="FO155" s="1509" t="s">
        <v>2372</v>
      </c>
      <c r="FP155" s="1509" t="s">
        <v>2372</v>
      </c>
      <c r="FQ155" s="1509" t="s">
        <v>2372</v>
      </c>
      <c r="FR155" s="1509">
        <v>1</v>
      </c>
      <c r="FS155" s="1509">
        <v>1</v>
      </c>
      <c r="FT155" s="1509" t="s">
        <v>2372</v>
      </c>
      <c r="FU155" s="1509">
        <v>1</v>
      </c>
    </row>
    <row r="156" spans="1:177" s="1509" customFormat="1" x14ac:dyDescent="0.2">
      <c r="A156" s="1512" t="s">
        <v>671</v>
      </c>
      <c r="B156" s="1512" t="s">
        <v>1065</v>
      </c>
      <c r="C156" s="1509">
        <v>0.81336130799999995</v>
      </c>
      <c r="D156" s="1509">
        <v>0.81336130799999995</v>
      </c>
      <c r="E156" s="1509">
        <v>0.53235050799999994</v>
      </c>
      <c r="F156" s="1509">
        <v>0.16799859100000003</v>
      </c>
      <c r="G156" s="1509">
        <v>0.20401577100000001</v>
      </c>
      <c r="H156" s="1509">
        <v>0.15020384399999998</v>
      </c>
      <c r="I156" s="1509">
        <v>3.1918223999999995E-2</v>
      </c>
      <c r="J156" s="1509">
        <v>3.7411214000000026E-2</v>
      </c>
      <c r="K156" s="1509">
        <v>0.53235050799999994</v>
      </c>
      <c r="L156" s="1509">
        <v>0.91277176100000001</v>
      </c>
      <c r="M156" s="1509">
        <v>0.94563653800000003</v>
      </c>
      <c r="N156" s="1509">
        <v>0.11276654399999997</v>
      </c>
      <c r="O156" s="1509">
        <v>4.4730232000000036E-2</v>
      </c>
      <c r="P156" s="1509">
        <v>0.88399132499999999</v>
      </c>
      <c r="Q156" s="1509">
        <v>0.41882688199999996</v>
      </c>
      <c r="R156" s="1509">
        <v>0.96182853099999999</v>
      </c>
      <c r="S156" s="1509">
        <v>0.27618859500000004</v>
      </c>
      <c r="T156" s="1509">
        <v>0.27618859500000004</v>
      </c>
      <c r="U156" s="1509">
        <v>0.27618859500000004</v>
      </c>
      <c r="V156" s="1509">
        <v>0.27618859500000004</v>
      </c>
      <c r="W156" s="1509">
        <v>0.95817650600000004</v>
      </c>
      <c r="X156" s="1509">
        <v>0.45395055600000001</v>
      </c>
      <c r="Y156" s="1509">
        <v>0.53235050799999994</v>
      </c>
      <c r="Z156" s="1509">
        <v>0.53235050799999994</v>
      </c>
      <c r="AA156" s="1509">
        <v>0.53235050799999994</v>
      </c>
      <c r="AB156" s="1509">
        <v>0.67332359500000005</v>
      </c>
      <c r="AC156" s="1509">
        <v>0.67332359500000005</v>
      </c>
      <c r="AD156" s="1509">
        <v>0.74321201999999997</v>
      </c>
      <c r="AE156" s="1509">
        <v>0.94328362700000001</v>
      </c>
      <c r="AF156" s="1509">
        <v>7.0805200000001456E-4</v>
      </c>
      <c r="AG156" s="1509">
        <v>0.81336130799999995</v>
      </c>
      <c r="AH156" s="1509">
        <v>8.6400935999999984E-2</v>
      </c>
      <c r="AI156" s="1509">
        <v>0.81336130799999995</v>
      </c>
      <c r="AJ156" s="1509">
        <v>0.27618859500000004</v>
      </c>
      <c r="AK156" s="1509">
        <v>0.90852871599999996</v>
      </c>
      <c r="AL156" s="1509">
        <v>0.13454379999999999</v>
      </c>
      <c r="AM156" s="1509">
        <v>7.1270318000000055E-2</v>
      </c>
      <c r="AN156" s="1509">
        <v>4.6765084999999984E-2</v>
      </c>
      <c r="AO156" s="1509">
        <v>7.7080056000000008E-2</v>
      </c>
      <c r="AP156" s="1509">
        <v>0.37836401500000005</v>
      </c>
      <c r="AQ156" s="1509">
        <v>0.81336130799999995</v>
      </c>
      <c r="AR156" s="1509">
        <v>4.299198999999998E-2</v>
      </c>
      <c r="AS156" s="1509">
        <v>9.0857380000000099E-3</v>
      </c>
      <c r="AT156" s="1509">
        <v>5.9187999999998908E-4</v>
      </c>
      <c r="AU156" s="1509">
        <v>5.7289345000000047E-2</v>
      </c>
      <c r="AV156" s="1509">
        <v>1.5886442999999972E-2</v>
      </c>
      <c r="AW156" s="1509">
        <v>0.20401577100000001</v>
      </c>
      <c r="AX156" s="1509">
        <v>0.35808511499999995</v>
      </c>
      <c r="AY156" s="1509">
        <v>2.4321378999999976E-2</v>
      </c>
      <c r="AZ156" s="1509">
        <v>0.32582612300000002</v>
      </c>
      <c r="BA156" s="1509">
        <v>5.1411179000000029E-2</v>
      </c>
      <c r="BB156" s="1509">
        <v>0.424383022</v>
      </c>
      <c r="BC156" s="1509">
        <v>1.2982920000000009E-2</v>
      </c>
      <c r="BD156" s="1509">
        <v>3.9848109999999992E-2</v>
      </c>
      <c r="BE156" s="1509">
        <v>0.53950815699999999</v>
      </c>
      <c r="BF156" s="1509">
        <v>1.2183497999999959E-2</v>
      </c>
      <c r="BG156" s="1509">
        <v>0.40294127899999999</v>
      </c>
      <c r="BH156" s="1509">
        <v>7.0805200000001456E-4</v>
      </c>
      <c r="BI156" s="1509">
        <v>0.20401577100000001</v>
      </c>
      <c r="BJ156" s="1509">
        <v>0.67332359500000005</v>
      </c>
      <c r="BK156" s="1509">
        <v>8.6400935999999984E-2</v>
      </c>
      <c r="BL156" s="1509">
        <v>0.45395055600000001</v>
      </c>
      <c r="BM156" s="1509">
        <v>0.85948095199999996</v>
      </c>
      <c r="BN156" s="1509">
        <v>0.45395055600000001</v>
      </c>
      <c r="BO156" s="1509">
        <v>0.27618859500000004</v>
      </c>
      <c r="BP156" s="1509">
        <v>7.0805170000000084E-3</v>
      </c>
      <c r="BQ156" s="1509">
        <v>0.67332359500000005</v>
      </c>
      <c r="BR156" s="1509">
        <v>6.3053859999999684E-3</v>
      </c>
      <c r="BS156" s="1509">
        <v>0.88399132499999999</v>
      </c>
      <c r="BT156" s="1509">
        <v>7.4851899999994753E-4</v>
      </c>
      <c r="BU156" s="1509">
        <v>6.1791382999999978E-2</v>
      </c>
      <c r="BV156" s="1509">
        <v>0.64218017300000008</v>
      </c>
      <c r="BW156" s="1509">
        <v>0.69915630399999995</v>
      </c>
      <c r="BX156" s="1509">
        <v>4.2327840000000005E-2</v>
      </c>
      <c r="BY156" s="1509">
        <v>4.2327840000000005E-2</v>
      </c>
      <c r="BZ156" s="1509">
        <v>0.28671389800000002</v>
      </c>
      <c r="CA156" s="1509">
        <v>0.16106316200000004</v>
      </c>
      <c r="CB156" s="1509">
        <v>0.69915630399999995</v>
      </c>
      <c r="CC156" s="1509">
        <v>0.56693994199999997</v>
      </c>
      <c r="CD156" s="1509">
        <v>0.96831104099999998</v>
      </c>
      <c r="CE156" s="1509">
        <v>0.56693994199999997</v>
      </c>
      <c r="CF156" s="1509">
        <v>0.36343834200000003</v>
      </c>
      <c r="CG156" s="1509">
        <v>1.5886442999999972E-2</v>
      </c>
      <c r="CH156" s="1509">
        <v>3.1918223999999995E-2</v>
      </c>
      <c r="CI156" s="1509">
        <v>0.81336130799999995</v>
      </c>
      <c r="CJ156" s="1509">
        <v>4.3936992000000008E-2</v>
      </c>
      <c r="CK156" s="1509">
        <v>1.3451334999999953E-2</v>
      </c>
      <c r="CL156" s="1509">
        <v>1.1469960000000001E-2</v>
      </c>
      <c r="CM156" s="1509">
        <v>2.7404667999999965E-2</v>
      </c>
      <c r="CN156" s="1509">
        <v>1.9917494999999952E-2</v>
      </c>
      <c r="CO156" s="1509">
        <v>1.9917494999999952E-2</v>
      </c>
      <c r="CP156" s="1509">
        <v>1.8649299999995428E-4</v>
      </c>
      <c r="CQ156" s="1509">
        <v>6.8062398000000024E-2</v>
      </c>
      <c r="CR156" s="1509">
        <v>1.5886442999999972E-2</v>
      </c>
      <c r="CS156" s="1509">
        <v>0.15020384399999998</v>
      </c>
      <c r="CT156" s="1509">
        <v>4.4730232000000036E-2</v>
      </c>
      <c r="CU156" s="1509">
        <v>0.27618859500000004</v>
      </c>
      <c r="CV156" s="1509">
        <v>0.424383022</v>
      </c>
      <c r="CW156" s="1509">
        <v>0.32582612300000002</v>
      </c>
      <c r="CX156" s="1509">
        <v>0.424383022</v>
      </c>
      <c r="CY156" s="1509">
        <v>3.2698192999999987E-2</v>
      </c>
      <c r="CZ156" s="1509">
        <v>6.8099262000000049E-2</v>
      </c>
      <c r="DA156" s="1509">
        <v>5.3574843000000039E-2</v>
      </c>
      <c r="DB156" s="1509">
        <v>0.27000800199999997</v>
      </c>
      <c r="DC156" s="1509">
        <v>0.11799225499999999</v>
      </c>
      <c r="DD156" s="1509">
        <v>4.2494870000000518E-3</v>
      </c>
      <c r="DE156" s="1509">
        <v>0.31147269600000005</v>
      </c>
      <c r="DF156" s="1509">
        <v>0.14466652599999996</v>
      </c>
      <c r="DG156" s="1509">
        <v>0.17258252900000004</v>
      </c>
      <c r="DH156" s="1509">
        <v>0.44245256099999997</v>
      </c>
      <c r="DI156" s="1509">
        <v>0.17258252900000004</v>
      </c>
      <c r="DJ156" s="1509">
        <v>2.7404667999999965E-2</v>
      </c>
      <c r="DK156" s="1509">
        <v>0.23792954600000005</v>
      </c>
      <c r="DL156" s="1509">
        <v>1</v>
      </c>
      <c r="DM156" s="1509">
        <v>0.85948095199999996</v>
      </c>
      <c r="DN156" s="1509">
        <v>2.1066280999999965E-2</v>
      </c>
      <c r="DO156" s="1509">
        <v>9.4627170999999954E-2</v>
      </c>
      <c r="DP156" s="1509">
        <v>2.2712500000000024E-2</v>
      </c>
      <c r="DQ156" s="1509">
        <v>0.33815295700000003</v>
      </c>
      <c r="DR156" s="1509">
        <v>0.28671389800000002</v>
      </c>
      <c r="DS156" s="1509">
        <v>0.28671389800000002</v>
      </c>
      <c r="DT156" s="1509">
        <v>0.17548929099999999</v>
      </c>
      <c r="DU156" s="1509">
        <v>2.7148190999999988E-2</v>
      </c>
      <c r="DV156" s="1509">
        <v>0.67332359500000005</v>
      </c>
      <c r="DW156" s="1509">
        <v>0.195293567</v>
      </c>
      <c r="DX156" s="1509">
        <v>5.1931680000000036E-2</v>
      </c>
      <c r="DY156" s="1509">
        <v>5.1735900000005053E-4</v>
      </c>
      <c r="DZ156" s="1509">
        <v>3.4667240000000321E-3</v>
      </c>
      <c r="EA156" s="1509">
        <v>0.71738436500000002</v>
      </c>
      <c r="EB156" s="1509">
        <v>3.1918223999999995E-2</v>
      </c>
      <c r="EC156" s="1509">
        <v>7.8556469999999656E-3</v>
      </c>
      <c r="ED156" s="1509">
        <v>0.361926199</v>
      </c>
      <c r="EE156" s="1509">
        <v>0.80475632799999997</v>
      </c>
      <c r="EF156" s="1509">
        <v>0.50298857399999997</v>
      </c>
      <c r="EG156" s="1509">
        <v>4.2327840000000005E-2</v>
      </c>
      <c r="EH156" s="1509">
        <v>0.64218017300000008</v>
      </c>
      <c r="EI156" s="1509">
        <v>0.10316815000000001</v>
      </c>
      <c r="EJ156" s="1509">
        <v>0.36343834200000003</v>
      </c>
      <c r="EK156" s="1509">
        <v>8.6400935999999984E-2</v>
      </c>
      <c r="EL156" s="1509">
        <v>7.3795748999999966E-2</v>
      </c>
      <c r="EM156" s="1509">
        <v>1.5894186000000032E-2</v>
      </c>
      <c r="EN156" s="1509">
        <v>0.23601210500000003</v>
      </c>
      <c r="EO156" s="1509">
        <v>5.5188100000003182E-4</v>
      </c>
      <c r="EP156" s="1509">
        <v>0.10512314899999997</v>
      </c>
      <c r="EQ156" s="1509">
        <v>0.97876213099999998</v>
      </c>
      <c r="ER156" s="1509">
        <v>0.71738436500000002</v>
      </c>
      <c r="ES156" s="1509">
        <v>0.87537150799999996</v>
      </c>
      <c r="ET156" s="1509">
        <v>0.28935570300000002</v>
      </c>
      <c r="EU156" s="1509">
        <v>0.28671389800000002</v>
      </c>
      <c r="EV156" s="1509">
        <v>0.81336130799999995</v>
      </c>
      <c r="EW156" s="1509">
        <v>0.68991539499999999</v>
      </c>
      <c r="EX156" s="1509">
        <v>5.1411179000000029E-2</v>
      </c>
      <c r="EY156" s="1509">
        <v>2.8328160000000047E-2</v>
      </c>
      <c r="EZ156" s="1509">
        <v>4.2327840000000005E-2</v>
      </c>
      <c r="FA156" s="1509">
        <v>0.263746429</v>
      </c>
      <c r="FB156" s="1509">
        <v>0.63090429799999992</v>
      </c>
      <c r="FC156" s="1509">
        <v>0.79558813800000006</v>
      </c>
      <c r="FD156" s="1509">
        <v>0.32582612300000002</v>
      </c>
      <c r="FE156" s="1509">
        <v>7.5110627000000041E-2</v>
      </c>
      <c r="FF156" s="1509">
        <v>0.743293227</v>
      </c>
      <c r="FG156" s="1509">
        <v>0.49689566699999999</v>
      </c>
      <c r="FH156" s="1509">
        <v>3.3669996999999952E-2</v>
      </c>
      <c r="FI156" s="1509">
        <v>2.3510904999999971E-2</v>
      </c>
      <c r="FJ156" s="1509">
        <v>0.71738436500000002</v>
      </c>
      <c r="FK156" s="1509">
        <v>0.20370238900000004</v>
      </c>
      <c r="FL156" s="1509">
        <v>0.40953283200000001</v>
      </c>
      <c r="FM156" s="1509">
        <v>0.20401577100000001</v>
      </c>
      <c r="FN156" s="1509">
        <v>0.67332359500000005</v>
      </c>
      <c r="FO156" s="1509">
        <v>2.7404667999999965E-2</v>
      </c>
      <c r="FP156" s="1509">
        <v>0.23024106099999997</v>
      </c>
      <c r="FQ156" s="1509">
        <v>2.7404667999999965E-2</v>
      </c>
      <c r="FR156" s="1509">
        <v>0.79558813800000006</v>
      </c>
      <c r="FS156" s="1509">
        <v>0.10214276600000005</v>
      </c>
      <c r="FT156" s="1509">
        <v>0.17258252900000004</v>
      </c>
      <c r="FU156" s="1509">
        <v>6.8062398000000024E-2</v>
      </c>
    </row>
    <row r="157" spans="1:177" s="1509" customFormat="1" x14ac:dyDescent="0.2">
      <c r="A157" s="1512" t="s">
        <v>671</v>
      </c>
      <c r="B157" s="1512" t="s">
        <v>1077</v>
      </c>
      <c r="C157" s="1509" t="s">
        <v>2372</v>
      </c>
      <c r="D157" s="1509" t="s">
        <v>2372</v>
      </c>
      <c r="E157" s="1509" t="s">
        <v>2372</v>
      </c>
      <c r="F157" s="1509" t="s">
        <v>2372</v>
      </c>
      <c r="G157" s="1509" t="s">
        <v>2372</v>
      </c>
      <c r="H157" s="1509" t="s">
        <v>2372</v>
      </c>
      <c r="I157" s="1509" t="s">
        <v>2372</v>
      </c>
      <c r="J157" s="1509" t="s">
        <v>2372</v>
      </c>
      <c r="K157" s="1509">
        <v>1</v>
      </c>
      <c r="L157" s="1509" t="s">
        <v>2372</v>
      </c>
      <c r="M157" s="1509" t="s">
        <v>2372</v>
      </c>
      <c r="N157" s="1509">
        <v>1</v>
      </c>
      <c r="O157" s="1509">
        <v>1</v>
      </c>
      <c r="P157" s="1509">
        <v>1</v>
      </c>
      <c r="Q157" s="1509" t="s">
        <v>2372</v>
      </c>
      <c r="R157" s="1509" t="s">
        <v>2372</v>
      </c>
      <c r="S157" s="1509" t="s">
        <v>2372</v>
      </c>
      <c r="T157" s="1509" t="s">
        <v>2372</v>
      </c>
      <c r="U157" s="1509" t="s">
        <v>2372</v>
      </c>
      <c r="V157" s="1509" t="s">
        <v>2372</v>
      </c>
      <c r="W157" s="1509" t="s">
        <v>2372</v>
      </c>
      <c r="X157" s="1509" t="s">
        <v>2372</v>
      </c>
      <c r="Y157" s="1509">
        <v>1</v>
      </c>
      <c r="Z157" s="1509" t="s">
        <v>2372</v>
      </c>
      <c r="AA157" s="1509">
        <v>1</v>
      </c>
      <c r="AB157" s="1509">
        <v>1</v>
      </c>
      <c r="AC157" s="1509" t="s">
        <v>2372</v>
      </c>
      <c r="AD157" s="1509" t="s">
        <v>2372</v>
      </c>
      <c r="AE157" s="1509">
        <v>1</v>
      </c>
      <c r="AF157" s="1509" t="s">
        <v>2372</v>
      </c>
      <c r="AG157" s="1509">
        <v>1</v>
      </c>
      <c r="AH157" s="1509">
        <v>1</v>
      </c>
      <c r="AI157" s="1509" t="s">
        <v>2372</v>
      </c>
      <c r="AJ157" s="1509" t="s">
        <v>2372</v>
      </c>
      <c r="AK157" s="1509" t="s">
        <v>2372</v>
      </c>
      <c r="AL157" s="1509">
        <v>1</v>
      </c>
      <c r="AM157" s="1509">
        <v>1</v>
      </c>
      <c r="AN157" s="1509" t="s">
        <v>2372</v>
      </c>
      <c r="AO157" s="1509">
        <v>1</v>
      </c>
      <c r="AP157" s="1509" t="s">
        <v>2372</v>
      </c>
      <c r="AQ157" s="1509" t="s">
        <v>2372</v>
      </c>
      <c r="AR157" s="1509">
        <v>1</v>
      </c>
      <c r="AS157" s="1509">
        <v>1</v>
      </c>
      <c r="AT157" s="1509" t="s">
        <v>2372</v>
      </c>
      <c r="AU157" s="1509">
        <v>1</v>
      </c>
      <c r="AV157" s="1509">
        <v>1</v>
      </c>
      <c r="AW157" s="1509" t="s">
        <v>2372</v>
      </c>
      <c r="AX157" s="1509">
        <v>1</v>
      </c>
      <c r="AY157" s="1509">
        <v>1</v>
      </c>
      <c r="AZ157" s="1509">
        <v>1</v>
      </c>
      <c r="BA157" s="1509">
        <v>1</v>
      </c>
      <c r="BB157" s="1509">
        <v>1</v>
      </c>
      <c r="BC157" s="1509" t="s">
        <v>2372</v>
      </c>
      <c r="BD157" s="1509">
        <v>1</v>
      </c>
      <c r="BE157" s="1509">
        <v>1</v>
      </c>
      <c r="BF157" s="1509" t="s">
        <v>2372</v>
      </c>
      <c r="BG157" s="1509" t="s">
        <v>2372</v>
      </c>
      <c r="BH157" s="1509" t="s">
        <v>2372</v>
      </c>
      <c r="BI157" s="1509" t="s">
        <v>2372</v>
      </c>
      <c r="BJ157" s="1509" t="s">
        <v>2372</v>
      </c>
      <c r="BK157" s="1509">
        <v>1</v>
      </c>
      <c r="BL157" s="1509">
        <v>1</v>
      </c>
      <c r="BM157" s="1509" t="s">
        <v>2372</v>
      </c>
      <c r="BN157" s="1509" t="s">
        <v>2372</v>
      </c>
      <c r="BO157" s="1509">
        <v>1</v>
      </c>
      <c r="BP157" s="1509">
        <v>1</v>
      </c>
      <c r="BQ157" s="1509" t="s">
        <v>2372</v>
      </c>
      <c r="BR157" s="1509" t="s">
        <v>2372</v>
      </c>
      <c r="BS157" s="1509">
        <v>1</v>
      </c>
      <c r="BT157" s="1509">
        <v>1</v>
      </c>
      <c r="BU157" s="1509" t="s">
        <v>2372</v>
      </c>
      <c r="BV157" s="1509" t="s">
        <v>2372</v>
      </c>
      <c r="BW157" s="1509" t="s">
        <v>2372</v>
      </c>
      <c r="BX157" s="1509">
        <v>1</v>
      </c>
      <c r="BY157" s="1509" t="s">
        <v>2372</v>
      </c>
      <c r="BZ157" s="1509">
        <v>1</v>
      </c>
      <c r="CA157" s="1509">
        <v>1</v>
      </c>
      <c r="CB157" s="1509">
        <v>1</v>
      </c>
      <c r="CC157" s="1509">
        <v>1</v>
      </c>
      <c r="CD157" s="1509">
        <v>1</v>
      </c>
      <c r="CE157" s="1509">
        <v>1</v>
      </c>
      <c r="CF157" s="1509" t="s">
        <v>2372</v>
      </c>
      <c r="CG157" s="1509" t="s">
        <v>2372</v>
      </c>
      <c r="CH157" s="1509">
        <v>1</v>
      </c>
      <c r="CI157" s="1509">
        <v>1</v>
      </c>
      <c r="CJ157" s="1509">
        <v>1</v>
      </c>
      <c r="CK157" s="1509" t="s">
        <v>2372</v>
      </c>
      <c r="CL157" s="1509" t="s">
        <v>2372</v>
      </c>
      <c r="CM157" s="1509" t="s">
        <v>2372</v>
      </c>
      <c r="CN157" s="1509" t="s">
        <v>2372</v>
      </c>
      <c r="CO157" s="1509" t="s">
        <v>2372</v>
      </c>
      <c r="CP157" s="1509">
        <v>1</v>
      </c>
      <c r="CQ157" s="1509">
        <v>1</v>
      </c>
      <c r="CR157" s="1509">
        <v>1</v>
      </c>
      <c r="CS157" s="1509" t="s">
        <v>2372</v>
      </c>
      <c r="CT157" s="1509" t="s">
        <v>2372</v>
      </c>
      <c r="CU157" s="1509" t="s">
        <v>2372</v>
      </c>
      <c r="CV157" s="1509" t="s">
        <v>2372</v>
      </c>
      <c r="CW157" s="1509" t="s">
        <v>2372</v>
      </c>
      <c r="CX157" s="1509">
        <v>1</v>
      </c>
      <c r="CY157" s="1509">
        <v>1</v>
      </c>
      <c r="CZ157" s="1509">
        <v>1</v>
      </c>
      <c r="DA157" s="1509">
        <v>1</v>
      </c>
      <c r="DB157" s="1509">
        <v>1</v>
      </c>
      <c r="DC157" s="1509">
        <v>1</v>
      </c>
      <c r="DD157" s="1509">
        <v>1</v>
      </c>
      <c r="DE157" s="1509" t="s">
        <v>2372</v>
      </c>
      <c r="DF157" s="1509">
        <v>1</v>
      </c>
      <c r="DG157" s="1509">
        <v>1</v>
      </c>
      <c r="DH157" s="1509" t="s">
        <v>2372</v>
      </c>
      <c r="DI157" s="1509">
        <v>1</v>
      </c>
      <c r="DJ157" s="1509">
        <v>1</v>
      </c>
      <c r="DK157" s="1509">
        <v>1</v>
      </c>
      <c r="DL157" s="1509">
        <v>1</v>
      </c>
      <c r="DM157" s="1509">
        <v>1</v>
      </c>
      <c r="DN157" s="1509" t="s">
        <v>2372</v>
      </c>
      <c r="DO157" s="1509" t="s">
        <v>2372</v>
      </c>
      <c r="DP157" s="1509">
        <v>1</v>
      </c>
      <c r="DQ157" s="1509">
        <v>1</v>
      </c>
      <c r="DR157" s="1509">
        <v>1</v>
      </c>
      <c r="DS157" s="1509">
        <v>1</v>
      </c>
      <c r="DT157" s="1509">
        <v>1</v>
      </c>
      <c r="DU157" s="1509" t="s">
        <v>2372</v>
      </c>
      <c r="DV157" s="1509">
        <v>1</v>
      </c>
      <c r="DW157" s="1509" t="s">
        <v>2372</v>
      </c>
      <c r="DX157" s="1509" t="s">
        <v>2372</v>
      </c>
      <c r="DY157" s="1509">
        <v>1</v>
      </c>
      <c r="DZ157" s="1509" t="s">
        <v>2372</v>
      </c>
      <c r="EA157" s="1509">
        <v>1</v>
      </c>
      <c r="EB157" s="1509">
        <v>1</v>
      </c>
      <c r="EC157" s="1509" t="s">
        <v>2372</v>
      </c>
      <c r="ED157" s="1509">
        <v>1</v>
      </c>
      <c r="EE157" s="1509">
        <v>1</v>
      </c>
      <c r="EF157" s="1509">
        <v>1</v>
      </c>
      <c r="EG157" s="1509">
        <v>1</v>
      </c>
      <c r="EH157" s="1509">
        <v>1</v>
      </c>
      <c r="EI157" s="1509" t="s">
        <v>2372</v>
      </c>
      <c r="EJ157" s="1509" t="s">
        <v>2372</v>
      </c>
      <c r="EK157" s="1509" t="s">
        <v>2372</v>
      </c>
      <c r="EL157" s="1509">
        <v>1</v>
      </c>
      <c r="EM157" s="1509">
        <v>1</v>
      </c>
      <c r="EN157" s="1509">
        <v>1</v>
      </c>
      <c r="EO157" s="1509">
        <v>1</v>
      </c>
      <c r="EP157" s="1509">
        <v>1</v>
      </c>
      <c r="EQ157" s="1509">
        <v>1</v>
      </c>
      <c r="ER157" s="1509" t="s">
        <v>2372</v>
      </c>
      <c r="ES157" s="1509" t="s">
        <v>2372</v>
      </c>
      <c r="ET157" s="1509" t="s">
        <v>2372</v>
      </c>
      <c r="EU157" s="1509">
        <v>1</v>
      </c>
      <c r="EV157" s="1509" t="s">
        <v>2372</v>
      </c>
      <c r="EW157" s="1509">
        <v>1</v>
      </c>
      <c r="EX157" s="1509" t="s">
        <v>2372</v>
      </c>
      <c r="EY157" s="1509" t="s">
        <v>2372</v>
      </c>
      <c r="EZ157" s="1509" t="s">
        <v>2372</v>
      </c>
      <c r="FA157" s="1509">
        <v>1</v>
      </c>
      <c r="FB157" s="1509">
        <v>1</v>
      </c>
      <c r="FC157" s="1509" t="s">
        <v>2372</v>
      </c>
      <c r="FD157" s="1509">
        <v>1</v>
      </c>
      <c r="FE157" s="1509">
        <v>1</v>
      </c>
      <c r="FF157" s="1509" t="s">
        <v>2372</v>
      </c>
      <c r="FG157" s="1509" t="s">
        <v>2372</v>
      </c>
      <c r="FH157" s="1509">
        <v>1</v>
      </c>
      <c r="FI157" s="1509" t="s">
        <v>2372</v>
      </c>
      <c r="FJ157" s="1509">
        <v>1</v>
      </c>
      <c r="FK157" s="1509">
        <v>1</v>
      </c>
      <c r="FL157" s="1509">
        <v>1</v>
      </c>
      <c r="FM157" s="1509" t="s">
        <v>2372</v>
      </c>
      <c r="FN157" s="1509" t="s">
        <v>2372</v>
      </c>
      <c r="FO157" s="1509">
        <v>1</v>
      </c>
      <c r="FP157" s="1509" t="s">
        <v>2372</v>
      </c>
      <c r="FQ157" s="1509">
        <v>1</v>
      </c>
      <c r="FR157" s="1509">
        <v>1</v>
      </c>
      <c r="FS157" s="1509" t="s">
        <v>2372</v>
      </c>
      <c r="FT157" s="1509">
        <v>1</v>
      </c>
      <c r="FU157" s="1509" t="s">
        <v>2372</v>
      </c>
    </row>
    <row r="158" spans="1:177" s="1509" customFormat="1" x14ac:dyDescent="0.2">
      <c r="A158" s="1512" t="s">
        <v>671</v>
      </c>
      <c r="B158" s="1512" t="s">
        <v>1027</v>
      </c>
      <c r="C158" s="1509" t="s">
        <v>2372</v>
      </c>
      <c r="D158" s="1509" t="s">
        <v>2372</v>
      </c>
      <c r="E158" s="1509" t="s">
        <v>2372</v>
      </c>
      <c r="F158" s="1509" t="s">
        <v>2372</v>
      </c>
      <c r="G158" s="1509" t="s">
        <v>2372</v>
      </c>
      <c r="H158" s="1509" t="s">
        <v>2372</v>
      </c>
      <c r="I158" s="1509" t="s">
        <v>2372</v>
      </c>
      <c r="J158" s="1509" t="s">
        <v>2372</v>
      </c>
      <c r="K158" s="1509" t="s">
        <v>2372</v>
      </c>
      <c r="L158" s="1509" t="s">
        <v>2372</v>
      </c>
      <c r="M158" s="1509" t="s">
        <v>2372</v>
      </c>
      <c r="N158" s="1509" t="s">
        <v>2372</v>
      </c>
      <c r="O158" s="1509" t="s">
        <v>2372</v>
      </c>
      <c r="P158" s="1509" t="s">
        <v>2372</v>
      </c>
      <c r="Q158" s="1509" t="s">
        <v>2372</v>
      </c>
      <c r="R158" s="1509" t="s">
        <v>2372</v>
      </c>
      <c r="S158" s="1509" t="s">
        <v>2372</v>
      </c>
      <c r="T158" s="1509" t="s">
        <v>2372</v>
      </c>
      <c r="U158" s="1509" t="s">
        <v>2372</v>
      </c>
      <c r="V158" s="1509" t="s">
        <v>2372</v>
      </c>
      <c r="W158" s="1509" t="s">
        <v>2372</v>
      </c>
      <c r="X158" s="1509" t="s">
        <v>2372</v>
      </c>
      <c r="Y158" s="1509" t="s">
        <v>2372</v>
      </c>
      <c r="Z158" s="1509" t="s">
        <v>2372</v>
      </c>
      <c r="AA158" s="1509" t="s">
        <v>2372</v>
      </c>
      <c r="AB158" s="1509" t="s">
        <v>2372</v>
      </c>
      <c r="AC158" s="1509" t="s">
        <v>2372</v>
      </c>
      <c r="AD158" s="1509" t="s">
        <v>2372</v>
      </c>
      <c r="AE158" s="1509" t="s">
        <v>2372</v>
      </c>
      <c r="AF158" s="1509" t="s">
        <v>2372</v>
      </c>
      <c r="AG158" s="1509" t="s">
        <v>2372</v>
      </c>
      <c r="AH158" s="1509" t="s">
        <v>2372</v>
      </c>
      <c r="AI158" s="1509" t="s">
        <v>2372</v>
      </c>
      <c r="AJ158" s="1509" t="s">
        <v>2372</v>
      </c>
      <c r="AK158" s="1509" t="s">
        <v>2372</v>
      </c>
      <c r="AL158" s="1509" t="s">
        <v>2372</v>
      </c>
      <c r="AM158" s="1509" t="s">
        <v>2372</v>
      </c>
      <c r="AN158" s="1509" t="s">
        <v>2372</v>
      </c>
      <c r="AO158" s="1509">
        <v>1</v>
      </c>
      <c r="AP158" s="1509" t="s">
        <v>2372</v>
      </c>
      <c r="AQ158" s="1509" t="s">
        <v>2372</v>
      </c>
      <c r="AR158" s="1509" t="s">
        <v>2372</v>
      </c>
      <c r="AS158" s="1509" t="s">
        <v>2372</v>
      </c>
      <c r="AT158" s="1509" t="s">
        <v>2372</v>
      </c>
      <c r="AU158" s="1509" t="s">
        <v>2372</v>
      </c>
      <c r="AV158" s="1509" t="s">
        <v>2372</v>
      </c>
      <c r="AW158" s="1509" t="s">
        <v>2372</v>
      </c>
      <c r="AX158" s="1509" t="s">
        <v>2372</v>
      </c>
      <c r="AY158" s="1509" t="s">
        <v>2372</v>
      </c>
      <c r="AZ158" s="1509" t="s">
        <v>2372</v>
      </c>
      <c r="BA158" s="1509" t="s">
        <v>2372</v>
      </c>
      <c r="BB158" s="1509" t="s">
        <v>2372</v>
      </c>
      <c r="BC158" s="1509" t="s">
        <v>2372</v>
      </c>
      <c r="BD158" s="1509" t="s">
        <v>2372</v>
      </c>
      <c r="BE158" s="1509" t="s">
        <v>2372</v>
      </c>
      <c r="BF158" s="1509" t="s">
        <v>2372</v>
      </c>
      <c r="BG158" s="1509" t="s">
        <v>2372</v>
      </c>
      <c r="BH158" s="1509" t="s">
        <v>2372</v>
      </c>
      <c r="BI158" s="1509" t="s">
        <v>2372</v>
      </c>
      <c r="BJ158" s="1509" t="s">
        <v>2372</v>
      </c>
      <c r="BK158" s="1509" t="s">
        <v>2372</v>
      </c>
      <c r="BL158" s="1509" t="s">
        <v>2372</v>
      </c>
      <c r="BM158" s="1509" t="s">
        <v>2372</v>
      </c>
      <c r="BN158" s="1509" t="s">
        <v>2372</v>
      </c>
      <c r="BO158" s="1509" t="s">
        <v>2372</v>
      </c>
      <c r="BP158" s="1509" t="s">
        <v>2372</v>
      </c>
      <c r="BQ158" s="1509" t="s">
        <v>2372</v>
      </c>
      <c r="BR158" s="1509" t="s">
        <v>2372</v>
      </c>
      <c r="BS158" s="1509" t="s">
        <v>2372</v>
      </c>
      <c r="BT158" s="1509" t="s">
        <v>2372</v>
      </c>
      <c r="BU158" s="1509" t="s">
        <v>2372</v>
      </c>
      <c r="BV158" s="1509" t="s">
        <v>2372</v>
      </c>
      <c r="BW158" s="1509" t="s">
        <v>2372</v>
      </c>
      <c r="BX158" s="1509" t="s">
        <v>2372</v>
      </c>
      <c r="BY158" s="1509" t="s">
        <v>2372</v>
      </c>
      <c r="BZ158" s="1509">
        <v>1</v>
      </c>
      <c r="CA158" s="1509" t="s">
        <v>2372</v>
      </c>
      <c r="CB158" s="1509" t="s">
        <v>2372</v>
      </c>
      <c r="CC158" s="1509" t="s">
        <v>2372</v>
      </c>
      <c r="CD158" s="1509" t="s">
        <v>2372</v>
      </c>
      <c r="CE158" s="1509" t="s">
        <v>2372</v>
      </c>
      <c r="CF158" s="1509" t="s">
        <v>2372</v>
      </c>
      <c r="CG158" s="1509" t="s">
        <v>2372</v>
      </c>
      <c r="CH158" s="1509" t="s">
        <v>2372</v>
      </c>
      <c r="CI158" s="1509" t="s">
        <v>2372</v>
      </c>
      <c r="CJ158" s="1509" t="s">
        <v>2372</v>
      </c>
      <c r="CK158" s="1509" t="s">
        <v>2372</v>
      </c>
      <c r="CL158" s="1509" t="s">
        <v>2372</v>
      </c>
      <c r="CM158" s="1509" t="s">
        <v>2372</v>
      </c>
      <c r="CN158" s="1509" t="s">
        <v>2372</v>
      </c>
      <c r="CO158" s="1509" t="s">
        <v>2372</v>
      </c>
      <c r="CP158" s="1509" t="s">
        <v>2372</v>
      </c>
      <c r="CQ158" s="1509" t="s">
        <v>2372</v>
      </c>
      <c r="CR158" s="1509" t="s">
        <v>2372</v>
      </c>
      <c r="CS158" s="1509" t="s">
        <v>2372</v>
      </c>
      <c r="CT158" s="1509" t="s">
        <v>2372</v>
      </c>
      <c r="CU158" s="1509" t="s">
        <v>2372</v>
      </c>
      <c r="CV158" s="1509">
        <v>1</v>
      </c>
      <c r="CW158" s="1509" t="s">
        <v>2372</v>
      </c>
      <c r="CX158" s="1509" t="s">
        <v>2372</v>
      </c>
      <c r="CY158" s="1509" t="s">
        <v>2372</v>
      </c>
      <c r="CZ158" s="1509" t="s">
        <v>2372</v>
      </c>
      <c r="DA158" s="1509" t="s">
        <v>2372</v>
      </c>
      <c r="DB158" s="1509" t="s">
        <v>2372</v>
      </c>
      <c r="DC158" s="1509" t="s">
        <v>2372</v>
      </c>
      <c r="DD158" s="1509" t="s">
        <v>2372</v>
      </c>
      <c r="DE158" s="1509" t="s">
        <v>2372</v>
      </c>
      <c r="DF158" s="1509" t="s">
        <v>2372</v>
      </c>
      <c r="DG158" s="1509" t="s">
        <v>2372</v>
      </c>
      <c r="DH158" s="1509" t="s">
        <v>2372</v>
      </c>
      <c r="DI158" s="1509" t="s">
        <v>2372</v>
      </c>
      <c r="DJ158" s="1509" t="s">
        <v>2372</v>
      </c>
      <c r="DK158" s="1509" t="s">
        <v>2372</v>
      </c>
      <c r="DL158" s="1509" t="s">
        <v>2372</v>
      </c>
      <c r="DM158" s="1509" t="s">
        <v>2372</v>
      </c>
      <c r="DN158" s="1509" t="s">
        <v>2372</v>
      </c>
      <c r="DO158" s="1509" t="s">
        <v>2372</v>
      </c>
      <c r="DP158" s="1509" t="s">
        <v>2372</v>
      </c>
      <c r="DQ158" s="1509" t="s">
        <v>2372</v>
      </c>
      <c r="DR158" s="1509" t="s">
        <v>2372</v>
      </c>
      <c r="DS158" s="1509" t="s">
        <v>2372</v>
      </c>
      <c r="DT158" s="1509" t="s">
        <v>2372</v>
      </c>
      <c r="DU158" s="1509" t="s">
        <v>2372</v>
      </c>
      <c r="DV158" s="1509" t="s">
        <v>2372</v>
      </c>
      <c r="DW158" s="1509" t="s">
        <v>2372</v>
      </c>
      <c r="DX158" s="1509" t="s">
        <v>2372</v>
      </c>
      <c r="DY158" s="1509" t="s">
        <v>2372</v>
      </c>
      <c r="DZ158" s="1509" t="s">
        <v>2372</v>
      </c>
      <c r="EA158" s="1509" t="s">
        <v>2372</v>
      </c>
      <c r="EB158" s="1509" t="s">
        <v>2372</v>
      </c>
      <c r="EC158" s="1509" t="s">
        <v>2372</v>
      </c>
      <c r="ED158" s="1509" t="s">
        <v>2372</v>
      </c>
      <c r="EE158" s="1509" t="s">
        <v>2372</v>
      </c>
      <c r="EF158" s="1509" t="s">
        <v>2372</v>
      </c>
      <c r="EG158" s="1509" t="s">
        <v>2372</v>
      </c>
      <c r="EH158" s="1509" t="s">
        <v>2372</v>
      </c>
      <c r="EI158" s="1509" t="s">
        <v>2372</v>
      </c>
      <c r="EJ158" s="1509" t="s">
        <v>2372</v>
      </c>
      <c r="EK158" s="1509" t="s">
        <v>2372</v>
      </c>
      <c r="EL158" s="1509" t="s">
        <v>2372</v>
      </c>
      <c r="EM158" s="1509" t="s">
        <v>2372</v>
      </c>
      <c r="EN158" s="1509" t="s">
        <v>2372</v>
      </c>
      <c r="EO158" s="1509" t="s">
        <v>2372</v>
      </c>
      <c r="EP158" s="1509" t="s">
        <v>2372</v>
      </c>
      <c r="EQ158" s="1509" t="s">
        <v>2372</v>
      </c>
      <c r="ER158" s="1509" t="s">
        <v>2372</v>
      </c>
      <c r="ES158" s="1509" t="s">
        <v>2372</v>
      </c>
      <c r="ET158" s="1509" t="s">
        <v>2372</v>
      </c>
      <c r="EU158" s="1509" t="s">
        <v>2372</v>
      </c>
      <c r="EV158" s="1509" t="s">
        <v>2372</v>
      </c>
      <c r="EW158" s="1509" t="s">
        <v>2372</v>
      </c>
      <c r="EX158" s="1509" t="s">
        <v>2372</v>
      </c>
      <c r="EY158" s="1509" t="s">
        <v>2372</v>
      </c>
      <c r="EZ158" s="1509" t="s">
        <v>2372</v>
      </c>
      <c r="FA158" s="1509" t="s">
        <v>2372</v>
      </c>
      <c r="FB158" s="1509" t="s">
        <v>2372</v>
      </c>
      <c r="FC158" s="1509">
        <v>1</v>
      </c>
      <c r="FD158" s="1509" t="s">
        <v>2372</v>
      </c>
      <c r="FE158" s="1509" t="s">
        <v>2372</v>
      </c>
      <c r="FF158" s="1509" t="s">
        <v>2372</v>
      </c>
      <c r="FG158" s="1509" t="s">
        <v>2372</v>
      </c>
      <c r="FH158" s="1509" t="s">
        <v>2372</v>
      </c>
      <c r="FI158" s="1509" t="s">
        <v>2372</v>
      </c>
      <c r="FJ158" s="1509" t="s">
        <v>2372</v>
      </c>
      <c r="FK158" s="1509" t="s">
        <v>2372</v>
      </c>
      <c r="FL158" s="1509" t="s">
        <v>2372</v>
      </c>
      <c r="FM158" s="1509" t="s">
        <v>2372</v>
      </c>
      <c r="FN158" s="1509" t="s">
        <v>2372</v>
      </c>
      <c r="FO158" s="1509" t="s">
        <v>2372</v>
      </c>
      <c r="FP158" s="1509" t="s">
        <v>2372</v>
      </c>
      <c r="FQ158" s="1509" t="s">
        <v>2372</v>
      </c>
      <c r="FR158" s="1509" t="s">
        <v>2372</v>
      </c>
      <c r="FS158" s="1509" t="s">
        <v>2372</v>
      </c>
      <c r="FT158" s="1509" t="s">
        <v>2372</v>
      </c>
      <c r="FU158" s="1509" t="s">
        <v>2372</v>
      </c>
    </row>
    <row r="159" spans="1:177" s="1509" customFormat="1" x14ac:dyDescent="0.2">
      <c r="A159" s="1512" t="s">
        <v>671</v>
      </c>
      <c r="B159" s="1512" t="s">
        <v>1253</v>
      </c>
      <c r="C159" s="1509">
        <v>5.7709937000000003E-2</v>
      </c>
      <c r="D159" s="1509">
        <v>5.3923723999999999E-2</v>
      </c>
      <c r="E159" s="1509">
        <v>5.1840562E-2</v>
      </c>
      <c r="F159" s="1509">
        <v>7.3349404000000007E-2</v>
      </c>
      <c r="G159" s="1509">
        <v>4.8740040999999998E-2</v>
      </c>
      <c r="H159" s="1509">
        <v>5.2857920000000003E-2</v>
      </c>
      <c r="I159" s="1509">
        <v>3.728451E-2</v>
      </c>
      <c r="J159" s="1509">
        <v>3.8577635999999998E-2</v>
      </c>
      <c r="K159" s="1509">
        <v>5.3156046999999998E-2</v>
      </c>
      <c r="L159" s="1509">
        <v>0.99305736700000002</v>
      </c>
      <c r="M159" s="1509">
        <v>0.992833772</v>
      </c>
      <c r="N159" s="1509">
        <v>4.042975E-2</v>
      </c>
      <c r="O159" s="1509">
        <v>3.6386401999999998E-2</v>
      </c>
      <c r="P159" s="1509">
        <v>0.99349710400000002</v>
      </c>
      <c r="Q159" s="1509">
        <v>0.63085495999999996</v>
      </c>
      <c r="R159" s="1509">
        <v>0.12921754799999999</v>
      </c>
      <c r="S159" s="1509">
        <v>1</v>
      </c>
      <c r="T159" s="1509">
        <v>1</v>
      </c>
      <c r="U159" s="1509">
        <v>5.5105053000000001E-2</v>
      </c>
      <c r="V159" s="1509">
        <v>3.7824864999999999E-2</v>
      </c>
      <c r="W159" s="1509">
        <v>5.4795745999999999E-2</v>
      </c>
      <c r="X159" s="1509">
        <v>1</v>
      </c>
      <c r="Y159" s="1509">
        <v>1</v>
      </c>
      <c r="Z159" s="1509">
        <v>1</v>
      </c>
      <c r="AA159" s="1509">
        <v>0.99323996999999997</v>
      </c>
      <c r="AB159" s="1509">
        <v>0.99315425800000001</v>
      </c>
      <c r="AC159" s="1509">
        <v>0.99314680499999997</v>
      </c>
      <c r="AD159" s="1509">
        <v>0.99315425800000001</v>
      </c>
      <c r="AE159" s="1509">
        <v>0.12832238000000001</v>
      </c>
      <c r="AF159" s="1509">
        <v>4.2069449000000002E-2</v>
      </c>
      <c r="AG159" s="1509">
        <v>0.99996646099999997</v>
      </c>
      <c r="AH159" s="1509">
        <v>4.9395920000000003E-2</v>
      </c>
      <c r="AI159" s="1509">
        <v>3.3319421000000002E-2</v>
      </c>
      <c r="AJ159" s="1509">
        <v>5.1270393999999997E-2</v>
      </c>
      <c r="AK159" s="1509">
        <v>0.13091836800000001</v>
      </c>
      <c r="AL159" s="1509">
        <v>0.63480862000000005</v>
      </c>
      <c r="AM159" s="1509">
        <v>0.62945998999999997</v>
      </c>
      <c r="AN159" s="1509">
        <v>0.63019104400000003</v>
      </c>
      <c r="AO159" s="1509">
        <v>0.91690404299999995</v>
      </c>
      <c r="AP159" s="1509">
        <v>0.16308830399999999</v>
      </c>
      <c r="AQ159" s="1509">
        <v>0.99334058800000002</v>
      </c>
      <c r="AR159" s="1509">
        <v>2.7656924999999999E-2</v>
      </c>
      <c r="AS159" s="1509">
        <v>2.2130152E-2</v>
      </c>
      <c r="AT159" s="1509">
        <v>2.8072008999999998E-2</v>
      </c>
      <c r="AU159" s="1509">
        <v>0</v>
      </c>
      <c r="AV159" s="1509">
        <v>1</v>
      </c>
      <c r="AW159" s="1509">
        <v>1</v>
      </c>
      <c r="AX159" s="1509">
        <v>0.87319127600000002</v>
      </c>
      <c r="AY159" s="1509">
        <v>0.98440767900000004</v>
      </c>
      <c r="AZ159" s="1509">
        <v>5.8021267000000001E-2</v>
      </c>
      <c r="BA159" s="1509">
        <v>7.4268542000000007E-2</v>
      </c>
      <c r="BB159" s="1509">
        <v>6.8990379000000004E-2</v>
      </c>
      <c r="BC159" s="1509">
        <v>3.1000660999999999E-2</v>
      </c>
      <c r="BD159" s="1509">
        <v>3.1062155000000001E-2</v>
      </c>
      <c r="BE159" s="1509">
        <v>2.1308555E-2</v>
      </c>
      <c r="BF159" s="1509">
        <v>3.0723937999999999E-2</v>
      </c>
      <c r="BG159" s="1509">
        <v>1</v>
      </c>
      <c r="BH159" s="1509">
        <v>4.3914109999999999E-2</v>
      </c>
      <c r="BI159" s="1509">
        <v>3.6494472999999999E-2</v>
      </c>
      <c r="BJ159" s="1509">
        <v>5.8224206000000001E-2</v>
      </c>
      <c r="BK159" s="1509">
        <v>2.3850161000000002E-2</v>
      </c>
      <c r="BL159" s="1509">
        <v>4.7819573999999997E-2</v>
      </c>
      <c r="BM159" s="1509">
        <v>0.62938539199999999</v>
      </c>
      <c r="BN159" s="1509">
        <v>5.8380723000000002E-2</v>
      </c>
      <c r="BO159" s="1509">
        <v>2.5210366000000001E-2</v>
      </c>
      <c r="BP159" s="1509">
        <v>5.2641778E-2</v>
      </c>
      <c r="BQ159" s="1509">
        <v>4.6578620000000001E-2</v>
      </c>
      <c r="BR159" s="1509">
        <v>5.1229401000000001E-2</v>
      </c>
      <c r="BS159" s="1509">
        <v>4.2069449000000002E-2</v>
      </c>
      <c r="BT159" s="1509">
        <v>6.0795191999999998E-2</v>
      </c>
      <c r="BU159" s="1509">
        <v>6.6678774999999996E-2</v>
      </c>
      <c r="BV159" s="1509">
        <v>7.3883274999999998E-2</v>
      </c>
      <c r="BW159" s="1509">
        <v>0.96938524299999995</v>
      </c>
      <c r="BX159" s="1509">
        <v>0.99160435000000002</v>
      </c>
      <c r="BY159" s="1509">
        <v>0.98493480700000002</v>
      </c>
      <c r="BZ159" s="1509">
        <v>0.97970732699999996</v>
      </c>
      <c r="CA159" s="1509">
        <v>0.96290273299999996</v>
      </c>
      <c r="CB159" s="1509">
        <v>0.63149649799999996</v>
      </c>
      <c r="CC159" s="1509">
        <v>0.96412612900000005</v>
      </c>
      <c r="CD159" s="1509">
        <v>0.12918025</v>
      </c>
      <c r="CE159" s="1509">
        <v>0.62640895799999996</v>
      </c>
      <c r="CF159" s="1509">
        <v>0.62680432399999997</v>
      </c>
      <c r="CG159" s="1509">
        <v>4.3608529E-2</v>
      </c>
      <c r="CH159" s="1509">
        <v>0.99995900800000004</v>
      </c>
      <c r="CI159" s="1509">
        <v>5.8481340999999999E-2</v>
      </c>
      <c r="CJ159" s="1509">
        <v>6.0866742000000001E-2</v>
      </c>
      <c r="CK159" s="1509">
        <v>7.0349823000000006E-2</v>
      </c>
      <c r="CL159" s="1509">
        <v>6.9436188999999995E-2</v>
      </c>
      <c r="CM159" s="1509">
        <v>1</v>
      </c>
      <c r="CN159" s="1509">
        <v>0.61474192999999999</v>
      </c>
      <c r="CO159" s="1509">
        <v>0.63222009199999996</v>
      </c>
      <c r="CP159" s="1509">
        <v>0.61013181400000005</v>
      </c>
      <c r="CQ159" s="1509">
        <v>0.99345611199999995</v>
      </c>
      <c r="CR159" s="1509">
        <v>0.99385113000000003</v>
      </c>
      <c r="CS159" s="1509">
        <v>4.9749946000000003E-2</v>
      </c>
      <c r="CT159" s="1509">
        <v>5.4344828999999997E-2</v>
      </c>
      <c r="CU159" s="1509">
        <v>5.0007081000000002E-2</v>
      </c>
      <c r="CV159" s="1509">
        <v>4.3628778E-2</v>
      </c>
      <c r="CW159" s="1509">
        <v>4.4019549999999998E-2</v>
      </c>
      <c r="CX159" s="1509">
        <v>7.1202915000000006E-2</v>
      </c>
      <c r="CY159" s="1509">
        <v>3.2274398000000003E-2</v>
      </c>
      <c r="CZ159" s="1509">
        <v>0.552441403</v>
      </c>
      <c r="DA159" s="1509">
        <v>0.98068508899999995</v>
      </c>
      <c r="DB159" s="1509">
        <v>0.87541276099999998</v>
      </c>
      <c r="DC159" s="1509">
        <v>0.86030040699999999</v>
      </c>
      <c r="DD159" s="1509">
        <v>0.92255263600000004</v>
      </c>
      <c r="DE159" s="1509">
        <v>0.89343169099999997</v>
      </c>
      <c r="DF159" s="1509">
        <v>0.91535058300000005</v>
      </c>
      <c r="DG159" s="1509">
        <v>0.89831584200000003</v>
      </c>
      <c r="DH159" s="1509">
        <v>0.90520516200000001</v>
      </c>
      <c r="DI159" s="1509">
        <v>0.89053431299999997</v>
      </c>
      <c r="DJ159" s="1509">
        <v>0.98423562399999998</v>
      </c>
      <c r="DK159" s="1509">
        <v>0.97391176099999999</v>
      </c>
      <c r="DL159" s="1509">
        <v>0.63169791099999995</v>
      </c>
      <c r="DM159" s="1509">
        <v>0.61407055399999999</v>
      </c>
      <c r="DN159" s="1509">
        <v>0.754028315</v>
      </c>
      <c r="DO159" s="1509">
        <v>0.99830482399999998</v>
      </c>
      <c r="DP159" s="1509">
        <v>0.65223328700000005</v>
      </c>
      <c r="DQ159" s="1509">
        <v>0.97497145900000004</v>
      </c>
      <c r="DR159" s="1509">
        <v>0.98307760399999999</v>
      </c>
      <c r="DS159" s="1509">
        <v>0.92759093500000001</v>
      </c>
      <c r="DT159" s="1509">
        <v>0.97567064100000001</v>
      </c>
      <c r="DU159" s="1509">
        <v>1</v>
      </c>
      <c r="DV159" s="1509">
        <v>0.99314680499999997</v>
      </c>
      <c r="DW159" s="1509">
        <v>0.58065133300000005</v>
      </c>
      <c r="DX159" s="1509">
        <v>2.9778467999999999E-2</v>
      </c>
      <c r="DY159" s="1509">
        <v>7.3079717000000002E-2</v>
      </c>
      <c r="DZ159" s="1509">
        <v>3.0969914000000001E-2</v>
      </c>
      <c r="EA159" s="1509">
        <v>0.97911300400000001</v>
      </c>
      <c r="EB159" s="1509">
        <v>0.99283004500000005</v>
      </c>
      <c r="EC159" s="1509">
        <v>5.6193215999999997E-2</v>
      </c>
      <c r="ED159" s="1509">
        <v>4.5751317E-2</v>
      </c>
      <c r="EE159" s="1509">
        <v>0.96191804700000005</v>
      </c>
      <c r="EF159" s="1509">
        <v>0.98173832599999999</v>
      </c>
      <c r="EG159" s="1509">
        <v>0.98003506799999995</v>
      </c>
      <c r="EH159" s="1509">
        <v>7.3718160000000005E-2</v>
      </c>
      <c r="EI159" s="1509">
        <v>0.63750158499999998</v>
      </c>
      <c r="EJ159" s="1509">
        <v>0.62696843800000002</v>
      </c>
      <c r="EK159" s="1509">
        <v>0.99983602999999999</v>
      </c>
      <c r="EL159" s="1509">
        <v>0.90492922099999995</v>
      </c>
      <c r="EM159" s="1509">
        <v>0.85926103099999995</v>
      </c>
      <c r="EN159" s="1509">
        <v>0.87211986900000005</v>
      </c>
      <c r="EO159" s="1509">
        <v>0.92436464600000001</v>
      </c>
      <c r="EP159" s="1509">
        <v>0.61253830499999995</v>
      </c>
      <c r="EQ159" s="1509">
        <v>0</v>
      </c>
      <c r="ER159" s="1509">
        <v>0.99829931999999999</v>
      </c>
      <c r="ES159" s="1509">
        <v>0.99761134200000001</v>
      </c>
      <c r="ET159" s="1509">
        <v>0.62681924300000003</v>
      </c>
      <c r="EU159" s="1509">
        <v>0.97804130600000005</v>
      </c>
      <c r="EV159" s="1509">
        <v>0.99315425800000001</v>
      </c>
      <c r="EW159" s="1509">
        <v>0.93535564000000004</v>
      </c>
      <c r="EX159" s="1509">
        <v>0.99867357899999998</v>
      </c>
      <c r="EY159" s="1509">
        <v>7.0812143999999994E-2</v>
      </c>
      <c r="EZ159" s="1509">
        <v>0.98591803200000006</v>
      </c>
      <c r="FA159" s="1509">
        <v>0.13121675799999999</v>
      </c>
      <c r="FB159" s="1509">
        <v>0.16257812199999999</v>
      </c>
      <c r="FC159" s="1509">
        <v>7.4169473999999999E-2</v>
      </c>
      <c r="FD159" s="1509">
        <v>7.4048390000000006E-2</v>
      </c>
      <c r="FE159" s="1509">
        <v>0.99890473999999996</v>
      </c>
      <c r="FF159" s="1509">
        <v>0.56742910599999996</v>
      </c>
      <c r="FG159" s="1509">
        <v>1</v>
      </c>
      <c r="FH159" s="1509">
        <v>1</v>
      </c>
      <c r="FI159" s="1509">
        <v>0.17282428499999999</v>
      </c>
      <c r="FJ159" s="1509">
        <v>6.7344737000000002E-2</v>
      </c>
      <c r="FK159" s="1509">
        <v>0.98620207500000001</v>
      </c>
      <c r="FL159" s="1509">
        <v>0.89586916699999997</v>
      </c>
      <c r="FM159" s="1509">
        <v>5.6755931000000003E-2</v>
      </c>
      <c r="FN159" s="1509">
        <v>2.2702371999999998E-2</v>
      </c>
      <c r="FO159" s="1509">
        <v>0.97406470700000003</v>
      </c>
      <c r="FP159" s="1509">
        <v>0.764295736</v>
      </c>
      <c r="FQ159" s="1509">
        <v>0.98925007200000004</v>
      </c>
      <c r="FR159" s="1509">
        <v>1</v>
      </c>
      <c r="FS159" s="1509">
        <v>0.57903575500000004</v>
      </c>
      <c r="FT159" s="1509">
        <v>0.89203359100000001</v>
      </c>
      <c r="FU159" s="1509">
        <v>5.8015518000000002E-2</v>
      </c>
    </row>
    <row r="160" spans="1:177" s="1509" customFormat="1" x14ac:dyDescent="0.2">
      <c r="A160" s="1512" t="s">
        <v>671</v>
      </c>
      <c r="B160" s="1512" t="s">
        <v>1030</v>
      </c>
      <c r="C160" s="1509">
        <v>1</v>
      </c>
      <c r="D160" s="1509">
        <v>1</v>
      </c>
      <c r="E160" s="1509">
        <v>0</v>
      </c>
      <c r="F160" s="1509">
        <v>1</v>
      </c>
      <c r="G160" s="1509">
        <v>0</v>
      </c>
      <c r="H160" s="1509">
        <v>0</v>
      </c>
      <c r="I160" s="1509">
        <v>1</v>
      </c>
      <c r="J160" s="1509">
        <v>1</v>
      </c>
      <c r="K160" s="1509">
        <v>1</v>
      </c>
      <c r="L160" s="1509">
        <v>1</v>
      </c>
      <c r="M160" s="1509">
        <v>1</v>
      </c>
      <c r="N160" s="1509">
        <v>1</v>
      </c>
      <c r="O160" s="1509">
        <v>1</v>
      </c>
      <c r="P160" s="1509">
        <v>1</v>
      </c>
      <c r="Q160" s="1509">
        <v>1</v>
      </c>
      <c r="R160" s="1509">
        <v>1</v>
      </c>
      <c r="S160" s="1509">
        <v>0</v>
      </c>
      <c r="T160" s="1509">
        <v>1</v>
      </c>
      <c r="U160" s="1509">
        <v>0</v>
      </c>
      <c r="V160" s="1509">
        <v>0</v>
      </c>
      <c r="W160" s="1509">
        <v>1</v>
      </c>
      <c r="X160" s="1509">
        <v>1</v>
      </c>
      <c r="Y160" s="1509">
        <v>0</v>
      </c>
      <c r="Z160" s="1509">
        <v>0</v>
      </c>
      <c r="AA160" s="1509">
        <v>0</v>
      </c>
      <c r="AB160" s="1509">
        <v>0</v>
      </c>
      <c r="AC160" s="1509">
        <v>0</v>
      </c>
      <c r="AD160" s="1509">
        <v>0</v>
      </c>
      <c r="AE160" s="1509">
        <v>1</v>
      </c>
      <c r="AF160" s="1509">
        <v>0</v>
      </c>
      <c r="AG160" s="1509">
        <v>1</v>
      </c>
      <c r="AH160" s="1509">
        <v>0</v>
      </c>
      <c r="AI160" s="1509">
        <v>1</v>
      </c>
      <c r="AJ160" s="1509">
        <v>0</v>
      </c>
      <c r="AK160" s="1509">
        <v>1</v>
      </c>
      <c r="AL160" s="1509">
        <v>0</v>
      </c>
      <c r="AM160" s="1509">
        <v>1</v>
      </c>
      <c r="AN160" s="1509">
        <v>1</v>
      </c>
      <c r="AO160" s="1509">
        <v>1</v>
      </c>
      <c r="AP160" s="1509">
        <v>1</v>
      </c>
      <c r="AQ160" s="1509">
        <v>1</v>
      </c>
      <c r="AR160" s="1509">
        <v>0</v>
      </c>
      <c r="AS160" s="1509">
        <v>0</v>
      </c>
      <c r="AT160" s="1509">
        <v>1</v>
      </c>
      <c r="AU160" s="1509">
        <v>1</v>
      </c>
      <c r="AV160" s="1509">
        <v>0</v>
      </c>
      <c r="AW160" s="1509">
        <v>1</v>
      </c>
      <c r="AX160" s="1509">
        <v>1</v>
      </c>
      <c r="AY160" s="1509">
        <v>1</v>
      </c>
      <c r="AZ160" s="1509">
        <v>1</v>
      </c>
      <c r="BA160" s="1509">
        <v>0</v>
      </c>
      <c r="BB160" s="1509">
        <v>1</v>
      </c>
      <c r="BC160" s="1509">
        <v>0</v>
      </c>
      <c r="BD160" s="1509">
        <v>1</v>
      </c>
      <c r="BE160" s="1509">
        <v>1</v>
      </c>
      <c r="BF160" s="1509">
        <v>0</v>
      </c>
      <c r="BG160" s="1509">
        <v>0</v>
      </c>
      <c r="BH160" s="1509">
        <v>0</v>
      </c>
      <c r="BI160" s="1509">
        <v>1</v>
      </c>
      <c r="BJ160" s="1509">
        <v>1</v>
      </c>
      <c r="BK160" s="1509">
        <v>1</v>
      </c>
      <c r="BL160" s="1509">
        <v>1</v>
      </c>
      <c r="BM160" s="1509">
        <v>1</v>
      </c>
      <c r="BN160" s="1509">
        <v>0</v>
      </c>
      <c r="BO160" s="1509">
        <v>1</v>
      </c>
      <c r="BP160" s="1509">
        <v>0</v>
      </c>
      <c r="BQ160" s="1509">
        <v>1</v>
      </c>
      <c r="BR160" s="1509">
        <v>0</v>
      </c>
      <c r="BS160" s="1509">
        <v>0</v>
      </c>
      <c r="BT160" s="1509">
        <v>0</v>
      </c>
      <c r="BU160" s="1509">
        <v>0</v>
      </c>
      <c r="BV160" s="1509">
        <v>1</v>
      </c>
      <c r="BW160" s="1509">
        <v>1</v>
      </c>
      <c r="BX160" s="1509">
        <v>1</v>
      </c>
      <c r="BY160" s="1509">
        <v>1</v>
      </c>
      <c r="BZ160" s="1509">
        <v>1</v>
      </c>
      <c r="CA160" s="1509">
        <v>1</v>
      </c>
      <c r="CB160" s="1509">
        <v>1</v>
      </c>
      <c r="CC160" s="1509">
        <v>1</v>
      </c>
      <c r="CD160" s="1509">
        <v>1</v>
      </c>
      <c r="CE160" s="1509">
        <v>0</v>
      </c>
      <c r="CF160" s="1509">
        <v>1</v>
      </c>
      <c r="CG160" s="1509">
        <v>1</v>
      </c>
      <c r="CH160" s="1509">
        <v>0</v>
      </c>
      <c r="CI160" s="1509">
        <v>1</v>
      </c>
      <c r="CJ160" s="1509">
        <v>1</v>
      </c>
      <c r="CK160" s="1509">
        <v>0</v>
      </c>
      <c r="CL160" s="1509">
        <v>0</v>
      </c>
      <c r="CM160" s="1509">
        <v>0</v>
      </c>
      <c r="CN160" s="1509">
        <v>0</v>
      </c>
      <c r="CO160" s="1509">
        <v>0</v>
      </c>
      <c r="CP160" s="1509">
        <v>0</v>
      </c>
      <c r="CQ160" s="1509">
        <v>1</v>
      </c>
      <c r="CR160" s="1509">
        <v>1</v>
      </c>
      <c r="CS160" s="1509">
        <v>0</v>
      </c>
      <c r="CT160" s="1509">
        <v>1</v>
      </c>
      <c r="CU160" s="1509">
        <v>0</v>
      </c>
      <c r="CV160" s="1509">
        <v>1</v>
      </c>
      <c r="CW160" s="1509">
        <v>1</v>
      </c>
      <c r="CX160" s="1509">
        <v>1</v>
      </c>
      <c r="CY160" s="1509">
        <v>1</v>
      </c>
      <c r="CZ160" s="1509">
        <v>1</v>
      </c>
      <c r="DA160" s="1509">
        <v>1</v>
      </c>
      <c r="DB160" s="1509">
        <v>1</v>
      </c>
      <c r="DC160" s="1509">
        <v>0</v>
      </c>
      <c r="DD160" s="1509">
        <v>0</v>
      </c>
      <c r="DE160" s="1509">
        <v>0</v>
      </c>
      <c r="DF160" s="1509">
        <v>1</v>
      </c>
      <c r="DG160" s="1509">
        <v>0</v>
      </c>
      <c r="DH160" s="1509">
        <v>0</v>
      </c>
      <c r="DI160" s="1509">
        <v>1</v>
      </c>
      <c r="DJ160" s="1509">
        <v>1</v>
      </c>
      <c r="DK160" s="1509">
        <v>1</v>
      </c>
      <c r="DL160" s="1509">
        <v>1</v>
      </c>
      <c r="DM160" s="1509">
        <v>1</v>
      </c>
      <c r="DN160" s="1509">
        <v>1</v>
      </c>
      <c r="DO160" s="1509">
        <v>1</v>
      </c>
      <c r="DP160" s="1509">
        <v>1</v>
      </c>
      <c r="DQ160" s="1509">
        <v>1</v>
      </c>
      <c r="DR160" s="1509">
        <v>1</v>
      </c>
      <c r="DS160" s="1509">
        <v>1</v>
      </c>
      <c r="DT160" s="1509">
        <v>1</v>
      </c>
      <c r="DU160" s="1509">
        <v>0</v>
      </c>
      <c r="DV160" s="1509">
        <v>1</v>
      </c>
      <c r="DW160" s="1509">
        <v>1</v>
      </c>
      <c r="DX160" s="1509">
        <v>1</v>
      </c>
      <c r="DY160" s="1509">
        <v>0</v>
      </c>
      <c r="DZ160" s="1509">
        <v>0</v>
      </c>
      <c r="EA160" s="1509">
        <v>0</v>
      </c>
      <c r="EB160" s="1509">
        <v>1</v>
      </c>
      <c r="EC160" s="1509">
        <v>0</v>
      </c>
      <c r="ED160" s="1509">
        <v>0</v>
      </c>
      <c r="EE160" s="1509">
        <v>1</v>
      </c>
      <c r="EF160" s="1509">
        <v>0</v>
      </c>
      <c r="EG160" s="1509">
        <v>1</v>
      </c>
      <c r="EH160" s="1509">
        <v>0</v>
      </c>
      <c r="EI160" s="1509">
        <v>1</v>
      </c>
      <c r="EJ160" s="1509">
        <v>1</v>
      </c>
      <c r="EK160" s="1509">
        <v>1</v>
      </c>
      <c r="EL160" s="1509">
        <v>0</v>
      </c>
      <c r="EM160" s="1509">
        <v>0</v>
      </c>
      <c r="EN160" s="1509">
        <v>1</v>
      </c>
      <c r="EO160" s="1509">
        <v>0</v>
      </c>
      <c r="EP160" s="1509">
        <v>1</v>
      </c>
      <c r="EQ160" s="1509">
        <v>0</v>
      </c>
      <c r="ER160" s="1509">
        <v>1</v>
      </c>
      <c r="ES160" s="1509">
        <v>1</v>
      </c>
      <c r="ET160" s="1509">
        <v>1</v>
      </c>
      <c r="EU160" s="1509">
        <v>1</v>
      </c>
      <c r="EV160" s="1509">
        <v>0</v>
      </c>
      <c r="EW160" s="1509">
        <v>1</v>
      </c>
      <c r="EX160" s="1509">
        <v>1</v>
      </c>
      <c r="EY160" s="1509">
        <v>1</v>
      </c>
      <c r="EZ160" s="1509">
        <v>1</v>
      </c>
      <c r="FA160" s="1509">
        <v>1</v>
      </c>
      <c r="FB160" s="1509">
        <v>1</v>
      </c>
      <c r="FC160" s="1509">
        <v>1</v>
      </c>
      <c r="FD160" s="1509">
        <v>1</v>
      </c>
      <c r="FE160" s="1509">
        <v>1</v>
      </c>
      <c r="FF160" s="1509">
        <v>1</v>
      </c>
      <c r="FG160" s="1509">
        <v>1</v>
      </c>
      <c r="FH160" s="1509">
        <v>1</v>
      </c>
      <c r="FI160" s="1509">
        <v>1</v>
      </c>
      <c r="FJ160" s="1509">
        <v>0</v>
      </c>
      <c r="FK160" s="1509">
        <v>1</v>
      </c>
      <c r="FL160" s="1509">
        <v>1</v>
      </c>
      <c r="FM160" s="1509">
        <v>1</v>
      </c>
      <c r="FN160" s="1509">
        <v>1</v>
      </c>
      <c r="FO160" s="1509">
        <v>1</v>
      </c>
      <c r="FP160" s="1509">
        <v>0</v>
      </c>
      <c r="FQ160" s="1509">
        <v>1</v>
      </c>
      <c r="FR160" s="1509">
        <v>1</v>
      </c>
      <c r="FS160" s="1509">
        <v>0</v>
      </c>
      <c r="FT160" s="1509">
        <v>1</v>
      </c>
      <c r="FU160" s="1509">
        <v>0</v>
      </c>
    </row>
    <row r="161" spans="1:177" s="1509" customFormat="1" x14ac:dyDescent="0.2">
      <c r="A161" s="1512" t="s">
        <v>671</v>
      </c>
      <c r="B161" s="1512" t="s">
        <v>1026</v>
      </c>
      <c r="C161" s="1509">
        <v>1</v>
      </c>
      <c r="D161" s="1509">
        <v>1</v>
      </c>
      <c r="E161" s="1509">
        <v>1</v>
      </c>
      <c r="F161" s="1509">
        <v>1</v>
      </c>
      <c r="G161" s="1509">
        <v>1</v>
      </c>
      <c r="H161" s="1509">
        <v>1</v>
      </c>
      <c r="I161" s="1509">
        <v>0</v>
      </c>
      <c r="J161" s="1509">
        <v>0</v>
      </c>
      <c r="K161" s="1509">
        <v>1</v>
      </c>
      <c r="L161" s="1509">
        <v>6.0147130000000049E-3</v>
      </c>
      <c r="M161" s="1509">
        <v>1</v>
      </c>
      <c r="N161" s="1509">
        <v>1</v>
      </c>
      <c r="O161" s="1509">
        <v>0</v>
      </c>
      <c r="P161" s="1509">
        <v>6.0147130000000049E-3</v>
      </c>
      <c r="Q161" s="1509">
        <v>1</v>
      </c>
      <c r="R161" s="1509">
        <v>1</v>
      </c>
      <c r="S161" s="1509">
        <v>1.2983431999999961E-2</v>
      </c>
      <c r="T161" s="1509">
        <v>1</v>
      </c>
      <c r="U161" s="1509">
        <v>1</v>
      </c>
      <c r="V161" s="1509">
        <v>1</v>
      </c>
      <c r="W161" s="1509">
        <v>6.0147130000000049E-3</v>
      </c>
      <c r="X161" s="1509">
        <v>1</v>
      </c>
      <c r="Y161" s="1509">
        <v>1</v>
      </c>
      <c r="Z161" s="1509">
        <v>1</v>
      </c>
      <c r="AA161" s="1509">
        <v>1</v>
      </c>
      <c r="AB161" s="1509">
        <v>1</v>
      </c>
      <c r="AC161" s="1509">
        <v>1</v>
      </c>
      <c r="AD161" s="1509">
        <v>1</v>
      </c>
      <c r="AE161" s="1509">
        <v>1</v>
      </c>
      <c r="AF161" s="1509">
        <v>1</v>
      </c>
      <c r="AG161" s="1509">
        <v>1</v>
      </c>
      <c r="AH161" s="1509">
        <v>1</v>
      </c>
      <c r="AI161" s="1509">
        <v>1</v>
      </c>
      <c r="AJ161" s="1509">
        <v>1</v>
      </c>
      <c r="AK161" s="1509">
        <v>1</v>
      </c>
      <c r="AL161" s="1509">
        <v>1</v>
      </c>
      <c r="AM161" s="1509">
        <v>1</v>
      </c>
      <c r="AN161" s="1509">
        <v>1</v>
      </c>
      <c r="AO161" s="1509">
        <v>1</v>
      </c>
      <c r="AP161" s="1509">
        <v>0</v>
      </c>
      <c r="AQ161" s="1509">
        <v>1</v>
      </c>
      <c r="AR161" s="1509">
        <v>1.3605547000000051E-2</v>
      </c>
      <c r="AS161" s="1509">
        <v>1</v>
      </c>
      <c r="AT161" s="1509">
        <v>1</v>
      </c>
      <c r="AU161" s="1509">
        <v>1</v>
      </c>
      <c r="AV161" s="1509">
        <v>1</v>
      </c>
      <c r="AW161" s="1509">
        <v>1</v>
      </c>
      <c r="AX161" s="1509">
        <v>8.1662310000000238E-3</v>
      </c>
      <c r="AY161" s="1509">
        <v>1</v>
      </c>
      <c r="AZ161" s="1509">
        <v>1</v>
      </c>
      <c r="BA161" s="1509">
        <v>1</v>
      </c>
      <c r="BB161" s="1509">
        <v>1</v>
      </c>
      <c r="BC161" s="1509">
        <v>1</v>
      </c>
      <c r="BD161" s="1509">
        <v>1</v>
      </c>
      <c r="BE161" s="1509">
        <v>0</v>
      </c>
      <c r="BF161" s="1509">
        <v>1</v>
      </c>
      <c r="BG161" s="1509">
        <v>1</v>
      </c>
      <c r="BH161" s="1509">
        <v>1</v>
      </c>
      <c r="BI161" s="1509">
        <v>6.0147130000000049E-3</v>
      </c>
      <c r="BJ161" s="1509">
        <v>1</v>
      </c>
      <c r="BK161" s="1509">
        <v>0</v>
      </c>
      <c r="BL161" s="1509">
        <v>1</v>
      </c>
      <c r="BM161" s="1509" t="s">
        <v>2372</v>
      </c>
      <c r="BN161" s="1509">
        <v>1</v>
      </c>
      <c r="BO161" s="1509">
        <v>6.0147130000000049E-3</v>
      </c>
      <c r="BP161" s="1509">
        <v>1</v>
      </c>
      <c r="BQ161" s="1509">
        <v>1</v>
      </c>
      <c r="BR161" s="1509">
        <v>1</v>
      </c>
      <c r="BS161" s="1509">
        <v>1</v>
      </c>
      <c r="BT161" s="1509">
        <v>1</v>
      </c>
      <c r="BU161" s="1509">
        <v>1</v>
      </c>
      <c r="BV161" s="1509">
        <v>1</v>
      </c>
      <c r="BW161" s="1509">
        <v>1</v>
      </c>
      <c r="BX161" s="1509">
        <v>1</v>
      </c>
      <c r="BY161" s="1509">
        <v>1</v>
      </c>
      <c r="BZ161" s="1509">
        <v>1</v>
      </c>
      <c r="CA161" s="1509">
        <v>1</v>
      </c>
      <c r="CB161" s="1509">
        <v>1</v>
      </c>
      <c r="CC161" s="1509">
        <v>1</v>
      </c>
      <c r="CD161" s="1509">
        <v>1</v>
      </c>
      <c r="CE161" s="1509">
        <v>1</v>
      </c>
      <c r="CF161" s="1509">
        <v>1</v>
      </c>
      <c r="CG161" s="1509">
        <v>1</v>
      </c>
      <c r="CH161" s="1509">
        <v>1</v>
      </c>
      <c r="CI161" s="1509">
        <v>1</v>
      </c>
      <c r="CJ161" s="1509">
        <v>1</v>
      </c>
      <c r="CK161" s="1509">
        <v>1</v>
      </c>
      <c r="CL161" s="1509">
        <v>1</v>
      </c>
      <c r="CM161" s="1509">
        <v>1</v>
      </c>
      <c r="CN161" s="1509">
        <v>1</v>
      </c>
      <c r="CO161" s="1509">
        <v>1</v>
      </c>
      <c r="CP161" s="1509">
        <v>1</v>
      </c>
      <c r="CQ161" s="1509">
        <v>0</v>
      </c>
      <c r="CR161" s="1509">
        <v>1</v>
      </c>
      <c r="CS161" s="1509">
        <v>1</v>
      </c>
      <c r="CT161" s="1509">
        <v>1</v>
      </c>
      <c r="CU161" s="1509">
        <v>1</v>
      </c>
      <c r="CV161" s="1509">
        <v>1</v>
      </c>
      <c r="CW161" s="1509">
        <v>1</v>
      </c>
      <c r="CX161" s="1509">
        <v>1</v>
      </c>
      <c r="CY161" s="1509">
        <v>1</v>
      </c>
      <c r="CZ161" s="1509">
        <v>1</v>
      </c>
      <c r="DA161" s="1509">
        <v>1</v>
      </c>
      <c r="DB161" s="1509">
        <v>1</v>
      </c>
      <c r="DC161" s="1509">
        <v>1</v>
      </c>
      <c r="DD161" s="1509">
        <v>1</v>
      </c>
      <c r="DE161" s="1509" t="s">
        <v>2372</v>
      </c>
      <c r="DF161" s="1509">
        <v>1</v>
      </c>
      <c r="DG161" s="1509">
        <v>1</v>
      </c>
      <c r="DH161" s="1509">
        <v>1</v>
      </c>
      <c r="DI161" s="1509">
        <v>1</v>
      </c>
      <c r="DJ161" s="1509">
        <v>1</v>
      </c>
      <c r="DK161" s="1509">
        <v>8.1662310000000238E-3</v>
      </c>
      <c r="DL161" s="1509">
        <v>1</v>
      </c>
      <c r="DM161" s="1509" t="s">
        <v>2372</v>
      </c>
      <c r="DN161" s="1509">
        <v>1</v>
      </c>
      <c r="DO161" s="1509">
        <v>1</v>
      </c>
      <c r="DP161" s="1509">
        <v>1</v>
      </c>
      <c r="DQ161" s="1509">
        <v>0</v>
      </c>
      <c r="DR161" s="1509">
        <v>1</v>
      </c>
      <c r="DS161" s="1509">
        <v>1</v>
      </c>
      <c r="DT161" s="1509">
        <v>1</v>
      </c>
      <c r="DU161" s="1509">
        <v>1</v>
      </c>
      <c r="DV161" s="1509">
        <v>1</v>
      </c>
      <c r="DW161" s="1509">
        <v>1</v>
      </c>
      <c r="DX161" s="1509">
        <v>1</v>
      </c>
      <c r="DY161" s="1509">
        <v>1</v>
      </c>
      <c r="DZ161" s="1509">
        <v>1</v>
      </c>
      <c r="EA161" s="1509">
        <v>1</v>
      </c>
      <c r="EB161" s="1509">
        <v>1</v>
      </c>
      <c r="EC161" s="1509">
        <v>1</v>
      </c>
      <c r="ED161" s="1509">
        <v>1</v>
      </c>
      <c r="EE161" s="1509">
        <v>1</v>
      </c>
      <c r="EF161" s="1509">
        <v>1</v>
      </c>
      <c r="EG161" s="1509">
        <v>1</v>
      </c>
      <c r="EH161" s="1509">
        <v>1</v>
      </c>
      <c r="EI161" s="1509">
        <v>1</v>
      </c>
      <c r="EJ161" s="1509">
        <v>1</v>
      </c>
      <c r="EK161" s="1509">
        <v>1</v>
      </c>
      <c r="EL161" s="1509">
        <v>1</v>
      </c>
      <c r="EM161" s="1509">
        <v>1</v>
      </c>
      <c r="EN161" s="1509">
        <v>1</v>
      </c>
      <c r="EO161" s="1509">
        <v>1</v>
      </c>
      <c r="EP161" s="1509">
        <v>1</v>
      </c>
      <c r="EQ161" s="1509">
        <v>1</v>
      </c>
      <c r="ER161" s="1509">
        <v>1</v>
      </c>
      <c r="ES161" s="1509">
        <v>1</v>
      </c>
      <c r="ET161" s="1509">
        <v>1</v>
      </c>
      <c r="EU161" s="1509">
        <v>1</v>
      </c>
      <c r="EV161" s="1509">
        <v>1</v>
      </c>
      <c r="EW161" s="1509">
        <v>1</v>
      </c>
      <c r="EX161" s="1509">
        <v>1</v>
      </c>
      <c r="EY161" s="1509">
        <v>1</v>
      </c>
      <c r="EZ161" s="1509">
        <v>1</v>
      </c>
      <c r="FA161" s="1509">
        <v>1</v>
      </c>
      <c r="FB161" s="1509">
        <v>1</v>
      </c>
      <c r="FC161" s="1509">
        <v>1</v>
      </c>
      <c r="FD161" s="1509">
        <v>1</v>
      </c>
      <c r="FE161" s="1509">
        <v>1</v>
      </c>
      <c r="FF161" s="1509">
        <v>1</v>
      </c>
      <c r="FG161" s="1509">
        <v>1</v>
      </c>
      <c r="FH161" s="1509">
        <v>8.1662310000000238E-3</v>
      </c>
      <c r="FI161" s="1509">
        <v>1</v>
      </c>
      <c r="FJ161" s="1509">
        <v>0</v>
      </c>
      <c r="FK161" s="1509">
        <v>1</v>
      </c>
      <c r="FL161" s="1509">
        <v>1</v>
      </c>
      <c r="FM161" s="1509">
        <v>1</v>
      </c>
      <c r="FN161" s="1509">
        <v>6.0147130000000049E-3</v>
      </c>
      <c r="FO161" s="1509">
        <v>1</v>
      </c>
      <c r="FP161" s="1509">
        <v>1</v>
      </c>
      <c r="FQ161" s="1509">
        <v>1</v>
      </c>
      <c r="FR161" s="1509">
        <v>1</v>
      </c>
      <c r="FS161" s="1509">
        <v>1</v>
      </c>
      <c r="FT161" s="1509">
        <v>1</v>
      </c>
      <c r="FU161" s="1509">
        <v>1</v>
      </c>
    </row>
    <row r="162" spans="1:177" s="1509" customFormat="1" x14ac:dyDescent="0.2">
      <c r="A162" s="1512" t="s">
        <v>671</v>
      </c>
      <c r="B162" s="1512" t="s">
        <v>1016</v>
      </c>
      <c r="C162" s="1509">
        <v>0.97998822399999996</v>
      </c>
      <c r="D162" s="1509">
        <v>0.99562125899999998</v>
      </c>
      <c r="E162" s="1509">
        <v>0.990690984</v>
      </c>
      <c r="F162" s="1509">
        <v>0.98298218999999998</v>
      </c>
      <c r="G162" s="1509">
        <v>0.99218907199999995</v>
      </c>
      <c r="H162" s="1509">
        <v>0.990206527</v>
      </c>
      <c r="I162" s="1509">
        <v>0.98833578</v>
      </c>
      <c r="J162" s="1509">
        <v>0.98975188400000003</v>
      </c>
      <c r="K162" s="1509">
        <v>0.99528586699999999</v>
      </c>
      <c r="L162" s="1509">
        <v>0.995062271</v>
      </c>
      <c r="M162" s="1509">
        <v>0.99367598099999999</v>
      </c>
      <c r="N162" s="1509">
        <v>0.99614670800000005</v>
      </c>
      <c r="O162" s="1509">
        <v>0.99511071699999998</v>
      </c>
      <c r="P162" s="1509">
        <v>0.99690320600000004</v>
      </c>
      <c r="Q162" s="1509">
        <v>0.94981089600000002</v>
      </c>
      <c r="R162" s="1509">
        <v>0.86380013899999997</v>
      </c>
      <c r="S162" s="1509">
        <v>0.98299930700000004</v>
      </c>
      <c r="T162" s="1509">
        <v>0.93485179399999996</v>
      </c>
      <c r="U162" s="1509">
        <v>0.99506972400000004</v>
      </c>
      <c r="V162" s="1509">
        <v>0.99637030400000004</v>
      </c>
      <c r="W162" s="1509">
        <v>0.99607217699999995</v>
      </c>
      <c r="X162" s="1509">
        <v>0.99234931500000001</v>
      </c>
      <c r="Y162" s="1509">
        <v>0.99284122500000005</v>
      </c>
      <c r="Z162" s="1509">
        <v>0.92840852299999999</v>
      </c>
      <c r="AA162" s="1509">
        <v>0.99906090000000003</v>
      </c>
      <c r="AB162" s="1509">
        <v>0.99947082499999995</v>
      </c>
      <c r="AC162" s="1509">
        <v>0.99947082499999995</v>
      </c>
      <c r="AD162" s="1509">
        <v>0.99949691100000004</v>
      </c>
      <c r="AE162" s="1509">
        <v>0.79515564699999997</v>
      </c>
      <c r="AF162" s="1509">
        <v>0.96960222399999996</v>
      </c>
      <c r="AG162" s="1509">
        <v>0.99905717299999997</v>
      </c>
      <c r="AH162" s="1509">
        <v>0.99816651899999997</v>
      </c>
      <c r="AI162" s="1509">
        <v>0.99051583399999998</v>
      </c>
      <c r="AJ162" s="1509">
        <v>0.99008727699999999</v>
      </c>
      <c r="AK162" s="1509">
        <v>0.59730106699999996</v>
      </c>
      <c r="AL162" s="1509">
        <v>0.85350570299999995</v>
      </c>
      <c r="AM162" s="1509">
        <v>0.87299799300000003</v>
      </c>
      <c r="AN162" s="1509">
        <v>0.80301074900000002</v>
      </c>
      <c r="AO162" s="1509">
        <v>0.62537732199999996</v>
      </c>
      <c r="AP162" s="1509">
        <v>0.84320394499999995</v>
      </c>
      <c r="AQ162" s="1509">
        <v>0.97142825200000005</v>
      </c>
      <c r="AR162" s="1509">
        <v>0.92631481900000001</v>
      </c>
      <c r="AS162" s="1509">
        <v>0.83184466599999995</v>
      </c>
      <c r="AT162" s="1509">
        <v>0.98810859799999995</v>
      </c>
      <c r="AU162" s="1509">
        <v>0.96628591600000002</v>
      </c>
      <c r="AV162" s="1509">
        <v>0.99740256800000004</v>
      </c>
      <c r="AW162" s="1509">
        <v>0.724552996</v>
      </c>
      <c r="AX162" s="1509">
        <v>0.170174413</v>
      </c>
      <c r="AY162" s="1509">
        <v>0.97362019200000005</v>
      </c>
      <c r="AZ162" s="1509">
        <v>0.99036831599999997</v>
      </c>
      <c r="BA162" s="1509">
        <v>0.97504017799999998</v>
      </c>
      <c r="BB162" s="1509">
        <v>0.96853466300000002</v>
      </c>
      <c r="BC162" s="1509">
        <v>0.96276538499999997</v>
      </c>
      <c r="BD162" s="1509">
        <v>0.98532599499999995</v>
      </c>
      <c r="BE162" s="1509">
        <v>0.99875991200000003</v>
      </c>
      <c r="BF162" s="1509">
        <v>0.94553937899999996</v>
      </c>
      <c r="BG162" s="1509">
        <v>0.99037621799999997</v>
      </c>
      <c r="BH162" s="1509">
        <v>0.98991585400000004</v>
      </c>
      <c r="BI162" s="1509">
        <v>0.99996273400000002</v>
      </c>
      <c r="BJ162" s="1509">
        <v>0.96211923600000004</v>
      </c>
      <c r="BK162" s="1509">
        <v>0.98815317800000002</v>
      </c>
      <c r="BL162" s="1509">
        <v>0.98849975000000001</v>
      </c>
      <c r="BM162" s="1509">
        <v>7.348586E-2</v>
      </c>
      <c r="BN162" s="1509">
        <v>0.98821652999999998</v>
      </c>
      <c r="BO162" s="1509">
        <v>0.98959536699999995</v>
      </c>
      <c r="BP162" s="1509">
        <v>0.98992330699999997</v>
      </c>
      <c r="BQ162" s="1509">
        <v>0.98053230599999996</v>
      </c>
      <c r="BR162" s="1509">
        <v>0.94621788600000001</v>
      </c>
      <c r="BS162" s="1509">
        <v>0.995073451</v>
      </c>
      <c r="BT162" s="1509">
        <v>0.983780243</v>
      </c>
      <c r="BU162" s="1509">
        <v>0.98904739900000005</v>
      </c>
      <c r="BV162" s="1509">
        <v>0.98550293899999997</v>
      </c>
      <c r="BW162" s="1509">
        <v>0.98220107000000001</v>
      </c>
      <c r="BX162" s="1509">
        <v>0.750544871</v>
      </c>
      <c r="BY162" s="1509">
        <v>0.67140617599999997</v>
      </c>
      <c r="BZ162" s="1509">
        <v>0.587274882</v>
      </c>
      <c r="CA162" s="1509">
        <v>0.92656635799999998</v>
      </c>
      <c r="CB162" s="1509">
        <v>0.15687079000000001</v>
      </c>
      <c r="CC162" s="1509">
        <v>0.28761012400000002</v>
      </c>
      <c r="CD162" s="1509">
        <v>0.96230595399999996</v>
      </c>
      <c r="CE162" s="1509">
        <v>0.86466546799999999</v>
      </c>
      <c r="CF162" s="1509">
        <v>0.42149746700000001</v>
      </c>
      <c r="CG162" s="1509">
        <v>0.98100930900000005</v>
      </c>
      <c r="CH162" s="1509">
        <v>0.99873668699999996</v>
      </c>
      <c r="CI162" s="1509">
        <v>0.99563616600000004</v>
      </c>
      <c r="CJ162" s="1509">
        <v>0.99620236399999995</v>
      </c>
      <c r="CK162" s="1509">
        <v>0.92561037400000001</v>
      </c>
      <c r="CL162" s="1509">
        <v>0.91820773600000005</v>
      </c>
      <c r="CM162" s="1509">
        <v>0.56901420800000002</v>
      </c>
      <c r="CN162" s="1509">
        <v>0.26764787099999998</v>
      </c>
      <c r="CO162" s="1509">
        <v>0.51302096900000005</v>
      </c>
      <c r="CP162" s="1509">
        <v>5.4672406E-2</v>
      </c>
      <c r="CQ162" s="1509">
        <v>0.98983759500000001</v>
      </c>
      <c r="CR162" s="1509">
        <v>0.98495203899999995</v>
      </c>
      <c r="CS162" s="1509">
        <v>0.99402628000000004</v>
      </c>
      <c r="CT162" s="1509">
        <v>0.98419181499999997</v>
      </c>
      <c r="CU162" s="1509">
        <v>0.99242757400000003</v>
      </c>
      <c r="CV162" s="1509">
        <v>0.99820575499999997</v>
      </c>
      <c r="CW162" s="1509">
        <v>0.99723157900000003</v>
      </c>
      <c r="CX162" s="1509">
        <v>0.98973537599999994</v>
      </c>
      <c r="CY162" s="1509">
        <v>0.98855205499999999</v>
      </c>
      <c r="CZ162" s="1509">
        <v>0.26072398099999999</v>
      </c>
      <c r="DA162" s="1509">
        <v>0.882865118</v>
      </c>
      <c r="DB162" s="1509">
        <v>0.99457316600000001</v>
      </c>
      <c r="DC162" s="1509">
        <v>0.95255659100000001</v>
      </c>
      <c r="DD162" s="1509">
        <v>0.46198916499999998</v>
      </c>
      <c r="DE162" s="1509">
        <v>5.4700650000000003E-2</v>
      </c>
      <c r="DF162" s="1509">
        <v>0.140858544</v>
      </c>
      <c r="DG162" s="1509">
        <v>0.9748618</v>
      </c>
      <c r="DH162" s="1509">
        <v>0.98606499299999995</v>
      </c>
      <c r="DI162" s="1509">
        <v>0.53722900299999998</v>
      </c>
      <c r="DJ162" s="1509">
        <v>0.10129403300000001</v>
      </c>
      <c r="DK162" s="1509">
        <v>0.208973568</v>
      </c>
      <c r="DL162" s="1509">
        <v>2.4035270000000001E-2</v>
      </c>
      <c r="DM162" s="1509">
        <v>0.97146650999999995</v>
      </c>
      <c r="DN162" s="1509">
        <v>0.48503465000000001</v>
      </c>
      <c r="DO162" s="1509">
        <v>0.96751095300000001</v>
      </c>
      <c r="DP162" s="1509">
        <v>3.8946639999999999E-3</v>
      </c>
      <c r="DQ162" s="1509">
        <v>0.15067924499999999</v>
      </c>
      <c r="DR162" s="1509">
        <v>0.91077232299999999</v>
      </c>
      <c r="DS162" s="1509">
        <v>0.69748348999999998</v>
      </c>
      <c r="DT162" s="1509">
        <v>0.63868663000000003</v>
      </c>
      <c r="DU162" s="1509">
        <v>0.983774437</v>
      </c>
      <c r="DV162" s="1509">
        <v>0.999455918</v>
      </c>
      <c r="DW162" s="1509">
        <v>0.94105267599999998</v>
      </c>
      <c r="DX162" s="1509">
        <v>0.98438052499999995</v>
      </c>
      <c r="DY162" s="1509">
        <v>0.98049446299999998</v>
      </c>
      <c r="DZ162" s="1509">
        <v>0.92712961400000005</v>
      </c>
      <c r="EA162" s="1509">
        <v>0.97566211000000003</v>
      </c>
      <c r="EB162" s="1509">
        <v>0.99171952200000002</v>
      </c>
      <c r="EC162" s="1509">
        <v>0.99465234700000005</v>
      </c>
      <c r="ED162" s="1509">
        <v>0.97874726999999995</v>
      </c>
      <c r="EE162" s="1509">
        <v>0.56224776799999998</v>
      </c>
      <c r="EF162" s="1509">
        <v>0.97254694799999997</v>
      </c>
      <c r="EG162" s="1509">
        <v>0.66546858900000005</v>
      </c>
      <c r="EH162" s="1509">
        <v>0.98040089799999997</v>
      </c>
      <c r="EI162" s="1509">
        <v>0.81387958500000002</v>
      </c>
      <c r="EJ162" s="1509">
        <v>0.40912922499999999</v>
      </c>
      <c r="EK162" s="1509">
        <v>0.99822614399999998</v>
      </c>
      <c r="EL162" s="1509">
        <v>0.99359817500000003</v>
      </c>
      <c r="EM162" s="1509">
        <v>0.62717648199999998</v>
      </c>
      <c r="EN162" s="1509">
        <v>6.1672752999999997E-2</v>
      </c>
      <c r="EO162" s="1509">
        <v>6.4846069999999999E-3</v>
      </c>
      <c r="EP162" s="1509">
        <v>9.9076314999999998E-2</v>
      </c>
      <c r="EQ162" s="1509">
        <v>0</v>
      </c>
      <c r="ER162" s="1509">
        <v>0.98429760300000002</v>
      </c>
      <c r="ES162" s="1509">
        <v>0.98711005399999996</v>
      </c>
      <c r="ET162" s="1509">
        <v>0.98993681600000005</v>
      </c>
      <c r="EU162" s="1509">
        <v>0.73351322699999999</v>
      </c>
      <c r="EV162" s="1509">
        <v>0.99949691100000004</v>
      </c>
      <c r="EW162" s="1509">
        <v>0.45922792400000001</v>
      </c>
      <c r="EX162" s="1509">
        <v>0.99281751500000004</v>
      </c>
      <c r="EY162" s="1509">
        <v>0.99343394299999999</v>
      </c>
      <c r="EZ162" s="1509">
        <v>0.52004413599999999</v>
      </c>
      <c r="FA162" s="1509">
        <v>0.78480153399999997</v>
      </c>
      <c r="FB162" s="1509">
        <v>0.93180562099999997</v>
      </c>
      <c r="FC162" s="1509">
        <v>0.99149659899999998</v>
      </c>
      <c r="FD162" s="1509">
        <v>0.991722255</v>
      </c>
      <c r="FE162" s="1509">
        <v>0.99724258600000004</v>
      </c>
      <c r="FF162" s="1509">
        <v>0.99504697900000005</v>
      </c>
      <c r="FG162" s="1509">
        <v>4.6054507000000001E-2</v>
      </c>
      <c r="FH162" s="1509">
        <v>1.8681279999999999E-3</v>
      </c>
      <c r="FI162" s="1509">
        <v>0.55722545800000001</v>
      </c>
      <c r="FJ162" s="1509">
        <v>0.99468330999999999</v>
      </c>
      <c r="FK162" s="1509">
        <v>0.82587629900000004</v>
      </c>
      <c r="FL162" s="1509">
        <v>0.93277164099999998</v>
      </c>
      <c r="FM162" s="1509">
        <v>0.99807335399999997</v>
      </c>
      <c r="FN162" s="1509">
        <v>0.99787211799999997</v>
      </c>
      <c r="FO162" s="1509">
        <v>0.83914437600000003</v>
      </c>
      <c r="FP162" s="1509">
        <v>7.6569873999999996E-2</v>
      </c>
      <c r="FQ162" s="1509">
        <v>0.77094132900000001</v>
      </c>
      <c r="FR162" s="1509">
        <v>0.95268366199999999</v>
      </c>
      <c r="FS162" s="1509">
        <v>0.81140257599999999</v>
      </c>
      <c r="FT162" s="1509">
        <v>0.12306956500000001</v>
      </c>
      <c r="FU162" s="1509">
        <v>0.98599548299999995</v>
      </c>
    </row>
    <row r="163" spans="1:177" s="1509" customFormat="1" x14ac:dyDescent="0.2">
      <c r="A163" s="1512" t="s">
        <v>671</v>
      </c>
      <c r="B163" s="1512" t="s">
        <v>1211</v>
      </c>
      <c r="C163" s="1509">
        <v>5.0182230000000001E-2</v>
      </c>
      <c r="D163" s="1509">
        <v>8.6121440000000004E-3</v>
      </c>
      <c r="E163" s="1509">
        <v>9.7450269000000006E-2</v>
      </c>
      <c r="F163" s="1509">
        <v>0.29248398399999997</v>
      </c>
      <c r="G163" s="1509">
        <v>3.9676979000000001E-2</v>
      </c>
      <c r="H163" s="1509">
        <v>0.27767550400000002</v>
      </c>
      <c r="I163" s="1509">
        <v>2.6522125000000001E-2</v>
      </c>
      <c r="J163" s="1509">
        <v>2.7178003999999999E-2</v>
      </c>
      <c r="K163" s="1509">
        <v>1.1925081000000001E-2</v>
      </c>
      <c r="L163" s="1509">
        <v>5.0260487999999999E-2</v>
      </c>
      <c r="M163" s="1509">
        <v>3.7418667000000003E-2</v>
      </c>
      <c r="N163" s="1509">
        <v>8.3512829999999993E-3</v>
      </c>
      <c r="O163" s="1509">
        <v>3.3464760000000001E-3</v>
      </c>
      <c r="P163" s="1509">
        <v>2.3183102000000001E-2</v>
      </c>
      <c r="Q163" s="1509">
        <v>0.36371435200000002</v>
      </c>
      <c r="R163" s="1509">
        <v>2.3826396999999999E-2</v>
      </c>
      <c r="S163" s="1509">
        <v>2.0347170000000001E-3</v>
      </c>
      <c r="T163" s="1509">
        <v>0.39512264200000002</v>
      </c>
      <c r="U163" s="1509">
        <v>0.172011836</v>
      </c>
      <c r="V163" s="1509">
        <v>0.106755558</v>
      </c>
      <c r="W163" s="1509">
        <v>3.5372770999999997E-2</v>
      </c>
      <c r="X163" s="1509">
        <v>0.36151254700000002</v>
      </c>
      <c r="Y163" s="1509">
        <v>6.6016501000000005E-2</v>
      </c>
      <c r="Z163" s="1509">
        <v>0.22481758399999999</v>
      </c>
      <c r="AA163" s="1509">
        <v>6.1824089999999998E-2</v>
      </c>
      <c r="AB163" s="1509">
        <v>8.0304238999999999E-2</v>
      </c>
      <c r="AC163" s="1509">
        <v>0.195768832</v>
      </c>
      <c r="AD163" s="1509">
        <v>0.26685722000000001</v>
      </c>
      <c r="AE163" s="1509">
        <v>2.3043125000000001E-2</v>
      </c>
      <c r="AF163" s="1509">
        <v>8.0494290000000003E-3</v>
      </c>
      <c r="AG163" s="1509">
        <v>1.1199999999999999E-5</v>
      </c>
      <c r="AH163" s="1509">
        <v>3.2495845000000002E-2</v>
      </c>
      <c r="AI163" s="1509">
        <v>0.12510527599999999</v>
      </c>
      <c r="AJ163" s="1509">
        <v>9.3183325999999997E-2</v>
      </c>
      <c r="AK163" s="1509">
        <v>2.5780847999999999E-2</v>
      </c>
      <c r="AL163" s="1509">
        <v>0.37221845100000001</v>
      </c>
      <c r="AM163" s="1509">
        <v>6.460131E-3</v>
      </c>
      <c r="AN163" s="1509">
        <v>0.30212677100000002</v>
      </c>
      <c r="AO163" s="1509">
        <v>0.233365928</v>
      </c>
      <c r="AP163" s="1509">
        <v>3.1886399999999997E-4</v>
      </c>
      <c r="AQ163" s="1509">
        <v>0.285922442</v>
      </c>
      <c r="AR163" s="1509">
        <v>4.3076545000000001E-2</v>
      </c>
      <c r="AS163" s="1509">
        <v>0.26013497899999999</v>
      </c>
      <c r="AT163" s="1509">
        <v>0.96829984499999999</v>
      </c>
      <c r="AU163" s="1509">
        <v>0.40743616199999999</v>
      </c>
      <c r="AV163" s="1509">
        <v>0.266130535</v>
      </c>
      <c r="AW163" s="1509">
        <v>2.7863696E-2</v>
      </c>
      <c r="AX163" s="1509">
        <v>3.2774200000000001E-4</v>
      </c>
      <c r="AY163" s="1509">
        <v>0.27163551499999999</v>
      </c>
      <c r="AZ163" s="1509">
        <v>4.4250709999999999E-2</v>
      </c>
      <c r="BA163" s="1509">
        <v>2.1745591000000002E-2</v>
      </c>
      <c r="BB163" s="1509">
        <v>1.7237962999999999E-2</v>
      </c>
      <c r="BC163" s="1509">
        <v>0.96726981999999995</v>
      </c>
      <c r="BD163" s="1509">
        <v>1.298292E-2</v>
      </c>
      <c r="BE163" s="1509">
        <v>6.9900000000000005E-5</v>
      </c>
      <c r="BF163" s="1509">
        <v>0.84491982700000001</v>
      </c>
      <c r="BG163" s="1509">
        <v>0.64002515100000001</v>
      </c>
      <c r="BH163" s="1509">
        <v>3.7802506E-2</v>
      </c>
      <c r="BI163" s="1509">
        <v>9.0761043999999999E-2</v>
      </c>
      <c r="BJ163" s="1509">
        <v>0.42946314800000002</v>
      </c>
      <c r="BK163" s="1509">
        <v>1.15524E-4</v>
      </c>
      <c r="BL163" s="1509">
        <v>4.1350217000000002E-2</v>
      </c>
      <c r="BM163" s="1509">
        <v>1.19356E-4</v>
      </c>
      <c r="BN163" s="1509">
        <v>9.3872743999999994E-2</v>
      </c>
      <c r="BO163" s="1509">
        <v>1.67696E-4</v>
      </c>
      <c r="BP163" s="1509">
        <v>1.1328829999999999E-3</v>
      </c>
      <c r="BQ163" s="1509">
        <v>3.1303339999999998E-3</v>
      </c>
      <c r="BR163" s="1509">
        <v>0.546865567</v>
      </c>
      <c r="BS163" s="1509">
        <v>8.5413390000000002E-3</v>
      </c>
      <c r="BT163" s="1509">
        <v>3.625366E-2</v>
      </c>
      <c r="BU163" s="1509">
        <v>0.19897408799999999</v>
      </c>
      <c r="BV163" s="1509">
        <v>2.4756180999999999E-2</v>
      </c>
      <c r="BW163" s="1509">
        <v>0.27515236500000001</v>
      </c>
      <c r="BX163" s="1509">
        <v>5.5983744000000002E-2</v>
      </c>
      <c r="BY163" s="1509">
        <v>0.196776114</v>
      </c>
      <c r="BZ163" s="1509">
        <v>2.40344E-4</v>
      </c>
      <c r="CA163" s="1509">
        <v>5.8484330000000001E-3</v>
      </c>
      <c r="CB163" s="1509">
        <v>0.44515229099999998</v>
      </c>
      <c r="CC163" s="1509">
        <v>0.19994330599999999</v>
      </c>
      <c r="CD163" s="1509">
        <v>2.0887299999999999E-4</v>
      </c>
      <c r="CE163" s="1509">
        <v>5.7342991000000003E-2</v>
      </c>
      <c r="CF163" s="1509">
        <v>0.48517377499999997</v>
      </c>
      <c r="CG163" s="1509">
        <v>2.5508493E-2</v>
      </c>
      <c r="CH163" s="1509">
        <v>1.2893990000000001E-3</v>
      </c>
      <c r="CI163" s="1509">
        <v>1.8483880000000001E-3</v>
      </c>
      <c r="CJ163" s="1509">
        <v>1.4320939E-2</v>
      </c>
      <c r="CK163" s="1509">
        <v>0.36194769199999999</v>
      </c>
      <c r="CL163" s="1509">
        <v>0.57709750599999998</v>
      </c>
      <c r="CM163" s="1509">
        <v>7.4741494000000006E-2</v>
      </c>
      <c r="CN163" s="1509">
        <v>1.2524897E-2</v>
      </c>
      <c r="CO163" s="1509">
        <v>0.56710405600000002</v>
      </c>
      <c r="CP163" s="1509">
        <v>0.20767159299999999</v>
      </c>
      <c r="CQ163" s="1509">
        <v>1.1199999999999999E-5</v>
      </c>
      <c r="CR163" s="1509">
        <v>5.0681599999999999E-4</v>
      </c>
      <c r="CS163" s="1509">
        <v>0.21870225300000001</v>
      </c>
      <c r="CT163" s="1509">
        <v>0.49090712600000003</v>
      </c>
      <c r="CU163" s="1509">
        <v>0.29416938100000001</v>
      </c>
      <c r="CV163" s="1509">
        <v>4.7107191999999999E-2</v>
      </c>
      <c r="CW163" s="1509">
        <v>0.22748937799999999</v>
      </c>
      <c r="CX163" s="1509">
        <v>2.317108E-3</v>
      </c>
      <c r="CY163" s="1509">
        <v>2.5317599999999998E-4</v>
      </c>
      <c r="CZ163" s="1509">
        <v>9.3406380000000001E-3</v>
      </c>
      <c r="DA163" s="1509">
        <v>1.9293061E-2</v>
      </c>
      <c r="DB163" s="1509">
        <v>2.3427368E-2</v>
      </c>
      <c r="DC163" s="1509">
        <v>0.45405127000000001</v>
      </c>
      <c r="DD163" s="1509">
        <v>1.5360700000000001E-3</v>
      </c>
      <c r="DE163" s="1509">
        <v>0.33960945199999998</v>
      </c>
      <c r="DF163" s="1509">
        <v>0.17389784699999999</v>
      </c>
      <c r="DG163" s="1509">
        <v>8.4125130000000006E-2</v>
      </c>
      <c r="DH163" s="1509">
        <v>0.78070990399999995</v>
      </c>
      <c r="DI163" s="1509">
        <v>0.81178082900000004</v>
      </c>
      <c r="DJ163" s="1509">
        <v>8.1875338000000006E-2</v>
      </c>
      <c r="DK163" s="1509">
        <v>2.5126899999999998E-4</v>
      </c>
      <c r="DL163" s="1509">
        <v>0.26549200699999997</v>
      </c>
      <c r="DM163" s="1509">
        <v>3.9536600000000002E-4</v>
      </c>
      <c r="DN163" s="1509">
        <v>0.92085795699999995</v>
      </c>
      <c r="DO163" s="1509">
        <v>3.7811241000000002E-2</v>
      </c>
      <c r="DP163" s="1509">
        <v>8.6796930000000005E-3</v>
      </c>
      <c r="DQ163" s="1509">
        <v>1.20172E-4</v>
      </c>
      <c r="DR163" s="1509">
        <v>2.4241960999999999E-2</v>
      </c>
      <c r="DS163" s="1509">
        <v>6.5766829999999998E-3</v>
      </c>
      <c r="DT163" s="1509">
        <v>2.0991856E-2</v>
      </c>
      <c r="DU163" s="1509">
        <v>0.215139635</v>
      </c>
      <c r="DV163" s="1509">
        <v>0.141394191</v>
      </c>
      <c r="DW163" s="1509">
        <v>0.63324263400000003</v>
      </c>
      <c r="DX163" s="1509">
        <v>7.5829784999999997E-2</v>
      </c>
      <c r="DY163" s="1509">
        <v>0.49393479099999998</v>
      </c>
      <c r="DZ163" s="1509">
        <v>0.72124771300000001</v>
      </c>
      <c r="EA163" s="1509">
        <v>0.43792792200000003</v>
      </c>
      <c r="EB163" s="1509">
        <v>0.767274597</v>
      </c>
      <c r="EC163" s="1509">
        <v>0.25123536400000002</v>
      </c>
      <c r="ED163" s="1509">
        <v>9.3354749000000001E-2</v>
      </c>
      <c r="EE163" s="1509">
        <v>3.6336373999999998E-2</v>
      </c>
      <c r="EF163" s="1509">
        <v>2.1894195000000002E-2</v>
      </c>
      <c r="EG163" s="1509">
        <v>0.99928443099999997</v>
      </c>
      <c r="EH163" s="1509">
        <v>2.7959399999999998E-3</v>
      </c>
      <c r="EI163" s="1509">
        <v>0.30757237799999998</v>
      </c>
      <c r="EJ163" s="1509">
        <v>0.35835080200000002</v>
      </c>
      <c r="EK163" s="1509">
        <v>1.6594495000000001E-2</v>
      </c>
      <c r="EL163" s="1509">
        <v>0.43120337800000003</v>
      </c>
      <c r="EM163" s="1509">
        <v>1.9398632999999998E-2</v>
      </c>
      <c r="EN163" s="1509">
        <v>1.8405247E-2</v>
      </c>
      <c r="EO163" s="1509">
        <v>0.92569836000000005</v>
      </c>
      <c r="EP163" s="1509">
        <v>0.47766167199999998</v>
      </c>
      <c r="EQ163" s="1509">
        <v>1.2920263E-2</v>
      </c>
      <c r="ER163" s="1509">
        <v>4.6122009999999998E-3</v>
      </c>
      <c r="ES163" s="1509">
        <v>3.4674060000000001E-3</v>
      </c>
      <c r="ET163" s="1509">
        <v>5.9401877999999998E-2</v>
      </c>
      <c r="EU163" s="1509">
        <v>0.99906047399999998</v>
      </c>
      <c r="EV163" s="1509">
        <v>0.14664868</v>
      </c>
      <c r="EW163" s="1509">
        <v>9.3108289999999996E-3</v>
      </c>
      <c r="EX163" s="1509">
        <v>0.910882152</v>
      </c>
      <c r="EY163" s="1509">
        <v>0.196557911</v>
      </c>
      <c r="EZ163" s="1509">
        <v>5.5153464999999999E-2</v>
      </c>
      <c r="FA163" s="1509">
        <v>3.7723884999999999E-2</v>
      </c>
      <c r="FB163" s="1509">
        <v>4.5427490000000001E-2</v>
      </c>
      <c r="FC163" s="1509">
        <v>0.11321357</v>
      </c>
      <c r="FD163" s="1509">
        <v>0.14127204300000001</v>
      </c>
      <c r="FE163" s="1509">
        <v>5.338705E-3</v>
      </c>
      <c r="FF163" s="1509">
        <v>0.233365928</v>
      </c>
      <c r="FG163" s="1509">
        <v>0.20905269500000001</v>
      </c>
      <c r="FH163" s="1509">
        <v>0.105035751</v>
      </c>
      <c r="FI163" s="1509">
        <v>0.34305514199999998</v>
      </c>
      <c r="FJ163" s="1509">
        <v>4.2379400000000002E-4</v>
      </c>
      <c r="FK163" s="1509">
        <v>2.2510392000000001E-2</v>
      </c>
      <c r="FL163" s="1509">
        <v>2.5754499999999997E-4</v>
      </c>
      <c r="FM163" s="1509">
        <v>0.89025944499999998</v>
      </c>
      <c r="FN163" s="1509">
        <v>1.855841E-3</v>
      </c>
      <c r="FO163" s="1509">
        <v>4.0530719999999996E-3</v>
      </c>
      <c r="FP163" s="1509">
        <v>0.34305514199999998</v>
      </c>
      <c r="FQ163" s="1509">
        <v>2.3641101000000001E-2</v>
      </c>
      <c r="FR163" s="1509">
        <v>0.68836272399999998</v>
      </c>
      <c r="FS163" s="1509">
        <v>0.233365928</v>
      </c>
      <c r="FT163" s="1509">
        <v>0.99925496000000003</v>
      </c>
      <c r="FU163" s="1509">
        <v>8.4928929999999996E-3</v>
      </c>
    </row>
    <row r="164" spans="1:177" s="1509" customFormat="1" x14ac:dyDescent="0.2">
      <c r="A164" s="1512" t="s">
        <v>671</v>
      </c>
      <c r="B164" s="1512" t="s">
        <v>1012</v>
      </c>
      <c r="C164" s="1509">
        <v>0.68050845599999998</v>
      </c>
      <c r="D164" s="1509">
        <v>0.98817553700000005</v>
      </c>
      <c r="E164" s="1509">
        <v>0.85599347100000001</v>
      </c>
      <c r="F164" s="1509">
        <v>0.65511965299999997</v>
      </c>
      <c r="G164" s="1509">
        <v>0.91849952700000004</v>
      </c>
      <c r="H164" s="1509">
        <v>0.70084444499999998</v>
      </c>
      <c r="I164" s="1509">
        <v>0.91948334600000003</v>
      </c>
      <c r="J164" s="1509">
        <v>0.90925758899999998</v>
      </c>
      <c r="K164" s="1509">
        <v>0.934482861</v>
      </c>
      <c r="L164" s="1509">
        <v>0.88882843499999997</v>
      </c>
      <c r="M164" s="1509">
        <v>0.93471018299999997</v>
      </c>
      <c r="N164" s="1509">
        <v>0.979142289</v>
      </c>
      <c r="O164" s="1509">
        <v>0.95608961699999995</v>
      </c>
      <c r="P164" s="1509">
        <v>0.93911128300000002</v>
      </c>
      <c r="Q164" s="1509">
        <v>0.79165703099999996</v>
      </c>
      <c r="R164" s="1509">
        <v>0.96203740299999996</v>
      </c>
      <c r="S164" s="1509">
        <v>0.98418063499999997</v>
      </c>
      <c r="T164" s="1509">
        <v>0.48846621099999998</v>
      </c>
      <c r="U164" s="1509">
        <v>0.50755751999999998</v>
      </c>
      <c r="V164" s="1509">
        <v>0.72068107100000001</v>
      </c>
      <c r="W164" s="1509">
        <v>0.83343643599999995</v>
      </c>
      <c r="X164" s="1509">
        <v>0.62348793700000005</v>
      </c>
      <c r="Y164" s="1509">
        <v>0.95408843899999995</v>
      </c>
      <c r="Z164" s="1509">
        <v>0.729636061</v>
      </c>
      <c r="AA164" s="1509">
        <v>0.94749237900000005</v>
      </c>
      <c r="AB164" s="1509">
        <v>0.82425412300000001</v>
      </c>
      <c r="AC164" s="1509">
        <v>0.77927793599999995</v>
      </c>
      <c r="AD164" s="1509">
        <v>0.59727139200000001</v>
      </c>
      <c r="AE164" s="1509">
        <v>0.88380715099999996</v>
      </c>
      <c r="AF164" s="1509">
        <v>0.75523026599999998</v>
      </c>
      <c r="AG164" s="1509">
        <v>0.99996273400000002</v>
      </c>
      <c r="AH164" s="1509">
        <v>0.75657183699999997</v>
      </c>
      <c r="AI164" s="1509">
        <v>0.77334148199999997</v>
      </c>
      <c r="AJ164" s="1509">
        <v>0.75228998800000002</v>
      </c>
      <c r="AK164" s="1509">
        <v>0.92289616799999996</v>
      </c>
      <c r="AL164" s="1509">
        <v>0.657075933</v>
      </c>
      <c r="AM164" s="1509">
        <v>0.97480101200000002</v>
      </c>
      <c r="AN164" s="1509">
        <v>0.76201949999999996</v>
      </c>
      <c r="AO164" s="1509">
        <v>0.61277156600000005</v>
      </c>
      <c r="AP164" s="1509">
        <v>0</v>
      </c>
      <c r="AQ164" s="1509">
        <v>0.91576048499999996</v>
      </c>
      <c r="AR164" s="1509">
        <v>0.55402247599999999</v>
      </c>
      <c r="AS164" s="1509">
        <v>0.154319185</v>
      </c>
      <c r="AT164" s="1509">
        <v>2.745707E-2</v>
      </c>
      <c r="AU164" s="1509">
        <v>2.1230802E-2</v>
      </c>
      <c r="AV164" s="1509">
        <v>0.74900313799999996</v>
      </c>
      <c r="AW164" s="1509">
        <v>0.930655656</v>
      </c>
      <c r="AX164" s="1509">
        <v>0.990451792</v>
      </c>
      <c r="AY164" s="1509">
        <v>0.86183211100000001</v>
      </c>
      <c r="AZ164" s="1509">
        <v>0.87591638599999999</v>
      </c>
      <c r="BA164" s="1509">
        <v>0.87709420299999996</v>
      </c>
      <c r="BB164" s="1509">
        <v>0.951748013</v>
      </c>
      <c r="BC164" s="1509">
        <v>6.1194212999999997E-2</v>
      </c>
      <c r="BD164" s="1509">
        <v>0.97893830599999998</v>
      </c>
      <c r="BE164" s="1509">
        <v>0.99975547600000003</v>
      </c>
      <c r="BF164" s="1509">
        <v>0.13354189999999999</v>
      </c>
      <c r="BG164" s="1509">
        <v>0.25124882100000001</v>
      </c>
      <c r="BH164" s="1509">
        <v>0.71104038899999999</v>
      </c>
      <c r="BI164" s="1509">
        <v>0.59664905199999996</v>
      </c>
      <c r="BJ164" s="1509">
        <v>0.51278592199999995</v>
      </c>
      <c r="BK164" s="1509">
        <v>0.97589643100000001</v>
      </c>
      <c r="BL164" s="1509">
        <v>1.7559681000000001E-2</v>
      </c>
      <c r="BM164" s="1509">
        <v>0</v>
      </c>
      <c r="BN164" s="1509">
        <v>0.89992994000000004</v>
      </c>
      <c r="BO164" s="1509">
        <v>0.982268896</v>
      </c>
      <c r="BP164" s="1509">
        <v>0.985324698</v>
      </c>
      <c r="BQ164" s="1509">
        <v>0.97512129999999997</v>
      </c>
      <c r="BR164" s="1509">
        <v>0.40784148599999998</v>
      </c>
      <c r="BS164" s="1509">
        <v>1.7559681000000001E-2</v>
      </c>
      <c r="BT164" s="1509">
        <v>0.87595491299999995</v>
      </c>
      <c r="BU164" s="1509">
        <v>0.56564956099999997</v>
      </c>
      <c r="BV164" s="1509">
        <v>0.91104176299999995</v>
      </c>
      <c r="BW164" s="1509">
        <v>0</v>
      </c>
      <c r="BX164" s="1509">
        <v>0.89766265499999998</v>
      </c>
      <c r="BY164" s="1509">
        <v>5.0035230000000002E-3</v>
      </c>
      <c r="BZ164" s="1509">
        <v>5.0035230000000002E-3</v>
      </c>
      <c r="CA164" s="1509">
        <v>0</v>
      </c>
      <c r="CB164" s="1509">
        <v>0</v>
      </c>
      <c r="CC164" s="1509">
        <v>0.85016374100000003</v>
      </c>
      <c r="CD164" s="1509">
        <v>0.99643424599999997</v>
      </c>
      <c r="CE164" s="1509">
        <v>0.83443115800000001</v>
      </c>
      <c r="CF164" s="1509">
        <v>0.52433738900000004</v>
      </c>
      <c r="CG164" s="1509">
        <v>0.78305669600000005</v>
      </c>
      <c r="CH164" s="1509">
        <v>0.970627036</v>
      </c>
      <c r="CI164" s="1509">
        <v>0.98713581900000003</v>
      </c>
      <c r="CJ164" s="1509">
        <v>0.96746141799999996</v>
      </c>
      <c r="CK164" s="1509">
        <v>0.56985998299999996</v>
      </c>
      <c r="CL164" s="1509">
        <v>0.493307355</v>
      </c>
      <c r="CM164" s="1509">
        <v>0.81393011500000001</v>
      </c>
      <c r="CN164" s="1509">
        <v>0.841010645</v>
      </c>
      <c r="CO164" s="1509">
        <v>4.3997522999999997E-2</v>
      </c>
      <c r="CP164" s="1509">
        <v>4.3997522999999997E-2</v>
      </c>
      <c r="CQ164" s="1509">
        <v>0.99986956900000001</v>
      </c>
      <c r="CR164" s="1509">
        <v>0.99967578700000004</v>
      </c>
      <c r="CS164" s="1509">
        <v>0.797154378</v>
      </c>
      <c r="CT164" s="1509">
        <v>0.38095788200000003</v>
      </c>
      <c r="CU164" s="1509">
        <v>0.544603528</v>
      </c>
      <c r="CV164" s="1509">
        <v>0.88224027500000002</v>
      </c>
      <c r="CW164" s="1509">
        <v>0.68419633199999996</v>
      </c>
      <c r="CX164" s="1509">
        <v>0.98521123700000002</v>
      </c>
      <c r="CY164" s="1509">
        <v>0.99706646399999999</v>
      </c>
      <c r="CZ164" s="1509">
        <v>0.90623310099999999</v>
      </c>
      <c r="DA164" s="1509">
        <v>0.97111503200000004</v>
      </c>
      <c r="DB164" s="1509">
        <v>0.96487274499999998</v>
      </c>
      <c r="DC164" s="1509">
        <v>0.57415907099999997</v>
      </c>
      <c r="DD164" s="1509">
        <v>0.92735400400000001</v>
      </c>
      <c r="DE164" s="1509">
        <v>0.687184393</v>
      </c>
      <c r="DF164" s="1509">
        <v>0.77595452499999995</v>
      </c>
      <c r="DG164" s="1509">
        <v>0.88606407300000001</v>
      </c>
      <c r="DH164" s="1509">
        <v>0.227264784</v>
      </c>
      <c r="DI164" s="1509">
        <v>0.47442489399999999</v>
      </c>
      <c r="DJ164" s="1509">
        <v>0.89071453199999995</v>
      </c>
      <c r="DK164" s="1509">
        <v>0.99383299400000003</v>
      </c>
      <c r="DL164" s="1509">
        <v>0.73173297100000001</v>
      </c>
      <c r="DM164" s="1509">
        <v>4.3997522999999997E-2</v>
      </c>
      <c r="DN164" s="1509">
        <v>0.123400366</v>
      </c>
      <c r="DO164" s="1509">
        <v>0.95677299999999998</v>
      </c>
      <c r="DP164" s="1509">
        <v>0.94785083400000003</v>
      </c>
      <c r="DQ164" s="1509">
        <v>0.99719780899999999</v>
      </c>
      <c r="DR164" s="1509">
        <v>0.97177597800000004</v>
      </c>
      <c r="DS164" s="1509">
        <v>0.96578376700000002</v>
      </c>
      <c r="DT164" s="1509">
        <v>0.98961605100000005</v>
      </c>
      <c r="DU164" s="1509">
        <v>0.70606912099999997</v>
      </c>
      <c r="DV164" s="1509">
        <v>0.84065110899999995</v>
      </c>
      <c r="DW164" s="1509">
        <v>0.48154840399999999</v>
      </c>
      <c r="DX164" s="1509">
        <v>0.33894722300000002</v>
      </c>
      <c r="DY164" s="1509">
        <v>0.58709794599999998</v>
      </c>
      <c r="DZ164" s="1509">
        <v>0.19649638</v>
      </c>
      <c r="EA164" s="1509">
        <v>0.91830130099999996</v>
      </c>
      <c r="EB164" s="1509">
        <v>0.43671881400000001</v>
      </c>
      <c r="EC164" s="1509">
        <v>0.77937482800000002</v>
      </c>
      <c r="ED164" s="1509">
        <v>0.96503342700000005</v>
      </c>
      <c r="EE164" s="1509">
        <v>0.96158981899999996</v>
      </c>
      <c r="EF164" s="1509">
        <v>0.96452788199999995</v>
      </c>
      <c r="EG164" s="1509">
        <v>0.24273096199999999</v>
      </c>
      <c r="EH164" s="1509">
        <v>0.99175527799999996</v>
      </c>
      <c r="EI164" s="1509">
        <v>0.74489194599999997</v>
      </c>
      <c r="EJ164" s="1509">
        <v>0.59021431800000002</v>
      </c>
      <c r="EK164" s="1509">
        <v>0.944097458</v>
      </c>
      <c r="EL164" s="1509">
        <v>0.68726717500000001</v>
      </c>
      <c r="EM164" s="1509">
        <v>0.94177650599999996</v>
      </c>
      <c r="EN164" s="1509">
        <v>0.96298715000000001</v>
      </c>
      <c r="EO164" s="1509">
        <v>0.47434211100000001</v>
      </c>
      <c r="EP164" s="1509">
        <v>0.52558843300000002</v>
      </c>
      <c r="EQ164" s="1509">
        <v>0.96916145099999995</v>
      </c>
      <c r="ER164" s="1509">
        <v>0.96977852600000003</v>
      </c>
      <c r="ES164" s="1509">
        <v>0.96507275999999997</v>
      </c>
      <c r="ET164" s="1509">
        <v>0.908886784</v>
      </c>
      <c r="EU164" s="1509">
        <v>0.42949456800000002</v>
      </c>
      <c r="EV164" s="1509">
        <v>0.69942834099999995</v>
      </c>
      <c r="EW164" s="1509">
        <v>0.97559627599999998</v>
      </c>
      <c r="EX164" s="1509">
        <v>0.30470246400000001</v>
      </c>
      <c r="EY164" s="1509">
        <v>0.93444400400000005</v>
      </c>
      <c r="EZ164" s="1509">
        <v>0.90874578699999997</v>
      </c>
      <c r="FA164" s="1509">
        <v>0.83555757799999997</v>
      </c>
      <c r="FB164" s="1509">
        <v>0.75145614599999999</v>
      </c>
      <c r="FC164" s="1509">
        <v>0.83149505800000001</v>
      </c>
      <c r="FD164" s="1509">
        <v>0.88831098799999997</v>
      </c>
      <c r="FE164" s="1509">
        <v>0.98503511399999999</v>
      </c>
      <c r="FF164" s="1509">
        <v>0.65896432999999999</v>
      </c>
      <c r="FG164" s="1509">
        <v>0.75501062399999996</v>
      </c>
      <c r="FH164" s="1509">
        <v>0.84968127100000002</v>
      </c>
      <c r="FI164" s="1509">
        <v>0.62522851899999998</v>
      </c>
      <c r="FJ164" s="1509">
        <v>0.99837086900000005</v>
      </c>
      <c r="FK164" s="1509">
        <v>0.96580015399999997</v>
      </c>
      <c r="FL164" s="1509">
        <v>0.99541938399999996</v>
      </c>
      <c r="FM164" s="1509">
        <v>0.29683016400000001</v>
      </c>
      <c r="FN164" s="1509">
        <v>0.96029320799999995</v>
      </c>
      <c r="FO164" s="1509">
        <v>0.99507294999999996</v>
      </c>
      <c r="FP164" s="1509">
        <v>0.57535819099999996</v>
      </c>
      <c r="FQ164" s="1509">
        <v>0.95438381800000005</v>
      </c>
      <c r="FR164" s="1509">
        <v>0.700162913</v>
      </c>
      <c r="FS164" s="1509">
        <v>0.37430381400000001</v>
      </c>
      <c r="FT164" s="1509">
        <v>0.37172895299999997</v>
      </c>
      <c r="FU164" s="1509">
        <v>0.96402724900000003</v>
      </c>
    </row>
    <row r="165" spans="1:177" s="1509" customFormat="1" x14ac:dyDescent="0.2">
      <c r="A165" s="1512" t="s">
        <v>671</v>
      </c>
      <c r="B165" s="1512" t="s">
        <v>1011</v>
      </c>
      <c r="C165" s="1509">
        <v>1</v>
      </c>
      <c r="D165" s="1509">
        <v>0.97853858100000002</v>
      </c>
      <c r="E165" s="1509" t="s">
        <v>2372</v>
      </c>
      <c r="F165" s="1509" t="s">
        <v>2372</v>
      </c>
      <c r="G165" s="1509" t="s">
        <v>2372</v>
      </c>
      <c r="H165" s="1509" t="s">
        <v>2372</v>
      </c>
      <c r="I165" s="1509">
        <v>0.971148758</v>
      </c>
      <c r="J165" s="1509">
        <v>0.97994350500000005</v>
      </c>
      <c r="K165" s="1509">
        <v>0.97736843299999998</v>
      </c>
      <c r="L165" s="1509">
        <v>0.973943699</v>
      </c>
      <c r="M165" s="1509">
        <v>1</v>
      </c>
      <c r="N165" s="1509">
        <v>0.97377972899999998</v>
      </c>
      <c r="O165" s="1509">
        <v>0.96852523999999995</v>
      </c>
      <c r="P165" s="1509">
        <v>0.96564458799999997</v>
      </c>
      <c r="Q165" s="1509">
        <v>0.73588804399999996</v>
      </c>
      <c r="R165" s="1509">
        <v>0.77062057500000003</v>
      </c>
      <c r="S165" s="1509" t="s">
        <v>2372</v>
      </c>
      <c r="T165" s="1509">
        <v>1</v>
      </c>
      <c r="U165" s="1509" t="s">
        <v>2372</v>
      </c>
      <c r="V165" s="1509" t="s">
        <v>2372</v>
      </c>
      <c r="W165" s="1509" t="s">
        <v>2372</v>
      </c>
      <c r="X165" s="1509" t="s">
        <v>2372</v>
      </c>
      <c r="Y165" s="1509" t="s">
        <v>2372</v>
      </c>
      <c r="Z165" s="1509" t="s">
        <v>2372</v>
      </c>
      <c r="AA165" s="1509" t="s">
        <v>2372</v>
      </c>
      <c r="AB165" s="1509" t="s">
        <v>2372</v>
      </c>
      <c r="AC165" s="1509" t="s">
        <v>2372</v>
      </c>
      <c r="AD165" s="1509" t="s">
        <v>2372</v>
      </c>
      <c r="AE165" s="1509">
        <v>0.736745914</v>
      </c>
      <c r="AF165" s="1509">
        <v>0.97616474499999994</v>
      </c>
      <c r="AG165" s="1509">
        <v>0.958251038</v>
      </c>
      <c r="AH165" s="1509" t="s">
        <v>2372</v>
      </c>
      <c r="AI165" s="1509" t="s">
        <v>2372</v>
      </c>
      <c r="AJ165" s="1509" t="s">
        <v>2372</v>
      </c>
      <c r="AK165" s="1509">
        <v>0.73545537999999999</v>
      </c>
      <c r="AL165" s="1509" t="s">
        <v>2372</v>
      </c>
      <c r="AM165" s="1509">
        <v>0.718827628</v>
      </c>
      <c r="AN165" s="1509">
        <v>0.78761385399999995</v>
      </c>
      <c r="AO165" s="1509">
        <v>1</v>
      </c>
      <c r="AP165" s="1509">
        <v>0.58809149299999997</v>
      </c>
      <c r="AQ165" s="1509">
        <v>0.98362164699999999</v>
      </c>
      <c r="AR165" s="1509" t="s">
        <v>2372</v>
      </c>
      <c r="AS165" s="1509" t="s">
        <v>2372</v>
      </c>
      <c r="AT165" s="1509">
        <v>1</v>
      </c>
      <c r="AU165" s="1509">
        <v>0.99192891299999997</v>
      </c>
      <c r="AV165" s="1509" t="s">
        <v>2372</v>
      </c>
      <c r="AW165" s="1509">
        <v>0.96818984699999999</v>
      </c>
      <c r="AX165" s="1509">
        <v>0.16333007399999999</v>
      </c>
      <c r="AY165" s="1509" t="s">
        <v>2372</v>
      </c>
      <c r="AZ165" s="1509" t="s">
        <v>2372</v>
      </c>
      <c r="BA165" s="1509" t="s">
        <v>2372</v>
      </c>
      <c r="BB165" s="1509">
        <v>0.93010699399999996</v>
      </c>
      <c r="BC165" s="1509" t="s">
        <v>2372</v>
      </c>
      <c r="BD165" s="1509">
        <v>0.99133703299999998</v>
      </c>
      <c r="BE165" s="1509" t="s">
        <v>2372</v>
      </c>
      <c r="BF165" s="1509" t="s">
        <v>2372</v>
      </c>
      <c r="BG165" s="1509" t="s">
        <v>2372</v>
      </c>
      <c r="BH165" s="1509" t="s">
        <v>2372</v>
      </c>
      <c r="BI165" s="1509" t="s">
        <v>2372</v>
      </c>
      <c r="BJ165" s="1509" t="s">
        <v>2372</v>
      </c>
      <c r="BK165" s="1509" t="s">
        <v>2372</v>
      </c>
      <c r="BL165" s="1509" t="s">
        <v>2372</v>
      </c>
      <c r="BM165" s="1509" t="s">
        <v>2372</v>
      </c>
      <c r="BN165" s="1509" t="s">
        <v>2372</v>
      </c>
      <c r="BO165" s="1509">
        <v>0.95423377600000003</v>
      </c>
      <c r="BP165" s="1509" t="s">
        <v>2372</v>
      </c>
      <c r="BQ165" s="1509" t="s">
        <v>2372</v>
      </c>
      <c r="BR165" s="1509" t="s">
        <v>2372</v>
      </c>
      <c r="BS165" s="1509" t="s">
        <v>2372</v>
      </c>
      <c r="BT165" s="1509" t="s">
        <v>2372</v>
      </c>
      <c r="BU165" s="1509" t="s">
        <v>2372</v>
      </c>
      <c r="BV165" s="1509" t="s">
        <v>2372</v>
      </c>
      <c r="BW165" s="1509">
        <v>1</v>
      </c>
      <c r="BX165" s="1509">
        <v>1</v>
      </c>
      <c r="BY165" s="1509">
        <v>1</v>
      </c>
      <c r="BZ165" s="1509">
        <v>0.148204795</v>
      </c>
      <c r="CA165" s="1509">
        <v>0.72008086400000004</v>
      </c>
      <c r="CB165" s="1509" t="s">
        <v>2372</v>
      </c>
      <c r="CC165" s="1509">
        <v>0.74857705500000005</v>
      </c>
      <c r="CD165" s="1509">
        <v>0.72599643400000002</v>
      </c>
      <c r="CE165" s="1509" t="s">
        <v>2372</v>
      </c>
      <c r="CF165" s="1509">
        <v>0.77959463799999995</v>
      </c>
      <c r="CG165" s="1509">
        <v>0.96210805600000004</v>
      </c>
      <c r="CH165" s="1509">
        <v>0.96819730000000004</v>
      </c>
      <c r="CI165" s="1509" t="s">
        <v>2372</v>
      </c>
      <c r="CJ165" s="1509" t="s">
        <v>2372</v>
      </c>
      <c r="CK165" s="1509" t="s">
        <v>2372</v>
      </c>
      <c r="CL165" s="1509" t="s">
        <v>2372</v>
      </c>
      <c r="CM165" s="1509" t="s">
        <v>2372</v>
      </c>
      <c r="CN165" s="1509" t="s">
        <v>2372</v>
      </c>
      <c r="CO165" s="1509" t="s">
        <v>2372</v>
      </c>
      <c r="CP165" s="1509" t="s">
        <v>2372</v>
      </c>
      <c r="CQ165" s="1509">
        <v>0.95407726000000004</v>
      </c>
      <c r="CR165" s="1509">
        <v>0.96547316500000002</v>
      </c>
      <c r="CS165" s="1509" t="s">
        <v>2372</v>
      </c>
      <c r="CT165" s="1509" t="s">
        <v>2372</v>
      </c>
      <c r="CU165" s="1509" t="s">
        <v>2372</v>
      </c>
      <c r="CV165" s="1509">
        <v>1</v>
      </c>
      <c r="CW165" s="1509" t="s">
        <v>2372</v>
      </c>
      <c r="CX165" s="1509" t="s">
        <v>2372</v>
      </c>
      <c r="CY165" s="1509">
        <v>0.92554432799999997</v>
      </c>
      <c r="CZ165" s="1509">
        <v>0.21782259300000001</v>
      </c>
      <c r="DA165" s="1509">
        <v>0.15250913599999999</v>
      </c>
      <c r="DB165" s="1509">
        <v>0.247472843</v>
      </c>
      <c r="DC165" s="1509">
        <v>1</v>
      </c>
      <c r="DD165" s="1509">
        <v>0.133031025</v>
      </c>
      <c r="DE165" s="1509">
        <v>1</v>
      </c>
      <c r="DF165" s="1509" t="s">
        <v>2372</v>
      </c>
      <c r="DG165" s="1509">
        <v>0.27909564999999997</v>
      </c>
      <c r="DH165" s="1509" t="s">
        <v>2372</v>
      </c>
      <c r="DI165" s="1509">
        <v>0.27840579799999998</v>
      </c>
      <c r="DJ165" s="1509">
        <v>1</v>
      </c>
      <c r="DK165" s="1509">
        <v>0.14392776600000001</v>
      </c>
      <c r="DL165" s="1509">
        <v>1</v>
      </c>
      <c r="DM165" s="1509">
        <v>0.72034195400000001</v>
      </c>
      <c r="DN165" s="1509">
        <v>1</v>
      </c>
      <c r="DO165" s="1509">
        <v>0.93698126500000001</v>
      </c>
      <c r="DP165" s="1509">
        <v>0.16543854599999999</v>
      </c>
      <c r="DQ165" s="1509">
        <v>0.15141666300000001</v>
      </c>
      <c r="DR165" s="1509">
        <v>0.151706169</v>
      </c>
      <c r="DS165" s="1509">
        <v>0.16414942799999999</v>
      </c>
      <c r="DT165" s="1509">
        <v>0.26877003999999999</v>
      </c>
      <c r="DU165" s="1509" t="s">
        <v>2372</v>
      </c>
      <c r="DV165" s="1509">
        <v>0.96682219000000003</v>
      </c>
      <c r="DW165" s="1509">
        <v>0.72841290800000003</v>
      </c>
      <c r="DX165" s="1509">
        <v>0.98941534600000003</v>
      </c>
      <c r="DY165" s="1509" t="s">
        <v>2372</v>
      </c>
      <c r="DZ165" s="1509" t="s">
        <v>2372</v>
      </c>
      <c r="EA165" s="1509" t="s">
        <v>2372</v>
      </c>
      <c r="EB165" s="1509" t="s">
        <v>2372</v>
      </c>
      <c r="EC165" s="1509" t="s">
        <v>2372</v>
      </c>
      <c r="ED165" s="1509" t="s">
        <v>2372</v>
      </c>
      <c r="EE165" s="1509">
        <v>0.78477915499999995</v>
      </c>
      <c r="EF165" s="1509" t="s">
        <v>2372</v>
      </c>
      <c r="EG165" s="1509" t="s">
        <v>2372</v>
      </c>
      <c r="EH165" s="1509" t="s">
        <v>2372</v>
      </c>
      <c r="EI165" s="1509">
        <v>0.78149687099999998</v>
      </c>
      <c r="EJ165" s="1509">
        <v>1</v>
      </c>
      <c r="EK165" s="1509">
        <v>0.98184033800000003</v>
      </c>
      <c r="EL165" s="1509">
        <v>0.199459156</v>
      </c>
      <c r="EM165" s="1509">
        <v>0.15085679599999999</v>
      </c>
      <c r="EN165" s="1509">
        <v>1</v>
      </c>
      <c r="EO165" s="1509" t="s">
        <v>2372</v>
      </c>
      <c r="EP165" s="1509">
        <v>1</v>
      </c>
      <c r="EQ165" s="1509">
        <v>0.723370607</v>
      </c>
      <c r="ER165" s="1509">
        <v>0.93932038799999995</v>
      </c>
      <c r="ES165" s="1509">
        <v>0.94318407000000004</v>
      </c>
      <c r="ET165" s="1509">
        <v>0.72927125800000003</v>
      </c>
      <c r="EU165" s="1509">
        <v>1</v>
      </c>
      <c r="EV165" s="1509" t="s">
        <v>2372</v>
      </c>
      <c r="EW165" s="1509">
        <v>0.76733557200000002</v>
      </c>
      <c r="EX165" s="1509">
        <v>1</v>
      </c>
      <c r="EY165" s="1509">
        <v>0.95636571800000003</v>
      </c>
      <c r="EZ165" s="1509">
        <v>0.30189926299999997</v>
      </c>
      <c r="FA165" s="1509" t="s">
        <v>2372</v>
      </c>
      <c r="FB165" s="1509" t="s">
        <v>2372</v>
      </c>
      <c r="FC165" s="1509" t="s">
        <v>2372</v>
      </c>
      <c r="FD165" s="1509" t="s">
        <v>2372</v>
      </c>
      <c r="FE165" s="1509">
        <v>1</v>
      </c>
      <c r="FF165" s="1509">
        <v>0.76508226700000004</v>
      </c>
      <c r="FG165" s="1509">
        <v>0.16152650399999999</v>
      </c>
      <c r="FH165" s="1509">
        <v>0.19312179400000001</v>
      </c>
      <c r="FI165" s="1509" t="s">
        <v>2372</v>
      </c>
      <c r="FJ165" s="1509">
        <v>0.93423485900000003</v>
      </c>
      <c r="FK165" s="1509">
        <v>1</v>
      </c>
      <c r="FL165" s="1509">
        <v>0.20273365300000001</v>
      </c>
      <c r="FM165" s="1509" t="s">
        <v>2372</v>
      </c>
      <c r="FN165" s="1509" t="s">
        <v>2372</v>
      </c>
      <c r="FO165" s="1509">
        <v>0.23085032599999999</v>
      </c>
      <c r="FP165" s="1509">
        <v>0.77694400699999999</v>
      </c>
      <c r="FQ165" s="1509">
        <v>1</v>
      </c>
      <c r="FR165" s="1509" t="s">
        <v>2372</v>
      </c>
      <c r="FS165" s="1509" t="s">
        <v>2372</v>
      </c>
      <c r="FT165" s="1509">
        <v>0.27896687799999997</v>
      </c>
      <c r="FU165" s="1509" t="s">
        <v>2372</v>
      </c>
    </row>
    <row r="166" spans="1:177" s="1509" customFormat="1" x14ac:dyDescent="0.2">
      <c r="A166" s="1512" t="s">
        <v>671</v>
      </c>
      <c r="B166" s="1512" t="s">
        <v>1021</v>
      </c>
      <c r="C166" s="1509">
        <v>0.79011485299999995</v>
      </c>
      <c r="D166" s="1509">
        <v>0.53277161200000001</v>
      </c>
      <c r="E166" s="1509">
        <v>0.63562543299999996</v>
      </c>
      <c r="F166" s="1509">
        <v>0.62993967799999995</v>
      </c>
      <c r="G166" s="1509">
        <v>0.35639221600000004</v>
      </c>
      <c r="H166" s="1509">
        <v>0.35639221600000004</v>
      </c>
      <c r="I166" s="1509">
        <v>0.61512174799999997</v>
      </c>
      <c r="J166" s="1509">
        <v>0.61512174799999997</v>
      </c>
      <c r="K166" s="1509">
        <v>0.61512174799999997</v>
      </c>
      <c r="L166" s="1509">
        <v>0.61512174799999997</v>
      </c>
      <c r="M166" s="1509">
        <v>0.61512174799999997</v>
      </c>
      <c r="N166" s="1509">
        <v>0.61512174799999997</v>
      </c>
      <c r="O166" s="1509">
        <v>0.61512174799999997</v>
      </c>
      <c r="P166" s="1509">
        <v>0.56660530199999992</v>
      </c>
      <c r="Q166" s="1509">
        <v>0.359947185</v>
      </c>
      <c r="R166" s="1509">
        <v>0.6545993</v>
      </c>
      <c r="S166" s="1509">
        <v>0.27029685999999997</v>
      </c>
      <c r="T166" s="1509">
        <v>0.93808647199999995</v>
      </c>
      <c r="U166" s="1509">
        <v>0.45057799399999998</v>
      </c>
      <c r="V166" s="1509">
        <v>0.19969665599999997</v>
      </c>
      <c r="W166" s="1509">
        <v>0.29781025699999997</v>
      </c>
      <c r="X166" s="1509">
        <v>0.27834628900000002</v>
      </c>
      <c r="Y166" s="1509">
        <v>9.1323758000000033E-2</v>
      </c>
      <c r="Z166" s="1509">
        <v>0.71036587600000001</v>
      </c>
      <c r="AA166" s="1509">
        <v>0.90210999400000003</v>
      </c>
      <c r="AB166" s="1509">
        <v>0.56170483900000001</v>
      </c>
      <c r="AC166" s="1509">
        <v>0.56170483900000001</v>
      </c>
      <c r="AD166" s="1509">
        <v>0.56170483900000001</v>
      </c>
      <c r="AE166" s="1509">
        <v>0.11447711000000005</v>
      </c>
      <c r="AF166" s="1509">
        <v>0.32432865499999997</v>
      </c>
      <c r="AG166" s="1509">
        <v>0.69755759400000006</v>
      </c>
      <c r="AH166" s="1509">
        <v>0.53067726999999998</v>
      </c>
      <c r="AI166" s="1509">
        <v>0.838631299</v>
      </c>
      <c r="AJ166" s="1509">
        <v>0.58757481099999997</v>
      </c>
      <c r="AK166" s="1509">
        <v>0.40016262199999997</v>
      </c>
      <c r="AL166" s="1509">
        <v>0.84468829499999998</v>
      </c>
      <c r="AM166" s="1509">
        <v>0.86177109100000004</v>
      </c>
      <c r="AN166" s="1509">
        <v>0.86177109100000004</v>
      </c>
      <c r="AO166" s="1509">
        <v>0.711172994</v>
      </c>
      <c r="AP166" s="1509">
        <v>0.177756048</v>
      </c>
      <c r="AQ166" s="1509">
        <v>0.97350768799999998</v>
      </c>
      <c r="AR166" s="1509">
        <v>0.83436591999999998</v>
      </c>
      <c r="AS166" s="1509">
        <v>0.89612895300000006</v>
      </c>
      <c r="AT166" s="1509">
        <v>0.825618399</v>
      </c>
      <c r="AU166" s="1509">
        <v>0.96808461599999995</v>
      </c>
      <c r="AV166" s="1509">
        <v>4.9082886999999964E-2</v>
      </c>
      <c r="AW166" s="1509">
        <v>0.14440154699999996</v>
      </c>
      <c r="AX166" s="1509">
        <v>8.6185140999999965E-2</v>
      </c>
      <c r="AY166" s="1509">
        <v>2.5400128000000022E-2</v>
      </c>
      <c r="AZ166" s="1509">
        <v>0.24527221899999996</v>
      </c>
      <c r="BA166" s="1509">
        <v>9.8644960000000004E-2</v>
      </c>
      <c r="BB166" s="1509">
        <v>6.5154217000000014E-2</v>
      </c>
      <c r="BC166" s="1509">
        <v>0.97215859299999996</v>
      </c>
      <c r="BD166" s="1509">
        <v>0.87928728499999997</v>
      </c>
      <c r="BE166" s="1509">
        <v>0.68786460299999996</v>
      </c>
      <c r="BF166" s="1509">
        <v>0.97215859299999996</v>
      </c>
      <c r="BG166" s="1509">
        <v>0.67280888699999997</v>
      </c>
      <c r="BH166" s="1509">
        <v>0.19969665599999997</v>
      </c>
      <c r="BI166" s="1509">
        <v>0.19969665599999997</v>
      </c>
      <c r="BJ166" s="1509">
        <v>0.24529891000000004</v>
      </c>
      <c r="BK166" s="1509">
        <v>0.74171393200000002</v>
      </c>
      <c r="BL166" s="1509">
        <v>0.46710168399999996</v>
      </c>
      <c r="BM166" s="1509">
        <v>0.72316173500000003</v>
      </c>
      <c r="BN166" s="1509">
        <v>0.30742112700000002</v>
      </c>
      <c r="BO166" s="1509">
        <v>0.28668639299999998</v>
      </c>
      <c r="BP166" s="1509">
        <v>0.50526194199999996</v>
      </c>
      <c r="BQ166" s="1509">
        <v>0.213339693</v>
      </c>
      <c r="BR166" s="1509">
        <v>0.46175775699999999</v>
      </c>
      <c r="BS166" s="1509">
        <v>0.81162471800000002</v>
      </c>
      <c r="BT166" s="1509">
        <v>0.99040684199999995</v>
      </c>
      <c r="BU166" s="1509">
        <v>0.54557162699999995</v>
      </c>
      <c r="BV166" s="1509">
        <v>0.20950839899999996</v>
      </c>
      <c r="BW166" s="1509">
        <v>0.87170745900000002</v>
      </c>
      <c r="BX166" s="1509">
        <v>0.64100813299999992</v>
      </c>
      <c r="BY166" s="1509">
        <v>0.23658580600000001</v>
      </c>
      <c r="BZ166" s="1509">
        <v>0.281863321</v>
      </c>
      <c r="CA166" s="1509">
        <v>0.316665796</v>
      </c>
      <c r="CB166" s="1509">
        <v>0.73390375399999996</v>
      </c>
      <c r="CC166" s="1509">
        <v>0.24849872799999995</v>
      </c>
      <c r="CD166" s="1509">
        <v>0.45537212900000001</v>
      </c>
      <c r="CE166" s="1509">
        <v>0.24823017800000002</v>
      </c>
      <c r="CF166" s="1509">
        <v>0.51052941699999999</v>
      </c>
      <c r="CG166" s="1509">
        <v>0.48752338399999995</v>
      </c>
      <c r="CH166" s="1509">
        <v>0.78734227200000007</v>
      </c>
      <c r="CI166" s="1509">
        <v>0.54881457199999995</v>
      </c>
      <c r="CJ166" s="1509">
        <v>0.63799727000000006</v>
      </c>
      <c r="CK166" s="1509">
        <v>0.85425335199999997</v>
      </c>
      <c r="CL166" s="1509">
        <v>0.85425335199999997</v>
      </c>
      <c r="CM166" s="1509">
        <v>1.8664890000000045E-2</v>
      </c>
      <c r="CN166" s="1509">
        <v>0.78765861300000006</v>
      </c>
      <c r="CO166" s="1509">
        <v>0.71978247400000006</v>
      </c>
      <c r="CP166" s="1509">
        <v>0.93416782899999995</v>
      </c>
      <c r="CQ166" s="1509">
        <v>0.88656267</v>
      </c>
      <c r="CR166" s="1509">
        <v>0.96420239799999996</v>
      </c>
      <c r="CS166" s="1509">
        <v>0.39125817100000004</v>
      </c>
      <c r="CT166" s="1509">
        <v>0.85522952100000005</v>
      </c>
      <c r="CU166" s="1509">
        <v>0.383685744</v>
      </c>
      <c r="CV166" s="1509">
        <v>0.71621755500000006</v>
      </c>
      <c r="CW166" s="1509">
        <v>0.76116174599999997</v>
      </c>
      <c r="CX166" s="1509">
        <v>0.20532549600000005</v>
      </c>
      <c r="CY166" s="1509">
        <v>0.48777051299999996</v>
      </c>
      <c r="CZ166" s="1509">
        <v>8.3355640000000175E-3</v>
      </c>
      <c r="DA166" s="1509">
        <v>0.21419012299999995</v>
      </c>
      <c r="DB166" s="1509">
        <v>0.98979939100000003</v>
      </c>
      <c r="DC166" s="1509">
        <v>0.11455219400000005</v>
      </c>
      <c r="DD166" s="1509">
        <v>0.98082211900000005</v>
      </c>
      <c r="DE166" s="1509">
        <v>0.73629264399999994</v>
      </c>
      <c r="DF166" s="1509">
        <v>0.87342598799999993</v>
      </c>
      <c r="DG166" s="1509">
        <v>0.13261711399999998</v>
      </c>
      <c r="DH166" s="1509">
        <v>0.18689465500000002</v>
      </c>
      <c r="DI166" s="1509">
        <v>8.4916160000000018E-2</v>
      </c>
      <c r="DJ166" s="1509">
        <v>0.49816191499999996</v>
      </c>
      <c r="DK166" s="1509">
        <v>0.20822522399999999</v>
      </c>
      <c r="DL166" s="1509">
        <v>1.0443629999999926E-3</v>
      </c>
      <c r="DM166" s="1509">
        <v>2.5057252999999946E-2</v>
      </c>
      <c r="DN166" s="1509">
        <v>0.91129203699999994</v>
      </c>
      <c r="DO166" s="1509">
        <v>0.44460955899999999</v>
      </c>
      <c r="DP166" s="1509">
        <v>3.7034809999999529E-3</v>
      </c>
      <c r="DQ166" s="1509">
        <v>2.1991467999999958E-2</v>
      </c>
      <c r="DR166" s="1509">
        <v>0.63468818100000002</v>
      </c>
      <c r="DS166" s="1509">
        <v>6.7072338000000009E-2</v>
      </c>
      <c r="DT166" s="1509">
        <v>5.9441418999999995E-2</v>
      </c>
      <c r="DU166" s="1509">
        <v>0.84504475600000006</v>
      </c>
      <c r="DV166" s="1509">
        <v>0.56170483900000001</v>
      </c>
      <c r="DW166" s="1509">
        <v>0.648101696</v>
      </c>
      <c r="DX166" s="1509">
        <v>0.77640782799999997</v>
      </c>
      <c r="DY166" s="1509">
        <v>0.68890760200000001</v>
      </c>
      <c r="DZ166" s="1509">
        <v>0.59739880400000001</v>
      </c>
      <c r="EA166" s="1509">
        <v>0.23270699900000003</v>
      </c>
      <c r="EB166" s="1509">
        <v>0.18805106900000002</v>
      </c>
      <c r="EC166" s="1509">
        <v>0.612632387</v>
      </c>
      <c r="ED166" s="1509">
        <v>0.68424622299999993</v>
      </c>
      <c r="EE166" s="1509">
        <v>0.50324125500000005</v>
      </c>
      <c r="EF166" s="1509">
        <v>0.14026484400000006</v>
      </c>
      <c r="EG166" s="1509">
        <v>0.55935675200000001</v>
      </c>
      <c r="EH166" s="1509">
        <v>0.18865442600000004</v>
      </c>
      <c r="EI166" s="1509">
        <v>0.273429166</v>
      </c>
      <c r="EJ166" s="1509">
        <v>0.51052941699999999</v>
      </c>
      <c r="EK166" s="1509">
        <v>0.90483040300000006</v>
      </c>
      <c r="EL166" s="1509">
        <v>0.29099789399999998</v>
      </c>
      <c r="EM166" s="1509">
        <v>0.58715587899999999</v>
      </c>
      <c r="EN166" s="1509">
        <v>0.32932606099999995</v>
      </c>
      <c r="EO166" s="1509">
        <v>0.90968459999999995</v>
      </c>
      <c r="EP166" s="1509">
        <v>0.281863321</v>
      </c>
      <c r="EQ166" s="1509">
        <v>2.782481999999975E-3</v>
      </c>
      <c r="ER166" s="1509">
        <v>0.50220703200000005</v>
      </c>
      <c r="ES166" s="1509">
        <v>0.50220703200000005</v>
      </c>
      <c r="ET166" s="1509">
        <v>0.65401744099999992</v>
      </c>
      <c r="EU166" s="1509">
        <v>0.17222279900000004</v>
      </c>
      <c r="EV166" s="1509">
        <v>0.56170483900000001</v>
      </c>
      <c r="EW166" s="1509">
        <v>0.22652098099999995</v>
      </c>
      <c r="EX166" s="1509">
        <v>0.48206305199999999</v>
      </c>
      <c r="EY166" s="1509">
        <v>0.15874666999999998</v>
      </c>
      <c r="EZ166" s="1509">
        <v>0.23658580600000001</v>
      </c>
      <c r="FA166" s="1509">
        <v>7.7954242000000007E-2</v>
      </c>
      <c r="FB166" s="1509">
        <v>0.49145444500000002</v>
      </c>
      <c r="FC166" s="1509">
        <v>5.2093653000000018E-2</v>
      </c>
      <c r="FD166" s="1509">
        <v>0.33853444300000002</v>
      </c>
      <c r="FE166" s="1509">
        <v>0.34495189699999995</v>
      </c>
      <c r="FF166" s="1509">
        <v>0.26091577700000002</v>
      </c>
      <c r="FG166" s="1509">
        <v>0.32578482099999995</v>
      </c>
      <c r="FH166" s="1509">
        <v>3.7034809999999529E-3</v>
      </c>
      <c r="FI166" s="1509">
        <v>0.32271161900000001</v>
      </c>
      <c r="FJ166" s="1509">
        <v>0.49757831900000005</v>
      </c>
      <c r="FK166" s="1509">
        <v>0.13081263600000004</v>
      </c>
      <c r="FL166" s="1509">
        <v>0.18689465500000002</v>
      </c>
      <c r="FM166" s="1509">
        <v>0.25587869200000002</v>
      </c>
      <c r="FN166" s="1509">
        <v>0.23872893500000003</v>
      </c>
      <c r="FO166" s="1509">
        <v>0.89716011799999995</v>
      </c>
      <c r="FP166" s="1509">
        <v>0.16959312999999998</v>
      </c>
      <c r="FQ166" s="1509">
        <v>0.55935675200000001</v>
      </c>
      <c r="FR166" s="1509">
        <v>3.5774830000000479E-3</v>
      </c>
      <c r="FS166" s="1509">
        <v>0.56219973599999995</v>
      </c>
      <c r="FT166" s="1509">
        <v>0.10730415100000001</v>
      </c>
      <c r="FU166" s="1509">
        <v>0.37503260800000005</v>
      </c>
    </row>
    <row r="167" spans="1:177" s="1509" customFormat="1" x14ac:dyDescent="0.2">
      <c r="A167" s="1512" t="s">
        <v>671</v>
      </c>
      <c r="B167" s="1512" t="s">
        <v>1037</v>
      </c>
      <c r="C167" s="1509">
        <v>0</v>
      </c>
      <c r="D167" s="1509">
        <v>0</v>
      </c>
      <c r="E167" s="1509">
        <v>0</v>
      </c>
      <c r="F167" s="1509">
        <v>0</v>
      </c>
      <c r="G167" s="1509">
        <v>0</v>
      </c>
      <c r="H167" s="1509">
        <v>0</v>
      </c>
      <c r="I167" s="1509">
        <v>0</v>
      </c>
      <c r="J167" s="1509">
        <v>0</v>
      </c>
      <c r="K167" s="1509">
        <v>0</v>
      </c>
      <c r="L167" s="1509">
        <v>0</v>
      </c>
      <c r="M167" s="1509">
        <v>0</v>
      </c>
      <c r="N167" s="1509">
        <v>0</v>
      </c>
      <c r="O167" s="1509">
        <v>0</v>
      </c>
      <c r="P167" s="1509">
        <v>0</v>
      </c>
      <c r="Q167" s="1509">
        <v>0</v>
      </c>
      <c r="R167" s="1509">
        <v>0</v>
      </c>
      <c r="S167" s="1509">
        <v>0</v>
      </c>
      <c r="T167" s="1509">
        <v>0</v>
      </c>
      <c r="U167" s="1509">
        <v>0</v>
      </c>
      <c r="V167" s="1509">
        <v>0</v>
      </c>
      <c r="W167" s="1509">
        <v>0</v>
      </c>
      <c r="X167" s="1509">
        <v>0</v>
      </c>
      <c r="Y167" s="1509">
        <v>0</v>
      </c>
      <c r="Z167" s="1509">
        <v>0</v>
      </c>
      <c r="AA167" s="1509">
        <v>0</v>
      </c>
      <c r="AB167" s="1509">
        <v>0</v>
      </c>
      <c r="AC167" s="1509">
        <v>0</v>
      </c>
      <c r="AD167" s="1509">
        <v>0</v>
      </c>
      <c r="AE167" s="1509">
        <v>0</v>
      </c>
      <c r="AF167" s="1509">
        <v>0</v>
      </c>
      <c r="AG167" s="1509">
        <v>0</v>
      </c>
      <c r="AH167" s="1509">
        <v>0</v>
      </c>
      <c r="AI167" s="1509">
        <v>0</v>
      </c>
      <c r="AJ167" s="1509">
        <v>0</v>
      </c>
      <c r="AK167" s="1509">
        <v>0</v>
      </c>
      <c r="AL167" s="1509">
        <v>0</v>
      </c>
      <c r="AM167" s="1509">
        <v>0</v>
      </c>
      <c r="AN167" s="1509">
        <v>0</v>
      </c>
      <c r="AO167" s="1509">
        <v>0</v>
      </c>
      <c r="AP167" s="1509">
        <v>0</v>
      </c>
      <c r="AQ167" s="1509">
        <v>0</v>
      </c>
      <c r="AR167" s="1509">
        <v>0</v>
      </c>
      <c r="AS167" s="1509">
        <v>0</v>
      </c>
      <c r="AT167" s="1509">
        <v>0</v>
      </c>
      <c r="AU167" s="1509">
        <v>0</v>
      </c>
      <c r="AV167" s="1509">
        <v>0</v>
      </c>
      <c r="AW167" s="1509">
        <v>0</v>
      </c>
      <c r="AX167" s="1509">
        <v>0</v>
      </c>
      <c r="AY167" s="1509">
        <v>0</v>
      </c>
      <c r="AZ167" s="1509">
        <v>0</v>
      </c>
      <c r="BA167" s="1509">
        <v>0</v>
      </c>
      <c r="BB167" s="1509">
        <v>0</v>
      </c>
      <c r="BC167" s="1509">
        <v>0</v>
      </c>
      <c r="BD167" s="1509">
        <v>0</v>
      </c>
      <c r="BE167" s="1509">
        <v>0</v>
      </c>
      <c r="BF167" s="1509">
        <v>0</v>
      </c>
      <c r="BG167" s="1509">
        <v>0</v>
      </c>
      <c r="BH167" s="1509">
        <v>0</v>
      </c>
      <c r="BI167" s="1509">
        <v>0</v>
      </c>
      <c r="BJ167" s="1509">
        <v>0</v>
      </c>
      <c r="BK167" s="1509">
        <v>0</v>
      </c>
      <c r="BL167" s="1509">
        <v>0</v>
      </c>
      <c r="BM167" s="1509">
        <v>0</v>
      </c>
      <c r="BN167" s="1509">
        <v>0</v>
      </c>
      <c r="BO167" s="1509">
        <v>0</v>
      </c>
      <c r="BP167" s="1509">
        <v>0</v>
      </c>
      <c r="BQ167" s="1509">
        <v>0</v>
      </c>
      <c r="BR167" s="1509">
        <v>0</v>
      </c>
      <c r="BS167" s="1509">
        <v>0</v>
      </c>
      <c r="BT167" s="1509">
        <v>0</v>
      </c>
      <c r="BU167" s="1509">
        <v>0</v>
      </c>
      <c r="BV167" s="1509">
        <v>0</v>
      </c>
      <c r="BW167" s="1509">
        <v>0</v>
      </c>
      <c r="BX167" s="1509">
        <v>0</v>
      </c>
      <c r="BY167" s="1509">
        <v>0</v>
      </c>
      <c r="BZ167" s="1509">
        <v>0</v>
      </c>
      <c r="CA167" s="1509">
        <v>0</v>
      </c>
      <c r="CB167" s="1509">
        <v>0</v>
      </c>
      <c r="CC167" s="1509">
        <v>0</v>
      </c>
      <c r="CD167" s="1509">
        <v>0</v>
      </c>
      <c r="CE167" s="1509">
        <v>0</v>
      </c>
      <c r="CF167" s="1509">
        <v>0</v>
      </c>
      <c r="CG167" s="1509">
        <v>0</v>
      </c>
      <c r="CH167" s="1509">
        <v>0</v>
      </c>
      <c r="CI167" s="1509">
        <v>0</v>
      </c>
      <c r="CJ167" s="1509">
        <v>0</v>
      </c>
      <c r="CK167" s="1509">
        <v>0</v>
      </c>
      <c r="CL167" s="1509">
        <v>0</v>
      </c>
      <c r="CM167" s="1509">
        <v>0</v>
      </c>
      <c r="CN167" s="1509">
        <v>0</v>
      </c>
      <c r="CO167" s="1509">
        <v>0</v>
      </c>
      <c r="CP167" s="1509">
        <v>0</v>
      </c>
      <c r="CQ167" s="1509">
        <v>0</v>
      </c>
      <c r="CR167" s="1509">
        <v>0</v>
      </c>
      <c r="CS167" s="1509">
        <v>0</v>
      </c>
      <c r="CT167" s="1509">
        <v>0</v>
      </c>
      <c r="CU167" s="1509">
        <v>0</v>
      </c>
      <c r="CV167" s="1509">
        <v>0</v>
      </c>
      <c r="CW167" s="1509">
        <v>0</v>
      </c>
      <c r="CX167" s="1509">
        <v>0</v>
      </c>
      <c r="CY167" s="1509">
        <v>0</v>
      </c>
      <c r="CZ167" s="1509">
        <v>0</v>
      </c>
      <c r="DA167" s="1509">
        <v>0</v>
      </c>
      <c r="DB167" s="1509">
        <v>0</v>
      </c>
      <c r="DC167" s="1509">
        <v>0</v>
      </c>
      <c r="DD167" s="1509">
        <v>0</v>
      </c>
      <c r="DE167" s="1509">
        <v>0</v>
      </c>
      <c r="DF167" s="1509">
        <v>0</v>
      </c>
      <c r="DG167" s="1509">
        <v>0</v>
      </c>
      <c r="DH167" s="1509">
        <v>0</v>
      </c>
      <c r="DI167" s="1509">
        <v>0</v>
      </c>
      <c r="DJ167" s="1509">
        <v>0</v>
      </c>
      <c r="DK167" s="1509">
        <v>0</v>
      </c>
      <c r="DL167" s="1509">
        <v>0</v>
      </c>
      <c r="DM167" s="1509">
        <v>0</v>
      </c>
      <c r="DN167" s="1509">
        <v>0</v>
      </c>
      <c r="DO167" s="1509">
        <v>0</v>
      </c>
      <c r="DP167" s="1509">
        <v>0</v>
      </c>
      <c r="DQ167" s="1509">
        <v>0</v>
      </c>
      <c r="DR167" s="1509">
        <v>0</v>
      </c>
      <c r="DS167" s="1509">
        <v>0</v>
      </c>
      <c r="DT167" s="1509">
        <v>0</v>
      </c>
      <c r="DU167" s="1509">
        <v>0</v>
      </c>
      <c r="DV167" s="1509">
        <v>0</v>
      </c>
      <c r="DW167" s="1509">
        <v>0</v>
      </c>
      <c r="DX167" s="1509">
        <v>0</v>
      </c>
      <c r="DY167" s="1509">
        <v>0</v>
      </c>
      <c r="DZ167" s="1509">
        <v>0</v>
      </c>
      <c r="EA167" s="1509">
        <v>0</v>
      </c>
      <c r="EB167" s="1509">
        <v>0</v>
      </c>
      <c r="EC167" s="1509">
        <v>0</v>
      </c>
      <c r="ED167" s="1509">
        <v>0</v>
      </c>
      <c r="EE167" s="1509">
        <v>0</v>
      </c>
      <c r="EF167" s="1509">
        <v>0</v>
      </c>
      <c r="EG167" s="1509">
        <v>0</v>
      </c>
      <c r="EH167" s="1509">
        <v>0</v>
      </c>
      <c r="EI167" s="1509">
        <v>0</v>
      </c>
      <c r="EJ167" s="1509">
        <v>0</v>
      </c>
      <c r="EK167" s="1509">
        <v>0</v>
      </c>
      <c r="EL167" s="1509">
        <v>0</v>
      </c>
      <c r="EM167" s="1509">
        <v>0</v>
      </c>
      <c r="EN167" s="1509">
        <v>0</v>
      </c>
      <c r="EO167" s="1509">
        <v>0</v>
      </c>
      <c r="EP167" s="1509">
        <v>0</v>
      </c>
      <c r="EQ167" s="1509">
        <v>0</v>
      </c>
      <c r="ER167" s="1509">
        <v>0</v>
      </c>
      <c r="ES167" s="1509">
        <v>0</v>
      </c>
      <c r="ET167" s="1509">
        <v>0</v>
      </c>
      <c r="EU167" s="1509">
        <v>0</v>
      </c>
      <c r="EV167" s="1509">
        <v>0</v>
      </c>
      <c r="EW167" s="1509">
        <v>0</v>
      </c>
      <c r="EX167" s="1509">
        <v>0</v>
      </c>
      <c r="EY167" s="1509">
        <v>0</v>
      </c>
      <c r="EZ167" s="1509">
        <v>0</v>
      </c>
      <c r="FA167" s="1509">
        <v>0</v>
      </c>
      <c r="FB167" s="1509">
        <v>0</v>
      </c>
      <c r="FC167" s="1509">
        <v>0</v>
      </c>
      <c r="FD167" s="1509">
        <v>0</v>
      </c>
      <c r="FE167" s="1509">
        <v>0</v>
      </c>
      <c r="FF167" s="1509">
        <v>0</v>
      </c>
      <c r="FG167" s="1509">
        <v>0</v>
      </c>
      <c r="FH167" s="1509">
        <v>0</v>
      </c>
      <c r="FI167" s="1509">
        <v>0</v>
      </c>
      <c r="FJ167" s="1509">
        <v>0</v>
      </c>
      <c r="FK167" s="1509">
        <v>0</v>
      </c>
      <c r="FL167" s="1509">
        <v>0</v>
      </c>
      <c r="FM167" s="1509">
        <v>0</v>
      </c>
      <c r="FN167" s="1509">
        <v>0</v>
      </c>
      <c r="FO167" s="1509">
        <v>0</v>
      </c>
      <c r="FP167" s="1509">
        <v>0</v>
      </c>
      <c r="FQ167" s="1509">
        <v>0</v>
      </c>
      <c r="FR167" s="1509">
        <v>0</v>
      </c>
      <c r="FS167" s="1509">
        <v>0</v>
      </c>
      <c r="FT167" s="1509">
        <v>0</v>
      </c>
      <c r="FU167" s="1509">
        <v>0</v>
      </c>
    </row>
    <row r="168" spans="1:177" s="1509" customFormat="1" x14ac:dyDescent="0.2">
      <c r="A168" s="1512" t="s">
        <v>673</v>
      </c>
      <c r="B168" s="1512" t="s">
        <v>1261</v>
      </c>
      <c r="C168" s="1509">
        <v>0.97468901600000002</v>
      </c>
      <c r="D168" s="1509">
        <v>0.97468901600000002</v>
      </c>
      <c r="E168" s="1509">
        <v>0.97468901600000002</v>
      </c>
      <c r="F168" s="1509">
        <v>0.94296391700000004</v>
      </c>
      <c r="G168" s="1509">
        <v>0.97468901600000002</v>
      </c>
      <c r="H168" s="1509">
        <v>0.97468901600000002</v>
      </c>
      <c r="I168" s="1509">
        <v>0.97468901600000002</v>
      </c>
      <c r="J168" s="1509">
        <v>0.97468901600000002</v>
      </c>
      <c r="K168" s="1509">
        <v>0.97468901600000002</v>
      </c>
      <c r="L168" s="1509">
        <v>0.99886339099999999</v>
      </c>
      <c r="M168" s="1509">
        <v>0.99886339099999999</v>
      </c>
      <c r="N168" s="1509">
        <v>0.97468901600000002</v>
      </c>
      <c r="O168" s="1509">
        <v>0.97468901600000002</v>
      </c>
      <c r="P168" s="1509">
        <v>0.99886339099999999</v>
      </c>
      <c r="Q168" s="1509">
        <v>0.98968318499999997</v>
      </c>
      <c r="R168" s="1509">
        <v>0.55454186000000005</v>
      </c>
      <c r="S168" s="1509">
        <v>0.29541406100000001</v>
      </c>
      <c r="T168" s="1509">
        <v>0.29541406100000001</v>
      </c>
      <c r="U168" s="1509">
        <v>0.97468901600000002</v>
      </c>
      <c r="V168" s="1509">
        <v>0.97468901600000002</v>
      </c>
      <c r="W168" s="1509">
        <v>0.97468901600000002</v>
      </c>
      <c r="X168" s="1509">
        <v>0.29541406100000001</v>
      </c>
      <c r="Y168" s="1509">
        <v>0.29541406100000001</v>
      </c>
      <c r="Z168" s="1509">
        <v>0.29541406100000001</v>
      </c>
      <c r="AA168" s="1509">
        <v>0.99886339099999999</v>
      </c>
      <c r="AB168" s="1509">
        <v>0.99886339099999999</v>
      </c>
      <c r="AC168" s="1509">
        <v>0.99886339099999999</v>
      </c>
      <c r="AD168" s="1509">
        <v>0.99886339099999999</v>
      </c>
      <c r="AE168" s="1509">
        <v>0.55454186000000005</v>
      </c>
      <c r="AF168" s="1509">
        <v>0.97468901600000002</v>
      </c>
      <c r="AG168" s="1509">
        <v>0.99994037499999999</v>
      </c>
      <c r="AH168" s="1509">
        <v>0.97468901600000002</v>
      </c>
      <c r="AI168" s="1509">
        <v>0.97468901600000002</v>
      </c>
      <c r="AJ168" s="1509">
        <v>0.97468901600000002</v>
      </c>
      <c r="AK168" s="1509">
        <v>0.55454186000000005</v>
      </c>
      <c r="AL168" s="1509">
        <v>0.98968318499999997</v>
      </c>
      <c r="AM168" s="1509">
        <v>0.98968318499999997</v>
      </c>
      <c r="AN168" s="1509">
        <v>0.98968318499999997</v>
      </c>
      <c r="AO168" s="1509">
        <v>0.85631988400000003</v>
      </c>
      <c r="AP168" s="1509">
        <v>0.69323157999999996</v>
      </c>
      <c r="AQ168" s="1509">
        <v>0.99886339099999999</v>
      </c>
      <c r="AR168" s="1509">
        <v>1</v>
      </c>
      <c r="AS168" s="1509">
        <v>1</v>
      </c>
      <c r="AT168" s="1509">
        <v>1</v>
      </c>
      <c r="AU168" s="1509">
        <v>0.72459913600000003</v>
      </c>
      <c r="AV168" s="1509">
        <v>0.29541406100000001</v>
      </c>
      <c r="AW168" s="1509">
        <v>0.29541406100000001</v>
      </c>
      <c r="AX168" s="1509">
        <v>0.45258943299999999</v>
      </c>
      <c r="AY168" s="1509">
        <v>0.99264689699999997</v>
      </c>
      <c r="AZ168" s="1509">
        <v>0.94296391700000004</v>
      </c>
      <c r="BA168" s="1509">
        <v>0.94296391700000004</v>
      </c>
      <c r="BB168" s="1509">
        <v>0.94296391700000004</v>
      </c>
      <c r="BC168" s="1509">
        <v>1</v>
      </c>
      <c r="BD168" s="1509">
        <v>1</v>
      </c>
      <c r="BE168" s="1509">
        <v>0.98593984700000004</v>
      </c>
      <c r="BF168" s="1509">
        <v>1</v>
      </c>
      <c r="BG168" s="1509">
        <v>0.74616620700000003</v>
      </c>
      <c r="BH168" s="1509">
        <v>0.97468901600000002</v>
      </c>
      <c r="BI168" s="1509">
        <v>0.97468901600000002</v>
      </c>
      <c r="BJ168" s="1509">
        <v>0.97468901600000002</v>
      </c>
      <c r="BK168" s="1509">
        <v>0.97468901600000002</v>
      </c>
      <c r="BL168" s="1509">
        <v>0.97468901600000002</v>
      </c>
      <c r="BM168" s="1509">
        <v>0.98968318499999997</v>
      </c>
      <c r="BN168" s="1509">
        <v>0.97468901600000002</v>
      </c>
      <c r="BO168" s="1509">
        <v>0.97468901600000002</v>
      </c>
      <c r="BP168" s="1509">
        <v>0.97468901600000002</v>
      </c>
      <c r="BQ168" s="1509">
        <v>0.97468901600000002</v>
      </c>
      <c r="BR168" s="1509">
        <v>0.97468901600000002</v>
      </c>
      <c r="BS168" s="1509">
        <v>0.97468901600000002</v>
      </c>
      <c r="BT168" s="1509">
        <v>0.94296391700000004</v>
      </c>
      <c r="BU168" s="1509">
        <v>0.94296391700000004</v>
      </c>
      <c r="BV168" s="1509">
        <v>0.94296391700000004</v>
      </c>
      <c r="BW168" s="1509">
        <v>0.70780213800000003</v>
      </c>
      <c r="BX168" s="1509">
        <v>1</v>
      </c>
      <c r="BY168" s="1509">
        <v>1</v>
      </c>
      <c r="BZ168" s="1509">
        <v>1</v>
      </c>
      <c r="CA168" s="1509">
        <v>0.98968318499999997</v>
      </c>
      <c r="CB168" s="1509">
        <v>0.55454186000000005</v>
      </c>
      <c r="CC168" s="1509">
        <v>0.70780213800000003</v>
      </c>
      <c r="CD168" s="1509">
        <v>0.55454186000000005</v>
      </c>
      <c r="CE168" s="1509">
        <v>0.70780213800000003</v>
      </c>
      <c r="CF168" s="1509">
        <v>0.98968318499999997</v>
      </c>
      <c r="CG168" s="1509">
        <v>0.97468901600000002</v>
      </c>
      <c r="CH168" s="1509">
        <v>0.99994037499999999</v>
      </c>
      <c r="CI168" s="1509">
        <v>0.97468901600000002</v>
      </c>
      <c r="CJ168" s="1509">
        <v>0.94296391700000004</v>
      </c>
      <c r="CK168" s="1509">
        <v>0.94296391700000004</v>
      </c>
      <c r="CL168" s="1509">
        <v>0.94296391700000004</v>
      </c>
      <c r="CM168" s="1509">
        <v>2.037461E-3</v>
      </c>
      <c r="CN168" s="1509">
        <v>0.98968318499999997</v>
      </c>
      <c r="CO168" s="1509">
        <v>0.98968318499999997</v>
      </c>
      <c r="CP168" s="1509">
        <v>0.98968318499999997</v>
      </c>
      <c r="CQ168" s="1509">
        <v>0.99886339099999999</v>
      </c>
      <c r="CR168" s="1509">
        <v>0.97468901600000002</v>
      </c>
      <c r="CS168" s="1509">
        <v>0.97468901600000002</v>
      </c>
      <c r="CT168" s="1509">
        <v>0.97468901600000002</v>
      </c>
      <c r="CU168" s="1509">
        <v>0.97468901600000002</v>
      </c>
      <c r="CV168" s="1509">
        <v>0.94296391700000004</v>
      </c>
      <c r="CW168" s="1509">
        <v>0.94296391700000004</v>
      </c>
      <c r="CX168" s="1509">
        <v>0.94296391700000004</v>
      </c>
      <c r="CY168" s="1509">
        <v>0.94296391700000004</v>
      </c>
      <c r="CZ168" s="1509">
        <v>0.45258943299999999</v>
      </c>
      <c r="DA168" s="1509">
        <v>1</v>
      </c>
      <c r="DB168" s="1509">
        <v>1</v>
      </c>
      <c r="DC168" s="1509">
        <v>0.60168875700000002</v>
      </c>
      <c r="DD168" s="1509">
        <v>0.60168875700000002</v>
      </c>
      <c r="DE168" s="1509">
        <v>0.33134042800000002</v>
      </c>
      <c r="DF168" s="1509">
        <v>0.33134042800000002</v>
      </c>
      <c r="DG168" s="1509">
        <v>0.60168875700000002</v>
      </c>
      <c r="DH168" s="1509">
        <v>0.60168875700000002</v>
      </c>
      <c r="DI168" s="1509">
        <v>0.60168875700000002</v>
      </c>
      <c r="DJ168" s="1509">
        <v>1</v>
      </c>
      <c r="DK168" s="1509">
        <v>0.68505661699999998</v>
      </c>
      <c r="DL168" s="1509">
        <v>0.70780213800000003</v>
      </c>
      <c r="DM168" s="1509">
        <v>0.98968318499999997</v>
      </c>
      <c r="DN168" s="1509">
        <v>0.98777687999999997</v>
      </c>
      <c r="DO168" s="1509">
        <v>0.99697840299999996</v>
      </c>
      <c r="DP168" s="1509">
        <v>3.7116746999999999E-2</v>
      </c>
      <c r="DQ168" s="1509">
        <v>1</v>
      </c>
      <c r="DR168" s="1509">
        <v>1</v>
      </c>
      <c r="DS168" s="1509">
        <v>0.68505661699999998</v>
      </c>
      <c r="DT168" s="1509">
        <v>1</v>
      </c>
      <c r="DU168" s="1509">
        <v>0.29541406100000001</v>
      </c>
      <c r="DV168" s="1509">
        <v>0.99886339099999999</v>
      </c>
      <c r="DW168" s="1509">
        <v>0.85631988400000003</v>
      </c>
      <c r="DX168" s="1509">
        <v>1</v>
      </c>
      <c r="DY168" s="1509">
        <v>0.94296391700000004</v>
      </c>
      <c r="DZ168" s="1509">
        <v>1</v>
      </c>
      <c r="EA168" s="1509">
        <v>0.94296391700000004</v>
      </c>
      <c r="EB168" s="1509">
        <v>0.99886339099999999</v>
      </c>
      <c r="EC168" s="1509">
        <v>0.97468901600000002</v>
      </c>
      <c r="ED168" s="1509">
        <v>0.97468901600000002</v>
      </c>
      <c r="EE168" s="1509">
        <v>0.70780213800000003</v>
      </c>
      <c r="EF168" s="1509">
        <v>0.99264689699999997</v>
      </c>
      <c r="EG168" s="1509">
        <v>0.68505661699999998</v>
      </c>
      <c r="EH168" s="1509">
        <v>0.94296391700000004</v>
      </c>
      <c r="EI168" s="1509">
        <v>0.70780213800000003</v>
      </c>
      <c r="EJ168" s="1509">
        <v>0.98968318499999997</v>
      </c>
      <c r="EK168" s="1509">
        <v>0.99994037499999999</v>
      </c>
      <c r="EL168" s="1509">
        <v>0.60168875700000002</v>
      </c>
      <c r="EM168" s="1509">
        <v>1</v>
      </c>
      <c r="EN168" s="1509">
        <v>0.60168875700000002</v>
      </c>
      <c r="EO168" s="1509">
        <v>0.33134042800000002</v>
      </c>
      <c r="EP168" s="1509">
        <v>3.7116746999999999E-2</v>
      </c>
      <c r="EQ168" s="1509">
        <v>0</v>
      </c>
      <c r="ER168" s="1509">
        <v>1</v>
      </c>
      <c r="ES168" s="1509">
        <v>0.99697840299999996</v>
      </c>
      <c r="ET168" s="1509">
        <v>0.98968318499999997</v>
      </c>
      <c r="EU168" s="1509">
        <v>1</v>
      </c>
      <c r="EV168" s="1509">
        <v>0.99886339099999999</v>
      </c>
      <c r="EW168" s="1509">
        <v>0.85631988400000003</v>
      </c>
      <c r="EX168" s="1509">
        <v>0.99264689699999997</v>
      </c>
      <c r="EY168" s="1509">
        <v>0.94296391700000004</v>
      </c>
      <c r="EZ168" s="1509">
        <v>1</v>
      </c>
      <c r="FA168" s="1509">
        <v>0.55454186000000005</v>
      </c>
      <c r="FB168" s="1509">
        <v>0.69323157999999996</v>
      </c>
      <c r="FC168" s="1509">
        <v>0.94296391700000004</v>
      </c>
      <c r="FD168" s="1509">
        <v>0.94296391700000004</v>
      </c>
      <c r="FE168" s="1509">
        <v>0.99697840299999996</v>
      </c>
      <c r="FF168" s="1509">
        <v>0.85631988400000003</v>
      </c>
      <c r="FG168" s="1509">
        <v>0.114368234</v>
      </c>
      <c r="FH168" s="1509">
        <v>2.037461E-3</v>
      </c>
      <c r="FI168" s="1509">
        <v>0.69323157999999996</v>
      </c>
      <c r="FJ168" s="1509">
        <v>0.94296391700000004</v>
      </c>
      <c r="FK168" s="1509">
        <v>0.45258943299999999</v>
      </c>
      <c r="FL168" s="1509">
        <v>1</v>
      </c>
      <c r="FM168" s="1509">
        <v>0.97468901600000002</v>
      </c>
      <c r="FN168" s="1509">
        <v>0.97468901600000002</v>
      </c>
      <c r="FO168" s="1509">
        <v>1</v>
      </c>
      <c r="FP168" s="1509">
        <v>0.69323157999999996</v>
      </c>
      <c r="FQ168" s="1509">
        <v>1</v>
      </c>
      <c r="FR168" s="1509">
        <v>0.254925919</v>
      </c>
      <c r="FS168" s="1509">
        <v>0.85631988400000003</v>
      </c>
      <c r="FT168" s="1509">
        <v>0.60168875700000002</v>
      </c>
      <c r="FU168" s="1509">
        <v>0.97468901600000002</v>
      </c>
    </row>
    <row r="169" spans="1:177" s="1509" customFormat="1" x14ac:dyDescent="0.2">
      <c r="A169" s="1512" t="s">
        <v>673</v>
      </c>
      <c r="B169" s="1512" t="s">
        <v>1060</v>
      </c>
      <c r="C169" s="1509">
        <v>0.99901245400000005</v>
      </c>
      <c r="D169" s="1509">
        <v>0.99901245400000005</v>
      </c>
      <c r="E169" s="1509">
        <v>0.96312914100000002</v>
      </c>
      <c r="F169" s="1509">
        <v>0.95428527399999996</v>
      </c>
      <c r="G169" s="1509">
        <v>0.96312914100000002</v>
      </c>
      <c r="H169" s="1509">
        <v>0.96312914100000002</v>
      </c>
      <c r="I169" s="1509">
        <v>0.99901245400000005</v>
      </c>
      <c r="J169" s="1509">
        <v>0.99901245400000005</v>
      </c>
      <c r="K169" s="1509">
        <v>0.99901245400000005</v>
      </c>
      <c r="L169" s="1509">
        <v>0.99901245400000005</v>
      </c>
      <c r="M169" s="1509">
        <v>0.99901245400000005</v>
      </c>
      <c r="N169" s="1509">
        <v>0.99901245400000005</v>
      </c>
      <c r="O169" s="1509">
        <v>0.99901245400000005</v>
      </c>
      <c r="P169" s="1509">
        <v>0.99901245400000005</v>
      </c>
      <c r="Q169" s="1509">
        <v>0.90511215700000003</v>
      </c>
      <c r="R169" s="1509">
        <v>0.98352890299999995</v>
      </c>
      <c r="S169" s="1509">
        <v>0.96312914100000002</v>
      </c>
      <c r="T169" s="1509">
        <v>0.99901245400000005</v>
      </c>
      <c r="U169" s="1509">
        <v>0.99901245400000005</v>
      </c>
      <c r="V169" s="1509">
        <v>0.99901245400000005</v>
      </c>
      <c r="W169" s="1509">
        <v>0.99901245400000005</v>
      </c>
      <c r="X169" s="1509">
        <v>0.96312914100000002</v>
      </c>
      <c r="Y169" s="1509">
        <v>0.96312914100000002</v>
      </c>
      <c r="Z169" s="1509">
        <v>0.96312914100000002</v>
      </c>
      <c r="AA169" s="1509">
        <v>0.99901245400000005</v>
      </c>
      <c r="AB169" s="1509">
        <v>0.99901245400000005</v>
      </c>
      <c r="AC169" s="1509">
        <v>0.96312914100000002</v>
      </c>
      <c r="AD169" s="1509">
        <v>0.99901245400000005</v>
      </c>
      <c r="AE169" s="1509">
        <v>0.98352890299999995</v>
      </c>
      <c r="AF169" s="1509">
        <v>0.99901245400000005</v>
      </c>
      <c r="AG169" s="1509">
        <v>0.99901245400000005</v>
      </c>
      <c r="AH169" s="1509">
        <v>0.99901245400000005</v>
      </c>
      <c r="AI169" s="1509">
        <v>0.96312914100000002</v>
      </c>
      <c r="AJ169" s="1509">
        <v>0.99901245400000005</v>
      </c>
      <c r="AK169" s="1509">
        <v>0.98352890299999995</v>
      </c>
      <c r="AL169" s="1509">
        <v>0.98352890299999995</v>
      </c>
      <c r="AM169" s="1509">
        <v>0.98352890299999995</v>
      </c>
      <c r="AN169" s="1509">
        <v>0.90511215700000003</v>
      </c>
      <c r="AO169" s="1509">
        <v>0.983312784</v>
      </c>
      <c r="AP169" s="1509">
        <v>0.92096424499999996</v>
      </c>
      <c r="AQ169" s="1509">
        <v>0.96312914100000002</v>
      </c>
      <c r="AR169" s="1509">
        <v>1</v>
      </c>
      <c r="AS169" s="1509">
        <v>1</v>
      </c>
      <c r="AT169" s="1509">
        <v>1</v>
      </c>
      <c r="AU169" s="1509">
        <v>0.99015327399999997</v>
      </c>
      <c r="AV169" s="1509">
        <v>0.99901245400000005</v>
      </c>
      <c r="AW169" s="1509">
        <v>0.99901245400000005</v>
      </c>
      <c r="AX169" s="1509">
        <v>0.92204117500000005</v>
      </c>
      <c r="AY169" s="1509">
        <v>0.99649406699999998</v>
      </c>
      <c r="AZ169" s="1509">
        <v>0.99649406699999998</v>
      </c>
      <c r="BA169" s="1509">
        <v>0.99649406699999998</v>
      </c>
      <c r="BB169" s="1509">
        <v>0.99649406699999998</v>
      </c>
      <c r="BC169" s="1509">
        <v>0.99015327399999997</v>
      </c>
      <c r="BD169" s="1509">
        <v>1</v>
      </c>
      <c r="BE169" s="1509">
        <v>0.99952841699999995</v>
      </c>
      <c r="BF169" s="1509">
        <v>0.99015327399999997</v>
      </c>
      <c r="BG169" s="1509">
        <v>0.99524924000000003</v>
      </c>
      <c r="BH169" s="1509">
        <v>0.99901245400000005</v>
      </c>
      <c r="BI169" s="1509">
        <v>0.99901245400000005</v>
      </c>
      <c r="BJ169" s="1509">
        <v>0.99901245400000005</v>
      </c>
      <c r="BK169" s="1509">
        <v>0.99901245400000005</v>
      </c>
      <c r="BL169" s="1509">
        <v>0.96312914100000002</v>
      </c>
      <c r="BM169" s="1509">
        <v>0.90511215700000003</v>
      </c>
      <c r="BN169" s="1509">
        <v>0.99901245400000005</v>
      </c>
      <c r="BO169" s="1509">
        <v>0.99901245400000005</v>
      </c>
      <c r="BP169" s="1509">
        <v>0.99901245400000005</v>
      </c>
      <c r="BQ169" s="1509">
        <v>0.99901245400000005</v>
      </c>
      <c r="BR169" s="1509">
        <v>0.96312914100000002</v>
      </c>
      <c r="BS169" s="1509">
        <v>0.96312914100000002</v>
      </c>
      <c r="BT169" s="1509">
        <v>0.99649406699999998</v>
      </c>
      <c r="BU169" s="1509">
        <v>0.99649406699999998</v>
      </c>
      <c r="BV169" s="1509">
        <v>0.99649406699999998</v>
      </c>
      <c r="BW169" s="1509">
        <v>0.90511215700000003</v>
      </c>
      <c r="BX169" s="1509">
        <v>0.92204117500000005</v>
      </c>
      <c r="BY169" s="1509">
        <v>0.76944464199999996</v>
      </c>
      <c r="BZ169" s="1509">
        <v>0.76944464199999996</v>
      </c>
      <c r="CA169" s="1509">
        <v>0.90511215700000003</v>
      </c>
      <c r="CB169" s="1509">
        <v>0.90511215700000003</v>
      </c>
      <c r="CC169" s="1509">
        <v>0.98352890299999995</v>
      </c>
      <c r="CD169" s="1509">
        <v>0.98352890299999995</v>
      </c>
      <c r="CE169" s="1509">
        <v>0.98352890299999995</v>
      </c>
      <c r="CF169" s="1509">
        <v>0.90511215700000003</v>
      </c>
      <c r="CG169" s="1509">
        <v>0.99901245400000005</v>
      </c>
      <c r="CH169" s="1509">
        <v>0.99901245400000005</v>
      </c>
      <c r="CI169" s="1509">
        <v>0.99901245400000005</v>
      </c>
      <c r="CJ169" s="1509">
        <v>0.99649406699999998</v>
      </c>
      <c r="CK169" s="1509">
        <v>0.95428527399999996</v>
      </c>
      <c r="CL169" s="1509">
        <v>0.95428527399999996</v>
      </c>
      <c r="CM169" s="1509">
        <v>0.76944464199999996</v>
      </c>
      <c r="CN169" s="1509">
        <v>0.98352890299999995</v>
      </c>
      <c r="CO169" s="1509">
        <v>0.90511215700000003</v>
      </c>
      <c r="CP169" s="1509">
        <v>0.90511215700000003</v>
      </c>
      <c r="CQ169" s="1509">
        <v>0.99901245400000005</v>
      </c>
      <c r="CR169" s="1509">
        <v>0.99901245400000005</v>
      </c>
      <c r="CS169" s="1509">
        <v>0.99901245400000005</v>
      </c>
      <c r="CT169" s="1509">
        <v>0.99901245400000005</v>
      </c>
      <c r="CU169" s="1509">
        <v>0.96312914100000002</v>
      </c>
      <c r="CV169" s="1509">
        <v>0.95428527399999996</v>
      </c>
      <c r="CW169" s="1509">
        <v>0.95428527399999996</v>
      </c>
      <c r="CX169" s="1509">
        <v>0.95428527399999996</v>
      </c>
      <c r="CY169" s="1509">
        <v>0.99649406699999998</v>
      </c>
      <c r="CZ169" s="1509">
        <v>0.92204117500000005</v>
      </c>
      <c r="DA169" s="1509">
        <v>0.92204117500000005</v>
      </c>
      <c r="DB169" s="1509">
        <v>0.94554769599999999</v>
      </c>
      <c r="DC169" s="1509">
        <v>0.94554769599999999</v>
      </c>
      <c r="DD169" s="1509">
        <v>0.94554769599999999</v>
      </c>
      <c r="DE169" s="1509">
        <v>0.79607980199999995</v>
      </c>
      <c r="DF169" s="1509">
        <v>0.94554769599999999</v>
      </c>
      <c r="DG169" s="1509">
        <v>0.94554769599999999</v>
      </c>
      <c r="DH169" s="1509">
        <v>0.79607980199999995</v>
      </c>
      <c r="DI169" s="1509">
        <v>0.94554769599999999</v>
      </c>
      <c r="DJ169" s="1509">
        <v>0.92204117500000005</v>
      </c>
      <c r="DK169" s="1509">
        <v>0.92204117500000005</v>
      </c>
      <c r="DL169" s="1509">
        <v>0.90511215700000003</v>
      </c>
      <c r="DM169" s="1509">
        <v>0.90511215700000003</v>
      </c>
      <c r="DN169" s="1509">
        <v>0.92096424499999996</v>
      </c>
      <c r="DO169" s="1509">
        <v>0.99649406699999998</v>
      </c>
      <c r="DP169" s="1509">
        <v>0.92204117500000005</v>
      </c>
      <c r="DQ169" s="1509">
        <v>0.92204117500000005</v>
      </c>
      <c r="DR169" s="1509">
        <v>0.92204117500000005</v>
      </c>
      <c r="DS169" s="1509">
        <v>0.92204117500000005</v>
      </c>
      <c r="DT169" s="1509">
        <v>0.92204117500000005</v>
      </c>
      <c r="DU169" s="1509">
        <v>0.99901245400000005</v>
      </c>
      <c r="DV169" s="1509">
        <v>0.96312914100000002</v>
      </c>
      <c r="DW169" s="1509">
        <v>0.92096424499999996</v>
      </c>
      <c r="DX169" s="1509">
        <v>1</v>
      </c>
      <c r="DY169" s="1509">
        <v>0.99649406699999998</v>
      </c>
      <c r="DZ169" s="1509">
        <v>0.99015327399999997</v>
      </c>
      <c r="EA169" s="1509">
        <v>0.95428527399999996</v>
      </c>
      <c r="EB169" s="1509">
        <v>0.96312914100000002</v>
      </c>
      <c r="EC169" s="1509">
        <v>0.96312914100000002</v>
      </c>
      <c r="ED169" s="1509">
        <v>0.99901245400000005</v>
      </c>
      <c r="EE169" s="1509">
        <v>0.90511215700000003</v>
      </c>
      <c r="EF169" s="1509">
        <v>0.95428527399999996</v>
      </c>
      <c r="EG169" s="1509">
        <v>0.76944464199999996</v>
      </c>
      <c r="EH169" s="1509">
        <v>0.99649406699999998</v>
      </c>
      <c r="EI169" s="1509">
        <v>0.90511215700000003</v>
      </c>
      <c r="EJ169" s="1509">
        <v>0.90511215700000003</v>
      </c>
      <c r="EK169" s="1509">
        <v>0.96312914100000002</v>
      </c>
      <c r="EL169" s="1509">
        <v>0.94554769599999999</v>
      </c>
      <c r="EM169" s="1509">
        <v>0.79607980199999995</v>
      </c>
      <c r="EN169" s="1509">
        <v>0.94554769599999999</v>
      </c>
      <c r="EO169" s="1509">
        <v>0.79607980199999995</v>
      </c>
      <c r="EP169" s="1509">
        <v>0.76944464199999996</v>
      </c>
      <c r="EQ169" s="1509">
        <v>0.90511215700000003</v>
      </c>
      <c r="ER169" s="1509">
        <v>0.99649406699999998</v>
      </c>
      <c r="ES169" s="1509">
        <v>0.99649406699999998</v>
      </c>
      <c r="ET169" s="1509">
        <v>0</v>
      </c>
      <c r="EU169" s="1509">
        <v>0.76944464199999996</v>
      </c>
      <c r="EV169" s="1509">
        <v>0.99901245400000005</v>
      </c>
      <c r="EW169" s="1509">
        <v>0.92096424499999996</v>
      </c>
      <c r="EX169" s="1509">
        <v>0.95428527399999996</v>
      </c>
      <c r="EY169" s="1509">
        <v>0.99649406699999998</v>
      </c>
      <c r="EZ169" s="1509">
        <v>0.76944464199999996</v>
      </c>
      <c r="FA169" s="1509">
        <v>0.98352890299999995</v>
      </c>
      <c r="FB169" s="1509">
        <v>0.983312784</v>
      </c>
      <c r="FC169" s="1509">
        <v>0.95428527399999996</v>
      </c>
      <c r="FD169" s="1509">
        <v>0.95428527399999996</v>
      </c>
      <c r="FE169" s="1509">
        <v>0.99649406699999998</v>
      </c>
      <c r="FF169" s="1509">
        <v>0.92096424499999996</v>
      </c>
      <c r="FG169" s="1509">
        <v>0</v>
      </c>
      <c r="FH169" s="1509">
        <v>0</v>
      </c>
      <c r="FI169" s="1509">
        <v>0.92096424499999996</v>
      </c>
      <c r="FJ169" s="1509">
        <v>0.99649406699999998</v>
      </c>
      <c r="FK169" s="1509">
        <v>0.92204117500000005</v>
      </c>
      <c r="FL169" s="1509">
        <v>0.79607980199999995</v>
      </c>
      <c r="FM169" s="1509">
        <v>0.99901245400000005</v>
      </c>
      <c r="FN169" s="1509">
        <v>0.99901245400000005</v>
      </c>
      <c r="FO169" s="1509">
        <v>0.76944464199999996</v>
      </c>
      <c r="FP169" s="1509">
        <v>0.92096424499999996</v>
      </c>
      <c r="FQ169" s="1509">
        <v>0.76944464199999996</v>
      </c>
      <c r="FR169" s="1509">
        <v>0.95428527399999996</v>
      </c>
      <c r="FS169" s="1509">
        <v>0.983312784</v>
      </c>
      <c r="FT169" s="1509">
        <v>0.79607980199999995</v>
      </c>
      <c r="FU169" s="1509">
        <v>0.99901245400000005</v>
      </c>
    </row>
    <row r="170" spans="1:177" s="1509" customFormat="1" x14ac:dyDescent="0.2">
      <c r="A170" s="1512" t="s">
        <v>673</v>
      </c>
      <c r="B170" s="1512" t="s">
        <v>1257</v>
      </c>
      <c r="C170" s="1509">
        <v>0.96154161500000002</v>
      </c>
      <c r="D170" s="1509">
        <v>0</v>
      </c>
      <c r="E170" s="1509">
        <v>0</v>
      </c>
      <c r="F170" s="1509">
        <v>0</v>
      </c>
      <c r="G170" s="1509">
        <v>0</v>
      </c>
      <c r="H170" s="1509">
        <v>0</v>
      </c>
      <c r="I170" s="1509">
        <v>0</v>
      </c>
      <c r="J170" s="1509">
        <v>0</v>
      </c>
      <c r="K170" s="1509">
        <v>0</v>
      </c>
      <c r="L170" s="1509">
        <v>0</v>
      </c>
      <c r="M170" s="1509">
        <v>0</v>
      </c>
      <c r="N170" s="1509">
        <v>0</v>
      </c>
      <c r="O170" s="1509">
        <v>0</v>
      </c>
      <c r="P170" s="1509">
        <v>0</v>
      </c>
      <c r="Q170" s="1509">
        <v>0</v>
      </c>
      <c r="R170" s="1509">
        <v>0</v>
      </c>
      <c r="S170" s="1509">
        <v>0</v>
      </c>
      <c r="T170" s="1509">
        <v>0</v>
      </c>
      <c r="U170" s="1509">
        <v>0</v>
      </c>
      <c r="V170" s="1509">
        <v>0</v>
      </c>
      <c r="W170" s="1509">
        <v>0</v>
      </c>
      <c r="X170" s="1509">
        <v>0.96686690900000005</v>
      </c>
      <c r="Y170" s="1509">
        <v>0</v>
      </c>
      <c r="Z170" s="1509">
        <v>0</v>
      </c>
      <c r="AA170" s="1509">
        <v>0</v>
      </c>
      <c r="AB170" s="1509">
        <v>0</v>
      </c>
      <c r="AC170" s="1509">
        <v>0</v>
      </c>
      <c r="AD170" s="1509">
        <v>0</v>
      </c>
      <c r="AE170" s="1509">
        <v>0</v>
      </c>
      <c r="AF170" s="1509">
        <v>0</v>
      </c>
      <c r="AG170" s="1509">
        <v>0</v>
      </c>
      <c r="AH170" s="1509">
        <v>0</v>
      </c>
      <c r="AI170" s="1509">
        <v>0</v>
      </c>
      <c r="AJ170" s="1509">
        <v>0</v>
      </c>
      <c r="AK170" s="1509">
        <v>0</v>
      </c>
      <c r="AL170" s="1509">
        <v>0</v>
      </c>
      <c r="AM170" s="1509">
        <v>0</v>
      </c>
      <c r="AN170" s="1509">
        <v>0</v>
      </c>
      <c r="AO170" s="1509">
        <v>0.68843124899999997</v>
      </c>
      <c r="AP170" s="1509">
        <v>0</v>
      </c>
      <c r="AQ170" s="1509">
        <v>0.94979168400000002</v>
      </c>
      <c r="AR170" s="1509">
        <v>0</v>
      </c>
      <c r="AS170" s="1509">
        <v>0</v>
      </c>
      <c r="AT170" s="1509">
        <v>0</v>
      </c>
      <c r="AU170" s="1509">
        <v>0</v>
      </c>
      <c r="AV170" s="1509">
        <v>0</v>
      </c>
      <c r="AW170" s="1509">
        <v>0</v>
      </c>
      <c r="AX170" s="1509">
        <v>0.60804603800000001</v>
      </c>
      <c r="AY170" s="1509">
        <v>0</v>
      </c>
      <c r="AZ170" s="1509">
        <v>0</v>
      </c>
      <c r="BA170" s="1509">
        <v>0</v>
      </c>
      <c r="BB170" s="1509">
        <v>0</v>
      </c>
      <c r="BC170" s="1509">
        <v>0</v>
      </c>
      <c r="BD170" s="1509">
        <v>0</v>
      </c>
      <c r="BE170" s="1509">
        <v>0.94702553499999997</v>
      </c>
      <c r="BF170" s="1509">
        <v>0</v>
      </c>
      <c r="BG170" s="1509">
        <v>0.96950431400000003</v>
      </c>
      <c r="BH170" s="1509">
        <v>0</v>
      </c>
      <c r="BI170" s="1509">
        <v>0</v>
      </c>
      <c r="BJ170" s="1509">
        <v>0.88784461599999998</v>
      </c>
      <c r="BK170" s="1509">
        <v>0</v>
      </c>
      <c r="BL170" s="1509">
        <v>0.89634868899999998</v>
      </c>
      <c r="BM170" s="1509">
        <v>0</v>
      </c>
      <c r="BN170" s="1509">
        <v>0</v>
      </c>
      <c r="BO170" s="1509">
        <v>0.96765694499999999</v>
      </c>
      <c r="BP170" s="1509">
        <v>0</v>
      </c>
      <c r="BQ170" s="1509">
        <v>0</v>
      </c>
      <c r="BR170" s="1509">
        <v>0</v>
      </c>
      <c r="BS170" s="1509">
        <v>0</v>
      </c>
      <c r="BT170" s="1509">
        <v>0</v>
      </c>
      <c r="BU170" s="1509">
        <v>0</v>
      </c>
      <c r="BV170" s="1509">
        <v>0</v>
      </c>
      <c r="BW170" s="1509">
        <v>0.91005523300000002</v>
      </c>
      <c r="BX170" s="1509">
        <v>0.35986748299999999</v>
      </c>
      <c r="BY170" s="1509">
        <v>0.17532073300000001</v>
      </c>
      <c r="BZ170" s="1509">
        <v>0.37479541700000002</v>
      </c>
      <c r="CA170" s="1509">
        <v>0.92212644300000002</v>
      </c>
      <c r="CB170" s="1509">
        <v>0.93228721299999995</v>
      </c>
      <c r="CC170" s="1509">
        <v>0.92131758799999997</v>
      </c>
      <c r="CD170" s="1509">
        <v>0</v>
      </c>
      <c r="CE170" s="1509">
        <v>0</v>
      </c>
      <c r="CF170" s="1509">
        <v>0</v>
      </c>
      <c r="CG170" s="1509">
        <v>0</v>
      </c>
      <c r="CH170" s="1509">
        <v>0</v>
      </c>
      <c r="CI170" s="1509">
        <v>0</v>
      </c>
      <c r="CJ170" s="1509">
        <v>0</v>
      </c>
      <c r="CK170" s="1509">
        <v>0</v>
      </c>
      <c r="CL170" s="1509">
        <v>0</v>
      </c>
      <c r="CM170" s="1509">
        <v>0</v>
      </c>
      <c r="CN170" s="1509">
        <v>0</v>
      </c>
      <c r="CO170" s="1509">
        <v>0</v>
      </c>
      <c r="CP170" s="1509">
        <v>0</v>
      </c>
      <c r="CQ170" s="1509">
        <v>0</v>
      </c>
      <c r="CR170" s="1509">
        <v>0.97767028600000006</v>
      </c>
      <c r="CS170" s="1509">
        <v>0</v>
      </c>
      <c r="CT170" s="1509">
        <v>0</v>
      </c>
      <c r="CU170" s="1509">
        <v>0</v>
      </c>
      <c r="CV170" s="1509">
        <v>0</v>
      </c>
      <c r="CW170" s="1509">
        <v>0</v>
      </c>
      <c r="CX170" s="1509">
        <v>0</v>
      </c>
      <c r="CY170" s="1509">
        <v>0</v>
      </c>
      <c r="CZ170" s="1509">
        <v>0.79268517999999999</v>
      </c>
      <c r="DA170" s="1509">
        <v>0.68840082400000002</v>
      </c>
      <c r="DB170" s="1509">
        <v>0.54616238100000003</v>
      </c>
      <c r="DC170" s="1509">
        <v>0.47199890999999999</v>
      </c>
      <c r="DD170" s="1509">
        <v>0</v>
      </c>
      <c r="DE170" s="1509">
        <v>0.411539135</v>
      </c>
      <c r="DF170" s="1509">
        <v>0.26138243799999999</v>
      </c>
      <c r="DG170" s="1509">
        <v>0.54877075500000005</v>
      </c>
      <c r="DH170" s="1509">
        <v>0.38208786700000003</v>
      </c>
      <c r="DI170" s="1509">
        <v>0.29484359500000001</v>
      </c>
      <c r="DJ170" s="1509">
        <v>0.15458529100000001</v>
      </c>
      <c r="DK170" s="1509">
        <v>0.66779737100000003</v>
      </c>
      <c r="DL170" s="1509">
        <v>0</v>
      </c>
      <c r="DM170" s="1509">
        <v>0.94819471099999997</v>
      </c>
      <c r="DN170" s="1509">
        <v>0</v>
      </c>
      <c r="DO170" s="1509">
        <v>0.99860663599999999</v>
      </c>
      <c r="DP170" s="1509">
        <v>0.28528060799999999</v>
      </c>
      <c r="DQ170" s="1509">
        <v>0.740853176</v>
      </c>
      <c r="DR170" s="1509">
        <v>0.42343329299999999</v>
      </c>
      <c r="DS170" s="1509">
        <v>0.70392270700000004</v>
      </c>
      <c r="DT170" s="1509">
        <v>0.53872551599999996</v>
      </c>
      <c r="DU170" s="1509">
        <v>0</v>
      </c>
      <c r="DV170" s="1509">
        <v>0</v>
      </c>
      <c r="DW170" s="1509">
        <v>0</v>
      </c>
      <c r="DX170" s="1509">
        <v>0</v>
      </c>
      <c r="DY170" s="1509">
        <v>0</v>
      </c>
      <c r="DZ170" s="1509">
        <v>0</v>
      </c>
      <c r="EA170" s="1509">
        <v>0</v>
      </c>
      <c r="EB170" s="1509">
        <v>0.89450402799999995</v>
      </c>
      <c r="EC170" s="1509">
        <v>0</v>
      </c>
      <c r="ED170" s="1509">
        <v>0</v>
      </c>
      <c r="EE170" s="1509">
        <v>0.95171515900000003</v>
      </c>
      <c r="EF170" s="1509">
        <v>0</v>
      </c>
      <c r="EG170" s="1509">
        <v>0.100298295</v>
      </c>
      <c r="EH170" s="1509">
        <v>0</v>
      </c>
      <c r="EI170" s="1509">
        <v>0.92861269700000004</v>
      </c>
      <c r="EJ170" s="1509">
        <v>0</v>
      </c>
      <c r="EK170" s="1509">
        <v>0.88218765600000004</v>
      </c>
      <c r="EL170" s="1509">
        <v>0.27152395200000001</v>
      </c>
      <c r="EM170" s="1509">
        <v>0.50022385300000005</v>
      </c>
      <c r="EN170" s="1509">
        <v>0.46933213899999998</v>
      </c>
      <c r="EO170" s="1509">
        <v>0</v>
      </c>
      <c r="EP170" s="1509">
        <v>0.10887756699999999</v>
      </c>
      <c r="EQ170" s="1509">
        <v>0.98901496799999999</v>
      </c>
      <c r="ER170" s="1509">
        <v>0.99941621899999999</v>
      </c>
      <c r="ES170" s="1509">
        <v>0.99927853499999997</v>
      </c>
      <c r="ET170" s="1509">
        <v>0.94366511799999997</v>
      </c>
      <c r="EU170" s="1509">
        <v>0.12907185500000001</v>
      </c>
      <c r="EV170" s="1509">
        <v>0</v>
      </c>
      <c r="EW170" s="1509">
        <v>0.87842230399999999</v>
      </c>
      <c r="EX170" s="1509">
        <v>0.97690761400000004</v>
      </c>
      <c r="EY170" s="1509">
        <v>0.98743219100000001</v>
      </c>
      <c r="EZ170" s="1509">
        <v>0.23783063199999999</v>
      </c>
      <c r="FA170" s="1509">
        <v>0</v>
      </c>
      <c r="FB170" s="1509">
        <v>0</v>
      </c>
      <c r="FC170" s="1509">
        <v>0</v>
      </c>
      <c r="FD170" s="1509">
        <v>0</v>
      </c>
      <c r="FE170" s="1509">
        <v>0.97592730299999997</v>
      </c>
      <c r="FF170" s="1509">
        <v>0.93099762200000002</v>
      </c>
      <c r="FG170" s="1509">
        <v>0</v>
      </c>
      <c r="FH170" s="1509">
        <v>0.101578586</v>
      </c>
      <c r="FI170" s="1509">
        <v>0.65758415299999995</v>
      </c>
      <c r="FJ170" s="1509">
        <v>0</v>
      </c>
      <c r="FK170" s="1509">
        <v>0.48805501299999998</v>
      </c>
      <c r="FL170" s="1509">
        <v>0.60699199999999998</v>
      </c>
      <c r="FM170" s="1509">
        <v>0</v>
      </c>
      <c r="FN170" s="1509">
        <v>0.98633087600000002</v>
      </c>
      <c r="FO170" s="1509">
        <v>0</v>
      </c>
      <c r="FP170" s="1509">
        <v>0</v>
      </c>
      <c r="FQ170" s="1509">
        <v>0.27122380000000001</v>
      </c>
      <c r="FR170" s="1509">
        <v>0</v>
      </c>
      <c r="FS170" s="1509">
        <v>0</v>
      </c>
      <c r="FT170" s="1509">
        <v>0.36071477200000002</v>
      </c>
      <c r="FU170" s="1509">
        <v>0</v>
      </c>
    </row>
    <row r="171" spans="1:177" s="1509" customFormat="1" x14ac:dyDescent="0.2">
      <c r="A171" s="1512" t="s">
        <v>673</v>
      </c>
      <c r="B171" s="1512" t="s">
        <v>1041</v>
      </c>
      <c r="C171" s="1509">
        <v>1</v>
      </c>
      <c r="D171" s="1509">
        <v>1</v>
      </c>
      <c r="E171" s="1509">
        <v>1</v>
      </c>
      <c r="F171" s="1509">
        <v>1</v>
      </c>
      <c r="G171" s="1509">
        <v>1</v>
      </c>
      <c r="H171" s="1509">
        <v>1</v>
      </c>
      <c r="I171" s="1509">
        <v>1</v>
      </c>
      <c r="J171" s="1509">
        <v>1</v>
      </c>
      <c r="K171" s="1509">
        <v>1</v>
      </c>
      <c r="L171" s="1509">
        <v>1</v>
      </c>
      <c r="M171" s="1509">
        <v>1</v>
      </c>
      <c r="N171" s="1509">
        <v>1</v>
      </c>
      <c r="O171" s="1509">
        <v>1</v>
      </c>
      <c r="P171" s="1509">
        <v>1</v>
      </c>
      <c r="Q171" s="1509">
        <v>1</v>
      </c>
      <c r="R171" s="1509">
        <v>1</v>
      </c>
      <c r="S171" s="1509">
        <v>1</v>
      </c>
      <c r="T171" s="1509">
        <v>1</v>
      </c>
      <c r="U171" s="1509">
        <v>1</v>
      </c>
      <c r="V171" s="1509">
        <v>1</v>
      </c>
      <c r="W171" s="1509">
        <v>1</v>
      </c>
      <c r="X171" s="1509">
        <v>1</v>
      </c>
      <c r="Y171" s="1509">
        <v>1</v>
      </c>
      <c r="Z171" s="1509">
        <v>1</v>
      </c>
      <c r="AA171" s="1509">
        <v>1</v>
      </c>
      <c r="AB171" s="1509">
        <v>1</v>
      </c>
      <c r="AC171" s="1509">
        <v>0.191509343</v>
      </c>
      <c r="AD171" s="1509">
        <v>0.16649275899999999</v>
      </c>
      <c r="AE171" s="1509">
        <v>1</v>
      </c>
      <c r="AF171" s="1509">
        <v>0</v>
      </c>
      <c r="AG171" s="1509">
        <v>1</v>
      </c>
      <c r="AH171" s="1509">
        <v>0.13236094200000001</v>
      </c>
      <c r="AI171" s="1509">
        <v>1</v>
      </c>
      <c r="AJ171" s="1509">
        <v>1</v>
      </c>
      <c r="AK171" s="1509">
        <v>1</v>
      </c>
      <c r="AL171" s="1509">
        <v>1</v>
      </c>
      <c r="AM171" s="1509">
        <v>1</v>
      </c>
      <c r="AN171" s="1509">
        <v>1</v>
      </c>
      <c r="AO171" s="1509">
        <v>4.4322094999999999E-2</v>
      </c>
      <c r="AP171" s="1509">
        <v>8.8219038E-2</v>
      </c>
      <c r="AQ171" s="1509">
        <v>1</v>
      </c>
      <c r="AR171" s="1509">
        <v>5.2246836999999997E-2</v>
      </c>
      <c r="AS171" s="1509">
        <v>0</v>
      </c>
      <c r="AT171" s="1509">
        <v>0.12660845200000001</v>
      </c>
      <c r="AU171" s="1509">
        <v>7.9688533000000006E-2</v>
      </c>
      <c r="AV171" s="1509">
        <v>1.4682756E-2</v>
      </c>
      <c r="AW171" s="1509">
        <v>1</v>
      </c>
      <c r="AX171" s="1509">
        <v>1</v>
      </c>
      <c r="AY171" s="1509">
        <v>1</v>
      </c>
      <c r="AZ171" s="1509">
        <v>1</v>
      </c>
      <c r="BA171" s="1509">
        <v>1</v>
      </c>
      <c r="BB171" s="1509">
        <v>1</v>
      </c>
      <c r="BC171" s="1509">
        <v>0.120597414</v>
      </c>
      <c r="BD171" s="1509">
        <v>0.15713253499999999</v>
      </c>
      <c r="BE171" s="1509">
        <v>1</v>
      </c>
      <c r="BF171" s="1509">
        <v>0.10785278299999999</v>
      </c>
      <c r="BG171" s="1509">
        <v>1</v>
      </c>
      <c r="BH171" s="1509">
        <v>0</v>
      </c>
      <c r="BI171" s="1509">
        <v>5.5269022000000001E-2</v>
      </c>
      <c r="BJ171" s="1509">
        <v>1</v>
      </c>
      <c r="BK171" s="1509">
        <v>7.4084559999999999E-3</v>
      </c>
      <c r="BL171" s="1509">
        <v>1</v>
      </c>
      <c r="BM171" s="1509">
        <v>1</v>
      </c>
      <c r="BN171" s="1509">
        <v>1</v>
      </c>
      <c r="BO171" s="1509">
        <v>1</v>
      </c>
      <c r="BP171" s="1509">
        <v>0</v>
      </c>
      <c r="BQ171" s="1509">
        <v>1</v>
      </c>
      <c r="BR171" s="1509">
        <v>1</v>
      </c>
      <c r="BS171" s="1509">
        <v>2.9995304E-2</v>
      </c>
      <c r="BT171" s="1509">
        <v>0</v>
      </c>
      <c r="BU171" s="1509">
        <v>1</v>
      </c>
      <c r="BV171" s="1509">
        <v>1</v>
      </c>
      <c r="BW171" s="1509">
        <v>1</v>
      </c>
      <c r="BX171" s="1509">
        <v>1</v>
      </c>
      <c r="BY171" s="1509">
        <v>1</v>
      </c>
      <c r="BZ171" s="1509">
        <v>1</v>
      </c>
      <c r="CA171" s="1509">
        <v>3.5732135999999998E-2</v>
      </c>
      <c r="CB171" s="1509">
        <v>1</v>
      </c>
      <c r="CC171" s="1509">
        <v>1</v>
      </c>
      <c r="CD171" s="1509">
        <v>1</v>
      </c>
      <c r="CE171" s="1509">
        <v>1</v>
      </c>
      <c r="CF171" s="1509">
        <v>1</v>
      </c>
      <c r="CG171" s="1509">
        <v>1.3009517999999999E-2</v>
      </c>
      <c r="CH171" s="1509">
        <v>5.1508894999999999E-2</v>
      </c>
      <c r="CI171" s="1509">
        <v>1</v>
      </c>
      <c r="CJ171" s="1509">
        <v>4.8873918000000002E-2</v>
      </c>
      <c r="CK171" s="1509">
        <v>4.7057660000000001E-3</v>
      </c>
      <c r="CL171" s="1509">
        <v>3.9902690000000003E-3</v>
      </c>
      <c r="CM171" s="1509">
        <v>1</v>
      </c>
      <c r="CN171" s="1509">
        <v>7.5067324000000005E-2</v>
      </c>
      <c r="CO171" s="1509">
        <v>0.246581576</v>
      </c>
      <c r="CP171" s="1509">
        <v>0.15494617799999999</v>
      </c>
      <c r="CQ171" s="1509">
        <v>1</v>
      </c>
      <c r="CR171" s="1509">
        <v>5.8608044999999998E-2</v>
      </c>
      <c r="CS171" s="1509">
        <v>1</v>
      </c>
      <c r="CT171" s="1509">
        <v>1</v>
      </c>
      <c r="CU171" s="1509">
        <v>1</v>
      </c>
      <c r="CV171" s="1509">
        <v>1</v>
      </c>
      <c r="CW171" s="1509">
        <v>1</v>
      </c>
      <c r="CX171" s="1509">
        <v>1</v>
      </c>
      <c r="CY171" s="1509">
        <v>1.1293838E-2</v>
      </c>
      <c r="CZ171" s="1509">
        <v>1</v>
      </c>
      <c r="DA171" s="1509">
        <v>1</v>
      </c>
      <c r="DB171" s="1509">
        <v>1</v>
      </c>
      <c r="DC171" s="1509">
        <v>1</v>
      </c>
      <c r="DD171" s="1509">
        <v>0</v>
      </c>
      <c r="DE171" s="1509">
        <v>1</v>
      </c>
      <c r="DF171" s="1509">
        <v>1</v>
      </c>
      <c r="DG171" s="1509">
        <v>1</v>
      </c>
      <c r="DH171" s="1509">
        <v>1</v>
      </c>
      <c r="DI171" s="1509">
        <v>1</v>
      </c>
      <c r="DJ171" s="1509">
        <v>1</v>
      </c>
      <c r="DK171" s="1509">
        <v>1</v>
      </c>
      <c r="DL171" s="1509">
        <v>1</v>
      </c>
      <c r="DM171" s="1509">
        <v>1</v>
      </c>
      <c r="DN171" s="1509">
        <v>0.10465116300000001</v>
      </c>
      <c r="DO171" s="1509">
        <v>1</v>
      </c>
      <c r="DP171" s="1509">
        <v>9.4225739999999995E-3</v>
      </c>
      <c r="DQ171" s="1509">
        <v>1</v>
      </c>
      <c r="DR171" s="1509">
        <v>1</v>
      </c>
      <c r="DS171" s="1509">
        <v>1</v>
      </c>
      <c r="DT171" s="1509">
        <v>1</v>
      </c>
      <c r="DU171" s="1509">
        <v>1</v>
      </c>
      <c r="DV171" s="1509">
        <v>0.19256023999999999</v>
      </c>
      <c r="DW171" s="1509">
        <v>6.7875514999999997E-2</v>
      </c>
      <c r="DX171" s="1509">
        <v>1</v>
      </c>
      <c r="DY171" s="1509">
        <v>0</v>
      </c>
      <c r="DZ171" s="1509">
        <v>0.15184405100000001</v>
      </c>
      <c r="EA171" s="1509">
        <v>1</v>
      </c>
      <c r="EB171" s="1509">
        <v>1</v>
      </c>
      <c r="EC171" s="1509">
        <v>0</v>
      </c>
      <c r="ED171" s="1509">
        <v>1</v>
      </c>
      <c r="EE171" s="1509">
        <v>1</v>
      </c>
      <c r="EF171" s="1509">
        <v>1</v>
      </c>
      <c r="EG171" s="1509">
        <v>1</v>
      </c>
      <c r="EH171" s="1509">
        <v>1.8036017000000001E-2</v>
      </c>
      <c r="EI171" s="1509">
        <v>1</v>
      </c>
      <c r="EJ171" s="1509">
        <v>1</v>
      </c>
      <c r="EK171" s="1509">
        <v>1</v>
      </c>
      <c r="EL171" s="1509">
        <v>1</v>
      </c>
      <c r="EM171" s="1509">
        <v>1</v>
      </c>
      <c r="EN171" s="1509">
        <v>1</v>
      </c>
      <c r="EO171" s="1509">
        <v>0</v>
      </c>
      <c r="EP171" s="1509">
        <v>1</v>
      </c>
      <c r="EQ171" s="1509">
        <v>1</v>
      </c>
      <c r="ER171" s="1509">
        <v>1</v>
      </c>
      <c r="ES171" s="1509">
        <v>1</v>
      </c>
      <c r="ET171" s="1509">
        <v>1</v>
      </c>
      <c r="EU171" s="1509">
        <v>1</v>
      </c>
      <c r="EV171" s="1509">
        <v>0.15716138399999999</v>
      </c>
      <c r="EW171" s="1509">
        <v>1</v>
      </c>
      <c r="EX171" s="1509">
        <v>1</v>
      </c>
      <c r="EY171" s="1509">
        <v>1</v>
      </c>
      <c r="EZ171" s="1509">
        <v>1</v>
      </c>
      <c r="FA171" s="1509">
        <v>0.22584351</v>
      </c>
      <c r="FB171" s="1509">
        <v>0.22073891400000001</v>
      </c>
      <c r="FC171" s="1509">
        <v>1</v>
      </c>
      <c r="FD171" s="1509">
        <v>1</v>
      </c>
      <c r="FE171" s="1509">
        <v>1</v>
      </c>
      <c r="FF171" s="1509">
        <v>1</v>
      </c>
      <c r="FG171" s="1509">
        <v>1</v>
      </c>
      <c r="FH171" s="1509">
        <v>9.3406380000000001E-3</v>
      </c>
      <c r="FI171" s="1509">
        <v>1</v>
      </c>
      <c r="FJ171" s="1509">
        <v>1</v>
      </c>
      <c r="FK171" s="1509">
        <v>1</v>
      </c>
      <c r="FL171" s="1509">
        <v>1</v>
      </c>
      <c r="FM171" s="1509">
        <v>1</v>
      </c>
      <c r="FN171" s="1509">
        <v>1</v>
      </c>
      <c r="FO171" s="1509">
        <v>1</v>
      </c>
      <c r="FP171" s="1509">
        <v>1</v>
      </c>
      <c r="FQ171" s="1509">
        <v>1</v>
      </c>
      <c r="FR171" s="1509">
        <v>1</v>
      </c>
      <c r="FS171" s="1509">
        <v>0</v>
      </c>
      <c r="FT171" s="1509">
        <v>1</v>
      </c>
      <c r="FU171" s="1509">
        <v>3.5719343000000001E-2</v>
      </c>
    </row>
    <row r="172" spans="1:177" s="1509" customFormat="1" x14ac:dyDescent="0.2">
      <c r="A172" s="1512" t="s">
        <v>673</v>
      </c>
      <c r="B172" s="1512" t="s">
        <v>1270</v>
      </c>
      <c r="C172" s="1509">
        <v>0.86777321500000004</v>
      </c>
      <c r="D172" s="1509">
        <v>0.58464943999999996</v>
      </c>
      <c r="E172" s="1509">
        <v>0.69298879800000002</v>
      </c>
      <c r="F172" s="1509">
        <v>0.43306804900000001</v>
      </c>
      <c r="G172" s="1509">
        <v>0.25677307300000002</v>
      </c>
      <c r="H172" s="1509">
        <v>0.14533692100000001</v>
      </c>
      <c r="I172" s="1509">
        <v>0.20921063400000001</v>
      </c>
      <c r="J172" s="1509">
        <v>0.48400548599999998</v>
      </c>
      <c r="K172" s="1509">
        <v>0.42020257700000002</v>
      </c>
      <c r="L172" s="1509">
        <v>0.88729680799999999</v>
      </c>
      <c r="M172" s="1509">
        <v>0.96078884399999998</v>
      </c>
      <c r="N172" s="1509">
        <v>0.89991503399999995</v>
      </c>
      <c r="O172" s="1509">
        <v>0.56653449700000003</v>
      </c>
      <c r="P172" s="1509">
        <v>0.65260004000000005</v>
      </c>
      <c r="Q172" s="1509">
        <v>0.24315009700000001</v>
      </c>
      <c r="R172" s="1509">
        <v>0.89292294800000005</v>
      </c>
      <c r="S172" s="1509">
        <v>0.713362053</v>
      </c>
      <c r="T172" s="1509">
        <v>0.440404409</v>
      </c>
      <c r="U172" s="1509">
        <v>0.12845920499999999</v>
      </c>
      <c r="V172" s="1509">
        <v>0.47666783400000001</v>
      </c>
      <c r="W172" s="1509">
        <v>0.81142348200000003</v>
      </c>
      <c r="X172" s="1509">
        <v>0.78734599900000002</v>
      </c>
      <c r="Y172" s="1509">
        <v>0.85847910500000002</v>
      </c>
      <c r="Z172" s="1509">
        <v>0.283600778</v>
      </c>
      <c r="AA172" s="1509">
        <v>0.246688927</v>
      </c>
      <c r="AB172" s="1509">
        <v>0.54787919900000004</v>
      </c>
      <c r="AC172" s="1509">
        <v>0.43891377399999998</v>
      </c>
      <c r="AD172" s="1509">
        <v>0.45453563000000002</v>
      </c>
      <c r="AE172" s="1509">
        <v>0.481443907</v>
      </c>
      <c r="AF172" s="1509">
        <v>0.25021055199999997</v>
      </c>
      <c r="AG172" s="1509">
        <v>0.95341019999999999</v>
      </c>
      <c r="AH172" s="1509">
        <v>0.12267926799999999</v>
      </c>
      <c r="AI172" s="1509">
        <v>0.573667186</v>
      </c>
      <c r="AJ172" s="1509">
        <v>0.14312332799999999</v>
      </c>
      <c r="AK172" s="1509">
        <v>0.46126531999999998</v>
      </c>
      <c r="AL172" s="1509">
        <v>0.164763191</v>
      </c>
      <c r="AM172" s="1509">
        <v>0.60655113999999999</v>
      </c>
      <c r="AN172" s="1509">
        <v>0.18579964600000001</v>
      </c>
      <c r="AO172" s="1509">
        <v>0.24584413899999999</v>
      </c>
      <c r="AP172" s="1509">
        <v>0.65694485800000002</v>
      </c>
      <c r="AQ172" s="1509">
        <v>0.12775115300000001</v>
      </c>
      <c r="AR172" s="1509">
        <v>0.255276954</v>
      </c>
      <c r="AS172" s="1509">
        <v>7.2378434000000005E-2</v>
      </c>
      <c r="AT172" s="1509">
        <v>1.9239934E-2</v>
      </c>
      <c r="AU172" s="1509">
        <v>0.183528833</v>
      </c>
      <c r="AV172" s="1509">
        <v>6.7194103000000005E-2</v>
      </c>
      <c r="AW172" s="1509">
        <v>0.185099612</v>
      </c>
      <c r="AX172" s="1509">
        <v>0.87374297400000001</v>
      </c>
      <c r="AY172" s="1509">
        <v>0.30434471499999999</v>
      </c>
      <c r="AZ172" s="1509">
        <v>0.114138212</v>
      </c>
      <c r="BA172" s="1509">
        <v>0.205397046</v>
      </c>
      <c r="BB172" s="1509">
        <v>0.389428263</v>
      </c>
      <c r="BC172" s="1509">
        <v>2.348302E-2</v>
      </c>
      <c r="BD172" s="1509">
        <v>0.42224084099999998</v>
      </c>
      <c r="BE172" s="1509">
        <v>0.896688441</v>
      </c>
      <c r="BF172" s="1509">
        <v>0.131535659</v>
      </c>
      <c r="BG172" s="1509">
        <v>8.5269152000000001E-2</v>
      </c>
      <c r="BH172" s="1509">
        <v>0.150904443</v>
      </c>
      <c r="BI172" s="1509">
        <v>7.4255986999999996E-2</v>
      </c>
      <c r="BJ172" s="1509">
        <v>8.9315127999999994E-2</v>
      </c>
      <c r="BK172" s="1509">
        <v>0.69087582299999994</v>
      </c>
      <c r="BL172" s="1509">
        <v>0.237063151</v>
      </c>
      <c r="BM172" s="1509">
        <v>0.97489798800000005</v>
      </c>
      <c r="BN172" s="1509">
        <v>0.16596731000000001</v>
      </c>
      <c r="BO172" s="1509">
        <v>0.60313704199999996</v>
      </c>
      <c r="BP172" s="1509">
        <v>0.49228969</v>
      </c>
      <c r="BQ172" s="1509">
        <v>0.27602835199999998</v>
      </c>
      <c r="BR172" s="1509">
        <v>5.0670412999999997E-2</v>
      </c>
      <c r="BS172" s="1509">
        <v>0.58134395699999997</v>
      </c>
      <c r="BT172" s="1509">
        <v>0.17453712900000001</v>
      </c>
      <c r="BU172" s="1509">
        <v>3.2301917999999999E-2</v>
      </c>
      <c r="BV172" s="1509">
        <v>0.118970566</v>
      </c>
      <c r="BW172" s="1509">
        <v>0.20230804199999999</v>
      </c>
      <c r="BX172" s="1509">
        <v>0.82362034399999995</v>
      </c>
      <c r="BY172" s="1509">
        <v>0.78818054199999998</v>
      </c>
      <c r="BZ172" s="1509">
        <v>0.83934102099999996</v>
      </c>
      <c r="CA172" s="1509">
        <v>0.41260546199999998</v>
      </c>
      <c r="CB172" s="1509">
        <v>0.52130873600000005</v>
      </c>
      <c r="CC172" s="1509">
        <v>0.39957330299999999</v>
      </c>
      <c r="CD172" s="1509">
        <v>0.97267498699999999</v>
      </c>
      <c r="CE172" s="1509">
        <v>0.20585141700000001</v>
      </c>
      <c r="CF172" s="1509">
        <v>0.16289825699999999</v>
      </c>
      <c r="CG172" s="1509">
        <v>0.34110202699999997</v>
      </c>
      <c r="CH172" s="1509">
        <v>0.37611331799999997</v>
      </c>
      <c r="CI172" s="1509">
        <v>0.301626283</v>
      </c>
      <c r="CJ172" s="1509">
        <v>0.78222486400000002</v>
      </c>
      <c r="CK172" s="1509">
        <v>5.6810425999999997E-2</v>
      </c>
      <c r="CL172" s="1509">
        <v>1.6742619E-2</v>
      </c>
      <c r="CM172" s="1509">
        <v>0.78269086899999996</v>
      </c>
      <c r="CN172" s="1509">
        <v>0.269542644</v>
      </c>
      <c r="CO172" s="1509">
        <v>6.7853759E-2</v>
      </c>
      <c r="CP172" s="1509">
        <v>0.198928782</v>
      </c>
      <c r="CQ172" s="1509">
        <v>0.99569579100000005</v>
      </c>
      <c r="CR172" s="1509">
        <v>0.41869330900000001</v>
      </c>
      <c r="CS172" s="1509">
        <v>0.103602865</v>
      </c>
      <c r="CT172" s="1509">
        <v>9.8892458000000003E-2</v>
      </c>
      <c r="CU172" s="1509">
        <v>6.5524592000000006E-2</v>
      </c>
      <c r="CV172" s="1509">
        <v>0.29178499899999999</v>
      </c>
      <c r="CW172" s="1509">
        <v>0.35256918300000001</v>
      </c>
      <c r="CX172" s="1509">
        <v>0.34767628699999997</v>
      </c>
      <c r="CY172" s="1509">
        <v>0.84769830300000004</v>
      </c>
      <c r="CZ172" s="1509">
        <v>0.82477836500000001</v>
      </c>
      <c r="DA172" s="1509">
        <v>0.83470347600000006</v>
      </c>
      <c r="DB172" s="1509">
        <v>0.397888134</v>
      </c>
      <c r="DC172" s="1509">
        <v>3.4593769000000003E-2</v>
      </c>
      <c r="DD172" s="1509">
        <v>0.25381947999999999</v>
      </c>
      <c r="DE172" s="1509">
        <v>0.31327550799999998</v>
      </c>
      <c r="DF172" s="1509">
        <v>8.2819009999999998E-2</v>
      </c>
      <c r="DG172" s="1509">
        <v>0.224211039</v>
      </c>
      <c r="DH172" s="1509">
        <v>0.121395524</v>
      </c>
      <c r="DI172" s="1509">
        <v>0.139966335</v>
      </c>
      <c r="DJ172" s="1509">
        <v>0.78791834900000002</v>
      </c>
      <c r="DK172" s="1509">
        <v>0.88809259799999996</v>
      </c>
      <c r="DL172" s="1509">
        <v>0.98879547599999995</v>
      </c>
      <c r="DM172" s="1509">
        <v>0.79596129900000001</v>
      </c>
      <c r="DN172" s="1509">
        <v>9.3831045000000002E-2</v>
      </c>
      <c r="DO172" s="1509">
        <v>0.44034409899999999</v>
      </c>
      <c r="DP172" s="1509">
        <v>0.802759585</v>
      </c>
      <c r="DQ172" s="1509">
        <v>0.92361433500000001</v>
      </c>
      <c r="DR172" s="1509">
        <v>0.85246161300000001</v>
      </c>
      <c r="DS172" s="1509">
        <v>0.822462323</v>
      </c>
      <c r="DT172" s="1509">
        <v>0.86640156000000002</v>
      </c>
      <c r="DU172" s="1509">
        <v>7.3301980000000003E-2</v>
      </c>
      <c r="DV172" s="1509">
        <v>0.28566903399999999</v>
      </c>
      <c r="DW172" s="1509">
        <v>0.86497172700000002</v>
      </c>
      <c r="DX172" s="1509">
        <v>0.169646563</v>
      </c>
      <c r="DY172" s="1509">
        <v>0.108381217</v>
      </c>
      <c r="DZ172" s="1509">
        <v>0.101849432</v>
      </c>
      <c r="EA172" s="1509">
        <v>0.26829469700000003</v>
      </c>
      <c r="EB172" s="1509">
        <v>0.112569035</v>
      </c>
      <c r="EC172" s="1509">
        <v>0.14418167900000001</v>
      </c>
      <c r="ED172" s="1509">
        <v>0.46655014900000003</v>
      </c>
      <c r="EE172" s="1509">
        <v>0.882852305</v>
      </c>
      <c r="EF172" s="1509">
        <v>0.15509213399999999</v>
      </c>
      <c r="EG172" s="1509">
        <v>0.76748365399999996</v>
      </c>
      <c r="EH172" s="1509">
        <v>0.67105321100000004</v>
      </c>
      <c r="EI172" s="1509">
        <v>0.426323917</v>
      </c>
      <c r="EJ172" s="1509">
        <v>0.24629810599999999</v>
      </c>
      <c r="EK172" s="1509">
        <v>0.245500145</v>
      </c>
      <c r="EL172" s="1509">
        <v>9.7995751000000006E-2</v>
      </c>
      <c r="EM172" s="1509">
        <v>0.275508421</v>
      </c>
      <c r="EN172" s="1509">
        <v>0.37516901400000002</v>
      </c>
      <c r="EO172" s="1509">
        <v>7.3749758999999998E-2</v>
      </c>
      <c r="EP172" s="1509">
        <v>0.782778266</v>
      </c>
      <c r="EQ172" s="1509">
        <v>0.96957173699999999</v>
      </c>
      <c r="ER172" s="1509">
        <v>0.84116526899999999</v>
      </c>
      <c r="ES172" s="1509">
        <v>0.80847258</v>
      </c>
      <c r="ET172" s="1509">
        <v>0.281045557</v>
      </c>
      <c r="EU172" s="1509">
        <v>0.85850844800000004</v>
      </c>
      <c r="EV172" s="1509">
        <v>0.66355620800000004</v>
      </c>
      <c r="EW172" s="1509">
        <v>0.653947536</v>
      </c>
      <c r="EX172" s="1509">
        <v>4.1278649999999997E-3</v>
      </c>
      <c r="EY172" s="1509">
        <v>0.38887237699999999</v>
      </c>
      <c r="EZ172" s="1509">
        <v>0.79678376100000003</v>
      </c>
      <c r="FA172" s="1509">
        <v>0.18626214999999999</v>
      </c>
      <c r="FB172" s="1509">
        <v>0.26584753999999999</v>
      </c>
      <c r="FC172" s="1509">
        <v>0.11950994</v>
      </c>
      <c r="FD172" s="1509">
        <v>4.8835391999999998E-2</v>
      </c>
      <c r="FE172" s="1509">
        <v>0.33537525000000001</v>
      </c>
      <c r="FF172" s="1509">
        <v>0.58645465799999996</v>
      </c>
      <c r="FG172" s="1509">
        <v>0.30826258499999998</v>
      </c>
      <c r="FH172" s="1509">
        <v>0.83229457399999995</v>
      </c>
      <c r="FI172" s="1509">
        <v>0.13294502799999999</v>
      </c>
      <c r="FJ172" s="1509">
        <v>0.82780199499999996</v>
      </c>
      <c r="FK172" s="1509">
        <v>0.84258020099999997</v>
      </c>
      <c r="FL172" s="1509">
        <v>0.44017145099999999</v>
      </c>
      <c r="FM172" s="1509">
        <v>0.549198411</v>
      </c>
      <c r="FN172" s="1509">
        <v>0.30238650700000003</v>
      </c>
      <c r="FO172" s="1509">
        <v>0.80919970900000004</v>
      </c>
      <c r="FP172" s="1509">
        <v>0.12590876200000001</v>
      </c>
      <c r="FQ172" s="1509">
        <v>0.807970678</v>
      </c>
      <c r="FR172" s="1509">
        <v>0.22400545999999999</v>
      </c>
      <c r="FS172" s="1509">
        <v>0.20932358300000001</v>
      </c>
      <c r="FT172" s="1509">
        <v>0.14315805000000001</v>
      </c>
      <c r="FU172" s="1509">
        <v>0.200635756</v>
      </c>
    </row>
    <row r="173" spans="1:177" s="1509" customFormat="1" x14ac:dyDescent="0.2">
      <c r="A173" s="1512" t="s">
        <v>673</v>
      </c>
      <c r="B173" s="1512" t="s">
        <v>1299</v>
      </c>
      <c r="C173" s="1509">
        <v>2.2068852E-2</v>
      </c>
      <c r="D173" s="1509">
        <v>0</v>
      </c>
      <c r="E173" s="1509">
        <v>1</v>
      </c>
      <c r="F173" s="1509">
        <v>1</v>
      </c>
      <c r="G173" s="1509">
        <v>5.2298931999999999E-2</v>
      </c>
      <c r="H173" s="1509">
        <v>5.2298931999999999E-2</v>
      </c>
      <c r="I173" s="1509">
        <v>3.8219884000000003E-2</v>
      </c>
      <c r="J173" s="1509">
        <v>3.5715616999999998E-2</v>
      </c>
      <c r="K173" s="1509">
        <v>3.9419845000000002E-2</v>
      </c>
      <c r="L173" s="1509">
        <v>3.1661089000000003E-2</v>
      </c>
      <c r="M173" s="1509">
        <v>4.1499280999999999E-2</v>
      </c>
      <c r="N173" s="1509">
        <v>2.6939503E-2</v>
      </c>
      <c r="O173" s="1509">
        <v>2.9413957000000001E-2</v>
      </c>
      <c r="P173" s="1509">
        <v>2.7222723000000001E-2</v>
      </c>
      <c r="Q173" s="1509">
        <v>0.99998508100000005</v>
      </c>
      <c r="R173" s="1509">
        <v>7.4306431000000006E-2</v>
      </c>
      <c r="S173" s="1509">
        <v>1</v>
      </c>
      <c r="T173" s="1509">
        <v>2.3507315000000001E-2</v>
      </c>
      <c r="U173" s="1509">
        <v>2.2583122000000001E-2</v>
      </c>
      <c r="V173" s="1509">
        <v>3.6028650000000002E-2</v>
      </c>
      <c r="W173" s="1509">
        <v>3.1217624999999999E-2</v>
      </c>
      <c r="X173" s="1509">
        <v>1</v>
      </c>
      <c r="Y173" s="1509">
        <v>1</v>
      </c>
      <c r="Z173" s="1509">
        <v>5.2298931999999999E-2</v>
      </c>
      <c r="AA173" s="1509">
        <v>2.2478776999999998E-2</v>
      </c>
      <c r="AB173" s="1509">
        <v>4.9887830000000001E-2</v>
      </c>
      <c r="AC173" s="1509">
        <v>1</v>
      </c>
      <c r="AD173" s="1509">
        <v>3.9486923E-2</v>
      </c>
      <c r="AE173" s="1509">
        <v>5.5082691000000003E-2</v>
      </c>
      <c r="AF173" s="1509">
        <v>1.7943520000000001E-2</v>
      </c>
      <c r="AG173" s="1509">
        <v>4.5207235999999998E-2</v>
      </c>
      <c r="AH173" s="1509">
        <v>2.1860164000000001E-2</v>
      </c>
      <c r="AI173" s="1509">
        <v>1</v>
      </c>
      <c r="AJ173" s="1509">
        <v>2.5363156000000001E-2</v>
      </c>
      <c r="AK173" s="1509">
        <v>6.7801541000000007E-2</v>
      </c>
      <c r="AL173" s="1509">
        <v>6.2378312999999998E-2</v>
      </c>
      <c r="AM173" s="1509">
        <v>5.3695180000000002E-2</v>
      </c>
      <c r="AN173" s="1509">
        <v>0.99998508100000005</v>
      </c>
      <c r="AO173" s="1509">
        <v>8.2840865999999999E-2</v>
      </c>
      <c r="AP173" s="1509">
        <v>0</v>
      </c>
      <c r="AQ173" s="1509">
        <v>1</v>
      </c>
      <c r="AR173" s="1509">
        <v>2.1799622000000001E-2</v>
      </c>
      <c r="AS173" s="1509">
        <v>2.1814995E-2</v>
      </c>
      <c r="AT173" s="1509">
        <v>2.5051117000000001E-2</v>
      </c>
      <c r="AU173" s="1509">
        <v>0</v>
      </c>
      <c r="AV173" s="1509">
        <v>3.8823590999999998E-2</v>
      </c>
      <c r="AW173" s="1509">
        <v>4.7920191000000001E-2</v>
      </c>
      <c r="AX173" s="1509">
        <v>4.5244740999999998E-2</v>
      </c>
      <c r="AY173" s="1509">
        <v>4.2863747000000001E-2</v>
      </c>
      <c r="AZ173" s="1509">
        <v>2.6027563E-2</v>
      </c>
      <c r="BA173" s="1509">
        <v>1.7705788E-2</v>
      </c>
      <c r="BB173" s="1509">
        <v>3.1542389999999997E-2</v>
      </c>
      <c r="BC173" s="1509">
        <v>3.1077529E-2</v>
      </c>
      <c r="BD173" s="1509">
        <v>2.9555551999999999E-2</v>
      </c>
      <c r="BE173" s="1509">
        <v>1.6976979999999999E-2</v>
      </c>
      <c r="BF173" s="1509">
        <v>3.1077529E-2</v>
      </c>
      <c r="BG173" s="1509">
        <v>1</v>
      </c>
      <c r="BH173" s="1509">
        <v>1.9136027999999999E-2</v>
      </c>
      <c r="BI173" s="1509">
        <v>2.029127E-2</v>
      </c>
      <c r="BJ173" s="1509">
        <v>3.742612E-2</v>
      </c>
      <c r="BK173" s="1509">
        <v>1.7854082E-2</v>
      </c>
      <c r="BL173" s="1509">
        <v>0</v>
      </c>
      <c r="BM173" s="1509">
        <v>0</v>
      </c>
      <c r="BN173" s="1509">
        <v>2.5851339000000001E-2</v>
      </c>
      <c r="BO173" s="1509">
        <v>1.7880167999999998E-2</v>
      </c>
      <c r="BP173" s="1509">
        <v>2.3727183999999998E-2</v>
      </c>
      <c r="BQ173" s="1509">
        <v>3.3788971000000001E-2</v>
      </c>
      <c r="BR173" s="1509">
        <v>5.2298931999999999E-2</v>
      </c>
      <c r="BS173" s="1509">
        <v>0</v>
      </c>
      <c r="BT173" s="1509">
        <v>1.6654558E-2</v>
      </c>
      <c r="BU173" s="1509">
        <v>1.7122383000000001E-2</v>
      </c>
      <c r="BV173" s="1509">
        <v>4.2610571999999999E-2</v>
      </c>
      <c r="BW173" s="1509">
        <v>0</v>
      </c>
      <c r="BX173" s="1509">
        <v>4.6845212999999997E-2</v>
      </c>
      <c r="BY173" s="1509">
        <v>0</v>
      </c>
      <c r="BZ173" s="1509">
        <v>0</v>
      </c>
      <c r="CA173" s="1509">
        <v>0</v>
      </c>
      <c r="CB173" s="1509">
        <v>0</v>
      </c>
      <c r="CC173" s="1509">
        <v>6.0602896000000003E-2</v>
      </c>
      <c r="CD173" s="1509">
        <v>6.5033979000000006E-2</v>
      </c>
      <c r="CE173" s="1509">
        <v>5.5962940000000003E-2</v>
      </c>
      <c r="CF173" s="1509">
        <v>0.99998508100000005</v>
      </c>
      <c r="CG173" s="1509">
        <v>1.9557132000000001E-2</v>
      </c>
      <c r="CH173" s="1509">
        <v>2.4193006999999999E-2</v>
      </c>
      <c r="CI173" s="1509">
        <v>4.8769853000000002E-2</v>
      </c>
      <c r="CJ173" s="1509">
        <v>4.3876449999999997E-2</v>
      </c>
      <c r="CK173" s="1509">
        <v>1</v>
      </c>
      <c r="CL173" s="1509">
        <v>1</v>
      </c>
      <c r="CM173" s="1509">
        <v>1</v>
      </c>
      <c r="CN173" s="1509">
        <v>5.1330444000000003E-2</v>
      </c>
      <c r="CO173" s="1509">
        <v>0</v>
      </c>
      <c r="CP173" s="1509">
        <v>0</v>
      </c>
      <c r="CQ173" s="1509">
        <v>2.0820445999999999E-2</v>
      </c>
      <c r="CR173" s="1509">
        <v>5.2179680999999999E-2</v>
      </c>
      <c r="CS173" s="1509">
        <v>2.4763174999999998E-2</v>
      </c>
      <c r="CT173" s="1509">
        <v>3.4865954999999997E-2</v>
      </c>
      <c r="CU173" s="1509">
        <v>5.2298931999999999E-2</v>
      </c>
      <c r="CV173" s="1509">
        <v>5.5406952000000002E-2</v>
      </c>
      <c r="CW173" s="1509">
        <v>5.5406952000000002E-2</v>
      </c>
      <c r="CX173" s="1509">
        <v>1</v>
      </c>
      <c r="CY173" s="1509">
        <v>1.489884E-2</v>
      </c>
      <c r="CZ173" s="1509">
        <v>5.2269337999999999E-2</v>
      </c>
      <c r="DA173" s="1509">
        <v>5.2165553000000003E-2</v>
      </c>
      <c r="DB173" s="1509">
        <v>0.23107276600000001</v>
      </c>
      <c r="DC173" s="1509">
        <v>0.27664897599999999</v>
      </c>
      <c r="DD173" s="1509">
        <v>0.163182148</v>
      </c>
      <c r="DE173" s="1509">
        <v>0</v>
      </c>
      <c r="DF173" s="1509">
        <v>0.27642822299999997</v>
      </c>
      <c r="DG173" s="1509">
        <v>0</v>
      </c>
      <c r="DH173" s="1509">
        <v>0.28010743300000002</v>
      </c>
      <c r="DI173" s="1509">
        <v>0.20356147499999999</v>
      </c>
      <c r="DJ173" s="1509">
        <v>4.5414073999999999E-2</v>
      </c>
      <c r="DK173" s="1509">
        <v>2.3094864999999999E-2</v>
      </c>
      <c r="DL173" s="1509">
        <v>0</v>
      </c>
      <c r="DM173" s="1509">
        <v>0</v>
      </c>
      <c r="DN173" s="1509">
        <v>1</v>
      </c>
      <c r="DO173" s="1509">
        <v>2.7331968000000002E-2</v>
      </c>
      <c r="DP173" s="1509">
        <v>3.0895117E-2</v>
      </c>
      <c r="DQ173" s="1509">
        <v>2.2406606999999999E-2</v>
      </c>
      <c r="DR173" s="1509">
        <v>0.13000420600000001</v>
      </c>
      <c r="DS173" s="1509">
        <v>0</v>
      </c>
      <c r="DT173" s="1509">
        <v>0.12597298300000001</v>
      </c>
      <c r="DU173" s="1509">
        <v>3.9352765999999997E-2</v>
      </c>
      <c r="DV173" s="1509">
        <v>1</v>
      </c>
      <c r="DW173" s="1509">
        <v>1</v>
      </c>
      <c r="DX173" s="1509">
        <v>2.1607452999999999E-2</v>
      </c>
      <c r="DY173" s="1509">
        <v>3.0584726E-2</v>
      </c>
      <c r="DZ173" s="1509">
        <v>1</v>
      </c>
      <c r="EA173" s="1509">
        <v>5.5406952000000002E-2</v>
      </c>
      <c r="EB173" s="1509">
        <v>5.2298931999999999E-2</v>
      </c>
      <c r="EC173" s="1509">
        <v>5.2298931999999999E-2</v>
      </c>
      <c r="ED173" s="1509">
        <v>2.9812702E-2</v>
      </c>
      <c r="EE173" s="1509">
        <v>9.6961648999999997E-2</v>
      </c>
      <c r="EF173" s="1509">
        <v>5.5406952000000002E-2</v>
      </c>
      <c r="EG173" s="1509">
        <v>1</v>
      </c>
      <c r="EH173" s="1509">
        <v>5.4531845000000002E-2</v>
      </c>
      <c r="EI173" s="1509">
        <v>9.6961648999999997E-2</v>
      </c>
      <c r="EJ173" s="1509">
        <v>9.6961648999999997E-2</v>
      </c>
      <c r="EK173" s="1509">
        <v>1</v>
      </c>
      <c r="EL173" s="1509">
        <v>0.25817014500000002</v>
      </c>
      <c r="EM173" s="1509">
        <v>0</v>
      </c>
      <c r="EN173" s="1509">
        <v>0.26671510999999998</v>
      </c>
      <c r="EO173" s="1509">
        <v>1</v>
      </c>
      <c r="EP173" s="1509">
        <v>1</v>
      </c>
      <c r="EQ173" s="1509">
        <v>0</v>
      </c>
      <c r="ER173" s="1509">
        <v>1.5454726E-2</v>
      </c>
      <c r="ES173" s="1509">
        <v>1.7540673E-2</v>
      </c>
      <c r="ET173" s="1509">
        <v>0</v>
      </c>
      <c r="EU173" s="1509">
        <v>1</v>
      </c>
      <c r="EV173" s="1509">
        <v>4.4432105E-2</v>
      </c>
      <c r="EW173" s="1509">
        <v>0</v>
      </c>
      <c r="EX173" s="1509">
        <v>5.5406952000000002E-2</v>
      </c>
      <c r="EY173" s="1509">
        <v>4.8345552E-2</v>
      </c>
      <c r="EZ173" s="1509">
        <v>0</v>
      </c>
      <c r="FA173" s="1509">
        <v>5.5910722000000003E-2</v>
      </c>
      <c r="FB173" s="1509">
        <v>6.6536287E-2</v>
      </c>
      <c r="FC173" s="1509">
        <v>1</v>
      </c>
      <c r="FD173" s="1509">
        <v>5.5406952000000002E-2</v>
      </c>
      <c r="FE173" s="1509">
        <v>0</v>
      </c>
      <c r="FF173" s="1509">
        <v>1</v>
      </c>
      <c r="FG173" s="1509">
        <v>0</v>
      </c>
      <c r="FH173" s="1509">
        <v>0</v>
      </c>
      <c r="FI173" s="1509">
        <v>1</v>
      </c>
      <c r="FJ173" s="1509">
        <v>3.0337053999999999E-2</v>
      </c>
      <c r="FK173" s="1509">
        <v>0</v>
      </c>
      <c r="FL173" s="1509">
        <v>0</v>
      </c>
      <c r="FM173" s="1509">
        <v>3.2462306000000003E-2</v>
      </c>
      <c r="FN173" s="1509">
        <v>2.1133479E-2</v>
      </c>
      <c r="FO173" s="1509">
        <v>0</v>
      </c>
      <c r="FP173" s="1509">
        <v>8.7517538000000006E-2</v>
      </c>
      <c r="FQ173" s="1509">
        <v>0</v>
      </c>
      <c r="FR173" s="1509">
        <v>5.5406952000000002E-2</v>
      </c>
      <c r="FS173" s="1509">
        <v>5.0784404999999998E-2</v>
      </c>
      <c r="FT173" s="1509">
        <v>0</v>
      </c>
      <c r="FU173" s="1509">
        <v>4.9477905000000003E-2</v>
      </c>
    </row>
    <row r="174" spans="1:177" s="1509" customFormat="1" x14ac:dyDescent="0.2">
      <c r="A174" s="1512" t="s">
        <v>673</v>
      </c>
      <c r="B174" s="1512" t="s">
        <v>1078</v>
      </c>
      <c r="C174" s="1509">
        <v>6.3229014E-2</v>
      </c>
      <c r="D174" s="1509">
        <v>0.12803437400000001</v>
      </c>
      <c r="E174" s="1509">
        <v>0.47024692400000001</v>
      </c>
      <c r="F174" s="1509">
        <v>0.516913238</v>
      </c>
      <c r="G174" s="1509">
        <v>0.55080457000000005</v>
      </c>
      <c r="H174" s="1509">
        <v>0.55080457000000005</v>
      </c>
      <c r="I174" s="1509">
        <v>1.7678932000000001E-2</v>
      </c>
      <c r="J174" s="1509">
        <v>1.7678932000000001E-2</v>
      </c>
      <c r="K174" s="1509">
        <v>6.3229014E-2</v>
      </c>
      <c r="L174" s="1509">
        <v>6.3229014E-2</v>
      </c>
      <c r="M174" s="1509">
        <v>6.3229014E-2</v>
      </c>
      <c r="N174" s="1509">
        <v>1.7678932000000001E-2</v>
      </c>
      <c r="O174" s="1509">
        <v>1.7678932000000001E-2</v>
      </c>
      <c r="P174" s="1509">
        <v>6.3229014E-2</v>
      </c>
      <c r="Q174" s="1509">
        <v>0.26353755600000001</v>
      </c>
      <c r="R174" s="1509">
        <v>0.26353755600000001</v>
      </c>
      <c r="S174" s="1509">
        <v>0.39371399200000001</v>
      </c>
      <c r="T174" s="1509">
        <v>2.8612740000000001E-2</v>
      </c>
      <c r="U174" s="1509">
        <v>0.25465264500000001</v>
      </c>
      <c r="V174" s="1509">
        <v>0.21642530800000001</v>
      </c>
      <c r="W174" s="1509">
        <v>0.21642530800000001</v>
      </c>
      <c r="X174" s="1509">
        <v>0.21642530800000001</v>
      </c>
      <c r="Y174" s="1509">
        <v>0.29699786099999997</v>
      </c>
      <c r="Z174" s="1509">
        <v>0.67109136800000002</v>
      </c>
      <c r="AA174" s="1509">
        <v>9.484911E-2</v>
      </c>
      <c r="AB174" s="1509">
        <v>4.1529093000000003E-2</v>
      </c>
      <c r="AC174" s="1509">
        <v>4.1529093000000003E-2</v>
      </c>
      <c r="AD174" s="1509">
        <v>4.1529093000000003E-2</v>
      </c>
      <c r="AE174" s="1509">
        <v>0.62006818200000002</v>
      </c>
      <c r="AF174" s="1509">
        <v>4.1529093000000003E-2</v>
      </c>
      <c r="AG174" s="1509">
        <v>4.1529093000000003E-2</v>
      </c>
      <c r="AH174" s="1509">
        <v>0.114134202</v>
      </c>
      <c r="AI174" s="1509">
        <v>0.114134202</v>
      </c>
      <c r="AJ174" s="1509">
        <v>8.6818313999999994E-2</v>
      </c>
      <c r="AK174" s="1509">
        <v>0.32746003400000001</v>
      </c>
      <c r="AL174" s="1509">
        <v>0.13201494899999999</v>
      </c>
      <c r="AM174" s="1509">
        <v>9.6424547999999999E-2</v>
      </c>
      <c r="AN174" s="1509">
        <v>0.26353755600000001</v>
      </c>
      <c r="AO174" s="1509">
        <v>0.27464818699999999</v>
      </c>
      <c r="AP174" s="1509">
        <v>0.647612772</v>
      </c>
      <c r="AQ174" s="1509">
        <v>2.284398E-3</v>
      </c>
      <c r="AR174" s="1509">
        <v>8.6806463E-2</v>
      </c>
      <c r="AS174" s="1509">
        <v>7.227082E-2</v>
      </c>
      <c r="AT174" s="1509">
        <v>8.6806463E-2</v>
      </c>
      <c r="AU174" s="1509">
        <v>7.8443279000000005E-2</v>
      </c>
      <c r="AV174" s="1509">
        <v>5.3293931000000003E-2</v>
      </c>
      <c r="AW174" s="1509">
        <v>2.3648926000000001E-2</v>
      </c>
      <c r="AX174" s="1509">
        <v>0.65177991099999999</v>
      </c>
      <c r="AY174" s="1509">
        <v>0.862294432</v>
      </c>
      <c r="AZ174" s="1509">
        <v>0.862294432</v>
      </c>
      <c r="BA174" s="1509">
        <v>0.81339299499999995</v>
      </c>
      <c r="BB174" s="1509">
        <v>0.97395592499999994</v>
      </c>
      <c r="BC174" s="1509">
        <v>0.13134349000000001</v>
      </c>
      <c r="BD174" s="1509">
        <v>0.13134349000000001</v>
      </c>
      <c r="BE174" s="1509">
        <v>0.59716351700000003</v>
      </c>
      <c r="BF174" s="1509">
        <v>0.13134349000000001</v>
      </c>
      <c r="BG174" s="1509">
        <v>0.55884305000000001</v>
      </c>
      <c r="BH174" s="1509">
        <v>0.158502955</v>
      </c>
      <c r="BI174" s="1509">
        <v>0.173856497</v>
      </c>
      <c r="BJ174" s="1509">
        <v>0.29699786099999997</v>
      </c>
      <c r="BK174" s="1509">
        <v>0.158502955</v>
      </c>
      <c r="BL174" s="1509">
        <v>0.85182714599999998</v>
      </c>
      <c r="BM174" s="1509">
        <v>0.26353755600000001</v>
      </c>
      <c r="BN174" s="1509">
        <v>0.63893091700000004</v>
      </c>
      <c r="BO174" s="1509">
        <v>0.91489964300000004</v>
      </c>
      <c r="BP174" s="1509">
        <v>0.85182714599999998</v>
      </c>
      <c r="BQ174" s="1509">
        <v>0.77798108399999999</v>
      </c>
      <c r="BR174" s="1509">
        <v>0.71288132299999996</v>
      </c>
      <c r="BS174" s="1509">
        <v>0.63893091700000004</v>
      </c>
      <c r="BT174" s="1509">
        <v>0.28427228500000001</v>
      </c>
      <c r="BU174" s="1509">
        <v>0.65699095200000002</v>
      </c>
      <c r="BV174" s="1509">
        <v>0.65699095200000002</v>
      </c>
      <c r="BW174" s="1509">
        <v>0.35800765400000001</v>
      </c>
      <c r="BX174" s="1509">
        <v>0.70491230199999999</v>
      </c>
      <c r="BY174" s="1509">
        <v>0.70491230199999999</v>
      </c>
      <c r="BZ174" s="1509">
        <v>0.70491230199999999</v>
      </c>
      <c r="CA174" s="1509">
        <v>0.82325647300000004</v>
      </c>
      <c r="CB174" s="1509">
        <v>0.32746003400000001</v>
      </c>
      <c r="CC174" s="1509">
        <v>0.35800765400000001</v>
      </c>
      <c r="CD174" s="1509">
        <v>0.80107121800000003</v>
      </c>
      <c r="CE174" s="1509">
        <v>0.84500160400000002</v>
      </c>
      <c r="CF174" s="1509">
        <v>0.90012905300000001</v>
      </c>
      <c r="CG174" s="1509">
        <v>4.6541354E-2</v>
      </c>
      <c r="CH174" s="1509">
        <v>0.114134202</v>
      </c>
      <c r="CI174" s="1509">
        <v>0.34477271500000001</v>
      </c>
      <c r="CJ174" s="1509">
        <v>0.81339299499999995</v>
      </c>
      <c r="CK174" s="1509">
        <v>0.12942231900000001</v>
      </c>
      <c r="CL174" s="1509">
        <v>0.12942231900000001</v>
      </c>
      <c r="CM174" s="1509">
        <v>0.96761365799999999</v>
      </c>
      <c r="CN174" s="1509">
        <v>0.45375336599999999</v>
      </c>
      <c r="CO174" s="1509">
        <v>0.26353755600000001</v>
      </c>
      <c r="CP174" s="1509">
        <v>0.45375336599999999</v>
      </c>
      <c r="CQ174" s="1509">
        <v>9.484911E-2</v>
      </c>
      <c r="CR174" s="1509">
        <v>1.2346185000000001E-2</v>
      </c>
      <c r="CS174" s="1509">
        <v>0.47024692400000001</v>
      </c>
      <c r="CT174" s="1509">
        <v>0.29699786099999997</v>
      </c>
      <c r="CU174" s="1509">
        <v>0.47024692400000001</v>
      </c>
      <c r="CV174" s="1509">
        <v>0.28427228500000001</v>
      </c>
      <c r="CW174" s="1509">
        <v>0.28427228500000001</v>
      </c>
      <c r="CX174" s="1509">
        <v>0.77743654100000004</v>
      </c>
      <c r="CY174" s="1509">
        <v>0.84029016099999998</v>
      </c>
      <c r="CZ174" s="1509">
        <v>0.70491230199999999</v>
      </c>
      <c r="DA174" s="1509">
        <v>0.75159910600000002</v>
      </c>
      <c r="DB174" s="1509">
        <v>0.794736891</v>
      </c>
      <c r="DC174" s="1509">
        <v>0.41557593399999998</v>
      </c>
      <c r="DD174" s="1509">
        <v>0.88996403599999996</v>
      </c>
      <c r="DE174" s="1509">
        <v>0.68842612599999997</v>
      </c>
      <c r="DF174" s="1509">
        <v>0.65359320799999998</v>
      </c>
      <c r="DG174" s="1509">
        <v>0.60591984799999998</v>
      </c>
      <c r="DH174" s="1509">
        <v>0.68842612599999997</v>
      </c>
      <c r="DI174" s="1509">
        <v>0.68842612599999997</v>
      </c>
      <c r="DJ174" s="1509">
        <v>0.90556669300000003</v>
      </c>
      <c r="DK174" s="1509">
        <v>0.96761365799999999</v>
      </c>
      <c r="DL174" s="1509">
        <v>0.62006818200000002</v>
      </c>
      <c r="DM174" s="1509">
        <v>0.91310899400000001</v>
      </c>
      <c r="DN174" s="1509">
        <v>0.81624930900000003</v>
      </c>
      <c r="DO174" s="1509">
        <v>8.894173E-3</v>
      </c>
      <c r="DP174" s="1509">
        <v>0.67996569600000001</v>
      </c>
      <c r="DQ174" s="1509">
        <v>0.56619016700000002</v>
      </c>
      <c r="DR174" s="1509">
        <v>0.75159910600000002</v>
      </c>
      <c r="DS174" s="1509">
        <v>0.76248013100000001</v>
      </c>
      <c r="DT174" s="1509">
        <v>0.94387969699999996</v>
      </c>
      <c r="DU174" s="1509">
        <v>0.25465264500000001</v>
      </c>
      <c r="DV174" s="1509">
        <v>4.1529093000000003E-2</v>
      </c>
      <c r="DW174" s="1509">
        <v>0.87997959299999995</v>
      </c>
      <c r="DX174" s="1509">
        <v>5.3615077999999997E-2</v>
      </c>
      <c r="DY174" s="1509">
        <v>0.77743654100000004</v>
      </c>
      <c r="DZ174" s="1509">
        <v>0.13134349000000001</v>
      </c>
      <c r="EA174" s="1509">
        <v>0.97395592499999994</v>
      </c>
      <c r="EB174" s="1509">
        <v>0.34477271500000001</v>
      </c>
      <c r="EC174" s="1509">
        <v>0.34477271500000001</v>
      </c>
      <c r="ED174" s="1509">
        <v>0.63893091700000004</v>
      </c>
      <c r="EE174" s="1509">
        <v>0.39723840599999999</v>
      </c>
      <c r="EF174" s="1509">
        <v>0.65699095200000002</v>
      </c>
      <c r="EG174" s="1509">
        <v>0.70491230199999999</v>
      </c>
      <c r="EH174" s="1509">
        <v>0.69930982100000005</v>
      </c>
      <c r="EI174" s="1509">
        <v>0.90012905300000001</v>
      </c>
      <c r="EJ174" s="1509">
        <v>0.90012905300000001</v>
      </c>
      <c r="EK174" s="1509">
        <v>3.700502E-3</v>
      </c>
      <c r="EL174" s="1509">
        <v>0.794736891</v>
      </c>
      <c r="EM174" s="1509">
        <v>0.70016280500000005</v>
      </c>
      <c r="EN174" s="1509">
        <v>0.71477846599999995</v>
      </c>
      <c r="EO174" s="1509">
        <v>0.95809380099999997</v>
      </c>
      <c r="EP174" s="1509">
        <v>0.70491230199999999</v>
      </c>
      <c r="EQ174" s="1509">
        <v>9.6424547999999999E-2</v>
      </c>
      <c r="ER174" s="1509">
        <v>8.894173E-3</v>
      </c>
      <c r="ES174" s="1509">
        <v>8.894173E-3</v>
      </c>
      <c r="ET174" s="1509">
        <v>0.87132701199999996</v>
      </c>
      <c r="EU174" s="1509">
        <v>0.78045129999999996</v>
      </c>
      <c r="EV174" s="1509">
        <v>4.1529093000000003E-2</v>
      </c>
      <c r="EW174" s="1509">
        <v>0.59576548600000001</v>
      </c>
      <c r="EX174" s="1509">
        <v>0.77743654100000004</v>
      </c>
      <c r="EY174" s="1509">
        <v>0.93746560099999998</v>
      </c>
      <c r="EZ174" s="1509">
        <v>0.70491230199999999</v>
      </c>
      <c r="FA174" s="1509">
        <v>0.53935383800000003</v>
      </c>
      <c r="FB174" s="1509">
        <v>0.48465201299999999</v>
      </c>
      <c r="FC174" s="1509">
        <v>0.862294432</v>
      </c>
      <c r="FD174" s="1509">
        <v>0.97395592499999994</v>
      </c>
      <c r="FE174" s="1509">
        <v>0.77743654100000004</v>
      </c>
      <c r="FF174" s="1509">
        <v>0.27464818699999999</v>
      </c>
      <c r="FG174" s="1509">
        <v>0.928494559</v>
      </c>
      <c r="FH174" s="1509">
        <v>0.67996569600000001</v>
      </c>
      <c r="FI174" s="1509">
        <v>0.78406530299999999</v>
      </c>
      <c r="FJ174" s="1509">
        <v>0.69930982100000005</v>
      </c>
      <c r="FK174" s="1509">
        <v>0.75159910600000002</v>
      </c>
      <c r="FL174" s="1509">
        <v>0.68842612599999997</v>
      </c>
      <c r="FM174" s="1509">
        <v>0.158502955</v>
      </c>
      <c r="FN174" s="1509">
        <v>0.80623607200000003</v>
      </c>
      <c r="FO174" s="1509">
        <v>0.892315003</v>
      </c>
      <c r="FP174" s="1509">
        <v>0.45151141500000003</v>
      </c>
      <c r="FQ174" s="1509">
        <v>0.70491230199999999</v>
      </c>
      <c r="FR174" s="1509">
        <v>0.983884816</v>
      </c>
      <c r="FS174" s="1509">
        <v>0.89972790300000005</v>
      </c>
      <c r="FT174" s="1509">
        <v>0.71477846599999995</v>
      </c>
      <c r="FU174" s="1509">
        <v>0.114134202</v>
      </c>
    </row>
    <row r="175" spans="1:177" s="1509" customFormat="1" x14ac:dyDescent="0.2">
      <c r="A175" s="1512" t="s">
        <v>673</v>
      </c>
      <c r="B175" s="1512" t="s">
        <v>1061</v>
      </c>
      <c r="C175" s="1509">
        <v>0.99275551299999998</v>
      </c>
      <c r="D175" s="1509">
        <v>0.99940374600000004</v>
      </c>
      <c r="E175" s="1509">
        <v>0.99275551299999998</v>
      </c>
      <c r="F175" s="1509">
        <v>0.99200295000000005</v>
      </c>
      <c r="G175" s="1509">
        <v>0.99863234199999995</v>
      </c>
      <c r="H175" s="1509">
        <v>0.99275551299999998</v>
      </c>
      <c r="I175" s="1509">
        <v>0.99275551299999998</v>
      </c>
      <c r="J175" s="1509">
        <v>0</v>
      </c>
      <c r="K175" s="1509">
        <v>0</v>
      </c>
      <c r="L175" s="1509">
        <v>0.99275551299999998</v>
      </c>
      <c r="M175" s="1509">
        <v>0</v>
      </c>
      <c r="N175" s="1509">
        <v>0.99863234199999995</v>
      </c>
      <c r="O175" s="1509">
        <v>0</v>
      </c>
      <c r="P175" s="1509">
        <v>0</v>
      </c>
      <c r="Q175" s="1509">
        <v>0</v>
      </c>
      <c r="R175" s="1509">
        <v>0</v>
      </c>
      <c r="S175" s="1509">
        <v>0.99275551299999998</v>
      </c>
      <c r="T175" s="1509">
        <v>0</v>
      </c>
      <c r="U175" s="1509">
        <v>0.99275551299999998</v>
      </c>
      <c r="V175" s="1509">
        <v>0</v>
      </c>
      <c r="W175" s="1509">
        <v>0.99275551299999998</v>
      </c>
      <c r="X175" s="1509">
        <v>0</v>
      </c>
      <c r="Y175" s="1509">
        <v>0.99275551299999998</v>
      </c>
      <c r="Z175" s="1509">
        <v>0</v>
      </c>
      <c r="AA175" s="1509">
        <v>2.2270088E-2</v>
      </c>
      <c r="AB175" s="1509">
        <v>0</v>
      </c>
      <c r="AC175" s="1509">
        <v>0</v>
      </c>
      <c r="AD175" s="1509">
        <v>0</v>
      </c>
      <c r="AE175" s="1509">
        <v>0</v>
      </c>
      <c r="AF175" s="1509">
        <v>0.99275551299999998</v>
      </c>
      <c r="AG175" s="1509">
        <v>2.1632841999999999E-2</v>
      </c>
      <c r="AH175" s="1509">
        <v>0.99275551299999998</v>
      </c>
      <c r="AI175" s="1509">
        <v>0.99275551299999998</v>
      </c>
      <c r="AJ175" s="1509">
        <v>0</v>
      </c>
      <c r="AK175" s="1509">
        <v>0</v>
      </c>
      <c r="AL175" s="1509">
        <v>0</v>
      </c>
      <c r="AM175" s="1509">
        <v>0</v>
      </c>
      <c r="AN175" s="1509">
        <v>0</v>
      </c>
      <c r="AO175" s="1509">
        <v>0</v>
      </c>
      <c r="AP175" s="1509">
        <v>0</v>
      </c>
      <c r="AQ175" s="1509">
        <v>0</v>
      </c>
      <c r="AR175" s="1509">
        <v>0.99576460099999997</v>
      </c>
      <c r="AS175" s="1509">
        <v>0.99576460099999997</v>
      </c>
      <c r="AT175" s="1509">
        <v>0.99576460099999997</v>
      </c>
      <c r="AU175" s="1509">
        <v>0</v>
      </c>
      <c r="AV175" s="1509">
        <v>0</v>
      </c>
      <c r="AW175" s="1509">
        <v>0.99275551299999998</v>
      </c>
      <c r="AX175" s="1509">
        <v>0.99629651900000005</v>
      </c>
      <c r="AY175" s="1509">
        <v>0</v>
      </c>
      <c r="AZ175" s="1509">
        <v>0.99200295000000005</v>
      </c>
      <c r="BA175" s="1509">
        <v>0.99200295000000005</v>
      </c>
      <c r="BB175" s="1509">
        <v>0.99200295000000005</v>
      </c>
      <c r="BC175" s="1509">
        <v>0</v>
      </c>
      <c r="BD175" s="1509">
        <v>0.99576460099999997</v>
      </c>
      <c r="BE175" s="1509">
        <v>0.99910923299999999</v>
      </c>
      <c r="BF175" s="1509">
        <v>0.99576460099999997</v>
      </c>
      <c r="BG175" s="1509">
        <v>0.99395675400000005</v>
      </c>
      <c r="BH175" s="1509">
        <v>0.99275551299999998</v>
      </c>
      <c r="BI175" s="1509">
        <v>0.99275551299999998</v>
      </c>
      <c r="BJ175" s="1509">
        <v>0.99275551299999998</v>
      </c>
      <c r="BK175" s="1509">
        <v>0.99275551299999998</v>
      </c>
      <c r="BL175" s="1509">
        <v>0.99275551299999998</v>
      </c>
      <c r="BM175" s="1509">
        <v>0</v>
      </c>
      <c r="BN175" s="1509">
        <v>0.99275551299999998</v>
      </c>
      <c r="BO175" s="1509">
        <v>0</v>
      </c>
      <c r="BP175" s="1509">
        <v>0.99275551299999998</v>
      </c>
      <c r="BQ175" s="1509">
        <v>0.99863234199999995</v>
      </c>
      <c r="BR175" s="1509">
        <v>0.99275551299999998</v>
      </c>
      <c r="BS175" s="1509">
        <v>0.99275551299999998</v>
      </c>
      <c r="BT175" s="1509">
        <v>0.99200295000000005</v>
      </c>
      <c r="BU175" s="1509">
        <v>0.99200295000000005</v>
      </c>
      <c r="BV175" s="1509">
        <v>0.99200295000000005</v>
      </c>
      <c r="BW175" s="1509">
        <v>0</v>
      </c>
      <c r="BX175" s="1509">
        <v>0</v>
      </c>
      <c r="BY175" s="1509">
        <v>0</v>
      </c>
      <c r="BZ175" s="1509">
        <v>0.99909870999999995</v>
      </c>
      <c r="CA175" s="1509">
        <v>0.208126636</v>
      </c>
      <c r="CB175" s="1509">
        <v>0</v>
      </c>
      <c r="CC175" s="1509">
        <v>0.99006363200000003</v>
      </c>
      <c r="CD175" s="1509">
        <v>0.99006363200000003</v>
      </c>
      <c r="CE175" s="1509">
        <v>0</v>
      </c>
      <c r="CF175" s="1509">
        <v>0</v>
      </c>
      <c r="CG175" s="1509">
        <v>0.99275551299999998</v>
      </c>
      <c r="CH175" s="1509">
        <v>2.3552033999999999E-2</v>
      </c>
      <c r="CI175" s="1509">
        <v>0.99275551299999998</v>
      </c>
      <c r="CJ175" s="1509">
        <v>0</v>
      </c>
      <c r="CK175" s="1509">
        <v>0.99200295000000005</v>
      </c>
      <c r="CL175" s="1509">
        <v>0.99200295000000005</v>
      </c>
      <c r="CM175" s="1509">
        <v>0.97298862200000003</v>
      </c>
      <c r="CN175" s="1509">
        <v>0.99006363200000003</v>
      </c>
      <c r="CO175" s="1509">
        <v>0</v>
      </c>
      <c r="CP175" s="1509">
        <v>0</v>
      </c>
      <c r="CQ175" s="1509">
        <v>0.99880749199999996</v>
      </c>
      <c r="CR175" s="1509">
        <v>2.1651475E-2</v>
      </c>
      <c r="CS175" s="1509">
        <v>0.99863234199999995</v>
      </c>
      <c r="CT175" s="1509">
        <v>0.99275551299999998</v>
      </c>
      <c r="CU175" s="1509">
        <v>0.99275551299999998</v>
      </c>
      <c r="CV175" s="1509">
        <v>0.99200295000000005</v>
      </c>
      <c r="CW175" s="1509">
        <v>0.99200295000000005</v>
      </c>
      <c r="CX175" s="1509">
        <v>0.99200295000000005</v>
      </c>
      <c r="CY175" s="1509">
        <v>0.99959271699999996</v>
      </c>
      <c r="CZ175" s="1509">
        <v>0</v>
      </c>
      <c r="DA175" s="1509">
        <v>0.98982362000000002</v>
      </c>
      <c r="DB175" s="1509">
        <v>0.72677268900000003</v>
      </c>
      <c r="DC175" s="1509">
        <v>0</v>
      </c>
      <c r="DD175" s="1509">
        <v>0.98516358699999995</v>
      </c>
      <c r="DE175" s="1509">
        <v>0.75502902000000005</v>
      </c>
      <c r="DF175" s="1509">
        <v>0.95581269099999999</v>
      </c>
      <c r="DG175" s="1509">
        <v>0</v>
      </c>
      <c r="DH175" s="1509">
        <v>0</v>
      </c>
      <c r="DI175" s="1509">
        <v>0</v>
      </c>
      <c r="DJ175" s="1509">
        <v>0.982405733</v>
      </c>
      <c r="DK175" s="1509">
        <v>0.99922434500000001</v>
      </c>
      <c r="DL175" s="1509">
        <v>0</v>
      </c>
      <c r="DM175" s="1509">
        <v>0.99913467099999997</v>
      </c>
      <c r="DN175" s="1509">
        <v>0</v>
      </c>
      <c r="DO175" s="1509">
        <v>0.99892125099999995</v>
      </c>
      <c r="DP175" s="1509">
        <v>0.99548808899999996</v>
      </c>
      <c r="DQ175" s="1509">
        <v>0.99814825900000004</v>
      </c>
      <c r="DR175" s="1509">
        <v>0</v>
      </c>
      <c r="DS175" s="1509">
        <v>0</v>
      </c>
      <c r="DT175" s="1509">
        <v>0.918692748</v>
      </c>
      <c r="DU175" s="1509">
        <v>0.99275551299999998</v>
      </c>
      <c r="DV175" s="1509">
        <v>0</v>
      </c>
      <c r="DW175" s="1509">
        <v>0</v>
      </c>
      <c r="DX175" s="1509">
        <v>0.99576460099999997</v>
      </c>
      <c r="DY175" s="1509">
        <v>0.99200295000000005</v>
      </c>
      <c r="DZ175" s="1509">
        <v>0.99576460099999997</v>
      </c>
      <c r="EA175" s="1509">
        <v>0</v>
      </c>
      <c r="EB175" s="1509">
        <v>0</v>
      </c>
      <c r="EC175" s="1509">
        <v>0.99275551299999998</v>
      </c>
      <c r="ED175" s="1509">
        <v>0.99275551299999998</v>
      </c>
      <c r="EE175" s="1509">
        <v>0</v>
      </c>
      <c r="EF175" s="1509">
        <v>0</v>
      </c>
      <c r="EG175" s="1509">
        <v>0</v>
      </c>
      <c r="EH175" s="1509">
        <v>0.99981837399999995</v>
      </c>
      <c r="EI175" s="1509">
        <v>0</v>
      </c>
      <c r="EJ175" s="1509">
        <v>0</v>
      </c>
      <c r="EK175" s="1509">
        <v>0</v>
      </c>
      <c r="EL175" s="1509">
        <v>0</v>
      </c>
      <c r="EM175" s="1509">
        <v>0.717749427</v>
      </c>
      <c r="EN175" s="1509">
        <v>0</v>
      </c>
      <c r="EO175" s="1509">
        <v>0.95581269099999999</v>
      </c>
      <c r="EP175" s="1509">
        <v>0</v>
      </c>
      <c r="EQ175" s="1509">
        <v>0</v>
      </c>
      <c r="ER175" s="1509">
        <v>0.99959271699999996</v>
      </c>
      <c r="ES175" s="1509">
        <v>3.3815468000000001E-2</v>
      </c>
      <c r="ET175" s="1509">
        <v>0</v>
      </c>
      <c r="EU175" s="1509">
        <v>0</v>
      </c>
      <c r="EV175" s="1509">
        <v>0</v>
      </c>
      <c r="EW175" s="1509">
        <v>0.97846605200000003</v>
      </c>
      <c r="EX175" s="1509">
        <v>0</v>
      </c>
      <c r="EY175" s="1509">
        <v>0</v>
      </c>
      <c r="EZ175" s="1509">
        <v>0.97298862200000003</v>
      </c>
      <c r="FA175" s="1509">
        <v>0.99006363200000003</v>
      </c>
      <c r="FB175" s="1509">
        <v>0</v>
      </c>
      <c r="FC175" s="1509">
        <v>0.99200295000000005</v>
      </c>
      <c r="FD175" s="1509">
        <v>0.99200295000000005</v>
      </c>
      <c r="FE175" s="1509">
        <v>0.99200295000000005</v>
      </c>
      <c r="FF175" s="1509">
        <v>0</v>
      </c>
      <c r="FG175" s="1509">
        <v>0</v>
      </c>
      <c r="FH175" s="1509">
        <v>0.98496758100000004</v>
      </c>
      <c r="FI175" s="1509">
        <v>0.97846605200000003</v>
      </c>
      <c r="FJ175" s="1509">
        <v>0</v>
      </c>
      <c r="FK175" s="1509">
        <v>0</v>
      </c>
      <c r="FL175" s="1509">
        <v>0.97362926400000005</v>
      </c>
      <c r="FM175" s="1509">
        <v>0</v>
      </c>
      <c r="FN175" s="1509">
        <v>0.99275551299999998</v>
      </c>
      <c r="FO175" s="1509">
        <v>0.85268557</v>
      </c>
      <c r="FP175" s="1509">
        <v>0</v>
      </c>
      <c r="FQ175" s="1509">
        <v>0.97298862200000003</v>
      </c>
      <c r="FR175" s="1509">
        <v>0</v>
      </c>
      <c r="FS175" s="1509">
        <v>0.97846605200000003</v>
      </c>
      <c r="FT175" s="1509">
        <v>0</v>
      </c>
      <c r="FU175" s="1509">
        <v>0.99275551299999998</v>
      </c>
    </row>
    <row r="176" spans="1:177" s="1509" customFormat="1" x14ac:dyDescent="0.2">
      <c r="A176" s="1512" t="s">
        <v>673</v>
      </c>
      <c r="B176" s="1512" t="s">
        <v>1032</v>
      </c>
      <c r="C176" s="1509">
        <v>0</v>
      </c>
      <c r="D176" s="1509">
        <v>0</v>
      </c>
      <c r="E176" s="1509">
        <v>0.98186548500000004</v>
      </c>
      <c r="F176" s="1509">
        <v>0</v>
      </c>
      <c r="G176" s="1509">
        <v>0.98186548500000004</v>
      </c>
      <c r="H176" s="1509">
        <v>0</v>
      </c>
      <c r="I176" s="1509">
        <v>0</v>
      </c>
      <c r="J176" s="1509">
        <v>0.99998841999999999</v>
      </c>
      <c r="K176" s="1509">
        <v>0.99998841999999999</v>
      </c>
      <c r="L176" s="1509">
        <v>0</v>
      </c>
      <c r="M176" s="1509">
        <v>0</v>
      </c>
      <c r="N176" s="1509">
        <v>0.98186548500000004</v>
      </c>
      <c r="O176" s="1509">
        <v>0.99998841999999999</v>
      </c>
      <c r="P176" s="1509">
        <v>0.99998841999999999</v>
      </c>
      <c r="Q176" s="1509">
        <v>0</v>
      </c>
      <c r="R176" s="1509">
        <v>0.99786484600000003</v>
      </c>
      <c r="S176" s="1509">
        <v>0</v>
      </c>
      <c r="T176" s="1509">
        <v>0</v>
      </c>
      <c r="U176" s="1509">
        <v>0</v>
      </c>
      <c r="V176" s="1509">
        <v>0</v>
      </c>
      <c r="W176" s="1509">
        <v>0</v>
      </c>
      <c r="X176" s="1509">
        <v>0</v>
      </c>
      <c r="Y176" s="1509">
        <v>0</v>
      </c>
      <c r="Z176" s="1509">
        <v>0</v>
      </c>
      <c r="AA176" s="1509">
        <v>0</v>
      </c>
      <c r="AB176" s="1509">
        <v>0</v>
      </c>
      <c r="AC176" s="1509">
        <v>0</v>
      </c>
      <c r="AD176" s="1509">
        <v>0</v>
      </c>
      <c r="AE176" s="1509">
        <v>0.99786484600000003</v>
      </c>
      <c r="AF176" s="1509">
        <v>0</v>
      </c>
      <c r="AG176" s="1509">
        <v>1</v>
      </c>
      <c r="AH176" s="1509">
        <v>0.98186548500000004</v>
      </c>
      <c r="AI176" s="1509">
        <v>0</v>
      </c>
      <c r="AJ176" s="1509">
        <v>0</v>
      </c>
      <c r="AK176" s="1509">
        <v>0.99786484600000003</v>
      </c>
      <c r="AL176" s="1509">
        <v>0</v>
      </c>
      <c r="AM176" s="1509">
        <v>0.99982856399999998</v>
      </c>
      <c r="AN176" s="1509">
        <v>0</v>
      </c>
      <c r="AO176" s="1509">
        <v>0</v>
      </c>
      <c r="AP176" s="1509">
        <v>0.99506823700000002</v>
      </c>
      <c r="AQ176" s="1509">
        <v>0</v>
      </c>
      <c r="AR176" s="1509">
        <v>0.97861900800000001</v>
      </c>
      <c r="AS176" s="1509">
        <v>0.99997670900000002</v>
      </c>
      <c r="AT176" s="1509">
        <v>0</v>
      </c>
      <c r="AU176" s="1509">
        <v>0.99997670900000002</v>
      </c>
      <c r="AV176" s="1509">
        <v>0</v>
      </c>
      <c r="AW176" s="1509">
        <v>0</v>
      </c>
      <c r="AX176" s="1509">
        <v>0.99489016900000005</v>
      </c>
      <c r="AY176" s="1509">
        <v>0</v>
      </c>
      <c r="AZ176" s="1509">
        <v>0</v>
      </c>
      <c r="BA176" s="1509">
        <v>0</v>
      </c>
      <c r="BB176" s="1509">
        <v>0.98581662000000003</v>
      </c>
      <c r="BC176" s="1509">
        <v>0</v>
      </c>
      <c r="BD176" s="1509">
        <v>0.97861900800000001</v>
      </c>
      <c r="BE176" s="1509">
        <v>0.98404796100000003</v>
      </c>
      <c r="BF176" s="1509">
        <v>0</v>
      </c>
      <c r="BG176" s="1509">
        <v>0</v>
      </c>
      <c r="BH176" s="1509">
        <v>0.98186548500000004</v>
      </c>
      <c r="BI176" s="1509">
        <v>0</v>
      </c>
      <c r="BJ176" s="1509">
        <v>0.98186548500000004</v>
      </c>
      <c r="BK176" s="1509">
        <v>0.98186548500000004</v>
      </c>
      <c r="BL176" s="1509">
        <v>0.98186548500000004</v>
      </c>
      <c r="BM176" s="1509">
        <v>0.99786484600000003</v>
      </c>
      <c r="BN176" s="1509">
        <v>0</v>
      </c>
      <c r="BO176" s="1509">
        <v>0.99998841999999999</v>
      </c>
      <c r="BP176" s="1509">
        <v>0.98186548500000004</v>
      </c>
      <c r="BQ176" s="1509">
        <v>0.98186548500000004</v>
      </c>
      <c r="BR176" s="1509">
        <v>0.98186548500000004</v>
      </c>
      <c r="BS176" s="1509">
        <v>0.98186548500000004</v>
      </c>
      <c r="BT176" s="1509">
        <v>0</v>
      </c>
      <c r="BU176" s="1509">
        <v>0.98581662000000003</v>
      </c>
      <c r="BV176" s="1509">
        <v>0</v>
      </c>
      <c r="BW176" s="1509">
        <v>0.99786484600000003</v>
      </c>
      <c r="BX176" s="1509">
        <v>0.99968794900000002</v>
      </c>
      <c r="BY176" s="1509">
        <v>0.99968794900000002</v>
      </c>
      <c r="BZ176" s="1509">
        <v>0.99996099400000005</v>
      </c>
      <c r="CA176" s="1509">
        <v>0.95410978099999999</v>
      </c>
      <c r="CB176" s="1509">
        <v>0</v>
      </c>
      <c r="CC176" s="1509">
        <v>0</v>
      </c>
      <c r="CD176" s="1509">
        <v>0.95410978099999999</v>
      </c>
      <c r="CE176" s="1509">
        <v>0.99786484600000003</v>
      </c>
      <c r="CF176" s="1509">
        <v>0</v>
      </c>
      <c r="CG176" s="1509">
        <v>0.98186548500000004</v>
      </c>
      <c r="CH176" s="1509">
        <v>0</v>
      </c>
      <c r="CI176" s="1509">
        <v>0</v>
      </c>
      <c r="CJ176" s="1509">
        <v>1</v>
      </c>
      <c r="CK176" s="1509">
        <v>0</v>
      </c>
      <c r="CL176" s="1509">
        <v>0</v>
      </c>
      <c r="CM176" s="1509">
        <v>0</v>
      </c>
      <c r="CN176" s="1509">
        <v>0.95410978099999999</v>
      </c>
      <c r="CO176" s="1509">
        <v>0.99786484600000003</v>
      </c>
      <c r="CP176" s="1509">
        <v>0.99786484600000003</v>
      </c>
      <c r="CQ176" s="1509">
        <v>0.98186548500000004</v>
      </c>
      <c r="CR176" s="1509">
        <v>0</v>
      </c>
      <c r="CS176" s="1509">
        <v>0.98186548500000004</v>
      </c>
      <c r="CT176" s="1509">
        <v>0</v>
      </c>
      <c r="CU176" s="1509">
        <v>0</v>
      </c>
      <c r="CV176" s="1509">
        <v>0</v>
      </c>
      <c r="CW176" s="1509">
        <v>0</v>
      </c>
      <c r="CX176" s="1509">
        <v>0</v>
      </c>
      <c r="CY176" s="1509">
        <v>1</v>
      </c>
      <c r="CZ176" s="1509">
        <v>0.99489016900000005</v>
      </c>
      <c r="DA176" s="1509">
        <v>0.99489016900000005</v>
      </c>
      <c r="DB176" s="1509">
        <v>0.99833720000000004</v>
      </c>
      <c r="DC176" s="1509">
        <v>0</v>
      </c>
      <c r="DD176" s="1509">
        <v>0.93868909499999997</v>
      </c>
      <c r="DE176" s="1509">
        <v>0</v>
      </c>
      <c r="DF176" s="1509">
        <v>0</v>
      </c>
      <c r="DG176" s="1509">
        <v>0</v>
      </c>
      <c r="DH176" s="1509">
        <v>0</v>
      </c>
      <c r="DI176" s="1509">
        <v>0</v>
      </c>
      <c r="DJ176" s="1509">
        <v>0.99489016900000005</v>
      </c>
      <c r="DK176" s="1509">
        <v>0.99489016900000005</v>
      </c>
      <c r="DL176" s="1509">
        <v>0.99786484600000003</v>
      </c>
      <c r="DM176" s="1509">
        <v>0.99982856399999998</v>
      </c>
      <c r="DN176" s="1509">
        <v>0</v>
      </c>
      <c r="DO176" s="1509">
        <v>0.99997132399999999</v>
      </c>
      <c r="DP176" s="1509">
        <v>0.99996099400000005</v>
      </c>
      <c r="DQ176" s="1509">
        <v>1</v>
      </c>
      <c r="DR176" s="1509">
        <v>0.99489016900000005</v>
      </c>
      <c r="DS176" s="1509">
        <v>0.99489016900000005</v>
      </c>
      <c r="DT176" s="1509">
        <v>0.99489016900000005</v>
      </c>
      <c r="DU176" s="1509">
        <v>0</v>
      </c>
      <c r="DV176" s="1509">
        <v>0</v>
      </c>
      <c r="DW176" s="1509">
        <v>0</v>
      </c>
      <c r="DX176" s="1509">
        <v>0.97861900800000001</v>
      </c>
      <c r="DY176" s="1509">
        <v>0.98581662000000003</v>
      </c>
      <c r="DZ176" s="1509">
        <v>0</v>
      </c>
      <c r="EA176" s="1509">
        <v>0</v>
      </c>
      <c r="EB176" s="1509">
        <v>0</v>
      </c>
      <c r="EC176" s="1509">
        <v>0</v>
      </c>
      <c r="ED176" s="1509">
        <v>0.98186548500000004</v>
      </c>
      <c r="EE176" s="1509">
        <v>0</v>
      </c>
      <c r="EF176" s="1509">
        <v>0</v>
      </c>
      <c r="EG176" s="1509">
        <v>0</v>
      </c>
      <c r="EH176" s="1509">
        <v>0.98581662000000003</v>
      </c>
      <c r="EI176" s="1509">
        <v>0</v>
      </c>
      <c r="EJ176" s="1509">
        <v>0</v>
      </c>
      <c r="EK176" s="1509">
        <v>0</v>
      </c>
      <c r="EL176" s="1509">
        <v>0</v>
      </c>
      <c r="EM176" s="1509">
        <v>0</v>
      </c>
      <c r="EN176" s="1509">
        <v>0</v>
      </c>
      <c r="EO176" s="1509">
        <v>0</v>
      </c>
      <c r="EP176" s="1509">
        <v>0</v>
      </c>
      <c r="EQ176" s="1509">
        <v>0.99786484600000003</v>
      </c>
      <c r="ER176" s="1509">
        <v>1</v>
      </c>
      <c r="ES176" s="1509">
        <v>0.98581662000000003</v>
      </c>
      <c r="ET176" s="1509">
        <v>0</v>
      </c>
      <c r="EU176" s="1509">
        <v>0</v>
      </c>
      <c r="EV176" s="1509">
        <v>0</v>
      </c>
      <c r="EW176" s="1509">
        <v>0</v>
      </c>
      <c r="EX176" s="1509">
        <v>0</v>
      </c>
      <c r="EY176" s="1509">
        <v>0</v>
      </c>
      <c r="EZ176" s="1509">
        <v>0</v>
      </c>
      <c r="FA176" s="1509">
        <v>0.99961816599999997</v>
      </c>
      <c r="FB176" s="1509">
        <v>0</v>
      </c>
      <c r="FC176" s="1509">
        <v>0.98581662000000003</v>
      </c>
      <c r="FD176" s="1509">
        <v>0</v>
      </c>
      <c r="FE176" s="1509">
        <v>0.98581662000000003</v>
      </c>
      <c r="FF176" s="1509">
        <v>0</v>
      </c>
      <c r="FG176" s="1509">
        <v>0</v>
      </c>
      <c r="FH176" s="1509">
        <v>0</v>
      </c>
      <c r="FI176" s="1509">
        <v>0</v>
      </c>
      <c r="FJ176" s="1509">
        <v>1</v>
      </c>
      <c r="FK176" s="1509">
        <v>0</v>
      </c>
      <c r="FL176" s="1509">
        <v>0</v>
      </c>
      <c r="FM176" s="1509">
        <v>0</v>
      </c>
      <c r="FN176" s="1509">
        <v>1</v>
      </c>
      <c r="FO176" s="1509">
        <v>0</v>
      </c>
      <c r="FP176" s="1509">
        <v>0</v>
      </c>
      <c r="FQ176" s="1509">
        <v>0</v>
      </c>
      <c r="FR176" s="1509">
        <v>0</v>
      </c>
      <c r="FS176" s="1509">
        <v>0</v>
      </c>
      <c r="FT176" s="1509">
        <v>0</v>
      </c>
      <c r="FU176" s="1509">
        <v>0</v>
      </c>
    </row>
    <row r="177" spans="1:177" s="1509" customFormat="1" x14ac:dyDescent="0.2">
      <c r="A177" s="1512" t="s">
        <v>673</v>
      </c>
      <c r="B177" s="1512" t="s">
        <v>1063</v>
      </c>
      <c r="C177" s="1509">
        <v>0.92440244199999999</v>
      </c>
      <c r="D177" s="1509">
        <v>0.95370832699999997</v>
      </c>
      <c r="E177" s="1509">
        <v>0.65877872299999995</v>
      </c>
      <c r="F177" s="1509">
        <v>0.77375998899999998</v>
      </c>
      <c r="G177" s="1509">
        <v>0.33854931399999999</v>
      </c>
      <c r="H177" s="1509">
        <v>0.43569772899999998</v>
      </c>
      <c r="I177" s="1509">
        <v>0.97783798300000002</v>
      </c>
      <c r="J177" s="1509">
        <v>0.98586132599999998</v>
      </c>
      <c r="K177" s="1509">
        <v>0.99457036200000004</v>
      </c>
      <c r="L177" s="1509">
        <v>0.99512189699999998</v>
      </c>
      <c r="M177" s="1509">
        <v>0.99064999099999995</v>
      </c>
      <c r="N177" s="1509">
        <v>0.98975188400000003</v>
      </c>
      <c r="O177" s="1509">
        <v>0.984214174</v>
      </c>
      <c r="P177" s="1509">
        <v>0.98884632299999997</v>
      </c>
      <c r="Q177" s="1509">
        <v>0.94094872900000004</v>
      </c>
      <c r="R177" s="1509">
        <v>0.93107203900000002</v>
      </c>
      <c r="S177" s="1509">
        <v>0.87906104900000004</v>
      </c>
      <c r="T177" s="1509">
        <v>0.98361792000000003</v>
      </c>
      <c r="U177" s="1509">
        <v>0.31374141999999999</v>
      </c>
      <c r="V177" s="1509">
        <v>0.72641256300000001</v>
      </c>
      <c r="W177" s="1509">
        <v>0.85932876700000005</v>
      </c>
      <c r="X177" s="1509">
        <v>0.92426828500000002</v>
      </c>
      <c r="Y177" s="1509">
        <v>0.88238143899999999</v>
      </c>
      <c r="Z177" s="1509">
        <v>0.469971156</v>
      </c>
      <c r="AA177" s="1509">
        <v>0.69806068399999999</v>
      </c>
      <c r="AB177" s="1509">
        <v>0.549742493</v>
      </c>
      <c r="AC177" s="1509">
        <v>0.55981173299999998</v>
      </c>
      <c r="AD177" s="1509">
        <v>0.60703505199999996</v>
      </c>
      <c r="AE177" s="1509">
        <v>0.93084078699999995</v>
      </c>
      <c r="AF177" s="1509">
        <v>0.65632290100000001</v>
      </c>
      <c r="AG177" s="1509">
        <v>0.66377607699999996</v>
      </c>
      <c r="AH177" s="1509">
        <v>0.74109159199999997</v>
      </c>
      <c r="AI177" s="1509">
        <v>0.81610780299999997</v>
      </c>
      <c r="AJ177" s="1509">
        <v>0.50145336900000004</v>
      </c>
      <c r="AK177" s="1509">
        <v>0.91120676199999995</v>
      </c>
      <c r="AL177" s="1509">
        <v>0.73449307399999997</v>
      </c>
      <c r="AM177" s="1509">
        <v>0.69697060099999997</v>
      </c>
      <c r="AN177" s="1509">
        <v>0.766778811</v>
      </c>
      <c r="AO177" s="1509">
        <v>0.72556438899999998</v>
      </c>
      <c r="AP177" s="1509">
        <v>0.280366481</v>
      </c>
      <c r="AQ177" s="1509">
        <v>0.98619299299999996</v>
      </c>
      <c r="AR177" s="1509">
        <v>0.32306639799999998</v>
      </c>
      <c r="AS177" s="1509">
        <v>0.40567589599999998</v>
      </c>
      <c r="AT177" s="1509">
        <v>0.72220086999999999</v>
      </c>
      <c r="AU177" s="1509">
        <v>0.53425215599999998</v>
      </c>
      <c r="AV177" s="1509">
        <v>0.70110157900000003</v>
      </c>
      <c r="AW177" s="1509">
        <v>0.79320792100000004</v>
      </c>
      <c r="AX177" s="1509">
        <v>0.50972573499999996</v>
      </c>
      <c r="AY177" s="1509">
        <v>0.89680338199999998</v>
      </c>
      <c r="AZ177" s="1509">
        <v>0.62771613500000001</v>
      </c>
      <c r="BA177" s="1509">
        <v>0.50734759900000004</v>
      </c>
      <c r="BB177" s="1509">
        <v>0.94898509600000003</v>
      </c>
      <c r="BC177" s="1509">
        <v>0.297423402</v>
      </c>
      <c r="BD177" s="1509">
        <v>0.41426199499999999</v>
      </c>
      <c r="BE177" s="1509">
        <v>0.60636811400000001</v>
      </c>
      <c r="BF177" s="1509">
        <v>0.31279690100000002</v>
      </c>
      <c r="BG177" s="1509">
        <v>0.37812205300000001</v>
      </c>
      <c r="BH177" s="1509">
        <v>0.47458467199999999</v>
      </c>
      <c r="BI177" s="1509">
        <v>0.94425024800000001</v>
      </c>
      <c r="BJ177" s="1509">
        <v>0.85910889800000001</v>
      </c>
      <c r="BK177" s="1509">
        <v>0.84504475599999995</v>
      </c>
      <c r="BL177" s="1509">
        <v>0.76905217999999997</v>
      </c>
      <c r="BM177" s="1509">
        <v>0.69341230700000001</v>
      </c>
      <c r="BN177" s="1509">
        <v>0.47620573700000002</v>
      </c>
      <c r="BO177" s="1509">
        <v>0.927611034</v>
      </c>
      <c r="BP177" s="1509">
        <v>0.35735367600000001</v>
      </c>
      <c r="BQ177" s="1509">
        <v>0.84844340399999996</v>
      </c>
      <c r="BR177" s="1509">
        <v>0.88444224199999999</v>
      </c>
      <c r="BS177" s="1509">
        <v>0.102354458</v>
      </c>
      <c r="BT177" s="1509">
        <v>0.109256324</v>
      </c>
      <c r="BU177" s="1509">
        <v>0.105926513</v>
      </c>
      <c r="BV177" s="1509">
        <v>0.86984016900000005</v>
      </c>
      <c r="BW177" s="1509">
        <v>0.91231826199999999</v>
      </c>
      <c r="BX177" s="1509">
        <v>0.60834867299999995</v>
      </c>
      <c r="BY177" s="1509">
        <v>0.63939127399999995</v>
      </c>
      <c r="BZ177" s="1509">
        <v>0.568063757</v>
      </c>
      <c r="CA177" s="1509">
        <v>0.77515609500000004</v>
      </c>
      <c r="CB177" s="1509">
        <v>0.71179309700000004</v>
      </c>
      <c r="CC177" s="1509">
        <v>0.93040066200000004</v>
      </c>
      <c r="CD177" s="1509">
        <v>0.80883680300000005</v>
      </c>
      <c r="CE177" s="1509">
        <v>0.57792067300000005</v>
      </c>
      <c r="CF177" s="1509">
        <v>0.86643342599999995</v>
      </c>
      <c r="CG177" s="1509">
        <v>0.59724903299999998</v>
      </c>
      <c r="CH177" s="1509">
        <v>0.73060497400000002</v>
      </c>
      <c r="CI177" s="1509">
        <v>0.46654642200000002</v>
      </c>
      <c r="CJ177" s="1509">
        <v>0.93331572100000004</v>
      </c>
      <c r="CK177" s="1509">
        <v>0.71880434999999998</v>
      </c>
      <c r="CL177" s="1509">
        <v>0.71657530300000005</v>
      </c>
      <c r="CM177" s="1509">
        <v>0.38129468900000002</v>
      </c>
      <c r="CN177" s="1509">
        <v>0.10373509</v>
      </c>
      <c r="CO177" s="1509">
        <v>0.46717343099999997</v>
      </c>
      <c r="CP177" s="1509">
        <v>9.4678970000000001E-2</v>
      </c>
      <c r="CQ177" s="1509">
        <v>0.43046932599999999</v>
      </c>
      <c r="CR177" s="1509">
        <v>0.97134999399999999</v>
      </c>
      <c r="CS177" s="1509">
        <v>0.44987739500000001</v>
      </c>
      <c r="CT177" s="1509">
        <v>0.89714617900000004</v>
      </c>
      <c r="CU177" s="1509">
        <v>0.84234670700000003</v>
      </c>
      <c r="CV177" s="1509">
        <v>0.92686524400000003</v>
      </c>
      <c r="CW177" s="1509">
        <v>0.92837879499999998</v>
      </c>
      <c r="CX177" s="1509">
        <v>0.55655725099999998</v>
      </c>
      <c r="CY177" s="1509">
        <v>0.910546419</v>
      </c>
      <c r="CZ177" s="1509">
        <v>0.72699663000000003</v>
      </c>
      <c r="DA177" s="1509">
        <v>0.50124268699999996</v>
      </c>
      <c r="DB177" s="1509">
        <v>0.19513608499999999</v>
      </c>
      <c r="DC177" s="1509">
        <v>0.19249625200000001</v>
      </c>
      <c r="DD177" s="1509">
        <v>1.6390879000000001E-2</v>
      </c>
      <c r="DE177" s="1509">
        <v>0.202080593</v>
      </c>
      <c r="DF177" s="1509">
        <v>0.105317378</v>
      </c>
      <c r="DG177" s="1509">
        <v>0.26722100100000001</v>
      </c>
      <c r="DH177" s="1509">
        <v>0.23031852799999999</v>
      </c>
      <c r="DI177" s="1509">
        <v>0.288615605</v>
      </c>
      <c r="DJ177" s="1509">
        <v>0.63473188000000003</v>
      </c>
      <c r="DK177" s="1509">
        <v>0.52936292500000004</v>
      </c>
      <c r="DL177" s="1509">
        <v>1</v>
      </c>
      <c r="DM177" s="1509">
        <v>0.60696888500000001</v>
      </c>
      <c r="DN177" s="1509">
        <v>0.78808299000000004</v>
      </c>
      <c r="DO177" s="1509">
        <v>1</v>
      </c>
      <c r="DP177" s="1509">
        <v>0.42712936499999998</v>
      </c>
      <c r="DQ177" s="1509">
        <v>0.50353141700000004</v>
      </c>
      <c r="DR177" s="1509">
        <v>0.52181940299999996</v>
      </c>
      <c r="DS177" s="1509">
        <v>0.79739554599999996</v>
      </c>
      <c r="DT177" s="1509">
        <v>0.48380682899999999</v>
      </c>
      <c r="DU177" s="1509">
        <v>0.15012558600000001</v>
      </c>
      <c r="DV177" s="1509">
        <v>0.55681928300000005</v>
      </c>
      <c r="DW177" s="1509">
        <v>0.741996514</v>
      </c>
      <c r="DX177" s="1509">
        <v>0.59596906900000002</v>
      </c>
      <c r="DY177" s="1509">
        <v>0.16314972599999999</v>
      </c>
      <c r="DZ177" s="1509">
        <v>0.23317754900000001</v>
      </c>
      <c r="EA177" s="1509">
        <v>0.89863064999999998</v>
      </c>
      <c r="EB177" s="1509">
        <v>0.93313011000000001</v>
      </c>
      <c r="EC177" s="1509">
        <v>0.68261770399999999</v>
      </c>
      <c r="ED177" s="1509">
        <v>0.118736538</v>
      </c>
      <c r="EE177" s="1509">
        <v>0.88464264100000001</v>
      </c>
      <c r="EF177" s="1509">
        <v>0.61237699000000001</v>
      </c>
      <c r="EG177" s="1509">
        <v>0.68133128700000001</v>
      </c>
      <c r="EH177" s="1509">
        <v>0.13528388699999999</v>
      </c>
      <c r="EI177" s="1509">
        <v>0.89328847499999997</v>
      </c>
      <c r="EJ177" s="1509">
        <v>0.85494543199999995</v>
      </c>
      <c r="EK177" s="1509">
        <v>0.96397507699999996</v>
      </c>
      <c r="EL177" s="1509">
        <v>0.122490089</v>
      </c>
      <c r="EM177" s="1509">
        <v>0.27541644100000001</v>
      </c>
      <c r="EN177" s="1509">
        <v>0.123593852</v>
      </c>
      <c r="EO177" s="1509">
        <v>9.3856640000000005E-2</v>
      </c>
      <c r="EP177" s="1509">
        <v>0.517476826</v>
      </c>
      <c r="EQ177" s="1509">
        <v>1</v>
      </c>
      <c r="ER177" s="1509">
        <v>0.99512911999999998</v>
      </c>
      <c r="ES177" s="1509">
        <v>0.99451819600000002</v>
      </c>
      <c r="ET177" s="1509">
        <v>0.86243500699999998</v>
      </c>
      <c r="EU177" s="1509">
        <v>0.52999109600000005</v>
      </c>
      <c r="EV177" s="1509">
        <v>0.56420537999999998</v>
      </c>
      <c r="EW177" s="1509">
        <v>0.75749330400000003</v>
      </c>
      <c r="EX177" s="1509">
        <v>0.96636615800000003</v>
      </c>
      <c r="EY177" s="1509">
        <v>0.96009180400000005</v>
      </c>
      <c r="EZ177" s="1509">
        <v>0.51734026700000002</v>
      </c>
      <c r="FA177" s="1509">
        <v>0.42481704999999997</v>
      </c>
      <c r="FB177" s="1509">
        <v>0.41919986399999998</v>
      </c>
      <c r="FC177" s="1509">
        <v>0.82770843000000005</v>
      </c>
      <c r="FD177" s="1509">
        <v>0.72317438300000003</v>
      </c>
      <c r="FE177" s="1509">
        <v>0.97388987999999999</v>
      </c>
      <c r="FF177" s="1509">
        <v>0.839292547</v>
      </c>
      <c r="FG177" s="1509">
        <v>0.179444255</v>
      </c>
      <c r="FH177" s="1509">
        <v>0.479540725</v>
      </c>
      <c r="FI177" s="1509">
        <v>0.42113430600000001</v>
      </c>
      <c r="FJ177" s="1509">
        <v>0.40478942400000001</v>
      </c>
      <c r="FK177" s="1509">
        <v>0.56848435900000005</v>
      </c>
      <c r="FL177" s="1509">
        <v>0.218020769</v>
      </c>
      <c r="FM177" s="1509">
        <v>0.95464742800000002</v>
      </c>
      <c r="FN177" s="1509">
        <v>0.96453779100000003</v>
      </c>
      <c r="FO177" s="1509">
        <v>0.38191739800000002</v>
      </c>
      <c r="FP177" s="1509">
        <v>0.27968623799999998</v>
      </c>
      <c r="FQ177" s="1509">
        <v>0.677758902</v>
      </c>
      <c r="FR177" s="1509">
        <v>0.819705876</v>
      </c>
      <c r="FS177" s="1509" t="s">
        <v>2372</v>
      </c>
      <c r="FT177" s="1509">
        <v>0.115628363</v>
      </c>
      <c r="FU177" s="1509">
        <v>0.45079413600000001</v>
      </c>
    </row>
    <row r="178" spans="1:177" s="1509" customFormat="1" x14ac:dyDescent="0.2">
      <c r="A178" s="1512" t="s">
        <v>673</v>
      </c>
      <c r="B178" s="1512" t="s">
        <v>1205</v>
      </c>
      <c r="C178" s="1509">
        <v>2.1938421999999957E-2</v>
      </c>
      <c r="D178" s="1509">
        <v>4.3045815000000043E-2</v>
      </c>
      <c r="E178" s="1509">
        <v>1</v>
      </c>
      <c r="F178" s="1509">
        <v>1</v>
      </c>
      <c r="G178" s="1509">
        <v>1</v>
      </c>
      <c r="H178" s="1509">
        <v>1</v>
      </c>
      <c r="I178" s="1509">
        <v>3.8052187000000015E-2</v>
      </c>
      <c r="J178" s="1509">
        <v>3.5555373000000001E-2</v>
      </c>
      <c r="K178" s="1509">
        <v>3.9252147999999987E-2</v>
      </c>
      <c r="L178" s="1509">
        <v>3.1512026000000026E-2</v>
      </c>
      <c r="M178" s="1509">
        <v>4.1327858000000051E-2</v>
      </c>
      <c r="N178" s="1509">
        <v>2.6801618999999999E-2</v>
      </c>
      <c r="O178" s="1509">
        <v>2.9268619999999967E-2</v>
      </c>
      <c r="P178" s="1509">
        <v>2.7084839000000027E-2</v>
      </c>
      <c r="Q178" s="1509">
        <v>1</v>
      </c>
      <c r="R178" s="1509">
        <v>4.6524663999999993E-2</v>
      </c>
      <c r="S178" s="1509">
        <v>1</v>
      </c>
      <c r="T178" s="1509">
        <v>2.3373157999999949E-2</v>
      </c>
      <c r="U178" s="1509">
        <v>2.2452691000000025E-2</v>
      </c>
      <c r="V178" s="1509">
        <v>3.5864679999999982E-2</v>
      </c>
      <c r="W178" s="1509">
        <v>3.1068561999999966E-2</v>
      </c>
      <c r="X178" s="1509">
        <v>1</v>
      </c>
      <c r="Y178" s="1509">
        <v>1</v>
      </c>
      <c r="Z178" s="1509">
        <v>1</v>
      </c>
      <c r="AA178" s="1509">
        <v>2.2348346999999991E-2</v>
      </c>
      <c r="AB178" s="1509">
        <v>4.9708953E-2</v>
      </c>
      <c r="AC178" s="1509">
        <v>1</v>
      </c>
      <c r="AD178" s="1509">
        <v>3.9319227000000012E-2</v>
      </c>
      <c r="AE178" s="1509">
        <v>4.6026408000000019E-2</v>
      </c>
      <c r="AF178" s="1509">
        <v>1.782054200000005E-2</v>
      </c>
      <c r="AG178" s="1509">
        <v>4.5032085999999971E-2</v>
      </c>
      <c r="AH178" s="1509">
        <v>2.1729733000000029E-2</v>
      </c>
      <c r="AI178" s="1509">
        <v>1</v>
      </c>
      <c r="AJ178" s="1509">
        <v>2.5225272000000021E-2</v>
      </c>
      <c r="AK178" s="1509">
        <v>4.6353387999999995E-2</v>
      </c>
      <c r="AL178" s="1509">
        <v>4.6267750000000052E-2</v>
      </c>
      <c r="AM178" s="1509">
        <v>4.6026408000000019E-2</v>
      </c>
      <c r="AN178" s="1509">
        <v>1</v>
      </c>
      <c r="AO178" s="1509">
        <v>3.9879113999999993E-2</v>
      </c>
      <c r="AP178" s="1509">
        <v>0</v>
      </c>
      <c r="AQ178" s="1509">
        <v>1</v>
      </c>
      <c r="AR178" s="1509">
        <v>2.1791934999999985E-2</v>
      </c>
      <c r="AS178" s="1509">
        <v>2.1807309000000052E-2</v>
      </c>
      <c r="AT178" s="1509">
        <v>2.5043429999999978E-2</v>
      </c>
      <c r="AU178" s="1509">
        <v>2.1223116000000042E-2</v>
      </c>
      <c r="AV178" s="1509">
        <v>3.8655894000000024E-2</v>
      </c>
      <c r="AW178" s="1509">
        <v>4.7741315000000006E-2</v>
      </c>
      <c r="AX178" s="1509">
        <v>9.4225740000000169E-3</v>
      </c>
      <c r="AY178" s="1509">
        <v>4.1465776999999981E-2</v>
      </c>
      <c r="AZ178" s="1509">
        <v>2.4849746000000006E-2</v>
      </c>
      <c r="BA178" s="1509">
        <v>1.6748122999999948E-2</v>
      </c>
      <c r="BB178" s="1509">
        <v>3.0304031000000009E-2</v>
      </c>
      <c r="BC178" s="1509">
        <v>1</v>
      </c>
      <c r="BD178" s="1509">
        <v>2.9547864999999951E-2</v>
      </c>
      <c r="BE178" s="1509">
        <v>1.6854718000000046E-2</v>
      </c>
      <c r="BF178" s="1509">
        <v>1</v>
      </c>
      <c r="BG178" s="1509">
        <v>1</v>
      </c>
      <c r="BH178" s="1509">
        <v>1.9009323999999994E-2</v>
      </c>
      <c r="BI178" s="1509">
        <v>2.0160839999999958E-2</v>
      </c>
      <c r="BJ178" s="1509">
        <v>3.7262150999999966E-2</v>
      </c>
      <c r="BK178" s="1509">
        <v>1.7731103999999998E-2</v>
      </c>
      <c r="BL178" s="1509">
        <v>1.7555954999999956E-2</v>
      </c>
      <c r="BM178" s="1509">
        <v>0</v>
      </c>
      <c r="BN178" s="1509">
        <v>2.5713454999999996E-2</v>
      </c>
      <c r="BO178" s="1509">
        <v>1.7757189999999978E-2</v>
      </c>
      <c r="BP178" s="1509">
        <v>2.3593026999999989E-2</v>
      </c>
      <c r="BQ178" s="1509">
        <v>3.3632454000000034E-2</v>
      </c>
      <c r="BR178" s="1509">
        <v>1</v>
      </c>
      <c r="BS178" s="1509">
        <v>1.7555954999999956E-2</v>
      </c>
      <c r="BT178" s="1509">
        <v>1.5724413000000048E-2</v>
      </c>
      <c r="BU178" s="1509">
        <v>1.6175725999999946E-2</v>
      </c>
      <c r="BV178" s="1509">
        <v>4.1212601999999987E-2</v>
      </c>
      <c r="BW178" s="1509">
        <v>0</v>
      </c>
      <c r="BX178" s="1509">
        <v>9.7284659999999912E-3</v>
      </c>
      <c r="BY178" s="1509">
        <v>4.9980609999999981E-3</v>
      </c>
      <c r="BZ178" s="1509">
        <v>4.9980609999999981E-3</v>
      </c>
      <c r="CA178" s="1509">
        <v>0</v>
      </c>
      <c r="CB178" s="1509">
        <v>0</v>
      </c>
      <c r="CC178" s="1509">
        <v>4.623660900000004E-2</v>
      </c>
      <c r="CD178" s="1509">
        <v>4.6291105999999971E-2</v>
      </c>
      <c r="CE178" s="1509">
        <v>4.6057549000000031E-2</v>
      </c>
      <c r="CF178" s="1509">
        <v>1</v>
      </c>
      <c r="CG178" s="1509">
        <v>1.9430428000000055E-2</v>
      </c>
      <c r="CH178" s="1509">
        <v>2.4058849999999965E-2</v>
      </c>
      <c r="CI178" s="1509">
        <v>4.8583523999999989E-2</v>
      </c>
      <c r="CJ178" s="1509">
        <v>4.243995300000003E-2</v>
      </c>
      <c r="CK178" s="1509">
        <v>1</v>
      </c>
      <c r="CL178" s="1509">
        <v>1</v>
      </c>
      <c r="CM178" s="1509">
        <v>1</v>
      </c>
      <c r="CN178" s="1509">
        <v>4.595634000000004E-2</v>
      </c>
      <c r="CO178" s="1509">
        <v>4.5909628999999952E-2</v>
      </c>
      <c r="CP178" s="1509">
        <v>4.5909628999999952E-2</v>
      </c>
      <c r="CQ178" s="1509">
        <v>2.0690015000000006E-2</v>
      </c>
      <c r="CR178" s="1509">
        <v>5.1982171999999993E-2</v>
      </c>
      <c r="CS178" s="1509">
        <v>2.4629017999999947E-2</v>
      </c>
      <c r="CT178" s="1509">
        <v>3.4709438000000037E-2</v>
      </c>
      <c r="CU178" s="1509">
        <v>1</v>
      </c>
      <c r="CV178" s="1509">
        <v>1</v>
      </c>
      <c r="CW178" s="1509">
        <v>1</v>
      </c>
      <c r="CX178" s="1509">
        <v>1</v>
      </c>
      <c r="CY178" s="1509">
        <v>1.4045748000000025E-2</v>
      </c>
      <c r="CZ178" s="1509">
        <v>1.0602443999999989E-2</v>
      </c>
      <c r="DA178" s="1509">
        <v>1.0586057000000038E-2</v>
      </c>
      <c r="DB178" s="1509">
        <v>7.9406543000000052E-2</v>
      </c>
      <c r="DC178" s="1509">
        <v>0.10140821799999999</v>
      </c>
      <c r="DD178" s="1509">
        <v>6.4671308999999955E-2</v>
      </c>
      <c r="DE178" s="1509">
        <v>8.1954395999999985E-2</v>
      </c>
      <c r="DF178" s="1509">
        <v>0.10121505900000005</v>
      </c>
      <c r="DG178" s="1509">
        <v>9.7489858999999957E-2</v>
      </c>
      <c r="DH178" s="1509">
        <v>1</v>
      </c>
      <c r="DI178" s="1509">
        <v>7.2839153999999962E-2</v>
      </c>
      <c r="DJ178" s="1509">
        <v>9.4826599999999761E-3</v>
      </c>
      <c r="DK178" s="1509">
        <v>5.9758239999999629E-3</v>
      </c>
      <c r="DL178" s="1509">
        <v>4.6057549000000031E-2</v>
      </c>
      <c r="DM178" s="1509">
        <v>4.5909628999999952E-2</v>
      </c>
      <c r="DN178" s="1509">
        <v>1</v>
      </c>
      <c r="DO178" s="1509">
        <v>2.6126631999999983E-2</v>
      </c>
      <c r="DP178" s="1509">
        <v>7.701929999999968E-3</v>
      </c>
      <c r="DQ178" s="1509">
        <v>5.8064899999999975E-3</v>
      </c>
      <c r="DR178" s="1509">
        <v>2.0380071000000055E-2</v>
      </c>
      <c r="DS178" s="1509">
        <v>1.3737839000000029E-2</v>
      </c>
      <c r="DT178" s="1509">
        <v>1.9713662999999992E-2</v>
      </c>
      <c r="DU178" s="1509">
        <v>3.9185070000000044E-2</v>
      </c>
      <c r="DV178" s="1509">
        <v>1</v>
      </c>
      <c r="DW178" s="1509">
        <v>1</v>
      </c>
      <c r="DX178" s="1509">
        <v>2.159976600000002E-2</v>
      </c>
      <c r="DY178" s="1509">
        <v>2.9346365999999957E-2</v>
      </c>
      <c r="DZ178" s="1509">
        <v>1</v>
      </c>
      <c r="EA178" s="1509">
        <v>1</v>
      </c>
      <c r="EB178" s="1509">
        <v>1</v>
      </c>
      <c r="EC178" s="1509">
        <v>1</v>
      </c>
      <c r="ED178" s="1509">
        <v>2.9667365000000001E-2</v>
      </c>
      <c r="EE178" s="1509">
        <v>1</v>
      </c>
      <c r="EF178" s="1509">
        <v>1</v>
      </c>
      <c r="EG178" s="1509">
        <v>1</v>
      </c>
      <c r="EH178" s="1509">
        <v>5.3106356000000021E-2</v>
      </c>
      <c r="EI178" s="1509">
        <v>1</v>
      </c>
      <c r="EJ178" s="1509">
        <v>1</v>
      </c>
      <c r="EK178" s="1509">
        <v>1</v>
      </c>
      <c r="EL178" s="1509">
        <v>8.8549380000000011E-2</v>
      </c>
      <c r="EM178" s="1509">
        <v>0.10241080199999997</v>
      </c>
      <c r="EN178" s="1509">
        <v>9.3120797999999949E-2</v>
      </c>
      <c r="EO178" s="1509">
        <v>1</v>
      </c>
      <c r="EP178" s="1509">
        <v>1</v>
      </c>
      <c r="EQ178" s="1509">
        <v>4.6781576999999963E-2</v>
      </c>
      <c r="ER178" s="1509">
        <v>1.4579617999999961E-2</v>
      </c>
      <c r="ES178" s="1509">
        <v>1.6583008999999982E-2</v>
      </c>
      <c r="ET178" s="1509">
        <v>1</v>
      </c>
      <c r="EU178" s="1509">
        <v>1</v>
      </c>
      <c r="EV178" s="1509">
        <v>4.4260681999999996E-2</v>
      </c>
      <c r="EW178" s="1509">
        <v>1</v>
      </c>
      <c r="EX178" s="1509">
        <v>1</v>
      </c>
      <c r="EY178" s="1509">
        <v>4.6892543000000009E-2</v>
      </c>
      <c r="EZ178" s="1509">
        <v>1</v>
      </c>
      <c r="FA178" s="1509">
        <v>4.6057549000000031E-2</v>
      </c>
      <c r="FB178" s="1509">
        <v>3.9528721000000044E-2</v>
      </c>
      <c r="FC178" s="1509">
        <v>1</v>
      </c>
      <c r="FD178" s="1509">
        <v>1</v>
      </c>
      <c r="FE178" s="1509">
        <v>4.8455628000000028E-2</v>
      </c>
      <c r="FF178" s="1509">
        <v>1</v>
      </c>
      <c r="FG178" s="1509">
        <v>1</v>
      </c>
      <c r="FH178" s="1509">
        <v>1</v>
      </c>
      <c r="FI178" s="1509">
        <v>1</v>
      </c>
      <c r="FJ178" s="1509">
        <v>2.9098693999999981E-2</v>
      </c>
      <c r="FK178" s="1509">
        <v>2.4662563000000026E-2</v>
      </c>
      <c r="FL178" s="1509">
        <v>1</v>
      </c>
      <c r="FM178" s="1509">
        <v>3.2313241999999964E-2</v>
      </c>
      <c r="FN178" s="1509">
        <v>2.1003047999999969E-2</v>
      </c>
      <c r="FO178" s="1509">
        <v>2.0500242999999974E-2</v>
      </c>
      <c r="FP178" s="1509">
        <v>1</v>
      </c>
      <c r="FQ178" s="1509">
        <v>1</v>
      </c>
      <c r="FR178" s="1509">
        <v>1</v>
      </c>
      <c r="FS178" s="1509">
        <v>3.8827935000000036E-2</v>
      </c>
      <c r="FT178" s="1509">
        <v>1</v>
      </c>
      <c r="FU178" s="1509">
        <v>4.929902900000005E-2</v>
      </c>
    </row>
    <row r="179" spans="1:177" s="1509" customFormat="1" x14ac:dyDescent="0.2">
      <c r="A179" s="1512" t="s">
        <v>673</v>
      </c>
      <c r="B179" s="1512" t="s">
        <v>1064</v>
      </c>
      <c r="C179" s="1509">
        <v>1</v>
      </c>
      <c r="D179" s="1509">
        <v>0.90836320800000003</v>
      </c>
      <c r="E179" s="1509">
        <v>0</v>
      </c>
      <c r="F179" s="1509">
        <v>1</v>
      </c>
      <c r="G179" s="1509">
        <v>0</v>
      </c>
      <c r="H179" s="1509">
        <v>0</v>
      </c>
      <c r="I179" s="1509">
        <v>1</v>
      </c>
      <c r="J179" s="1509">
        <v>1</v>
      </c>
      <c r="K179" s="1509">
        <v>1</v>
      </c>
      <c r="L179" s="1509">
        <v>1</v>
      </c>
      <c r="M179" s="1509">
        <v>1</v>
      </c>
      <c r="N179" s="1509">
        <v>1</v>
      </c>
      <c r="O179" s="1509">
        <v>1</v>
      </c>
      <c r="P179" s="1509">
        <v>1</v>
      </c>
      <c r="Q179" s="1509">
        <v>1</v>
      </c>
      <c r="R179" s="1509">
        <v>1</v>
      </c>
      <c r="S179" s="1509">
        <v>0.83462521700000003</v>
      </c>
      <c r="T179" s="1509">
        <v>1</v>
      </c>
      <c r="U179" s="1509">
        <v>0</v>
      </c>
      <c r="V179" s="1509">
        <v>0</v>
      </c>
      <c r="W179" s="1509">
        <v>0.82952351800000002</v>
      </c>
      <c r="X179" s="1509">
        <v>0.907442741</v>
      </c>
      <c r="Y179" s="1509">
        <v>0</v>
      </c>
      <c r="Z179" s="1509">
        <v>0</v>
      </c>
      <c r="AA179" s="1509">
        <v>0</v>
      </c>
      <c r="AB179" s="1509">
        <v>0.78265049799999997</v>
      </c>
      <c r="AC179" s="1509">
        <v>0.76660753800000003</v>
      </c>
      <c r="AD179" s="1509">
        <v>0</v>
      </c>
      <c r="AE179" s="1509">
        <v>1</v>
      </c>
      <c r="AF179" s="1509">
        <v>0.83749841599999997</v>
      </c>
      <c r="AG179" s="1509">
        <v>0.79482525999999998</v>
      </c>
      <c r="AH179" s="1509">
        <v>0</v>
      </c>
      <c r="AI179" s="1509">
        <v>0.86704652999999998</v>
      </c>
      <c r="AJ179" s="1509">
        <v>0.892566203</v>
      </c>
      <c r="AK179" s="1509">
        <v>1</v>
      </c>
      <c r="AL179" s="1509">
        <v>0</v>
      </c>
      <c r="AM179" s="1509">
        <v>0.72604119300000003</v>
      </c>
      <c r="AN179" s="1509">
        <v>0.83070129000000004</v>
      </c>
      <c r="AO179" s="1509">
        <v>0.60758471199999997</v>
      </c>
      <c r="AP179" s="1509">
        <v>0.654415203</v>
      </c>
      <c r="AQ179" s="1509">
        <v>1</v>
      </c>
      <c r="AR179" s="1509">
        <v>0.50290559099999999</v>
      </c>
      <c r="AS179" s="1509">
        <v>0</v>
      </c>
      <c r="AT179" s="1509">
        <v>1</v>
      </c>
      <c r="AU179" s="1509">
        <v>0.53096991400000004</v>
      </c>
      <c r="AV179" s="1509">
        <v>0</v>
      </c>
      <c r="AW179" s="1509">
        <v>0.88886570099999995</v>
      </c>
      <c r="AX179" s="1509">
        <v>1</v>
      </c>
      <c r="AY179" s="1509">
        <v>1</v>
      </c>
      <c r="AZ179" s="1509">
        <v>0.77130528600000003</v>
      </c>
      <c r="BA179" s="1509">
        <v>0</v>
      </c>
      <c r="BB179" s="1509">
        <v>1</v>
      </c>
      <c r="BC179" s="1509">
        <v>0</v>
      </c>
      <c r="BD179" s="1509">
        <v>0.57071040900000003</v>
      </c>
      <c r="BE179" s="1509">
        <v>1</v>
      </c>
      <c r="BF179" s="1509">
        <v>0</v>
      </c>
      <c r="BG179" s="1509">
        <v>0</v>
      </c>
      <c r="BH179" s="1509">
        <v>0</v>
      </c>
      <c r="BI179" s="1509">
        <v>1</v>
      </c>
      <c r="BJ179" s="1509">
        <v>0.89738095399999995</v>
      </c>
      <c r="BK179" s="1509">
        <v>0.85342585199999998</v>
      </c>
      <c r="BL179" s="1509">
        <v>1</v>
      </c>
      <c r="BM179" s="1509">
        <v>0.826419401</v>
      </c>
      <c r="BN179" s="1509">
        <v>0</v>
      </c>
      <c r="BO179" s="1509">
        <v>0.86358080400000004</v>
      </c>
      <c r="BP179" s="1509">
        <v>0.77416133099999995</v>
      </c>
      <c r="BQ179" s="1509">
        <v>0.79428490500000004</v>
      </c>
      <c r="BR179" s="1509">
        <v>0</v>
      </c>
      <c r="BS179" s="1509">
        <v>0.823672776</v>
      </c>
      <c r="BT179" s="1509">
        <v>0</v>
      </c>
      <c r="BU179" s="1509">
        <v>0</v>
      </c>
      <c r="BV179" s="1509">
        <v>0.80218171400000005</v>
      </c>
      <c r="BW179" s="1509">
        <v>1</v>
      </c>
      <c r="BX179" s="1509">
        <v>1</v>
      </c>
      <c r="BY179" s="1509">
        <v>1</v>
      </c>
      <c r="BZ179" s="1509">
        <v>1</v>
      </c>
      <c r="CA179" s="1509">
        <v>0.798989952</v>
      </c>
      <c r="CB179" s="1509">
        <v>1</v>
      </c>
      <c r="CC179" s="1509">
        <v>1</v>
      </c>
      <c r="CD179" s="1509">
        <v>0.75301559799999995</v>
      </c>
      <c r="CE179" s="1509">
        <v>0</v>
      </c>
      <c r="CF179" s="1509">
        <v>1</v>
      </c>
      <c r="CG179" s="1509">
        <v>0.78903414299999997</v>
      </c>
      <c r="CH179" s="1509">
        <v>0.78903041600000001</v>
      </c>
      <c r="CI179" s="1509">
        <v>0.77611033699999998</v>
      </c>
      <c r="CJ179" s="1509">
        <v>1</v>
      </c>
      <c r="CK179" s="1509">
        <v>0.863747441</v>
      </c>
      <c r="CL179" s="1509">
        <v>0</v>
      </c>
      <c r="CM179" s="1509">
        <v>0.44206346200000002</v>
      </c>
      <c r="CN179" s="1509">
        <v>0</v>
      </c>
      <c r="CO179" s="1509">
        <v>0</v>
      </c>
      <c r="CP179" s="1509">
        <v>0</v>
      </c>
      <c r="CQ179" s="1509">
        <v>0.788188208</v>
      </c>
      <c r="CR179" s="1509">
        <v>0.90434221999999997</v>
      </c>
      <c r="CS179" s="1509">
        <v>0.79767237300000005</v>
      </c>
      <c r="CT179" s="1509">
        <v>1</v>
      </c>
      <c r="CU179" s="1509">
        <v>0</v>
      </c>
      <c r="CV179" s="1509">
        <v>0.88319243599999997</v>
      </c>
      <c r="CW179" s="1509">
        <v>0.89729872499999996</v>
      </c>
      <c r="CX179" s="1509">
        <v>0.77099156800000002</v>
      </c>
      <c r="CY179" s="1509">
        <v>0.88090835000000001</v>
      </c>
      <c r="CZ179" s="1509">
        <v>1</v>
      </c>
      <c r="DA179" s="1509">
        <v>1</v>
      </c>
      <c r="DB179" s="1509">
        <v>0.40750006900000002</v>
      </c>
      <c r="DC179" s="1509">
        <v>0.41714879599999999</v>
      </c>
      <c r="DD179" s="1509">
        <v>0.41363515099999998</v>
      </c>
      <c r="DE179" s="1509">
        <v>0</v>
      </c>
      <c r="DF179" s="1509">
        <v>0.422134126</v>
      </c>
      <c r="DG179" s="1509">
        <v>0</v>
      </c>
      <c r="DH179" s="1509">
        <v>0</v>
      </c>
      <c r="DI179" s="1509">
        <v>0.41202549700000002</v>
      </c>
      <c r="DJ179" s="1509">
        <v>1</v>
      </c>
      <c r="DK179" s="1509">
        <v>1</v>
      </c>
      <c r="DL179" s="1509">
        <v>1</v>
      </c>
      <c r="DM179" s="1509">
        <v>0.75435089099999997</v>
      </c>
      <c r="DN179" s="1509">
        <v>1</v>
      </c>
      <c r="DO179" s="1509">
        <v>1</v>
      </c>
      <c r="DP179" s="1509">
        <v>1</v>
      </c>
      <c r="DQ179" s="1509">
        <v>0.54007461599999995</v>
      </c>
      <c r="DR179" s="1509">
        <v>0.54007461599999995</v>
      </c>
      <c r="DS179" s="1509">
        <v>1</v>
      </c>
      <c r="DT179" s="1509">
        <v>1</v>
      </c>
      <c r="DU179" s="1509">
        <v>0</v>
      </c>
      <c r="DV179" s="1509">
        <v>0.80485723399999998</v>
      </c>
      <c r="DW179" s="1509">
        <v>1</v>
      </c>
      <c r="DX179" s="1509">
        <v>0.53634295200000004</v>
      </c>
      <c r="DY179" s="1509">
        <v>0</v>
      </c>
      <c r="DZ179" s="1509">
        <v>0</v>
      </c>
      <c r="EA179" s="1509">
        <v>0</v>
      </c>
      <c r="EB179" s="1509">
        <v>1</v>
      </c>
      <c r="EC179" s="1509">
        <v>0</v>
      </c>
      <c r="ED179" s="1509">
        <v>0</v>
      </c>
      <c r="EE179" s="1509">
        <v>1</v>
      </c>
      <c r="EF179" s="1509">
        <v>0</v>
      </c>
      <c r="EG179" s="1509">
        <v>1</v>
      </c>
      <c r="EH179" s="1509">
        <v>0</v>
      </c>
      <c r="EI179" s="1509">
        <v>1</v>
      </c>
      <c r="EJ179" s="1509">
        <v>1</v>
      </c>
      <c r="EK179" s="1509">
        <v>1</v>
      </c>
      <c r="EL179" s="1509">
        <v>0.45751892500000002</v>
      </c>
      <c r="EM179" s="1509">
        <v>0</v>
      </c>
      <c r="EN179" s="1509">
        <v>0.48146138199999999</v>
      </c>
      <c r="EO179" s="1509">
        <v>0</v>
      </c>
      <c r="EP179" s="1509">
        <v>1</v>
      </c>
      <c r="EQ179" s="1509">
        <v>0</v>
      </c>
      <c r="ER179" s="1509">
        <v>1</v>
      </c>
      <c r="ES179" s="1509">
        <v>1</v>
      </c>
      <c r="ET179" s="1509">
        <v>1</v>
      </c>
      <c r="EU179" s="1509">
        <v>1</v>
      </c>
      <c r="EV179" s="1509">
        <v>0</v>
      </c>
      <c r="EW179" s="1509">
        <v>0.86512053099999997</v>
      </c>
      <c r="EX179" s="1509">
        <v>1</v>
      </c>
      <c r="EY179" s="1509">
        <v>1</v>
      </c>
      <c r="EZ179" s="1509">
        <v>1</v>
      </c>
      <c r="FA179" s="1509">
        <v>0.70810052700000004</v>
      </c>
      <c r="FB179" s="1509">
        <v>0.64344628199999998</v>
      </c>
      <c r="FC179" s="1509">
        <v>0.85081346499999999</v>
      </c>
      <c r="FD179" s="1509">
        <v>0.85087950999999995</v>
      </c>
      <c r="FE179" s="1509">
        <v>1</v>
      </c>
      <c r="FF179" s="1509">
        <v>1</v>
      </c>
      <c r="FG179" s="1509">
        <v>1</v>
      </c>
      <c r="FH179" s="1509">
        <v>1</v>
      </c>
      <c r="FI179" s="1509">
        <v>0.79303601000000001</v>
      </c>
      <c r="FJ179" s="1509">
        <v>0.76603812999999998</v>
      </c>
      <c r="FK179" s="1509">
        <v>1</v>
      </c>
      <c r="FL179" s="1509">
        <v>0.40546730600000003</v>
      </c>
      <c r="FM179" s="1509">
        <v>0.90836320800000003</v>
      </c>
      <c r="FN179" s="1509">
        <v>1</v>
      </c>
      <c r="FO179" s="1509">
        <v>0.454118894</v>
      </c>
      <c r="FP179" s="1509">
        <v>0.88733472199999996</v>
      </c>
      <c r="FQ179" s="1509">
        <v>1</v>
      </c>
      <c r="FR179" s="1509">
        <v>0.890661119</v>
      </c>
      <c r="FS179" s="1509">
        <v>0</v>
      </c>
      <c r="FT179" s="1509">
        <v>1</v>
      </c>
      <c r="FU179" s="1509">
        <v>0.78268776399999995</v>
      </c>
    </row>
    <row r="180" spans="1:177" s="1509" customFormat="1" x14ac:dyDescent="0.2">
      <c r="A180" s="1512" t="s">
        <v>673</v>
      </c>
      <c r="B180" s="1512" t="s">
        <v>1280</v>
      </c>
      <c r="C180" s="1509" t="s">
        <v>2372</v>
      </c>
      <c r="D180" s="1509" t="s">
        <v>2372</v>
      </c>
      <c r="E180" s="1509" t="s">
        <v>2372</v>
      </c>
      <c r="F180" s="1509" t="s">
        <v>2372</v>
      </c>
      <c r="G180" s="1509" t="s">
        <v>2372</v>
      </c>
      <c r="H180" s="1509" t="s">
        <v>2372</v>
      </c>
      <c r="I180" s="1509" t="s">
        <v>2372</v>
      </c>
      <c r="J180" s="1509" t="s">
        <v>2372</v>
      </c>
      <c r="K180" s="1509" t="s">
        <v>2372</v>
      </c>
      <c r="L180" s="1509" t="s">
        <v>2372</v>
      </c>
      <c r="M180" s="1509" t="s">
        <v>2372</v>
      </c>
      <c r="N180" s="1509" t="s">
        <v>2372</v>
      </c>
      <c r="O180" s="1509" t="s">
        <v>2372</v>
      </c>
      <c r="P180" s="1509" t="s">
        <v>2372</v>
      </c>
      <c r="Q180" s="1509" t="s">
        <v>2372</v>
      </c>
      <c r="R180" s="1509" t="s">
        <v>2372</v>
      </c>
      <c r="S180" s="1509" t="s">
        <v>2372</v>
      </c>
      <c r="T180" s="1509" t="s">
        <v>2372</v>
      </c>
      <c r="U180" s="1509" t="s">
        <v>2372</v>
      </c>
      <c r="V180" s="1509" t="s">
        <v>2372</v>
      </c>
      <c r="W180" s="1509" t="s">
        <v>2372</v>
      </c>
      <c r="X180" s="1509" t="s">
        <v>2372</v>
      </c>
      <c r="Y180" s="1509" t="s">
        <v>2372</v>
      </c>
      <c r="Z180" s="1509" t="s">
        <v>2372</v>
      </c>
      <c r="AA180" s="1509" t="s">
        <v>2372</v>
      </c>
      <c r="AB180" s="1509" t="s">
        <v>2372</v>
      </c>
      <c r="AC180" s="1509" t="s">
        <v>2372</v>
      </c>
      <c r="AD180" s="1509" t="s">
        <v>2372</v>
      </c>
      <c r="AE180" s="1509" t="s">
        <v>2372</v>
      </c>
      <c r="AF180" s="1509">
        <v>1</v>
      </c>
      <c r="AG180" s="1509" t="s">
        <v>2372</v>
      </c>
      <c r="AH180" s="1509" t="s">
        <v>2372</v>
      </c>
      <c r="AI180" s="1509" t="s">
        <v>2372</v>
      </c>
      <c r="AJ180" s="1509" t="s">
        <v>2372</v>
      </c>
      <c r="AK180" s="1509" t="s">
        <v>2372</v>
      </c>
      <c r="AL180" s="1509" t="s">
        <v>2372</v>
      </c>
      <c r="AM180" s="1509" t="s">
        <v>2372</v>
      </c>
      <c r="AN180" s="1509" t="s">
        <v>2372</v>
      </c>
      <c r="AO180" s="1509" t="s">
        <v>2372</v>
      </c>
      <c r="AP180" s="1509" t="s">
        <v>2372</v>
      </c>
      <c r="AQ180" s="1509" t="s">
        <v>2372</v>
      </c>
      <c r="AR180" s="1509">
        <v>1</v>
      </c>
      <c r="AS180" s="1509" t="s">
        <v>2372</v>
      </c>
      <c r="AT180" s="1509" t="s">
        <v>2372</v>
      </c>
      <c r="AU180" s="1509">
        <v>1</v>
      </c>
      <c r="AV180" s="1509" t="s">
        <v>2372</v>
      </c>
      <c r="AW180" s="1509" t="s">
        <v>2372</v>
      </c>
      <c r="AX180" s="1509" t="s">
        <v>2372</v>
      </c>
      <c r="AY180" s="1509">
        <v>1</v>
      </c>
      <c r="AZ180" s="1509" t="s">
        <v>2372</v>
      </c>
      <c r="BA180" s="1509" t="s">
        <v>2372</v>
      </c>
      <c r="BB180" s="1509" t="s">
        <v>2372</v>
      </c>
      <c r="BC180" s="1509" t="s">
        <v>2372</v>
      </c>
      <c r="BD180" s="1509">
        <v>1</v>
      </c>
      <c r="BE180" s="1509" t="s">
        <v>2372</v>
      </c>
      <c r="BF180" s="1509" t="s">
        <v>2372</v>
      </c>
      <c r="BG180" s="1509" t="s">
        <v>2372</v>
      </c>
      <c r="BH180" s="1509" t="s">
        <v>2372</v>
      </c>
      <c r="BI180" s="1509" t="s">
        <v>2372</v>
      </c>
      <c r="BJ180" s="1509" t="s">
        <v>2372</v>
      </c>
      <c r="BK180" s="1509" t="s">
        <v>2372</v>
      </c>
      <c r="BL180" s="1509" t="s">
        <v>2372</v>
      </c>
      <c r="BM180" s="1509" t="s">
        <v>2372</v>
      </c>
      <c r="BN180" s="1509" t="s">
        <v>2372</v>
      </c>
      <c r="BO180" s="1509" t="s">
        <v>2372</v>
      </c>
      <c r="BP180" s="1509" t="s">
        <v>2372</v>
      </c>
      <c r="BQ180" s="1509" t="s">
        <v>2372</v>
      </c>
      <c r="BR180" s="1509" t="s">
        <v>2372</v>
      </c>
      <c r="BS180" s="1509" t="s">
        <v>2372</v>
      </c>
      <c r="BT180" s="1509" t="s">
        <v>2372</v>
      </c>
      <c r="BU180" s="1509" t="s">
        <v>2372</v>
      </c>
      <c r="BV180" s="1509" t="s">
        <v>2372</v>
      </c>
      <c r="BW180" s="1509" t="s">
        <v>2372</v>
      </c>
      <c r="BX180" s="1509" t="s">
        <v>2372</v>
      </c>
      <c r="BY180" s="1509" t="s">
        <v>2372</v>
      </c>
      <c r="BZ180" s="1509" t="s">
        <v>2372</v>
      </c>
      <c r="CA180" s="1509" t="s">
        <v>2372</v>
      </c>
      <c r="CB180" s="1509" t="s">
        <v>2372</v>
      </c>
      <c r="CC180" s="1509" t="s">
        <v>2372</v>
      </c>
      <c r="CD180" s="1509" t="s">
        <v>2372</v>
      </c>
      <c r="CE180" s="1509" t="s">
        <v>2372</v>
      </c>
      <c r="CF180" s="1509">
        <v>1</v>
      </c>
      <c r="CG180" s="1509" t="s">
        <v>2372</v>
      </c>
      <c r="CH180" s="1509" t="s">
        <v>2372</v>
      </c>
      <c r="CI180" s="1509" t="s">
        <v>2372</v>
      </c>
      <c r="CJ180" s="1509" t="s">
        <v>2372</v>
      </c>
      <c r="CK180" s="1509" t="s">
        <v>2372</v>
      </c>
      <c r="CL180" s="1509" t="s">
        <v>2372</v>
      </c>
      <c r="CM180" s="1509" t="s">
        <v>2372</v>
      </c>
      <c r="CN180" s="1509" t="s">
        <v>2372</v>
      </c>
      <c r="CO180" s="1509" t="s">
        <v>2372</v>
      </c>
      <c r="CP180" s="1509" t="s">
        <v>2372</v>
      </c>
      <c r="CQ180" s="1509" t="s">
        <v>2372</v>
      </c>
      <c r="CR180" s="1509">
        <v>1</v>
      </c>
      <c r="CS180" s="1509" t="s">
        <v>2372</v>
      </c>
      <c r="CT180" s="1509" t="s">
        <v>2372</v>
      </c>
      <c r="CU180" s="1509" t="s">
        <v>2372</v>
      </c>
      <c r="CV180" s="1509" t="s">
        <v>2372</v>
      </c>
      <c r="CW180" s="1509" t="s">
        <v>2372</v>
      </c>
      <c r="CX180" s="1509" t="s">
        <v>2372</v>
      </c>
      <c r="CY180" s="1509" t="s">
        <v>2372</v>
      </c>
      <c r="CZ180" s="1509" t="s">
        <v>2372</v>
      </c>
      <c r="DA180" s="1509" t="s">
        <v>2372</v>
      </c>
      <c r="DB180" s="1509" t="s">
        <v>2372</v>
      </c>
      <c r="DC180" s="1509" t="s">
        <v>2372</v>
      </c>
      <c r="DD180" s="1509" t="s">
        <v>2372</v>
      </c>
      <c r="DE180" s="1509" t="s">
        <v>2372</v>
      </c>
      <c r="DF180" s="1509" t="s">
        <v>2372</v>
      </c>
      <c r="DG180" s="1509" t="s">
        <v>2372</v>
      </c>
      <c r="DH180" s="1509" t="s">
        <v>2372</v>
      </c>
      <c r="DI180" s="1509" t="s">
        <v>2372</v>
      </c>
      <c r="DJ180" s="1509" t="s">
        <v>2372</v>
      </c>
      <c r="DK180" s="1509" t="s">
        <v>2372</v>
      </c>
      <c r="DL180" s="1509" t="s">
        <v>2372</v>
      </c>
      <c r="DM180" s="1509" t="s">
        <v>2372</v>
      </c>
      <c r="DN180" s="1509">
        <v>1</v>
      </c>
      <c r="DO180" s="1509" t="s">
        <v>2372</v>
      </c>
      <c r="DP180" s="1509" t="s">
        <v>2372</v>
      </c>
      <c r="DQ180" s="1509" t="s">
        <v>2372</v>
      </c>
      <c r="DR180" s="1509" t="s">
        <v>2372</v>
      </c>
      <c r="DS180" s="1509" t="s">
        <v>2372</v>
      </c>
      <c r="DT180" s="1509" t="s">
        <v>2372</v>
      </c>
      <c r="DU180" s="1509" t="s">
        <v>2372</v>
      </c>
      <c r="DV180" s="1509" t="s">
        <v>2372</v>
      </c>
      <c r="DW180" s="1509">
        <v>1</v>
      </c>
      <c r="DX180" s="1509" t="s">
        <v>2372</v>
      </c>
      <c r="DY180" s="1509" t="s">
        <v>2372</v>
      </c>
      <c r="DZ180" s="1509" t="s">
        <v>2372</v>
      </c>
      <c r="EA180" s="1509" t="s">
        <v>2372</v>
      </c>
      <c r="EB180" s="1509" t="s">
        <v>2372</v>
      </c>
      <c r="EC180" s="1509" t="s">
        <v>2372</v>
      </c>
      <c r="ED180" s="1509" t="s">
        <v>2372</v>
      </c>
      <c r="EE180" s="1509" t="s">
        <v>2372</v>
      </c>
      <c r="EF180" s="1509" t="s">
        <v>2372</v>
      </c>
      <c r="EG180" s="1509" t="s">
        <v>2372</v>
      </c>
      <c r="EH180" s="1509" t="s">
        <v>2372</v>
      </c>
      <c r="EI180" s="1509" t="s">
        <v>2372</v>
      </c>
      <c r="EJ180" s="1509">
        <v>1</v>
      </c>
      <c r="EK180" s="1509" t="s">
        <v>2372</v>
      </c>
      <c r="EL180" s="1509" t="s">
        <v>2372</v>
      </c>
      <c r="EM180" s="1509" t="s">
        <v>2372</v>
      </c>
      <c r="EN180" s="1509" t="s">
        <v>2372</v>
      </c>
      <c r="EO180" s="1509" t="s">
        <v>2372</v>
      </c>
      <c r="EP180" s="1509" t="s">
        <v>2372</v>
      </c>
      <c r="EQ180" s="1509" t="s">
        <v>2372</v>
      </c>
      <c r="ER180" s="1509" t="s">
        <v>2372</v>
      </c>
      <c r="ES180" s="1509" t="s">
        <v>2372</v>
      </c>
      <c r="ET180" s="1509" t="s">
        <v>2372</v>
      </c>
      <c r="EU180" s="1509" t="s">
        <v>2372</v>
      </c>
      <c r="EV180" s="1509" t="s">
        <v>2372</v>
      </c>
      <c r="EW180" s="1509">
        <v>1</v>
      </c>
      <c r="EX180" s="1509" t="s">
        <v>2372</v>
      </c>
      <c r="EY180" s="1509">
        <v>1</v>
      </c>
      <c r="EZ180" s="1509" t="s">
        <v>2372</v>
      </c>
      <c r="FA180" s="1509" t="s">
        <v>2372</v>
      </c>
      <c r="FB180" s="1509" t="s">
        <v>2372</v>
      </c>
      <c r="FC180" s="1509" t="s">
        <v>2372</v>
      </c>
      <c r="FD180" s="1509" t="s">
        <v>2372</v>
      </c>
      <c r="FE180" s="1509" t="s">
        <v>2372</v>
      </c>
      <c r="FF180" s="1509" t="s">
        <v>2372</v>
      </c>
      <c r="FG180" s="1509" t="s">
        <v>2372</v>
      </c>
      <c r="FH180" s="1509" t="s">
        <v>2372</v>
      </c>
      <c r="FI180" s="1509" t="s">
        <v>2372</v>
      </c>
      <c r="FJ180" s="1509" t="s">
        <v>2372</v>
      </c>
      <c r="FK180" s="1509" t="s">
        <v>2372</v>
      </c>
      <c r="FL180" s="1509" t="s">
        <v>2372</v>
      </c>
      <c r="FM180" s="1509" t="s">
        <v>2372</v>
      </c>
      <c r="FN180" s="1509" t="s">
        <v>2372</v>
      </c>
      <c r="FO180" s="1509" t="s">
        <v>2372</v>
      </c>
      <c r="FP180" s="1509" t="s">
        <v>2372</v>
      </c>
      <c r="FQ180" s="1509" t="s">
        <v>2372</v>
      </c>
      <c r="FR180" s="1509" t="s">
        <v>2372</v>
      </c>
      <c r="FS180" s="1509" t="s">
        <v>2372</v>
      </c>
      <c r="FT180" s="1509" t="s">
        <v>2372</v>
      </c>
      <c r="FU180" s="1509" t="s">
        <v>2372</v>
      </c>
    </row>
    <row r="181" spans="1:177" s="1509" customFormat="1" x14ac:dyDescent="0.2">
      <c r="A181" s="1512" t="s">
        <v>673</v>
      </c>
      <c r="B181" s="1512" t="s">
        <v>1065</v>
      </c>
      <c r="C181" s="1509">
        <v>0.81336130799999995</v>
      </c>
      <c r="D181" s="1509">
        <v>0.81336130799999995</v>
      </c>
      <c r="E181" s="1509">
        <v>0.53235050799999994</v>
      </c>
      <c r="F181" s="1509">
        <v>0.16799859100000003</v>
      </c>
      <c r="G181" s="1509">
        <v>0.20401577100000001</v>
      </c>
      <c r="H181" s="1509">
        <v>0.15020384399999998</v>
      </c>
      <c r="I181" s="1509">
        <v>3.1918223999999995E-2</v>
      </c>
      <c r="J181" s="1509">
        <v>3.7411214000000026E-2</v>
      </c>
      <c r="K181" s="1509">
        <v>0.53235050799999994</v>
      </c>
      <c r="L181" s="1509">
        <v>0.91277176100000001</v>
      </c>
      <c r="M181" s="1509">
        <v>0.94563653800000003</v>
      </c>
      <c r="N181" s="1509">
        <v>0.11276654399999997</v>
      </c>
      <c r="O181" s="1509">
        <v>4.4730232000000036E-2</v>
      </c>
      <c r="P181" s="1509">
        <v>0.88399132499999999</v>
      </c>
      <c r="Q181" s="1509">
        <v>0.41882688199999996</v>
      </c>
      <c r="R181" s="1509">
        <v>0.96182853099999999</v>
      </c>
      <c r="S181" s="1509">
        <v>0.27618859500000004</v>
      </c>
      <c r="T181" s="1509">
        <v>0.27618859500000004</v>
      </c>
      <c r="U181" s="1509">
        <v>0.27618859500000004</v>
      </c>
      <c r="V181" s="1509">
        <v>0.27618859500000004</v>
      </c>
      <c r="W181" s="1509">
        <v>0.95817650600000004</v>
      </c>
      <c r="X181" s="1509">
        <v>0.45395055600000001</v>
      </c>
      <c r="Y181" s="1509">
        <v>0.53235050799999994</v>
      </c>
      <c r="Z181" s="1509">
        <v>0.53235050799999994</v>
      </c>
      <c r="AA181" s="1509">
        <v>0.53235050799999994</v>
      </c>
      <c r="AB181" s="1509">
        <v>0.67332359500000005</v>
      </c>
      <c r="AC181" s="1509">
        <v>0.67332359500000005</v>
      </c>
      <c r="AD181" s="1509">
        <v>0.74321201999999997</v>
      </c>
      <c r="AE181" s="1509">
        <v>0.94328362700000001</v>
      </c>
      <c r="AF181" s="1509">
        <v>7.0805200000001456E-4</v>
      </c>
      <c r="AG181" s="1509">
        <v>0.81336130799999995</v>
      </c>
      <c r="AH181" s="1509">
        <v>8.6400935999999984E-2</v>
      </c>
      <c r="AI181" s="1509">
        <v>0.81336130799999995</v>
      </c>
      <c r="AJ181" s="1509">
        <v>0.27618859500000004</v>
      </c>
      <c r="AK181" s="1509">
        <v>0.90852871599999996</v>
      </c>
      <c r="AL181" s="1509">
        <v>0.13454379999999999</v>
      </c>
      <c r="AM181" s="1509">
        <v>7.1270318000000055E-2</v>
      </c>
      <c r="AN181" s="1509">
        <v>4.6765084999999984E-2</v>
      </c>
      <c r="AO181" s="1509">
        <v>7.7080056000000008E-2</v>
      </c>
      <c r="AP181" s="1509">
        <v>0.37836401500000005</v>
      </c>
      <c r="AQ181" s="1509">
        <v>0.81336130799999995</v>
      </c>
      <c r="AR181" s="1509">
        <v>4.299198999999998E-2</v>
      </c>
      <c r="AS181" s="1509">
        <v>9.0857380000000099E-3</v>
      </c>
      <c r="AT181" s="1509">
        <v>5.9187999999998908E-4</v>
      </c>
      <c r="AU181" s="1509">
        <v>5.7289345000000047E-2</v>
      </c>
      <c r="AV181" s="1509">
        <v>1.5886442999999972E-2</v>
      </c>
      <c r="AW181" s="1509">
        <v>0.20401577100000001</v>
      </c>
      <c r="AX181" s="1509">
        <v>0.35808511499999995</v>
      </c>
      <c r="AY181" s="1509">
        <v>2.4321378999999976E-2</v>
      </c>
      <c r="AZ181" s="1509">
        <v>0.32582612300000002</v>
      </c>
      <c r="BA181" s="1509">
        <v>5.1411179000000029E-2</v>
      </c>
      <c r="BB181" s="1509">
        <v>0.424383022</v>
      </c>
      <c r="BC181" s="1509">
        <v>1.2982920000000009E-2</v>
      </c>
      <c r="BD181" s="1509">
        <v>3.9848109999999992E-2</v>
      </c>
      <c r="BE181" s="1509">
        <v>0.53950815699999999</v>
      </c>
      <c r="BF181" s="1509">
        <v>1.2183497999999959E-2</v>
      </c>
      <c r="BG181" s="1509">
        <v>0.40294127899999999</v>
      </c>
      <c r="BH181" s="1509">
        <v>7.0805200000001456E-4</v>
      </c>
      <c r="BI181" s="1509">
        <v>0.20401577100000001</v>
      </c>
      <c r="BJ181" s="1509">
        <v>0.67332359500000005</v>
      </c>
      <c r="BK181" s="1509">
        <v>8.6400935999999984E-2</v>
      </c>
      <c r="BL181" s="1509">
        <v>0.45395055600000001</v>
      </c>
      <c r="BM181" s="1509">
        <v>0.85948095199999996</v>
      </c>
      <c r="BN181" s="1509">
        <v>0.45395055600000001</v>
      </c>
      <c r="BO181" s="1509">
        <v>0.27618859500000004</v>
      </c>
      <c r="BP181" s="1509">
        <v>7.0805170000000084E-3</v>
      </c>
      <c r="BQ181" s="1509">
        <v>0.67332359500000005</v>
      </c>
      <c r="BR181" s="1509">
        <v>6.3053859999999684E-3</v>
      </c>
      <c r="BS181" s="1509">
        <v>0.88399132499999999</v>
      </c>
      <c r="BT181" s="1509">
        <v>7.4851899999994753E-4</v>
      </c>
      <c r="BU181" s="1509">
        <v>6.1791382999999978E-2</v>
      </c>
      <c r="BV181" s="1509">
        <v>0.64218017300000008</v>
      </c>
      <c r="BW181" s="1509">
        <v>0.69915630399999995</v>
      </c>
      <c r="BX181" s="1509">
        <v>4.2327840000000005E-2</v>
      </c>
      <c r="BY181" s="1509">
        <v>4.2327840000000005E-2</v>
      </c>
      <c r="BZ181" s="1509">
        <v>0.28671389800000002</v>
      </c>
      <c r="CA181" s="1509">
        <v>0.16106316200000004</v>
      </c>
      <c r="CB181" s="1509">
        <v>0.69915630399999995</v>
      </c>
      <c r="CC181" s="1509">
        <v>0.56693994199999997</v>
      </c>
      <c r="CD181" s="1509">
        <v>0.96831104099999998</v>
      </c>
      <c r="CE181" s="1509">
        <v>0.56693994199999997</v>
      </c>
      <c r="CF181" s="1509">
        <v>0.36343834200000003</v>
      </c>
      <c r="CG181" s="1509">
        <v>1.5886442999999972E-2</v>
      </c>
      <c r="CH181" s="1509">
        <v>3.1918223999999995E-2</v>
      </c>
      <c r="CI181" s="1509">
        <v>0.81336130799999995</v>
      </c>
      <c r="CJ181" s="1509">
        <v>4.3936992000000008E-2</v>
      </c>
      <c r="CK181" s="1509">
        <v>1.3451334999999953E-2</v>
      </c>
      <c r="CL181" s="1509">
        <v>1.1469960000000001E-2</v>
      </c>
      <c r="CM181" s="1509">
        <v>2.7404667999999965E-2</v>
      </c>
      <c r="CN181" s="1509">
        <v>1.9917494999999952E-2</v>
      </c>
      <c r="CO181" s="1509">
        <v>1.9917494999999952E-2</v>
      </c>
      <c r="CP181" s="1509">
        <v>1.8649299999995428E-4</v>
      </c>
      <c r="CQ181" s="1509">
        <v>6.8062398000000024E-2</v>
      </c>
      <c r="CR181" s="1509">
        <v>1.5886442999999972E-2</v>
      </c>
      <c r="CS181" s="1509">
        <v>0.15020384399999998</v>
      </c>
      <c r="CT181" s="1509">
        <v>4.4730232000000036E-2</v>
      </c>
      <c r="CU181" s="1509">
        <v>0.27618859500000004</v>
      </c>
      <c r="CV181" s="1509">
        <v>0.424383022</v>
      </c>
      <c r="CW181" s="1509">
        <v>0.32582612300000002</v>
      </c>
      <c r="CX181" s="1509">
        <v>0.424383022</v>
      </c>
      <c r="CY181" s="1509">
        <v>3.2698192999999987E-2</v>
      </c>
      <c r="CZ181" s="1509">
        <v>6.8099262000000049E-2</v>
      </c>
      <c r="DA181" s="1509">
        <v>5.3574843000000039E-2</v>
      </c>
      <c r="DB181" s="1509">
        <v>0.27000800199999997</v>
      </c>
      <c r="DC181" s="1509">
        <v>0.11799225499999999</v>
      </c>
      <c r="DD181" s="1509">
        <v>4.2494870000000518E-3</v>
      </c>
      <c r="DE181" s="1509">
        <v>0.31147269600000005</v>
      </c>
      <c r="DF181" s="1509">
        <v>0.14466652599999996</v>
      </c>
      <c r="DG181" s="1509">
        <v>0.17258252900000004</v>
      </c>
      <c r="DH181" s="1509">
        <v>0.44245256099999997</v>
      </c>
      <c r="DI181" s="1509">
        <v>0.17258252900000004</v>
      </c>
      <c r="DJ181" s="1509">
        <v>2.7404667999999965E-2</v>
      </c>
      <c r="DK181" s="1509">
        <v>0.23792954600000005</v>
      </c>
      <c r="DL181" s="1509">
        <v>1</v>
      </c>
      <c r="DM181" s="1509">
        <v>0.85948095199999996</v>
      </c>
      <c r="DN181" s="1509">
        <v>2.1066280999999965E-2</v>
      </c>
      <c r="DO181" s="1509">
        <v>9.4627170999999954E-2</v>
      </c>
      <c r="DP181" s="1509">
        <v>2.2712500000000024E-2</v>
      </c>
      <c r="DQ181" s="1509">
        <v>0.33815295700000003</v>
      </c>
      <c r="DR181" s="1509">
        <v>0.28671389800000002</v>
      </c>
      <c r="DS181" s="1509">
        <v>0.28671389800000002</v>
      </c>
      <c r="DT181" s="1509">
        <v>0.17548929099999999</v>
      </c>
      <c r="DU181" s="1509">
        <v>2.7148190999999988E-2</v>
      </c>
      <c r="DV181" s="1509">
        <v>0.67332359500000005</v>
      </c>
      <c r="DW181" s="1509">
        <v>0.195293567</v>
      </c>
      <c r="DX181" s="1509">
        <v>5.1931680000000036E-2</v>
      </c>
      <c r="DY181" s="1509">
        <v>5.1735900000005053E-4</v>
      </c>
      <c r="DZ181" s="1509">
        <v>3.4667240000000321E-3</v>
      </c>
      <c r="EA181" s="1509">
        <v>0.71738436500000002</v>
      </c>
      <c r="EB181" s="1509">
        <v>3.1918223999999995E-2</v>
      </c>
      <c r="EC181" s="1509">
        <v>7.8556469999999656E-3</v>
      </c>
      <c r="ED181" s="1509">
        <v>0.361926199</v>
      </c>
      <c r="EE181" s="1509">
        <v>0.80475632799999997</v>
      </c>
      <c r="EF181" s="1509">
        <v>0.50298857399999997</v>
      </c>
      <c r="EG181" s="1509">
        <v>4.2327840000000005E-2</v>
      </c>
      <c r="EH181" s="1509">
        <v>0.64218017300000008</v>
      </c>
      <c r="EI181" s="1509">
        <v>0.10316815000000001</v>
      </c>
      <c r="EJ181" s="1509">
        <v>0.36343834200000003</v>
      </c>
      <c r="EK181" s="1509">
        <v>8.6400935999999984E-2</v>
      </c>
      <c r="EL181" s="1509">
        <v>7.3795748999999966E-2</v>
      </c>
      <c r="EM181" s="1509">
        <v>1.5894186000000032E-2</v>
      </c>
      <c r="EN181" s="1509">
        <v>0.23601210500000003</v>
      </c>
      <c r="EO181" s="1509">
        <v>5.5188100000003182E-4</v>
      </c>
      <c r="EP181" s="1509">
        <v>0.10512314899999997</v>
      </c>
      <c r="EQ181" s="1509">
        <v>0.97876213099999998</v>
      </c>
      <c r="ER181" s="1509">
        <v>0.71738436500000002</v>
      </c>
      <c r="ES181" s="1509">
        <v>0.87537150799999996</v>
      </c>
      <c r="ET181" s="1509">
        <v>0.28935570300000002</v>
      </c>
      <c r="EU181" s="1509">
        <v>0.28671389800000002</v>
      </c>
      <c r="EV181" s="1509">
        <v>0.81336130799999995</v>
      </c>
      <c r="EW181" s="1509">
        <v>0.68991539499999999</v>
      </c>
      <c r="EX181" s="1509">
        <v>5.1411179000000029E-2</v>
      </c>
      <c r="EY181" s="1509">
        <v>2.8328160000000047E-2</v>
      </c>
      <c r="EZ181" s="1509">
        <v>4.2327840000000005E-2</v>
      </c>
      <c r="FA181" s="1509">
        <v>0.263746429</v>
      </c>
      <c r="FB181" s="1509">
        <v>0.63090429799999992</v>
      </c>
      <c r="FC181" s="1509">
        <v>0.79558813800000006</v>
      </c>
      <c r="FD181" s="1509">
        <v>0.32582612300000002</v>
      </c>
      <c r="FE181" s="1509">
        <v>7.5110627000000041E-2</v>
      </c>
      <c r="FF181" s="1509">
        <v>0.743293227</v>
      </c>
      <c r="FG181" s="1509">
        <v>0.49689566699999999</v>
      </c>
      <c r="FH181" s="1509">
        <v>3.3669996999999952E-2</v>
      </c>
      <c r="FI181" s="1509">
        <v>2.3510904999999971E-2</v>
      </c>
      <c r="FJ181" s="1509">
        <v>0.71738436500000002</v>
      </c>
      <c r="FK181" s="1509">
        <v>0.20370238900000004</v>
      </c>
      <c r="FL181" s="1509">
        <v>0.40953283200000001</v>
      </c>
      <c r="FM181" s="1509">
        <v>0.20401577100000001</v>
      </c>
      <c r="FN181" s="1509">
        <v>0.67332359500000005</v>
      </c>
      <c r="FO181" s="1509">
        <v>2.7404667999999965E-2</v>
      </c>
      <c r="FP181" s="1509">
        <v>0.23024106099999997</v>
      </c>
      <c r="FQ181" s="1509">
        <v>2.7404667999999965E-2</v>
      </c>
      <c r="FR181" s="1509">
        <v>0.79558813800000006</v>
      </c>
      <c r="FS181" s="1509">
        <v>0.10214276600000005</v>
      </c>
      <c r="FT181" s="1509">
        <v>0.17258252900000004</v>
      </c>
      <c r="FU181" s="1509">
        <v>6.8062398000000024E-2</v>
      </c>
    </row>
    <row r="182" spans="1:177" s="1509" customFormat="1" x14ac:dyDescent="0.2">
      <c r="A182" s="1512" t="s">
        <v>673</v>
      </c>
      <c r="B182" s="1512" t="s">
        <v>1077</v>
      </c>
      <c r="C182" s="1509">
        <v>0</v>
      </c>
      <c r="D182" s="1509">
        <v>0</v>
      </c>
      <c r="E182" s="1509">
        <v>0</v>
      </c>
      <c r="F182" s="1509">
        <v>0</v>
      </c>
      <c r="G182" s="1509">
        <v>0</v>
      </c>
      <c r="H182" s="1509">
        <v>0</v>
      </c>
      <c r="I182" s="1509">
        <v>0</v>
      </c>
      <c r="J182" s="1509">
        <v>0</v>
      </c>
      <c r="K182" s="1509">
        <v>1</v>
      </c>
      <c r="L182" s="1509">
        <v>0</v>
      </c>
      <c r="M182" s="1509">
        <v>0</v>
      </c>
      <c r="N182" s="1509">
        <v>1</v>
      </c>
      <c r="O182" s="1509">
        <v>1</v>
      </c>
      <c r="P182" s="1509">
        <v>1</v>
      </c>
      <c r="Q182" s="1509">
        <v>0</v>
      </c>
      <c r="R182" s="1509">
        <v>0</v>
      </c>
      <c r="S182" s="1509">
        <v>0</v>
      </c>
      <c r="T182" s="1509">
        <v>0</v>
      </c>
      <c r="U182" s="1509">
        <v>0</v>
      </c>
      <c r="V182" s="1509">
        <v>0</v>
      </c>
      <c r="W182" s="1509">
        <v>0</v>
      </c>
      <c r="X182" s="1509">
        <v>0</v>
      </c>
      <c r="Y182" s="1509">
        <v>1</v>
      </c>
      <c r="Z182" s="1509">
        <v>0</v>
      </c>
      <c r="AA182" s="1509">
        <v>1</v>
      </c>
      <c r="AB182" s="1509">
        <v>1</v>
      </c>
      <c r="AC182" s="1509">
        <v>0</v>
      </c>
      <c r="AD182" s="1509">
        <v>0</v>
      </c>
      <c r="AE182" s="1509">
        <v>1</v>
      </c>
      <c r="AF182" s="1509">
        <v>0</v>
      </c>
      <c r="AG182" s="1509">
        <v>1</v>
      </c>
      <c r="AH182" s="1509">
        <v>1</v>
      </c>
      <c r="AI182" s="1509">
        <v>0</v>
      </c>
      <c r="AJ182" s="1509">
        <v>0</v>
      </c>
      <c r="AK182" s="1509">
        <v>0</v>
      </c>
      <c r="AL182" s="1509">
        <v>1</v>
      </c>
      <c r="AM182" s="1509">
        <v>1</v>
      </c>
      <c r="AN182" s="1509">
        <v>0</v>
      </c>
      <c r="AO182" s="1509">
        <v>1</v>
      </c>
      <c r="AP182" s="1509">
        <v>0</v>
      </c>
      <c r="AQ182" s="1509">
        <v>0</v>
      </c>
      <c r="AR182" s="1509">
        <v>1</v>
      </c>
      <c r="AS182" s="1509">
        <v>1</v>
      </c>
      <c r="AT182" s="1509">
        <v>0</v>
      </c>
      <c r="AU182" s="1509">
        <v>1</v>
      </c>
      <c r="AV182" s="1509">
        <v>1</v>
      </c>
      <c r="AW182" s="1509">
        <v>0</v>
      </c>
      <c r="AX182" s="1509">
        <v>1</v>
      </c>
      <c r="AY182" s="1509">
        <v>1</v>
      </c>
      <c r="AZ182" s="1509">
        <v>1</v>
      </c>
      <c r="BA182" s="1509">
        <v>1</v>
      </c>
      <c r="BB182" s="1509">
        <v>1</v>
      </c>
      <c r="BC182" s="1509">
        <v>0</v>
      </c>
      <c r="BD182" s="1509">
        <v>1</v>
      </c>
      <c r="BE182" s="1509">
        <v>1</v>
      </c>
      <c r="BF182" s="1509">
        <v>0</v>
      </c>
      <c r="BG182" s="1509">
        <v>0</v>
      </c>
      <c r="BH182" s="1509">
        <v>0</v>
      </c>
      <c r="BI182" s="1509">
        <v>0</v>
      </c>
      <c r="BJ182" s="1509">
        <v>0</v>
      </c>
      <c r="BK182" s="1509">
        <v>1</v>
      </c>
      <c r="BL182" s="1509">
        <v>1</v>
      </c>
      <c r="BM182" s="1509">
        <v>0</v>
      </c>
      <c r="BN182" s="1509">
        <v>0</v>
      </c>
      <c r="BO182" s="1509">
        <v>1</v>
      </c>
      <c r="BP182" s="1509">
        <v>1</v>
      </c>
      <c r="BQ182" s="1509">
        <v>0</v>
      </c>
      <c r="BR182" s="1509">
        <v>0</v>
      </c>
      <c r="BS182" s="1509">
        <v>1</v>
      </c>
      <c r="BT182" s="1509">
        <v>1</v>
      </c>
      <c r="BU182" s="1509">
        <v>0</v>
      </c>
      <c r="BV182" s="1509">
        <v>0</v>
      </c>
      <c r="BW182" s="1509">
        <v>0</v>
      </c>
      <c r="BX182" s="1509">
        <v>1</v>
      </c>
      <c r="BY182" s="1509">
        <v>0</v>
      </c>
      <c r="BZ182" s="1509">
        <v>1</v>
      </c>
      <c r="CA182" s="1509">
        <v>1</v>
      </c>
      <c r="CB182" s="1509">
        <v>1</v>
      </c>
      <c r="CC182" s="1509">
        <v>1</v>
      </c>
      <c r="CD182" s="1509">
        <v>1</v>
      </c>
      <c r="CE182" s="1509">
        <v>1</v>
      </c>
      <c r="CF182" s="1509">
        <v>0</v>
      </c>
      <c r="CG182" s="1509">
        <v>0</v>
      </c>
      <c r="CH182" s="1509">
        <v>1</v>
      </c>
      <c r="CI182" s="1509">
        <v>1</v>
      </c>
      <c r="CJ182" s="1509">
        <v>1</v>
      </c>
      <c r="CK182" s="1509">
        <v>0</v>
      </c>
      <c r="CL182" s="1509">
        <v>0</v>
      </c>
      <c r="CM182" s="1509">
        <v>0</v>
      </c>
      <c r="CN182" s="1509">
        <v>0</v>
      </c>
      <c r="CO182" s="1509">
        <v>0</v>
      </c>
      <c r="CP182" s="1509">
        <v>1</v>
      </c>
      <c r="CQ182" s="1509">
        <v>1</v>
      </c>
      <c r="CR182" s="1509">
        <v>1</v>
      </c>
      <c r="CS182" s="1509">
        <v>0</v>
      </c>
      <c r="CT182" s="1509">
        <v>0</v>
      </c>
      <c r="CU182" s="1509">
        <v>0</v>
      </c>
      <c r="CV182" s="1509">
        <v>0</v>
      </c>
      <c r="CW182" s="1509">
        <v>0</v>
      </c>
      <c r="CX182" s="1509">
        <v>1</v>
      </c>
      <c r="CY182" s="1509">
        <v>1</v>
      </c>
      <c r="CZ182" s="1509">
        <v>1</v>
      </c>
      <c r="DA182" s="1509">
        <v>1</v>
      </c>
      <c r="DB182" s="1509">
        <v>1</v>
      </c>
      <c r="DC182" s="1509">
        <v>1</v>
      </c>
      <c r="DD182" s="1509">
        <v>1</v>
      </c>
      <c r="DE182" s="1509">
        <v>0</v>
      </c>
      <c r="DF182" s="1509">
        <v>1</v>
      </c>
      <c r="DG182" s="1509">
        <v>1</v>
      </c>
      <c r="DH182" s="1509">
        <v>0</v>
      </c>
      <c r="DI182" s="1509">
        <v>1</v>
      </c>
      <c r="DJ182" s="1509">
        <v>1</v>
      </c>
      <c r="DK182" s="1509">
        <v>1</v>
      </c>
      <c r="DL182" s="1509">
        <v>1</v>
      </c>
      <c r="DM182" s="1509">
        <v>1</v>
      </c>
      <c r="DN182" s="1509">
        <v>0</v>
      </c>
      <c r="DO182" s="1509">
        <v>0</v>
      </c>
      <c r="DP182" s="1509">
        <v>1</v>
      </c>
      <c r="DQ182" s="1509">
        <v>1</v>
      </c>
      <c r="DR182" s="1509">
        <v>1</v>
      </c>
      <c r="DS182" s="1509">
        <v>1</v>
      </c>
      <c r="DT182" s="1509">
        <v>1</v>
      </c>
      <c r="DU182" s="1509">
        <v>0</v>
      </c>
      <c r="DV182" s="1509">
        <v>1</v>
      </c>
      <c r="DW182" s="1509">
        <v>0</v>
      </c>
      <c r="DX182" s="1509">
        <v>0</v>
      </c>
      <c r="DY182" s="1509">
        <v>1</v>
      </c>
      <c r="DZ182" s="1509">
        <v>0</v>
      </c>
      <c r="EA182" s="1509">
        <v>1</v>
      </c>
      <c r="EB182" s="1509">
        <v>1</v>
      </c>
      <c r="EC182" s="1509">
        <v>0</v>
      </c>
      <c r="ED182" s="1509">
        <v>1</v>
      </c>
      <c r="EE182" s="1509">
        <v>1</v>
      </c>
      <c r="EF182" s="1509">
        <v>1</v>
      </c>
      <c r="EG182" s="1509">
        <v>1</v>
      </c>
      <c r="EH182" s="1509">
        <v>1</v>
      </c>
      <c r="EI182" s="1509">
        <v>0</v>
      </c>
      <c r="EJ182" s="1509">
        <v>0</v>
      </c>
      <c r="EK182" s="1509">
        <v>0</v>
      </c>
      <c r="EL182" s="1509">
        <v>1</v>
      </c>
      <c r="EM182" s="1509">
        <v>1</v>
      </c>
      <c r="EN182" s="1509">
        <v>1</v>
      </c>
      <c r="EO182" s="1509">
        <v>1</v>
      </c>
      <c r="EP182" s="1509">
        <v>1</v>
      </c>
      <c r="EQ182" s="1509">
        <v>1</v>
      </c>
      <c r="ER182" s="1509">
        <v>0</v>
      </c>
      <c r="ES182" s="1509">
        <v>0</v>
      </c>
      <c r="ET182" s="1509">
        <v>0</v>
      </c>
      <c r="EU182" s="1509">
        <v>1</v>
      </c>
      <c r="EV182" s="1509">
        <v>0</v>
      </c>
      <c r="EW182" s="1509">
        <v>1</v>
      </c>
      <c r="EX182" s="1509">
        <v>0</v>
      </c>
      <c r="EY182" s="1509">
        <v>0</v>
      </c>
      <c r="EZ182" s="1509">
        <v>0</v>
      </c>
      <c r="FA182" s="1509">
        <v>1</v>
      </c>
      <c r="FB182" s="1509">
        <v>1</v>
      </c>
      <c r="FC182" s="1509">
        <v>0</v>
      </c>
      <c r="FD182" s="1509">
        <v>1</v>
      </c>
      <c r="FE182" s="1509">
        <v>1</v>
      </c>
      <c r="FF182" s="1509">
        <v>0</v>
      </c>
      <c r="FG182" s="1509">
        <v>0</v>
      </c>
      <c r="FH182" s="1509">
        <v>1</v>
      </c>
      <c r="FI182" s="1509">
        <v>0</v>
      </c>
      <c r="FJ182" s="1509">
        <v>1</v>
      </c>
      <c r="FK182" s="1509">
        <v>1</v>
      </c>
      <c r="FL182" s="1509">
        <v>1</v>
      </c>
      <c r="FM182" s="1509">
        <v>0</v>
      </c>
      <c r="FN182" s="1509">
        <v>0</v>
      </c>
      <c r="FO182" s="1509">
        <v>1</v>
      </c>
      <c r="FP182" s="1509">
        <v>0</v>
      </c>
      <c r="FQ182" s="1509">
        <v>1</v>
      </c>
      <c r="FR182" s="1509">
        <v>1</v>
      </c>
      <c r="FS182" s="1509">
        <v>0</v>
      </c>
      <c r="FT182" s="1509">
        <v>1</v>
      </c>
      <c r="FU182" s="1509">
        <v>0</v>
      </c>
    </row>
    <row r="183" spans="1:177" s="1509" customFormat="1" x14ac:dyDescent="0.2">
      <c r="A183" s="1512" t="s">
        <v>673</v>
      </c>
      <c r="B183" s="1512" t="s">
        <v>1027</v>
      </c>
      <c r="C183" s="1509">
        <v>0</v>
      </c>
      <c r="D183" s="1509">
        <v>0</v>
      </c>
      <c r="E183" s="1509">
        <v>0</v>
      </c>
      <c r="F183" s="1509">
        <v>0</v>
      </c>
      <c r="G183" s="1509">
        <v>0</v>
      </c>
      <c r="H183" s="1509">
        <v>0</v>
      </c>
      <c r="I183" s="1509">
        <v>0</v>
      </c>
      <c r="J183" s="1509">
        <v>0</v>
      </c>
      <c r="K183" s="1509">
        <v>0</v>
      </c>
      <c r="L183" s="1509">
        <v>0</v>
      </c>
      <c r="M183" s="1509">
        <v>0</v>
      </c>
      <c r="N183" s="1509">
        <v>0</v>
      </c>
      <c r="O183" s="1509">
        <v>0</v>
      </c>
      <c r="P183" s="1509">
        <v>0</v>
      </c>
      <c r="Q183" s="1509">
        <v>0</v>
      </c>
      <c r="R183" s="1509">
        <v>0</v>
      </c>
      <c r="S183" s="1509">
        <v>0</v>
      </c>
      <c r="T183" s="1509">
        <v>0</v>
      </c>
      <c r="U183" s="1509">
        <v>0</v>
      </c>
      <c r="V183" s="1509">
        <v>0</v>
      </c>
      <c r="W183" s="1509">
        <v>0</v>
      </c>
      <c r="X183" s="1509">
        <v>0</v>
      </c>
      <c r="Y183" s="1509">
        <v>0</v>
      </c>
      <c r="Z183" s="1509">
        <v>0</v>
      </c>
      <c r="AA183" s="1509">
        <v>0</v>
      </c>
      <c r="AB183" s="1509">
        <v>0</v>
      </c>
      <c r="AC183" s="1509">
        <v>0</v>
      </c>
      <c r="AD183" s="1509">
        <v>0</v>
      </c>
      <c r="AE183" s="1509">
        <v>0</v>
      </c>
      <c r="AF183" s="1509">
        <v>0</v>
      </c>
      <c r="AG183" s="1509">
        <v>0</v>
      </c>
      <c r="AH183" s="1509">
        <v>0</v>
      </c>
      <c r="AI183" s="1509">
        <v>0</v>
      </c>
      <c r="AJ183" s="1509">
        <v>0</v>
      </c>
      <c r="AK183" s="1509">
        <v>0</v>
      </c>
      <c r="AL183" s="1509">
        <v>0</v>
      </c>
      <c r="AM183" s="1509">
        <v>0</v>
      </c>
      <c r="AN183" s="1509">
        <v>0</v>
      </c>
      <c r="AO183" s="1509">
        <v>1</v>
      </c>
      <c r="AP183" s="1509">
        <v>0</v>
      </c>
      <c r="AQ183" s="1509">
        <v>0</v>
      </c>
      <c r="AR183" s="1509">
        <v>0</v>
      </c>
      <c r="AS183" s="1509">
        <v>0</v>
      </c>
      <c r="AT183" s="1509">
        <v>0</v>
      </c>
      <c r="AU183" s="1509">
        <v>0</v>
      </c>
      <c r="AV183" s="1509">
        <v>0</v>
      </c>
      <c r="AW183" s="1509">
        <v>0</v>
      </c>
      <c r="AX183" s="1509">
        <v>0</v>
      </c>
      <c r="AY183" s="1509">
        <v>0</v>
      </c>
      <c r="AZ183" s="1509">
        <v>0</v>
      </c>
      <c r="BA183" s="1509">
        <v>0</v>
      </c>
      <c r="BB183" s="1509">
        <v>0</v>
      </c>
      <c r="BC183" s="1509">
        <v>0</v>
      </c>
      <c r="BD183" s="1509">
        <v>0</v>
      </c>
      <c r="BE183" s="1509">
        <v>0</v>
      </c>
      <c r="BF183" s="1509">
        <v>0</v>
      </c>
      <c r="BG183" s="1509">
        <v>0</v>
      </c>
      <c r="BH183" s="1509">
        <v>0</v>
      </c>
      <c r="BI183" s="1509">
        <v>0</v>
      </c>
      <c r="BJ183" s="1509">
        <v>0</v>
      </c>
      <c r="BK183" s="1509">
        <v>0</v>
      </c>
      <c r="BL183" s="1509">
        <v>0</v>
      </c>
      <c r="BM183" s="1509">
        <v>0</v>
      </c>
      <c r="BN183" s="1509">
        <v>0</v>
      </c>
      <c r="BO183" s="1509">
        <v>0</v>
      </c>
      <c r="BP183" s="1509">
        <v>0</v>
      </c>
      <c r="BQ183" s="1509">
        <v>0</v>
      </c>
      <c r="BR183" s="1509">
        <v>0</v>
      </c>
      <c r="BS183" s="1509">
        <v>0</v>
      </c>
      <c r="BT183" s="1509">
        <v>0</v>
      </c>
      <c r="BU183" s="1509">
        <v>0</v>
      </c>
      <c r="BV183" s="1509">
        <v>0</v>
      </c>
      <c r="BW183" s="1509">
        <v>0</v>
      </c>
      <c r="BX183" s="1509">
        <v>0</v>
      </c>
      <c r="BY183" s="1509">
        <v>0</v>
      </c>
      <c r="BZ183" s="1509">
        <v>1</v>
      </c>
      <c r="CA183" s="1509">
        <v>0</v>
      </c>
      <c r="CB183" s="1509">
        <v>0</v>
      </c>
      <c r="CC183" s="1509">
        <v>0</v>
      </c>
      <c r="CD183" s="1509">
        <v>0</v>
      </c>
      <c r="CE183" s="1509">
        <v>0</v>
      </c>
      <c r="CF183" s="1509">
        <v>0</v>
      </c>
      <c r="CG183" s="1509">
        <v>0</v>
      </c>
      <c r="CH183" s="1509">
        <v>0</v>
      </c>
      <c r="CI183" s="1509">
        <v>0</v>
      </c>
      <c r="CJ183" s="1509">
        <v>0</v>
      </c>
      <c r="CK183" s="1509">
        <v>0</v>
      </c>
      <c r="CL183" s="1509">
        <v>0</v>
      </c>
      <c r="CM183" s="1509">
        <v>0</v>
      </c>
      <c r="CN183" s="1509">
        <v>0</v>
      </c>
      <c r="CO183" s="1509">
        <v>0</v>
      </c>
      <c r="CP183" s="1509">
        <v>0</v>
      </c>
      <c r="CQ183" s="1509">
        <v>0</v>
      </c>
      <c r="CR183" s="1509">
        <v>0</v>
      </c>
      <c r="CS183" s="1509">
        <v>0</v>
      </c>
      <c r="CT183" s="1509">
        <v>0</v>
      </c>
      <c r="CU183" s="1509">
        <v>0</v>
      </c>
      <c r="CV183" s="1509">
        <v>1</v>
      </c>
      <c r="CW183" s="1509">
        <v>0</v>
      </c>
      <c r="CX183" s="1509">
        <v>0</v>
      </c>
      <c r="CY183" s="1509">
        <v>0</v>
      </c>
      <c r="CZ183" s="1509">
        <v>0</v>
      </c>
      <c r="DA183" s="1509">
        <v>0</v>
      </c>
      <c r="DB183" s="1509">
        <v>0</v>
      </c>
      <c r="DC183" s="1509">
        <v>0</v>
      </c>
      <c r="DD183" s="1509">
        <v>0</v>
      </c>
      <c r="DE183" s="1509">
        <v>0</v>
      </c>
      <c r="DF183" s="1509">
        <v>0</v>
      </c>
      <c r="DG183" s="1509">
        <v>0</v>
      </c>
      <c r="DH183" s="1509">
        <v>0</v>
      </c>
      <c r="DI183" s="1509">
        <v>0</v>
      </c>
      <c r="DJ183" s="1509">
        <v>0</v>
      </c>
      <c r="DK183" s="1509">
        <v>0</v>
      </c>
      <c r="DL183" s="1509">
        <v>0</v>
      </c>
      <c r="DM183" s="1509">
        <v>0</v>
      </c>
      <c r="DN183" s="1509">
        <v>0</v>
      </c>
      <c r="DO183" s="1509">
        <v>0</v>
      </c>
      <c r="DP183" s="1509">
        <v>0</v>
      </c>
      <c r="DQ183" s="1509">
        <v>0</v>
      </c>
      <c r="DR183" s="1509">
        <v>0</v>
      </c>
      <c r="DS183" s="1509">
        <v>0</v>
      </c>
      <c r="DT183" s="1509">
        <v>0</v>
      </c>
      <c r="DU183" s="1509">
        <v>0</v>
      </c>
      <c r="DV183" s="1509">
        <v>0</v>
      </c>
      <c r="DW183" s="1509">
        <v>0</v>
      </c>
      <c r="DX183" s="1509">
        <v>0</v>
      </c>
      <c r="DY183" s="1509">
        <v>0</v>
      </c>
      <c r="DZ183" s="1509">
        <v>0</v>
      </c>
      <c r="EA183" s="1509">
        <v>0</v>
      </c>
      <c r="EB183" s="1509">
        <v>0</v>
      </c>
      <c r="EC183" s="1509">
        <v>0</v>
      </c>
      <c r="ED183" s="1509">
        <v>0</v>
      </c>
      <c r="EE183" s="1509">
        <v>0</v>
      </c>
      <c r="EF183" s="1509">
        <v>0</v>
      </c>
      <c r="EG183" s="1509">
        <v>0</v>
      </c>
      <c r="EH183" s="1509">
        <v>0</v>
      </c>
      <c r="EI183" s="1509">
        <v>0</v>
      </c>
      <c r="EJ183" s="1509">
        <v>0</v>
      </c>
      <c r="EK183" s="1509">
        <v>0</v>
      </c>
      <c r="EL183" s="1509">
        <v>0</v>
      </c>
      <c r="EM183" s="1509">
        <v>0</v>
      </c>
      <c r="EN183" s="1509">
        <v>0</v>
      </c>
      <c r="EO183" s="1509">
        <v>0</v>
      </c>
      <c r="EP183" s="1509">
        <v>0</v>
      </c>
      <c r="EQ183" s="1509">
        <v>0</v>
      </c>
      <c r="ER183" s="1509">
        <v>0</v>
      </c>
      <c r="ES183" s="1509">
        <v>0</v>
      </c>
      <c r="ET183" s="1509">
        <v>0</v>
      </c>
      <c r="EU183" s="1509">
        <v>0</v>
      </c>
      <c r="EV183" s="1509">
        <v>0</v>
      </c>
      <c r="EW183" s="1509">
        <v>0</v>
      </c>
      <c r="EX183" s="1509">
        <v>0</v>
      </c>
      <c r="EY183" s="1509">
        <v>0</v>
      </c>
      <c r="EZ183" s="1509">
        <v>0</v>
      </c>
      <c r="FA183" s="1509">
        <v>0</v>
      </c>
      <c r="FB183" s="1509">
        <v>0</v>
      </c>
      <c r="FC183" s="1509">
        <v>1</v>
      </c>
      <c r="FD183" s="1509">
        <v>0</v>
      </c>
      <c r="FE183" s="1509">
        <v>0</v>
      </c>
      <c r="FF183" s="1509">
        <v>0</v>
      </c>
      <c r="FG183" s="1509">
        <v>0</v>
      </c>
      <c r="FH183" s="1509">
        <v>0</v>
      </c>
      <c r="FI183" s="1509">
        <v>0</v>
      </c>
      <c r="FJ183" s="1509">
        <v>0</v>
      </c>
      <c r="FK183" s="1509">
        <v>0</v>
      </c>
      <c r="FL183" s="1509">
        <v>0</v>
      </c>
      <c r="FM183" s="1509">
        <v>0</v>
      </c>
      <c r="FN183" s="1509">
        <v>0</v>
      </c>
      <c r="FO183" s="1509">
        <v>0</v>
      </c>
      <c r="FP183" s="1509">
        <v>0</v>
      </c>
      <c r="FQ183" s="1509">
        <v>0</v>
      </c>
      <c r="FR183" s="1509">
        <v>0</v>
      </c>
      <c r="FS183" s="1509">
        <v>0</v>
      </c>
      <c r="FT183" s="1509">
        <v>0</v>
      </c>
      <c r="FU183" s="1509">
        <v>0</v>
      </c>
    </row>
    <row r="184" spans="1:177" s="1509" customFormat="1" x14ac:dyDescent="0.2">
      <c r="A184" s="1512" t="s">
        <v>673</v>
      </c>
      <c r="B184" s="1512" t="s">
        <v>1253</v>
      </c>
      <c r="C184" s="1509">
        <v>5.7709937000000003E-2</v>
      </c>
      <c r="D184" s="1509">
        <v>5.3923723999999999E-2</v>
      </c>
      <c r="E184" s="1509">
        <v>5.1840562E-2</v>
      </c>
      <c r="F184" s="1509">
        <v>7.3349404000000007E-2</v>
      </c>
      <c r="G184" s="1509">
        <v>4.8740040999999998E-2</v>
      </c>
      <c r="H184" s="1509">
        <v>5.2857920000000003E-2</v>
      </c>
      <c r="I184" s="1509">
        <v>3.728451E-2</v>
      </c>
      <c r="J184" s="1509">
        <v>3.8577635999999998E-2</v>
      </c>
      <c r="K184" s="1509">
        <v>5.3156046999999998E-2</v>
      </c>
      <c r="L184" s="1509">
        <v>0.99305736700000002</v>
      </c>
      <c r="M184" s="1509">
        <v>0.992833772</v>
      </c>
      <c r="N184" s="1509">
        <v>4.042975E-2</v>
      </c>
      <c r="O184" s="1509">
        <v>3.6386401999999998E-2</v>
      </c>
      <c r="P184" s="1509">
        <v>0.99349710400000002</v>
      </c>
      <c r="Q184" s="1509">
        <v>0.63085495999999996</v>
      </c>
      <c r="R184" s="1509">
        <v>0.12921754799999999</v>
      </c>
      <c r="S184" s="1509">
        <v>1</v>
      </c>
      <c r="T184" s="1509">
        <v>1</v>
      </c>
      <c r="U184" s="1509">
        <v>5.5105053000000001E-2</v>
      </c>
      <c r="V184" s="1509">
        <v>3.7824864999999999E-2</v>
      </c>
      <c r="W184" s="1509">
        <v>5.4795745999999999E-2</v>
      </c>
      <c r="X184" s="1509">
        <v>1</v>
      </c>
      <c r="Y184" s="1509">
        <v>1</v>
      </c>
      <c r="Z184" s="1509">
        <v>1</v>
      </c>
      <c r="AA184" s="1509">
        <v>0.99323996999999997</v>
      </c>
      <c r="AB184" s="1509">
        <v>0.99315425800000001</v>
      </c>
      <c r="AC184" s="1509">
        <v>0.99314680499999997</v>
      </c>
      <c r="AD184" s="1509">
        <v>0.99315425800000001</v>
      </c>
      <c r="AE184" s="1509">
        <v>0.12832238000000001</v>
      </c>
      <c r="AF184" s="1509">
        <v>4.2069449000000002E-2</v>
      </c>
      <c r="AG184" s="1509">
        <v>0.99996646099999997</v>
      </c>
      <c r="AH184" s="1509">
        <v>4.9395920000000003E-2</v>
      </c>
      <c r="AI184" s="1509">
        <v>3.3319421000000002E-2</v>
      </c>
      <c r="AJ184" s="1509">
        <v>5.1270393999999997E-2</v>
      </c>
      <c r="AK184" s="1509">
        <v>0.13091836800000001</v>
      </c>
      <c r="AL184" s="1509">
        <v>0.63480862000000005</v>
      </c>
      <c r="AM184" s="1509">
        <v>0.62945998999999997</v>
      </c>
      <c r="AN184" s="1509">
        <v>0.63019104400000003</v>
      </c>
      <c r="AO184" s="1509">
        <v>0.91690404299999995</v>
      </c>
      <c r="AP184" s="1509">
        <v>0.16308830399999999</v>
      </c>
      <c r="AQ184" s="1509">
        <v>0.99334058800000002</v>
      </c>
      <c r="AR184" s="1509">
        <v>2.7656924999999999E-2</v>
      </c>
      <c r="AS184" s="1509">
        <v>2.2130152E-2</v>
      </c>
      <c r="AT184" s="1509">
        <v>2.8072008999999998E-2</v>
      </c>
      <c r="AU184" s="1509">
        <v>0</v>
      </c>
      <c r="AV184" s="1509">
        <v>1</v>
      </c>
      <c r="AW184" s="1509">
        <v>1</v>
      </c>
      <c r="AX184" s="1509">
        <v>0.87319127600000002</v>
      </c>
      <c r="AY184" s="1509">
        <v>0.98440767900000004</v>
      </c>
      <c r="AZ184" s="1509">
        <v>5.8021267000000001E-2</v>
      </c>
      <c r="BA184" s="1509">
        <v>7.4268542000000007E-2</v>
      </c>
      <c r="BB184" s="1509">
        <v>6.8990379000000004E-2</v>
      </c>
      <c r="BC184" s="1509">
        <v>3.1000660999999999E-2</v>
      </c>
      <c r="BD184" s="1509">
        <v>3.1062155000000001E-2</v>
      </c>
      <c r="BE184" s="1509">
        <v>2.1308555E-2</v>
      </c>
      <c r="BF184" s="1509">
        <v>3.0723937999999999E-2</v>
      </c>
      <c r="BG184" s="1509">
        <v>1</v>
      </c>
      <c r="BH184" s="1509">
        <v>4.3914109999999999E-2</v>
      </c>
      <c r="BI184" s="1509">
        <v>3.6494472999999999E-2</v>
      </c>
      <c r="BJ184" s="1509">
        <v>5.8224206000000001E-2</v>
      </c>
      <c r="BK184" s="1509">
        <v>2.3850161000000002E-2</v>
      </c>
      <c r="BL184" s="1509">
        <v>4.7819573999999997E-2</v>
      </c>
      <c r="BM184" s="1509">
        <v>0.62938539199999999</v>
      </c>
      <c r="BN184" s="1509">
        <v>5.8380723000000002E-2</v>
      </c>
      <c r="BO184" s="1509">
        <v>2.5210366000000001E-2</v>
      </c>
      <c r="BP184" s="1509">
        <v>5.2641778E-2</v>
      </c>
      <c r="BQ184" s="1509">
        <v>4.6578620000000001E-2</v>
      </c>
      <c r="BR184" s="1509">
        <v>5.1229401000000001E-2</v>
      </c>
      <c r="BS184" s="1509">
        <v>4.2069449000000002E-2</v>
      </c>
      <c r="BT184" s="1509">
        <v>6.0795191999999998E-2</v>
      </c>
      <c r="BU184" s="1509">
        <v>6.6678774999999996E-2</v>
      </c>
      <c r="BV184" s="1509">
        <v>7.3883274999999998E-2</v>
      </c>
      <c r="BW184" s="1509">
        <v>0.96938524299999995</v>
      </c>
      <c r="BX184" s="1509">
        <v>0.99160435000000002</v>
      </c>
      <c r="BY184" s="1509">
        <v>0.98493480700000002</v>
      </c>
      <c r="BZ184" s="1509">
        <v>0.97970732699999996</v>
      </c>
      <c r="CA184" s="1509">
        <v>0.96290273299999996</v>
      </c>
      <c r="CB184" s="1509">
        <v>0.63149649799999996</v>
      </c>
      <c r="CC184" s="1509">
        <v>0.96412612900000005</v>
      </c>
      <c r="CD184" s="1509">
        <v>0.12918025</v>
      </c>
      <c r="CE184" s="1509">
        <v>0.62640895799999996</v>
      </c>
      <c r="CF184" s="1509">
        <v>0.62680432399999997</v>
      </c>
      <c r="CG184" s="1509">
        <v>4.3608529E-2</v>
      </c>
      <c r="CH184" s="1509">
        <v>0.99995900800000004</v>
      </c>
      <c r="CI184" s="1509">
        <v>5.8481340999999999E-2</v>
      </c>
      <c r="CJ184" s="1509">
        <v>6.0866742000000001E-2</v>
      </c>
      <c r="CK184" s="1509">
        <v>7.0349823000000006E-2</v>
      </c>
      <c r="CL184" s="1509">
        <v>6.9436188999999995E-2</v>
      </c>
      <c r="CM184" s="1509">
        <v>1</v>
      </c>
      <c r="CN184" s="1509">
        <v>0.61474192999999999</v>
      </c>
      <c r="CO184" s="1509">
        <v>0.63222009199999996</v>
      </c>
      <c r="CP184" s="1509">
        <v>0.61013181400000005</v>
      </c>
      <c r="CQ184" s="1509">
        <v>0.99345611199999995</v>
      </c>
      <c r="CR184" s="1509">
        <v>0.99385113000000003</v>
      </c>
      <c r="CS184" s="1509">
        <v>4.9749946000000003E-2</v>
      </c>
      <c r="CT184" s="1509">
        <v>5.4344828999999997E-2</v>
      </c>
      <c r="CU184" s="1509">
        <v>5.0007081000000002E-2</v>
      </c>
      <c r="CV184" s="1509">
        <v>4.3628778E-2</v>
      </c>
      <c r="CW184" s="1509">
        <v>4.4019549999999998E-2</v>
      </c>
      <c r="CX184" s="1509">
        <v>7.1202915000000006E-2</v>
      </c>
      <c r="CY184" s="1509">
        <v>3.2274398000000003E-2</v>
      </c>
      <c r="CZ184" s="1509">
        <v>0.552441403</v>
      </c>
      <c r="DA184" s="1509">
        <v>0.98068508899999995</v>
      </c>
      <c r="DB184" s="1509">
        <v>0.87541276099999998</v>
      </c>
      <c r="DC184" s="1509">
        <v>0.86030040699999999</v>
      </c>
      <c r="DD184" s="1509">
        <v>0.92255263600000004</v>
      </c>
      <c r="DE184" s="1509">
        <v>0.89343169099999997</v>
      </c>
      <c r="DF184" s="1509">
        <v>0.91535058300000005</v>
      </c>
      <c r="DG184" s="1509">
        <v>0.89831584200000003</v>
      </c>
      <c r="DH184" s="1509">
        <v>0.90520516200000001</v>
      </c>
      <c r="DI184" s="1509">
        <v>0.89053431299999997</v>
      </c>
      <c r="DJ184" s="1509">
        <v>0.98423562399999998</v>
      </c>
      <c r="DK184" s="1509">
        <v>0.97391176099999999</v>
      </c>
      <c r="DL184" s="1509">
        <v>0.63169791099999995</v>
      </c>
      <c r="DM184" s="1509">
        <v>0.61407055399999999</v>
      </c>
      <c r="DN184" s="1509">
        <v>0.754028315</v>
      </c>
      <c r="DO184" s="1509">
        <v>0.99830482399999998</v>
      </c>
      <c r="DP184" s="1509">
        <v>0.65223328700000005</v>
      </c>
      <c r="DQ184" s="1509">
        <v>0.97497145900000004</v>
      </c>
      <c r="DR184" s="1509">
        <v>0.98307760399999999</v>
      </c>
      <c r="DS184" s="1509">
        <v>0.92759093500000001</v>
      </c>
      <c r="DT184" s="1509">
        <v>0.97567064100000001</v>
      </c>
      <c r="DU184" s="1509">
        <v>1</v>
      </c>
      <c r="DV184" s="1509">
        <v>0.99314680499999997</v>
      </c>
      <c r="DW184" s="1509">
        <v>0.58065133300000005</v>
      </c>
      <c r="DX184" s="1509">
        <v>2.9778467999999999E-2</v>
      </c>
      <c r="DY184" s="1509">
        <v>7.3079717000000002E-2</v>
      </c>
      <c r="DZ184" s="1509">
        <v>3.0969914000000001E-2</v>
      </c>
      <c r="EA184" s="1509">
        <v>0.97911300400000001</v>
      </c>
      <c r="EB184" s="1509">
        <v>0.99283004500000005</v>
      </c>
      <c r="EC184" s="1509">
        <v>5.6193215999999997E-2</v>
      </c>
      <c r="ED184" s="1509">
        <v>4.5751317E-2</v>
      </c>
      <c r="EE184" s="1509">
        <v>0.96191804700000005</v>
      </c>
      <c r="EF184" s="1509">
        <v>0.98173832599999999</v>
      </c>
      <c r="EG184" s="1509">
        <v>0.98003506799999995</v>
      </c>
      <c r="EH184" s="1509">
        <v>7.3718160000000005E-2</v>
      </c>
      <c r="EI184" s="1509">
        <v>0.63750158499999998</v>
      </c>
      <c r="EJ184" s="1509">
        <v>0.62696843800000002</v>
      </c>
      <c r="EK184" s="1509">
        <v>0.99983602999999999</v>
      </c>
      <c r="EL184" s="1509">
        <v>0.90492922099999995</v>
      </c>
      <c r="EM184" s="1509">
        <v>0.85926103099999995</v>
      </c>
      <c r="EN184" s="1509">
        <v>0.87211986900000005</v>
      </c>
      <c r="EO184" s="1509">
        <v>0.92436464600000001</v>
      </c>
      <c r="EP184" s="1509">
        <v>0.61253830499999995</v>
      </c>
      <c r="EQ184" s="1509">
        <v>0</v>
      </c>
      <c r="ER184" s="1509">
        <v>0.99829931999999999</v>
      </c>
      <c r="ES184" s="1509">
        <v>0.99761134200000001</v>
      </c>
      <c r="ET184" s="1509">
        <v>0.62681924300000003</v>
      </c>
      <c r="EU184" s="1509">
        <v>0.97804130600000005</v>
      </c>
      <c r="EV184" s="1509">
        <v>0.99315425800000001</v>
      </c>
      <c r="EW184" s="1509">
        <v>0.93535564000000004</v>
      </c>
      <c r="EX184" s="1509">
        <v>0.99867357899999998</v>
      </c>
      <c r="EY184" s="1509">
        <v>7.0812143999999994E-2</v>
      </c>
      <c r="EZ184" s="1509">
        <v>0.98591803200000006</v>
      </c>
      <c r="FA184" s="1509">
        <v>0.13121675799999999</v>
      </c>
      <c r="FB184" s="1509">
        <v>0.16257812199999999</v>
      </c>
      <c r="FC184" s="1509">
        <v>7.4169473999999999E-2</v>
      </c>
      <c r="FD184" s="1509">
        <v>7.4048390000000006E-2</v>
      </c>
      <c r="FE184" s="1509">
        <v>0.99890473999999996</v>
      </c>
      <c r="FF184" s="1509">
        <v>0.56742910599999996</v>
      </c>
      <c r="FG184" s="1509">
        <v>1</v>
      </c>
      <c r="FH184" s="1509">
        <v>1</v>
      </c>
      <c r="FI184" s="1509">
        <v>0.17282428499999999</v>
      </c>
      <c r="FJ184" s="1509">
        <v>6.7344737000000002E-2</v>
      </c>
      <c r="FK184" s="1509">
        <v>0.98620207500000001</v>
      </c>
      <c r="FL184" s="1509">
        <v>0.89586916699999997</v>
      </c>
      <c r="FM184" s="1509">
        <v>5.6755931000000003E-2</v>
      </c>
      <c r="FN184" s="1509">
        <v>2.2702371999999998E-2</v>
      </c>
      <c r="FO184" s="1509">
        <v>0.97406470700000003</v>
      </c>
      <c r="FP184" s="1509">
        <v>0.764295736</v>
      </c>
      <c r="FQ184" s="1509">
        <v>0.98925007200000004</v>
      </c>
      <c r="FR184" s="1509">
        <v>1</v>
      </c>
      <c r="FS184" s="1509">
        <v>0.57903575500000004</v>
      </c>
      <c r="FT184" s="1509">
        <v>0.89203359100000001</v>
      </c>
      <c r="FU184" s="1509">
        <v>5.8015518000000002E-2</v>
      </c>
    </row>
    <row r="185" spans="1:177" s="1509" customFormat="1" x14ac:dyDescent="0.2">
      <c r="A185" s="1512" t="s">
        <v>673</v>
      </c>
      <c r="B185" s="1512" t="s">
        <v>1030</v>
      </c>
      <c r="C185" s="1509">
        <v>1</v>
      </c>
      <c r="D185" s="1509">
        <v>1</v>
      </c>
      <c r="E185" s="1509">
        <v>0</v>
      </c>
      <c r="F185" s="1509">
        <v>1</v>
      </c>
      <c r="G185" s="1509">
        <v>0</v>
      </c>
      <c r="H185" s="1509">
        <v>0</v>
      </c>
      <c r="I185" s="1509">
        <v>1</v>
      </c>
      <c r="J185" s="1509">
        <v>1</v>
      </c>
      <c r="K185" s="1509">
        <v>1</v>
      </c>
      <c r="L185" s="1509">
        <v>1</v>
      </c>
      <c r="M185" s="1509">
        <v>1</v>
      </c>
      <c r="N185" s="1509">
        <v>1</v>
      </c>
      <c r="O185" s="1509">
        <v>1</v>
      </c>
      <c r="P185" s="1509">
        <v>1</v>
      </c>
      <c r="Q185" s="1509">
        <v>1</v>
      </c>
      <c r="R185" s="1509">
        <v>1</v>
      </c>
      <c r="S185" s="1509">
        <v>0</v>
      </c>
      <c r="T185" s="1509">
        <v>1</v>
      </c>
      <c r="U185" s="1509">
        <v>0</v>
      </c>
      <c r="V185" s="1509">
        <v>0</v>
      </c>
      <c r="W185" s="1509">
        <v>1</v>
      </c>
      <c r="X185" s="1509">
        <v>1</v>
      </c>
      <c r="Y185" s="1509">
        <v>0</v>
      </c>
      <c r="Z185" s="1509">
        <v>0</v>
      </c>
      <c r="AA185" s="1509">
        <v>0</v>
      </c>
      <c r="AB185" s="1509">
        <v>0</v>
      </c>
      <c r="AC185" s="1509">
        <v>0</v>
      </c>
      <c r="AD185" s="1509">
        <v>0</v>
      </c>
      <c r="AE185" s="1509">
        <v>1</v>
      </c>
      <c r="AF185" s="1509">
        <v>0</v>
      </c>
      <c r="AG185" s="1509">
        <v>1</v>
      </c>
      <c r="AH185" s="1509">
        <v>0</v>
      </c>
      <c r="AI185" s="1509">
        <v>1</v>
      </c>
      <c r="AJ185" s="1509">
        <v>0</v>
      </c>
      <c r="AK185" s="1509">
        <v>1</v>
      </c>
      <c r="AL185" s="1509">
        <v>0</v>
      </c>
      <c r="AM185" s="1509">
        <v>1</v>
      </c>
      <c r="AN185" s="1509">
        <v>1</v>
      </c>
      <c r="AO185" s="1509">
        <v>1</v>
      </c>
      <c r="AP185" s="1509">
        <v>1</v>
      </c>
      <c r="AQ185" s="1509">
        <v>1</v>
      </c>
      <c r="AR185" s="1509">
        <v>0</v>
      </c>
      <c r="AS185" s="1509">
        <v>0</v>
      </c>
      <c r="AT185" s="1509">
        <v>1</v>
      </c>
      <c r="AU185" s="1509">
        <v>1</v>
      </c>
      <c r="AV185" s="1509">
        <v>0</v>
      </c>
      <c r="AW185" s="1509">
        <v>1</v>
      </c>
      <c r="AX185" s="1509">
        <v>1</v>
      </c>
      <c r="AY185" s="1509">
        <v>1</v>
      </c>
      <c r="AZ185" s="1509">
        <v>1</v>
      </c>
      <c r="BA185" s="1509">
        <v>0</v>
      </c>
      <c r="BB185" s="1509">
        <v>1</v>
      </c>
      <c r="BC185" s="1509">
        <v>0</v>
      </c>
      <c r="BD185" s="1509">
        <v>1</v>
      </c>
      <c r="BE185" s="1509">
        <v>1</v>
      </c>
      <c r="BF185" s="1509">
        <v>0</v>
      </c>
      <c r="BG185" s="1509">
        <v>0</v>
      </c>
      <c r="BH185" s="1509">
        <v>0</v>
      </c>
      <c r="BI185" s="1509">
        <v>1</v>
      </c>
      <c r="BJ185" s="1509">
        <v>1</v>
      </c>
      <c r="BK185" s="1509">
        <v>1</v>
      </c>
      <c r="BL185" s="1509">
        <v>1</v>
      </c>
      <c r="BM185" s="1509">
        <v>1</v>
      </c>
      <c r="BN185" s="1509">
        <v>0</v>
      </c>
      <c r="BO185" s="1509">
        <v>1</v>
      </c>
      <c r="BP185" s="1509">
        <v>0</v>
      </c>
      <c r="BQ185" s="1509">
        <v>1</v>
      </c>
      <c r="BR185" s="1509">
        <v>0</v>
      </c>
      <c r="BS185" s="1509">
        <v>0</v>
      </c>
      <c r="BT185" s="1509">
        <v>0</v>
      </c>
      <c r="BU185" s="1509">
        <v>0</v>
      </c>
      <c r="BV185" s="1509">
        <v>1</v>
      </c>
      <c r="BW185" s="1509">
        <v>1</v>
      </c>
      <c r="BX185" s="1509">
        <v>1</v>
      </c>
      <c r="BY185" s="1509">
        <v>1</v>
      </c>
      <c r="BZ185" s="1509">
        <v>1</v>
      </c>
      <c r="CA185" s="1509">
        <v>1</v>
      </c>
      <c r="CB185" s="1509">
        <v>1</v>
      </c>
      <c r="CC185" s="1509">
        <v>1</v>
      </c>
      <c r="CD185" s="1509">
        <v>1</v>
      </c>
      <c r="CE185" s="1509">
        <v>0</v>
      </c>
      <c r="CF185" s="1509">
        <v>1</v>
      </c>
      <c r="CG185" s="1509">
        <v>1</v>
      </c>
      <c r="CH185" s="1509">
        <v>0</v>
      </c>
      <c r="CI185" s="1509">
        <v>1</v>
      </c>
      <c r="CJ185" s="1509">
        <v>1</v>
      </c>
      <c r="CK185" s="1509">
        <v>0</v>
      </c>
      <c r="CL185" s="1509">
        <v>0</v>
      </c>
      <c r="CM185" s="1509">
        <v>0</v>
      </c>
      <c r="CN185" s="1509">
        <v>0</v>
      </c>
      <c r="CO185" s="1509">
        <v>0</v>
      </c>
      <c r="CP185" s="1509">
        <v>0</v>
      </c>
      <c r="CQ185" s="1509">
        <v>1</v>
      </c>
      <c r="CR185" s="1509">
        <v>1</v>
      </c>
      <c r="CS185" s="1509">
        <v>0</v>
      </c>
      <c r="CT185" s="1509">
        <v>1</v>
      </c>
      <c r="CU185" s="1509">
        <v>0</v>
      </c>
      <c r="CV185" s="1509">
        <v>1</v>
      </c>
      <c r="CW185" s="1509">
        <v>1</v>
      </c>
      <c r="CX185" s="1509">
        <v>1</v>
      </c>
      <c r="CY185" s="1509">
        <v>1</v>
      </c>
      <c r="CZ185" s="1509">
        <v>1</v>
      </c>
      <c r="DA185" s="1509">
        <v>1</v>
      </c>
      <c r="DB185" s="1509">
        <v>1</v>
      </c>
      <c r="DC185" s="1509">
        <v>0</v>
      </c>
      <c r="DD185" s="1509">
        <v>0</v>
      </c>
      <c r="DE185" s="1509">
        <v>0</v>
      </c>
      <c r="DF185" s="1509">
        <v>1</v>
      </c>
      <c r="DG185" s="1509">
        <v>0</v>
      </c>
      <c r="DH185" s="1509">
        <v>0</v>
      </c>
      <c r="DI185" s="1509">
        <v>1</v>
      </c>
      <c r="DJ185" s="1509">
        <v>1</v>
      </c>
      <c r="DK185" s="1509">
        <v>1</v>
      </c>
      <c r="DL185" s="1509">
        <v>1</v>
      </c>
      <c r="DM185" s="1509">
        <v>1</v>
      </c>
      <c r="DN185" s="1509">
        <v>1</v>
      </c>
      <c r="DO185" s="1509">
        <v>1</v>
      </c>
      <c r="DP185" s="1509">
        <v>1</v>
      </c>
      <c r="DQ185" s="1509">
        <v>1</v>
      </c>
      <c r="DR185" s="1509">
        <v>1</v>
      </c>
      <c r="DS185" s="1509">
        <v>1</v>
      </c>
      <c r="DT185" s="1509">
        <v>1</v>
      </c>
      <c r="DU185" s="1509">
        <v>0</v>
      </c>
      <c r="DV185" s="1509">
        <v>1</v>
      </c>
      <c r="DW185" s="1509">
        <v>1</v>
      </c>
      <c r="DX185" s="1509">
        <v>1</v>
      </c>
      <c r="DY185" s="1509">
        <v>0</v>
      </c>
      <c r="DZ185" s="1509">
        <v>0</v>
      </c>
      <c r="EA185" s="1509">
        <v>0</v>
      </c>
      <c r="EB185" s="1509">
        <v>1</v>
      </c>
      <c r="EC185" s="1509">
        <v>0</v>
      </c>
      <c r="ED185" s="1509">
        <v>0</v>
      </c>
      <c r="EE185" s="1509">
        <v>1</v>
      </c>
      <c r="EF185" s="1509">
        <v>0</v>
      </c>
      <c r="EG185" s="1509">
        <v>1</v>
      </c>
      <c r="EH185" s="1509">
        <v>0</v>
      </c>
      <c r="EI185" s="1509">
        <v>1</v>
      </c>
      <c r="EJ185" s="1509">
        <v>1</v>
      </c>
      <c r="EK185" s="1509">
        <v>1</v>
      </c>
      <c r="EL185" s="1509">
        <v>0</v>
      </c>
      <c r="EM185" s="1509">
        <v>0</v>
      </c>
      <c r="EN185" s="1509">
        <v>1</v>
      </c>
      <c r="EO185" s="1509">
        <v>0</v>
      </c>
      <c r="EP185" s="1509">
        <v>1</v>
      </c>
      <c r="EQ185" s="1509">
        <v>0</v>
      </c>
      <c r="ER185" s="1509">
        <v>1</v>
      </c>
      <c r="ES185" s="1509">
        <v>1</v>
      </c>
      <c r="ET185" s="1509">
        <v>1</v>
      </c>
      <c r="EU185" s="1509">
        <v>1</v>
      </c>
      <c r="EV185" s="1509">
        <v>0</v>
      </c>
      <c r="EW185" s="1509">
        <v>1</v>
      </c>
      <c r="EX185" s="1509">
        <v>1</v>
      </c>
      <c r="EY185" s="1509">
        <v>1</v>
      </c>
      <c r="EZ185" s="1509">
        <v>1</v>
      </c>
      <c r="FA185" s="1509">
        <v>1</v>
      </c>
      <c r="FB185" s="1509">
        <v>1</v>
      </c>
      <c r="FC185" s="1509">
        <v>1</v>
      </c>
      <c r="FD185" s="1509">
        <v>1</v>
      </c>
      <c r="FE185" s="1509">
        <v>1</v>
      </c>
      <c r="FF185" s="1509">
        <v>1</v>
      </c>
      <c r="FG185" s="1509">
        <v>1</v>
      </c>
      <c r="FH185" s="1509">
        <v>1</v>
      </c>
      <c r="FI185" s="1509">
        <v>1</v>
      </c>
      <c r="FJ185" s="1509">
        <v>0</v>
      </c>
      <c r="FK185" s="1509">
        <v>1</v>
      </c>
      <c r="FL185" s="1509">
        <v>1</v>
      </c>
      <c r="FM185" s="1509">
        <v>1</v>
      </c>
      <c r="FN185" s="1509">
        <v>1</v>
      </c>
      <c r="FO185" s="1509">
        <v>1</v>
      </c>
      <c r="FP185" s="1509">
        <v>0</v>
      </c>
      <c r="FQ185" s="1509">
        <v>1</v>
      </c>
      <c r="FR185" s="1509">
        <v>1</v>
      </c>
      <c r="FS185" s="1509">
        <v>0</v>
      </c>
      <c r="FT185" s="1509">
        <v>1</v>
      </c>
      <c r="FU185" s="1509">
        <v>0</v>
      </c>
    </row>
    <row r="186" spans="1:177" s="1509" customFormat="1" x14ac:dyDescent="0.2">
      <c r="A186" s="1512" t="s">
        <v>673</v>
      </c>
      <c r="B186" s="1512" t="s">
        <v>1016</v>
      </c>
      <c r="C186" s="1509">
        <v>0.97998822399999996</v>
      </c>
      <c r="D186" s="1509">
        <v>0.99562125899999998</v>
      </c>
      <c r="E186" s="1509">
        <v>0.990690984</v>
      </c>
      <c r="F186" s="1509">
        <v>0.98298218999999998</v>
      </c>
      <c r="G186" s="1509">
        <v>0.99218907199999995</v>
      </c>
      <c r="H186" s="1509">
        <v>0.990206527</v>
      </c>
      <c r="I186" s="1509">
        <v>0.98833578</v>
      </c>
      <c r="J186" s="1509">
        <v>0.98975188400000003</v>
      </c>
      <c r="K186" s="1509">
        <v>0.99528586699999999</v>
      </c>
      <c r="L186" s="1509">
        <v>0.995062271</v>
      </c>
      <c r="M186" s="1509">
        <v>0.99367598099999999</v>
      </c>
      <c r="N186" s="1509">
        <v>0.99614670800000005</v>
      </c>
      <c r="O186" s="1509">
        <v>0.99511071699999998</v>
      </c>
      <c r="P186" s="1509">
        <v>0.99690320600000004</v>
      </c>
      <c r="Q186" s="1509">
        <v>0.94981089600000002</v>
      </c>
      <c r="R186" s="1509">
        <v>0.86380013899999997</v>
      </c>
      <c r="S186" s="1509">
        <v>0.98299930700000004</v>
      </c>
      <c r="T186" s="1509">
        <v>0.93485179399999996</v>
      </c>
      <c r="U186" s="1509">
        <v>0.99506972400000004</v>
      </c>
      <c r="V186" s="1509">
        <v>0.99637030400000004</v>
      </c>
      <c r="W186" s="1509">
        <v>0.99607217699999995</v>
      </c>
      <c r="X186" s="1509">
        <v>0.99234931500000001</v>
      </c>
      <c r="Y186" s="1509">
        <v>0.99284122500000005</v>
      </c>
      <c r="Z186" s="1509">
        <v>0.92840852299999999</v>
      </c>
      <c r="AA186" s="1509">
        <v>0.99906090000000003</v>
      </c>
      <c r="AB186" s="1509">
        <v>0.99947082499999995</v>
      </c>
      <c r="AC186" s="1509">
        <v>0.99947082499999995</v>
      </c>
      <c r="AD186" s="1509">
        <v>0.99949691100000004</v>
      </c>
      <c r="AE186" s="1509">
        <v>0.79515564699999997</v>
      </c>
      <c r="AF186" s="1509">
        <v>0.96960222399999996</v>
      </c>
      <c r="AG186" s="1509">
        <v>0.99905717299999997</v>
      </c>
      <c r="AH186" s="1509">
        <v>0.99816651899999997</v>
      </c>
      <c r="AI186" s="1509">
        <v>0.99051583399999998</v>
      </c>
      <c r="AJ186" s="1509">
        <v>0.99008727699999999</v>
      </c>
      <c r="AK186" s="1509">
        <v>0.59730106699999996</v>
      </c>
      <c r="AL186" s="1509">
        <v>0.85350570299999995</v>
      </c>
      <c r="AM186" s="1509">
        <v>0.87299799300000003</v>
      </c>
      <c r="AN186" s="1509">
        <v>0.80301074900000002</v>
      </c>
      <c r="AO186" s="1509">
        <v>0.62537732199999996</v>
      </c>
      <c r="AP186" s="1509">
        <v>0.84320394499999995</v>
      </c>
      <c r="AQ186" s="1509">
        <v>0.97142825200000005</v>
      </c>
      <c r="AR186" s="1509">
        <v>0.92631481900000001</v>
      </c>
      <c r="AS186" s="1509">
        <v>0.83184466599999995</v>
      </c>
      <c r="AT186" s="1509">
        <v>0.98810859799999995</v>
      </c>
      <c r="AU186" s="1509">
        <v>0.96628591600000002</v>
      </c>
      <c r="AV186" s="1509">
        <v>0.99740256800000004</v>
      </c>
      <c r="AW186" s="1509">
        <v>0.724552996</v>
      </c>
      <c r="AX186" s="1509">
        <v>0.170174413</v>
      </c>
      <c r="AY186" s="1509">
        <v>0.97362019200000005</v>
      </c>
      <c r="AZ186" s="1509">
        <v>0.99036831599999997</v>
      </c>
      <c r="BA186" s="1509">
        <v>0.97504017799999998</v>
      </c>
      <c r="BB186" s="1509">
        <v>0.96853466300000002</v>
      </c>
      <c r="BC186" s="1509">
        <v>0.96276538499999997</v>
      </c>
      <c r="BD186" s="1509">
        <v>0.98532599499999995</v>
      </c>
      <c r="BE186" s="1509">
        <v>0.99875991200000003</v>
      </c>
      <c r="BF186" s="1509">
        <v>0.94553937899999996</v>
      </c>
      <c r="BG186" s="1509">
        <v>0.99037621799999997</v>
      </c>
      <c r="BH186" s="1509">
        <v>0.98991585400000004</v>
      </c>
      <c r="BI186" s="1509">
        <v>0.99996273400000002</v>
      </c>
      <c r="BJ186" s="1509">
        <v>0.96211923600000004</v>
      </c>
      <c r="BK186" s="1509">
        <v>0.98815317800000002</v>
      </c>
      <c r="BL186" s="1509">
        <v>0.98849975000000001</v>
      </c>
      <c r="BM186" s="1509">
        <v>7.348586E-2</v>
      </c>
      <c r="BN186" s="1509">
        <v>0.98821652999999998</v>
      </c>
      <c r="BO186" s="1509">
        <v>0.98959536699999995</v>
      </c>
      <c r="BP186" s="1509">
        <v>0.98992330699999997</v>
      </c>
      <c r="BQ186" s="1509">
        <v>0.98053230599999996</v>
      </c>
      <c r="BR186" s="1509">
        <v>0.94621788600000001</v>
      </c>
      <c r="BS186" s="1509">
        <v>0.995073451</v>
      </c>
      <c r="BT186" s="1509">
        <v>0.983780243</v>
      </c>
      <c r="BU186" s="1509">
        <v>0.98904739900000005</v>
      </c>
      <c r="BV186" s="1509">
        <v>0.98550293899999997</v>
      </c>
      <c r="BW186" s="1509">
        <v>0.98220107000000001</v>
      </c>
      <c r="BX186" s="1509">
        <v>0.750544871</v>
      </c>
      <c r="BY186" s="1509">
        <v>0.67140617599999997</v>
      </c>
      <c r="BZ186" s="1509">
        <v>0.587274882</v>
      </c>
      <c r="CA186" s="1509">
        <v>0.92656635799999998</v>
      </c>
      <c r="CB186" s="1509">
        <v>0.15687079000000001</v>
      </c>
      <c r="CC186" s="1509">
        <v>0.28761012400000002</v>
      </c>
      <c r="CD186" s="1509">
        <v>0.96230595399999996</v>
      </c>
      <c r="CE186" s="1509">
        <v>0.86466546799999999</v>
      </c>
      <c r="CF186" s="1509">
        <v>0.42149746700000001</v>
      </c>
      <c r="CG186" s="1509">
        <v>0.98100930900000005</v>
      </c>
      <c r="CH186" s="1509">
        <v>0.99873668699999996</v>
      </c>
      <c r="CI186" s="1509">
        <v>0.99563616600000004</v>
      </c>
      <c r="CJ186" s="1509">
        <v>0.99620236399999995</v>
      </c>
      <c r="CK186" s="1509">
        <v>0.92561037400000001</v>
      </c>
      <c r="CL186" s="1509">
        <v>0.91820773600000005</v>
      </c>
      <c r="CM186" s="1509">
        <v>0.56901420800000002</v>
      </c>
      <c r="CN186" s="1509">
        <v>0.26764787099999998</v>
      </c>
      <c r="CO186" s="1509">
        <v>0.51302096900000005</v>
      </c>
      <c r="CP186" s="1509">
        <v>5.4672406E-2</v>
      </c>
      <c r="CQ186" s="1509">
        <v>0.98983759500000001</v>
      </c>
      <c r="CR186" s="1509">
        <v>0.98495203899999995</v>
      </c>
      <c r="CS186" s="1509">
        <v>0.99402628000000004</v>
      </c>
      <c r="CT186" s="1509">
        <v>0.98419181499999997</v>
      </c>
      <c r="CU186" s="1509">
        <v>0.99242757400000003</v>
      </c>
      <c r="CV186" s="1509">
        <v>0.99820575499999997</v>
      </c>
      <c r="CW186" s="1509">
        <v>0.99723157900000003</v>
      </c>
      <c r="CX186" s="1509">
        <v>0.98973537599999994</v>
      </c>
      <c r="CY186" s="1509">
        <v>0.98855205499999999</v>
      </c>
      <c r="CZ186" s="1509">
        <v>0.26072398099999999</v>
      </c>
      <c r="DA186" s="1509">
        <v>0.882865118</v>
      </c>
      <c r="DB186" s="1509">
        <v>0.99457316600000001</v>
      </c>
      <c r="DC186" s="1509">
        <v>0.95255659100000001</v>
      </c>
      <c r="DD186" s="1509">
        <v>0.46198916499999998</v>
      </c>
      <c r="DE186" s="1509">
        <v>5.4700650000000003E-2</v>
      </c>
      <c r="DF186" s="1509">
        <v>0.140858544</v>
      </c>
      <c r="DG186" s="1509">
        <v>0.9748618</v>
      </c>
      <c r="DH186" s="1509">
        <v>0.98606499299999995</v>
      </c>
      <c r="DI186" s="1509">
        <v>0.53722900299999998</v>
      </c>
      <c r="DJ186" s="1509">
        <v>0.10129403300000001</v>
      </c>
      <c r="DK186" s="1509">
        <v>0.208973568</v>
      </c>
      <c r="DL186" s="1509">
        <v>2.4035270000000001E-2</v>
      </c>
      <c r="DM186" s="1509">
        <v>0.97146650999999995</v>
      </c>
      <c r="DN186" s="1509">
        <v>0.48503465000000001</v>
      </c>
      <c r="DO186" s="1509">
        <v>0.96751095300000001</v>
      </c>
      <c r="DP186" s="1509">
        <v>3.8946639999999999E-3</v>
      </c>
      <c r="DQ186" s="1509">
        <v>0.15067924499999999</v>
      </c>
      <c r="DR186" s="1509">
        <v>0.91077232299999999</v>
      </c>
      <c r="DS186" s="1509">
        <v>0.69748348999999998</v>
      </c>
      <c r="DT186" s="1509">
        <v>0.63868663000000003</v>
      </c>
      <c r="DU186" s="1509">
        <v>0.983774437</v>
      </c>
      <c r="DV186" s="1509">
        <v>0.999455918</v>
      </c>
      <c r="DW186" s="1509">
        <v>0.94105267599999998</v>
      </c>
      <c r="DX186" s="1509">
        <v>0.98438052499999995</v>
      </c>
      <c r="DY186" s="1509">
        <v>0.98049446299999998</v>
      </c>
      <c r="DZ186" s="1509">
        <v>0.92712961400000005</v>
      </c>
      <c r="EA186" s="1509">
        <v>0.97566211000000003</v>
      </c>
      <c r="EB186" s="1509">
        <v>0.99171952200000002</v>
      </c>
      <c r="EC186" s="1509">
        <v>0.99465234700000005</v>
      </c>
      <c r="ED186" s="1509">
        <v>0.97874726999999995</v>
      </c>
      <c r="EE186" s="1509">
        <v>0.56224776799999998</v>
      </c>
      <c r="EF186" s="1509">
        <v>0.97254694799999997</v>
      </c>
      <c r="EG186" s="1509">
        <v>0.66546858900000005</v>
      </c>
      <c r="EH186" s="1509">
        <v>0.98040089799999997</v>
      </c>
      <c r="EI186" s="1509">
        <v>0.81387958500000002</v>
      </c>
      <c r="EJ186" s="1509">
        <v>0.40912922499999999</v>
      </c>
      <c r="EK186" s="1509">
        <v>0.99822614399999998</v>
      </c>
      <c r="EL186" s="1509">
        <v>0.99359817500000003</v>
      </c>
      <c r="EM186" s="1509">
        <v>0.62717648199999998</v>
      </c>
      <c r="EN186" s="1509">
        <v>6.1672752999999997E-2</v>
      </c>
      <c r="EO186" s="1509">
        <v>6.4846069999999999E-3</v>
      </c>
      <c r="EP186" s="1509">
        <v>9.9076314999999998E-2</v>
      </c>
      <c r="EQ186" s="1509">
        <v>0</v>
      </c>
      <c r="ER186" s="1509">
        <v>0.98429760300000002</v>
      </c>
      <c r="ES186" s="1509">
        <v>0.98711005399999996</v>
      </c>
      <c r="ET186" s="1509">
        <v>0.98993681600000005</v>
      </c>
      <c r="EU186" s="1509">
        <v>0.73351322699999999</v>
      </c>
      <c r="EV186" s="1509">
        <v>0.99949691100000004</v>
      </c>
      <c r="EW186" s="1509">
        <v>0.45922792400000001</v>
      </c>
      <c r="EX186" s="1509">
        <v>0.99281751500000004</v>
      </c>
      <c r="EY186" s="1509">
        <v>0.99343394299999999</v>
      </c>
      <c r="EZ186" s="1509">
        <v>0.52004413599999999</v>
      </c>
      <c r="FA186" s="1509">
        <v>0.78480153399999997</v>
      </c>
      <c r="FB186" s="1509">
        <v>0.93180562099999997</v>
      </c>
      <c r="FC186" s="1509">
        <v>0.99149659899999998</v>
      </c>
      <c r="FD186" s="1509">
        <v>0.991722255</v>
      </c>
      <c r="FE186" s="1509">
        <v>0.99724258600000004</v>
      </c>
      <c r="FF186" s="1509">
        <v>0.99504697900000005</v>
      </c>
      <c r="FG186" s="1509">
        <v>4.6054507000000001E-2</v>
      </c>
      <c r="FH186" s="1509">
        <v>1.8681279999999999E-3</v>
      </c>
      <c r="FI186" s="1509">
        <v>0.55722545800000001</v>
      </c>
      <c r="FJ186" s="1509">
        <v>0.99468330999999999</v>
      </c>
      <c r="FK186" s="1509">
        <v>0.82587629900000004</v>
      </c>
      <c r="FL186" s="1509">
        <v>0.93277164099999998</v>
      </c>
      <c r="FM186" s="1509">
        <v>0.99807335399999997</v>
      </c>
      <c r="FN186" s="1509">
        <v>0.99787211799999997</v>
      </c>
      <c r="FO186" s="1509">
        <v>0.83914437600000003</v>
      </c>
      <c r="FP186" s="1509">
        <v>7.6569873999999996E-2</v>
      </c>
      <c r="FQ186" s="1509">
        <v>0.77094132900000001</v>
      </c>
      <c r="FR186" s="1509">
        <v>0.95268366199999999</v>
      </c>
      <c r="FS186" s="1509">
        <v>0.81140257599999999</v>
      </c>
      <c r="FT186" s="1509">
        <v>0.12306956500000001</v>
      </c>
      <c r="FU186" s="1509">
        <v>0.98599548299999995</v>
      </c>
    </row>
    <row r="187" spans="1:177" s="1509" customFormat="1" x14ac:dyDescent="0.2">
      <c r="A187" s="1512" t="s">
        <v>673</v>
      </c>
      <c r="B187" s="1512" t="s">
        <v>1011</v>
      </c>
      <c r="C187" s="1509">
        <v>0.68050845599999998</v>
      </c>
      <c r="D187" s="1509">
        <v>0.98817553700000005</v>
      </c>
      <c r="E187" s="1509">
        <v>0.85599347100000001</v>
      </c>
      <c r="F187" s="1509">
        <v>0.65511965299999997</v>
      </c>
      <c r="G187" s="1509">
        <v>0.91849952700000004</v>
      </c>
      <c r="H187" s="1509">
        <v>0.70084444499999998</v>
      </c>
      <c r="I187" s="1509">
        <v>0.91948334600000003</v>
      </c>
      <c r="J187" s="1509">
        <v>0.90925758899999998</v>
      </c>
      <c r="K187" s="1509">
        <v>0.934482861</v>
      </c>
      <c r="L187" s="1509">
        <v>0.88882843499999997</v>
      </c>
      <c r="M187" s="1509">
        <v>0.93471018299999997</v>
      </c>
      <c r="N187" s="1509">
        <v>0.979142289</v>
      </c>
      <c r="O187" s="1509">
        <v>0.95608961699999995</v>
      </c>
      <c r="P187" s="1509">
        <v>0.93911128300000002</v>
      </c>
      <c r="Q187" s="1509">
        <v>0.79165703099999996</v>
      </c>
      <c r="R187" s="1509">
        <v>0.96203740299999996</v>
      </c>
      <c r="S187" s="1509">
        <v>0.98418063499999997</v>
      </c>
      <c r="T187" s="1509">
        <v>0.48846621099999998</v>
      </c>
      <c r="U187" s="1509">
        <v>0.50755751999999998</v>
      </c>
      <c r="V187" s="1509">
        <v>0.72068107100000001</v>
      </c>
      <c r="W187" s="1509">
        <v>0.83343643599999995</v>
      </c>
      <c r="X187" s="1509">
        <v>0.62348793700000005</v>
      </c>
      <c r="Y187" s="1509">
        <v>0.95408843899999995</v>
      </c>
      <c r="Z187" s="1509">
        <v>0.729636061</v>
      </c>
      <c r="AA187" s="1509">
        <v>0.94749237900000005</v>
      </c>
      <c r="AB187" s="1509">
        <v>0.82425412300000001</v>
      </c>
      <c r="AC187" s="1509">
        <v>0.77927793599999995</v>
      </c>
      <c r="AD187" s="1509">
        <v>0.59727139200000001</v>
      </c>
      <c r="AE187" s="1509">
        <v>0.88380715099999996</v>
      </c>
      <c r="AF187" s="1509">
        <v>0.75523026599999998</v>
      </c>
      <c r="AG187" s="1509">
        <v>0.99996273400000002</v>
      </c>
      <c r="AH187" s="1509">
        <v>0.75657183699999997</v>
      </c>
      <c r="AI187" s="1509">
        <v>0.77334148199999997</v>
      </c>
      <c r="AJ187" s="1509">
        <v>0.75228998800000002</v>
      </c>
      <c r="AK187" s="1509">
        <v>0.92289616799999996</v>
      </c>
      <c r="AL187" s="1509">
        <v>0.657075933</v>
      </c>
      <c r="AM187" s="1509">
        <v>0.97480101200000002</v>
      </c>
      <c r="AN187" s="1509">
        <v>0.76201949999999996</v>
      </c>
      <c r="AO187" s="1509">
        <v>0.61277156600000005</v>
      </c>
      <c r="AP187" s="1509">
        <v>0</v>
      </c>
      <c r="AQ187" s="1509">
        <v>0.91576048499999996</v>
      </c>
      <c r="AR187" s="1509">
        <v>0.55402247599999999</v>
      </c>
      <c r="AS187" s="1509">
        <v>0.154319185</v>
      </c>
      <c r="AT187" s="1509">
        <v>2.745707E-2</v>
      </c>
      <c r="AU187" s="1509">
        <v>2.1230802E-2</v>
      </c>
      <c r="AV187" s="1509">
        <v>0.74900313799999996</v>
      </c>
      <c r="AW187" s="1509">
        <v>0.930655656</v>
      </c>
      <c r="AX187" s="1509">
        <v>0.990451792</v>
      </c>
      <c r="AY187" s="1509">
        <v>0.86183211100000001</v>
      </c>
      <c r="AZ187" s="1509">
        <v>0.87591638599999999</v>
      </c>
      <c r="BA187" s="1509">
        <v>0.87709420299999996</v>
      </c>
      <c r="BB187" s="1509">
        <v>0.951748013</v>
      </c>
      <c r="BC187" s="1509">
        <v>6.1194212999999997E-2</v>
      </c>
      <c r="BD187" s="1509">
        <v>0.97893830599999998</v>
      </c>
      <c r="BE187" s="1509">
        <v>0.99975547600000003</v>
      </c>
      <c r="BF187" s="1509">
        <v>0.13354189999999999</v>
      </c>
      <c r="BG187" s="1509">
        <v>0.25124882100000001</v>
      </c>
      <c r="BH187" s="1509">
        <v>0.71104038899999999</v>
      </c>
      <c r="BI187" s="1509">
        <v>0.59664905199999996</v>
      </c>
      <c r="BJ187" s="1509">
        <v>0.51278592199999995</v>
      </c>
      <c r="BK187" s="1509">
        <v>0.97589643100000001</v>
      </c>
      <c r="BL187" s="1509">
        <v>1.7559681000000001E-2</v>
      </c>
      <c r="BM187" s="1509">
        <v>0</v>
      </c>
      <c r="BN187" s="1509">
        <v>0.89992994000000004</v>
      </c>
      <c r="BO187" s="1509">
        <v>0.982268896</v>
      </c>
      <c r="BP187" s="1509">
        <v>0.985324698</v>
      </c>
      <c r="BQ187" s="1509">
        <v>0.97512129999999997</v>
      </c>
      <c r="BR187" s="1509">
        <v>0.40784148599999998</v>
      </c>
      <c r="BS187" s="1509">
        <v>1.7559681000000001E-2</v>
      </c>
      <c r="BT187" s="1509">
        <v>0.87595491299999995</v>
      </c>
      <c r="BU187" s="1509">
        <v>0.56564956099999997</v>
      </c>
      <c r="BV187" s="1509">
        <v>0.91104176299999995</v>
      </c>
      <c r="BW187" s="1509">
        <v>0</v>
      </c>
      <c r="BX187" s="1509">
        <v>0.89766265499999998</v>
      </c>
      <c r="BY187" s="1509">
        <v>5.0035230000000002E-3</v>
      </c>
      <c r="BZ187" s="1509">
        <v>5.0035230000000002E-3</v>
      </c>
      <c r="CA187" s="1509">
        <v>0</v>
      </c>
      <c r="CB187" s="1509">
        <v>0</v>
      </c>
      <c r="CC187" s="1509">
        <v>0.85016374100000003</v>
      </c>
      <c r="CD187" s="1509">
        <v>0.99643424599999997</v>
      </c>
      <c r="CE187" s="1509">
        <v>0.83443115800000001</v>
      </c>
      <c r="CF187" s="1509">
        <v>0.52433738900000004</v>
      </c>
      <c r="CG187" s="1509">
        <v>0.78305669600000005</v>
      </c>
      <c r="CH187" s="1509">
        <v>0.970627036</v>
      </c>
      <c r="CI187" s="1509">
        <v>0.98713581900000003</v>
      </c>
      <c r="CJ187" s="1509">
        <v>0.96746141799999996</v>
      </c>
      <c r="CK187" s="1509">
        <v>0.56985998299999996</v>
      </c>
      <c r="CL187" s="1509">
        <v>0.493307355</v>
      </c>
      <c r="CM187" s="1509">
        <v>0.81393011500000001</v>
      </c>
      <c r="CN187" s="1509">
        <v>0.841010645</v>
      </c>
      <c r="CO187" s="1509">
        <v>4.3997522999999997E-2</v>
      </c>
      <c r="CP187" s="1509">
        <v>4.3997522999999997E-2</v>
      </c>
      <c r="CQ187" s="1509">
        <v>0.99986956900000001</v>
      </c>
      <c r="CR187" s="1509">
        <v>0.99967578700000004</v>
      </c>
      <c r="CS187" s="1509">
        <v>0.797154378</v>
      </c>
      <c r="CT187" s="1509">
        <v>0.38095788200000003</v>
      </c>
      <c r="CU187" s="1509">
        <v>0.544603528</v>
      </c>
      <c r="CV187" s="1509">
        <v>0.88224027500000002</v>
      </c>
      <c r="CW187" s="1509">
        <v>0.68419633199999996</v>
      </c>
      <c r="CX187" s="1509">
        <v>0.98521123700000002</v>
      </c>
      <c r="CY187" s="1509">
        <v>0.99706646399999999</v>
      </c>
      <c r="CZ187" s="1509">
        <v>0.90623310099999999</v>
      </c>
      <c r="DA187" s="1509">
        <v>0.97111503200000004</v>
      </c>
      <c r="DB187" s="1509">
        <v>0.96487274499999998</v>
      </c>
      <c r="DC187" s="1509">
        <v>0.57415907099999997</v>
      </c>
      <c r="DD187" s="1509">
        <v>0.92735400400000001</v>
      </c>
      <c r="DE187" s="1509">
        <v>0.687184393</v>
      </c>
      <c r="DF187" s="1509">
        <v>0.77595452499999995</v>
      </c>
      <c r="DG187" s="1509">
        <v>0.88606407300000001</v>
      </c>
      <c r="DH187" s="1509">
        <v>0.227264784</v>
      </c>
      <c r="DI187" s="1509">
        <v>0.47442489399999999</v>
      </c>
      <c r="DJ187" s="1509">
        <v>0.89071453199999995</v>
      </c>
      <c r="DK187" s="1509">
        <v>0.99383299400000003</v>
      </c>
      <c r="DL187" s="1509">
        <v>0.73173297100000001</v>
      </c>
      <c r="DM187" s="1509">
        <v>4.3997522999999997E-2</v>
      </c>
      <c r="DN187" s="1509">
        <v>0.123400366</v>
      </c>
      <c r="DO187" s="1509">
        <v>0.95677299999999998</v>
      </c>
      <c r="DP187" s="1509">
        <v>0.94785083400000003</v>
      </c>
      <c r="DQ187" s="1509">
        <v>0.99719780899999999</v>
      </c>
      <c r="DR187" s="1509">
        <v>0.97177597800000004</v>
      </c>
      <c r="DS187" s="1509">
        <v>0.96578376700000002</v>
      </c>
      <c r="DT187" s="1509">
        <v>0.98961605100000005</v>
      </c>
      <c r="DU187" s="1509">
        <v>0.70606912099999997</v>
      </c>
      <c r="DV187" s="1509">
        <v>0.84065110899999995</v>
      </c>
      <c r="DW187" s="1509">
        <v>0.48154840399999999</v>
      </c>
      <c r="DX187" s="1509">
        <v>0.33894722300000002</v>
      </c>
      <c r="DY187" s="1509">
        <v>0.58709794599999998</v>
      </c>
      <c r="DZ187" s="1509">
        <v>0.19649638</v>
      </c>
      <c r="EA187" s="1509">
        <v>0.91830130099999996</v>
      </c>
      <c r="EB187" s="1509">
        <v>0.43671881400000001</v>
      </c>
      <c r="EC187" s="1509">
        <v>0.77937482800000002</v>
      </c>
      <c r="ED187" s="1509">
        <v>0.96503342700000005</v>
      </c>
      <c r="EE187" s="1509">
        <v>0.96158981899999996</v>
      </c>
      <c r="EF187" s="1509">
        <v>0.96452788199999995</v>
      </c>
      <c r="EG187" s="1509">
        <v>0.24273096199999999</v>
      </c>
      <c r="EH187" s="1509">
        <v>0.99175527799999996</v>
      </c>
      <c r="EI187" s="1509">
        <v>0.74489194599999997</v>
      </c>
      <c r="EJ187" s="1509">
        <v>0.59021431800000002</v>
      </c>
      <c r="EK187" s="1509">
        <v>0.944097458</v>
      </c>
      <c r="EL187" s="1509">
        <v>0.68726717500000001</v>
      </c>
      <c r="EM187" s="1509">
        <v>0.94177650599999996</v>
      </c>
      <c r="EN187" s="1509">
        <v>0.96298715000000001</v>
      </c>
      <c r="EO187" s="1509">
        <v>0.47434211100000001</v>
      </c>
      <c r="EP187" s="1509">
        <v>0.52558843300000002</v>
      </c>
      <c r="EQ187" s="1509">
        <v>0.96916145099999995</v>
      </c>
      <c r="ER187" s="1509">
        <v>0.96977852600000003</v>
      </c>
      <c r="ES187" s="1509">
        <v>0.96507275999999997</v>
      </c>
      <c r="ET187" s="1509">
        <v>0.908886784</v>
      </c>
      <c r="EU187" s="1509">
        <v>0.42949456800000002</v>
      </c>
      <c r="EV187" s="1509">
        <v>0.69942834099999995</v>
      </c>
      <c r="EW187" s="1509">
        <v>0.97559627599999998</v>
      </c>
      <c r="EX187" s="1509">
        <v>0.30470246400000001</v>
      </c>
      <c r="EY187" s="1509">
        <v>0.93444400400000005</v>
      </c>
      <c r="EZ187" s="1509">
        <v>0.90874578699999997</v>
      </c>
      <c r="FA187" s="1509">
        <v>0.83555757799999997</v>
      </c>
      <c r="FB187" s="1509">
        <v>0.75145614599999999</v>
      </c>
      <c r="FC187" s="1509">
        <v>0.83149505800000001</v>
      </c>
      <c r="FD187" s="1509">
        <v>0.88831098799999997</v>
      </c>
      <c r="FE187" s="1509">
        <v>0.98503511399999999</v>
      </c>
      <c r="FF187" s="1509">
        <v>0.65896432999999999</v>
      </c>
      <c r="FG187" s="1509">
        <v>0.75501062399999996</v>
      </c>
      <c r="FH187" s="1509">
        <v>0.84968127100000002</v>
      </c>
      <c r="FI187" s="1509">
        <v>0.62522851899999998</v>
      </c>
      <c r="FJ187" s="1509">
        <v>0.99837086900000005</v>
      </c>
      <c r="FK187" s="1509">
        <v>0.96580015399999997</v>
      </c>
      <c r="FL187" s="1509">
        <v>0.99541938399999996</v>
      </c>
      <c r="FM187" s="1509">
        <v>0.29683016400000001</v>
      </c>
      <c r="FN187" s="1509">
        <v>0.96029320799999995</v>
      </c>
      <c r="FO187" s="1509">
        <v>0.99507294999999996</v>
      </c>
      <c r="FP187" s="1509">
        <v>0.57535819099999996</v>
      </c>
      <c r="FQ187" s="1509">
        <v>0.95438381800000005</v>
      </c>
      <c r="FR187" s="1509">
        <v>0.700162913</v>
      </c>
      <c r="FS187" s="1509">
        <v>0.37430381400000001</v>
      </c>
      <c r="FT187" s="1509">
        <v>0.37172895299999997</v>
      </c>
      <c r="FU187" s="1509">
        <v>0.96402724900000003</v>
      </c>
    </row>
    <row r="188" spans="1:177" s="1509" customFormat="1" x14ac:dyDescent="0.2">
      <c r="A188" s="1512" t="s">
        <v>673</v>
      </c>
      <c r="B188" s="1512" t="s">
        <v>1037</v>
      </c>
      <c r="C188" s="1509">
        <v>0</v>
      </c>
      <c r="D188" s="1509">
        <v>0</v>
      </c>
      <c r="E188" s="1509">
        <v>0</v>
      </c>
      <c r="F188" s="1509">
        <v>0</v>
      </c>
      <c r="G188" s="1509">
        <v>0</v>
      </c>
      <c r="H188" s="1509">
        <v>0</v>
      </c>
      <c r="I188" s="1509">
        <v>0</v>
      </c>
      <c r="J188" s="1509">
        <v>0</v>
      </c>
      <c r="K188" s="1509">
        <v>0</v>
      </c>
      <c r="L188" s="1509">
        <v>0</v>
      </c>
      <c r="M188" s="1509">
        <v>0</v>
      </c>
      <c r="N188" s="1509">
        <v>0</v>
      </c>
      <c r="O188" s="1509">
        <v>0</v>
      </c>
      <c r="P188" s="1509">
        <v>0</v>
      </c>
      <c r="Q188" s="1509">
        <v>0</v>
      </c>
      <c r="R188" s="1509">
        <v>0</v>
      </c>
      <c r="S188" s="1509">
        <v>0</v>
      </c>
      <c r="T188" s="1509">
        <v>0</v>
      </c>
      <c r="U188" s="1509">
        <v>0</v>
      </c>
      <c r="V188" s="1509">
        <v>0</v>
      </c>
      <c r="W188" s="1509">
        <v>0</v>
      </c>
      <c r="X188" s="1509">
        <v>0</v>
      </c>
      <c r="Y188" s="1509">
        <v>0</v>
      </c>
      <c r="Z188" s="1509">
        <v>0</v>
      </c>
      <c r="AA188" s="1509">
        <v>0</v>
      </c>
      <c r="AB188" s="1509">
        <v>0</v>
      </c>
      <c r="AC188" s="1509">
        <v>0</v>
      </c>
      <c r="AD188" s="1509">
        <v>0</v>
      </c>
      <c r="AE188" s="1509">
        <v>0</v>
      </c>
      <c r="AF188" s="1509">
        <v>0</v>
      </c>
      <c r="AG188" s="1509">
        <v>0</v>
      </c>
      <c r="AH188" s="1509">
        <v>0</v>
      </c>
      <c r="AI188" s="1509">
        <v>0</v>
      </c>
      <c r="AJ188" s="1509">
        <v>0</v>
      </c>
      <c r="AK188" s="1509">
        <v>0</v>
      </c>
      <c r="AL188" s="1509">
        <v>0</v>
      </c>
      <c r="AM188" s="1509">
        <v>0</v>
      </c>
      <c r="AN188" s="1509">
        <v>0</v>
      </c>
      <c r="AO188" s="1509">
        <v>0</v>
      </c>
      <c r="AP188" s="1509">
        <v>0</v>
      </c>
      <c r="AQ188" s="1509">
        <v>0</v>
      </c>
      <c r="AR188" s="1509">
        <v>0</v>
      </c>
      <c r="AS188" s="1509">
        <v>0</v>
      </c>
      <c r="AT188" s="1509">
        <v>0</v>
      </c>
      <c r="AU188" s="1509">
        <v>0</v>
      </c>
      <c r="AV188" s="1509">
        <v>0</v>
      </c>
      <c r="AW188" s="1509">
        <v>0</v>
      </c>
      <c r="AX188" s="1509">
        <v>0</v>
      </c>
      <c r="AY188" s="1509">
        <v>0</v>
      </c>
      <c r="AZ188" s="1509">
        <v>0</v>
      </c>
      <c r="BA188" s="1509">
        <v>0</v>
      </c>
      <c r="BB188" s="1509">
        <v>0</v>
      </c>
      <c r="BC188" s="1509">
        <v>0</v>
      </c>
      <c r="BD188" s="1509">
        <v>0</v>
      </c>
      <c r="BE188" s="1509">
        <v>0</v>
      </c>
      <c r="BF188" s="1509">
        <v>0</v>
      </c>
      <c r="BG188" s="1509">
        <v>0</v>
      </c>
      <c r="BH188" s="1509">
        <v>0</v>
      </c>
      <c r="BI188" s="1509">
        <v>0</v>
      </c>
      <c r="BJ188" s="1509">
        <v>0</v>
      </c>
      <c r="BK188" s="1509">
        <v>0</v>
      </c>
      <c r="BL188" s="1509">
        <v>0</v>
      </c>
      <c r="BM188" s="1509">
        <v>0</v>
      </c>
      <c r="BN188" s="1509">
        <v>0</v>
      </c>
      <c r="BO188" s="1509">
        <v>0</v>
      </c>
      <c r="BP188" s="1509">
        <v>0</v>
      </c>
      <c r="BQ188" s="1509">
        <v>0</v>
      </c>
      <c r="BR188" s="1509">
        <v>0</v>
      </c>
      <c r="BS188" s="1509">
        <v>0</v>
      </c>
      <c r="BT188" s="1509">
        <v>0</v>
      </c>
      <c r="BU188" s="1509">
        <v>0</v>
      </c>
      <c r="BV188" s="1509">
        <v>0</v>
      </c>
      <c r="BW188" s="1509">
        <v>0</v>
      </c>
      <c r="BX188" s="1509">
        <v>0</v>
      </c>
      <c r="BY188" s="1509">
        <v>0</v>
      </c>
      <c r="BZ188" s="1509">
        <v>0</v>
      </c>
      <c r="CA188" s="1509">
        <v>0</v>
      </c>
      <c r="CB188" s="1509">
        <v>0</v>
      </c>
      <c r="CC188" s="1509">
        <v>0</v>
      </c>
      <c r="CD188" s="1509">
        <v>0</v>
      </c>
      <c r="CE188" s="1509">
        <v>0</v>
      </c>
      <c r="CF188" s="1509">
        <v>0</v>
      </c>
      <c r="CG188" s="1509">
        <v>0</v>
      </c>
      <c r="CH188" s="1509">
        <v>0</v>
      </c>
      <c r="CI188" s="1509">
        <v>0</v>
      </c>
      <c r="CJ188" s="1509">
        <v>0</v>
      </c>
      <c r="CK188" s="1509">
        <v>0</v>
      </c>
      <c r="CL188" s="1509">
        <v>0</v>
      </c>
      <c r="CM188" s="1509">
        <v>0</v>
      </c>
      <c r="CN188" s="1509">
        <v>0</v>
      </c>
      <c r="CO188" s="1509">
        <v>0</v>
      </c>
      <c r="CP188" s="1509">
        <v>0</v>
      </c>
      <c r="CQ188" s="1509">
        <v>0</v>
      </c>
      <c r="CR188" s="1509">
        <v>0</v>
      </c>
      <c r="CS188" s="1509">
        <v>0</v>
      </c>
      <c r="CT188" s="1509">
        <v>0</v>
      </c>
      <c r="CU188" s="1509">
        <v>0</v>
      </c>
      <c r="CV188" s="1509">
        <v>0</v>
      </c>
      <c r="CW188" s="1509">
        <v>0</v>
      </c>
      <c r="CX188" s="1509">
        <v>0</v>
      </c>
      <c r="CY188" s="1509">
        <v>0</v>
      </c>
      <c r="CZ188" s="1509">
        <v>0</v>
      </c>
      <c r="DA188" s="1509">
        <v>0</v>
      </c>
      <c r="DB188" s="1509">
        <v>0</v>
      </c>
      <c r="DC188" s="1509">
        <v>0</v>
      </c>
      <c r="DD188" s="1509">
        <v>0</v>
      </c>
      <c r="DE188" s="1509">
        <v>0</v>
      </c>
      <c r="DF188" s="1509">
        <v>0</v>
      </c>
      <c r="DG188" s="1509">
        <v>0</v>
      </c>
      <c r="DH188" s="1509">
        <v>0</v>
      </c>
      <c r="DI188" s="1509">
        <v>0</v>
      </c>
      <c r="DJ188" s="1509">
        <v>0</v>
      </c>
      <c r="DK188" s="1509">
        <v>0</v>
      </c>
      <c r="DL188" s="1509">
        <v>0</v>
      </c>
      <c r="DM188" s="1509">
        <v>0</v>
      </c>
      <c r="DN188" s="1509">
        <v>0</v>
      </c>
      <c r="DO188" s="1509">
        <v>0</v>
      </c>
      <c r="DP188" s="1509">
        <v>0</v>
      </c>
      <c r="DQ188" s="1509">
        <v>0</v>
      </c>
      <c r="DR188" s="1509">
        <v>0</v>
      </c>
      <c r="DS188" s="1509">
        <v>0</v>
      </c>
      <c r="DT188" s="1509">
        <v>0</v>
      </c>
      <c r="DU188" s="1509">
        <v>0</v>
      </c>
      <c r="DV188" s="1509">
        <v>0</v>
      </c>
      <c r="DW188" s="1509">
        <v>0</v>
      </c>
      <c r="DX188" s="1509">
        <v>0</v>
      </c>
      <c r="DY188" s="1509">
        <v>0</v>
      </c>
      <c r="DZ188" s="1509">
        <v>0</v>
      </c>
      <c r="EA188" s="1509">
        <v>0</v>
      </c>
      <c r="EB188" s="1509">
        <v>0</v>
      </c>
      <c r="EC188" s="1509">
        <v>0</v>
      </c>
      <c r="ED188" s="1509">
        <v>0</v>
      </c>
      <c r="EE188" s="1509">
        <v>0</v>
      </c>
      <c r="EF188" s="1509">
        <v>0</v>
      </c>
      <c r="EG188" s="1509">
        <v>0</v>
      </c>
      <c r="EH188" s="1509">
        <v>0</v>
      </c>
      <c r="EI188" s="1509">
        <v>0</v>
      </c>
      <c r="EJ188" s="1509">
        <v>0</v>
      </c>
      <c r="EK188" s="1509">
        <v>0</v>
      </c>
      <c r="EL188" s="1509">
        <v>0</v>
      </c>
      <c r="EM188" s="1509">
        <v>0</v>
      </c>
      <c r="EN188" s="1509">
        <v>0</v>
      </c>
      <c r="EO188" s="1509">
        <v>0</v>
      </c>
      <c r="EP188" s="1509">
        <v>0</v>
      </c>
      <c r="EQ188" s="1509">
        <v>0</v>
      </c>
      <c r="ER188" s="1509">
        <v>0</v>
      </c>
      <c r="ES188" s="1509">
        <v>0</v>
      </c>
      <c r="ET188" s="1509">
        <v>0</v>
      </c>
      <c r="EU188" s="1509">
        <v>0</v>
      </c>
      <c r="EV188" s="1509">
        <v>0</v>
      </c>
      <c r="EW188" s="1509">
        <v>0</v>
      </c>
      <c r="EX188" s="1509">
        <v>0</v>
      </c>
      <c r="EY188" s="1509">
        <v>0</v>
      </c>
      <c r="EZ188" s="1509">
        <v>0</v>
      </c>
      <c r="FA188" s="1509">
        <v>0</v>
      </c>
      <c r="FB188" s="1509">
        <v>0</v>
      </c>
      <c r="FC188" s="1509">
        <v>0</v>
      </c>
      <c r="FD188" s="1509">
        <v>0</v>
      </c>
      <c r="FE188" s="1509">
        <v>0</v>
      </c>
      <c r="FF188" s="1509">
        <v>0</v>
      </c>
      <c r="FG188" s="1509">
        <v>0</v>
      </c>
      <c r="FH188" s="1509">
        <v>0</v>
      </c>
      <c r="FI188" s="1509">
        <v>0</v>
      </c>
      <c r="FJ188" s="1509">
        <v>0</v>
      </c>
      <c r="FK188" s="1509">
        <v>0</v>
      </c>
      <c r="FL188" s="1509">
        <v>0</v>
      </c>
      <c r="FM188" s="1509">
        <v>0</v>
      </c>
      <c r="FN188" s="1509">
        <v>0</v>
      </c>
      <c r="FO188" s="1509">
        <v>0</v>
      </c>
      <c r="FP188" s="1509">
        <v>0</v>
      </c>
      <c r="FQ188" s="1509">
        <v>0</v>
      </c>
      <c r="FR188" s="1509">
        <v>0</v>
      </c>
      <c r="FS188" s="1509">
        <v>0</v>
      </c>
      <c r="FT188" s="1509">
        <v>0</v>
      </c>
      <c r="FU188" s="1509">
        <v>0</v>
      </c>
    </row>
    <row r="189" spans="1:177" s="1509" customFormat="1" x14ac:dyDescent="0.2">
      <c r="A189" s="1512" t="s">
        <v>1883</v>
      </c>
      <c r="B189" s="1512" t="s">
        <v>1270</v>
      </c>
      <c r="C189" s="1509">
        <v>0.13222678499999996</v>
      </c>
      <c r="D189" s="1509">
        <v>0.41535056000000004</v>
      </c>
      <c r="E189" s="1509">
        <v>0.30701120199999998</v>
      </c>
      <c r="F189" s="1509">
        <v>0.56693195099999993</v>
      </c>
      <c r="G189" s="1509">
        <v>0.74322692700000004</v>
      </c>
      <c r="H189" s="1509">
        <v>0.85466307900000005</v>
      </c>
      <c r="I189" s="1509">
        <v>0.79078936600000005</v>
      </c>
      <c r="J189" s="1509">
        <v>0.51599451399999996</v>
      </c>
      <c r="K189" s="1509">
        <v>0.57979742300000003</v>
      </c>
      <c r="L189" s="1509">
        <v>0.11270319200000001</v>
      </c>
      <c r="M189" s="1509">
        <v>3.9211156000000025E-2</v>
      </c>
      <c r="N189" s="1509">
        <v>0.10008496600000005</v>
      </c>
      <c r="O189" s="1509">
        <v>0.43346550299999997</v>
      </c>
      <c r="P189" s="1509">
        <v>0.34739995999999995</v>
      </c>
      <c r="Q189" s="1509">
        <v>0.75684990299999999</v>
      </c>
      <c r="R189" s="1509">
        <v>0.10707705199999995</v>
      </c>
      <c r="S189" s="1509">
        <v>0.286637947</v>
      </c>
      <c r="T189" s="1509">
        <v>0.559595591</v>
      </c>
      <c r="U189" s="1509">
        <v>0.87154079500000003</v>
      </c>
      <c r="V189" s="1509">
        <v>0.52333216599999999</v>
      </c>
      <c r="W189" s="1509">
        <v>0.18857651799999997</v>
      </c>
      <c r="X189" s="1509">
        <v>0.21265400099999998</v>
      </c>
      <c r="Y189" s="1509">
        <v>0.14152089499999998</v>
      </c>
      <c r="Z189" s="1509">
        <v>0.71639922199999995</v>
      </c>
      <c r="AA189" s="1509">
        <v>0.753311073</v>
      </c>
      <c r="AB189" s="1509">
        <v>0.45212080099999996</v>
      </c>
      <c r="AC189" s="1509">
        <v>0.56108622600000002</v>
      </c>
      <c r="AD189" s="1509">
        <v>0.54546436999999992</v>
      </c>
      <c r="AE189" s="1509">
        <v>0.51855609299999994</v>
      </c>
      <c r="AF189" s="1509">
        <v>0.74978944800000003</v>
      </c>
      <c r="AG189" s="1509">
        <v>4.6589800000000015E-2</v>
      </c>
      <c r="AH189" s="1509">
        <v>0.87732073200000005</v>
      </c>
      <c r="AI189" s="1509">
        <v>0.426332814</v>
      </c>
      <c r="AJ189" s="1509">
        <v>0.85687667200000006</v>
      </c>
      <c r="AK189" s="1509">
        <v>0.53873468000000002</v>
      </c>
      <c r="AL189" s="1509">
        <v>0.83523680899999997</v>
      </c>
      <c r="AM189" s="1509">
        <v>0.39344886000000001</v>
      </c>
      <c r="AN189" s="1509">
        <v>0.81420035400000002</v>
      </c>
      <c r="AO189" s="1509">
        <v>0.75415586099999998</v>
      </c>
      <c r="AP189" s="1509">
        <v>0.34305514199999998</v>
      </c>
      <c r="AQ189" s="1509">
        <v>0.87224884700000005</v>
      </c>
      <c r="AR189" s="1509">
        <v>0.74472304600000006</v>
      </c>
      <c r="AS189" s="1509">
        <v>0.92762156600000001</v>
      </c>
      <c r="AT189" s="1509">
        <v>0.98076006599999999</v>
      </c>
      <c r="AU189" s="1509">
        <v>0.816471167</v>
      </c>
      <c r="AV189" s="1509">
        <v>0.93280589699999994</v>
      </c>
      <c r="AW189" s="1509">
        <v>0.81490038799999998</v>
      </c>
      <c r="AX189" s="1509">
        <v>0.12625702599999999</v>
      </c>
      <c r="AY189" s="1509">
        <v>0.69565528499999996</v>
      </c>
      <c r="AZ189" s="1509">
        <v>0.88586178800000004</v>
      </c>
      <c r="BA189" s="1509">
        <v>0.79460295400000003</v>
      </c>
      <c r="BB189" s="1509">
        <v>0.610571737</v>
      </c>
      <c r="BC189" s="1509">
        <v>0.97651697999999998</v>
      </c>
      <c r="BD189" s="1509">
        <v>0.57775915899999997</v>
      </c>
      <c r="BE189" s="1509">
        <v>0.103311559</v>
      </c>
      <c r="BF189" s="1509">
        <v>0.86846434100000003</v>
      </c>
      <c r="BG189" s="1509">
        <v>0.91473084800000004</v>
      </c>
      <c r="BH189" s="1509">
        <v>0.84909555700000006</v>
      </c>
      <c r="BI189" s="1509">
        <v>0.92574401299999998</v>
      </c>
      <c r="BJ189" s="1509">
        <v>0.91068487200000003</v>
      </c>
      <c r="BK189" s="1509">
        <v>0.30912417700000006</v>
      </c>
      <c r="BL189" s="1509">
        <v>0.76293684900000003</v>
      </c>
      <c r="BM189" s="1509">
        <v>2.5102011999999951E-2</v>
      </c>
      <c r="BN189" s="1509">
        <v>0.83403269000000002</v>
      </c>
      <c r="BO189" s="1509">
        <v>0.39686295800000004</v>
      </c>
      <c r="BP189" s="1509">
        <v>0.50771031</v>
      </c>
      <c r="BQ189" s="1509">
        <v>0.72397164800000002</v>
      </c>
      <c r="BR189" s="1509">
        <v>0.94932958700000003</v>
      </c>
      <c r="BS189" s="1509">
        <v>0.41865604300000003</v>
      </c>
      <c r="BT189" s="1509">
        <v>0.82546287100000004</v>
      </c>
      <c r="BU189" s="1509">
        <v>0.96769808199999996</v>
      </c>
      <c r="BV189" s="1509">
        <v>0.881029434</v>
      </c>
      <c r="BW189" s="1509">
        <v>0.79769195800000003</v>
      </c>
      <c r="BX189" s="1509">
        <v>0.17637965600000005</v>
      </c>
      <c r="BY189" s="1509">
        <v>0.21181945800000002</v>
      </c>
      <c r="BZ189" s="1509">
        <v>0.16065897900000004</v>
      </c>
      <c r="CA189" s="1509">
        <v>0.58739453800000008</v>
      </c>
      <c r="CB189" s="1509">
        <v>0.47869126399999995</v>
      </c>
      <c r="CC189" s="1509">
        <v>0.60042669700000006</v>
      </c>
      <c r="CD189" s="1509">
        <v>2.7325013000000009E-2</v>
      </c>
      <c r="CE189" s="1509">
        <v>0.79414858300000002</v>
      </c>
      <c r="CF189" s="1509">
        <v>0.83710174300000006</v>
      </c>
      <c r="CG189" s="1509">
        <v>0.65889797299999997</v>
      </c>
      <c r="CH189" s="1509">
        <v>0.62388668199999997</v>
      </c>
      <c r="CI189" s="1509">
        <v>0.69837371699999995</v>
      </c>
      <c r="CJ189" s="1509">
        <v>0.21777513599999998</v>
      </c>
      <c r="CK189" s="1509">
        <v>0.94318957400000003</v>
      </c>
      <c r="CL189" s="1509">
        <v>0.98325738100000004</v>
      </c>
      <c r="CM189" s="1509">
        <v>0.21730913100000004</v>
      </c>
      <c r="CN189" s="1509">
        <v>0.73045735600000006</v>
      </c>
      <c r="CO189" s="1509">
        <v>0.93214624099999999</v>
      </c>
      <c r="CP189" s="1509">
        <v>0.80107121800000003</v>
      </c>
      <c r="CQ189" s="1509">
        <v>4.3042089999999478E-3</v>
      </c>
      <c r="CR189" s="1509">
        <v>0.58130669099999999</v>
      </c>
      <c r="CS189" s="1509">
        <v>0.89639713499999996</v>
      </c>
      <c r="CT189" s="1509">
        <v>0.90110754199999998</v>
      </c>
      <c r="CU189" s="1509">
        <v>0.93447540799999995</v>
      </c>
      <c r="CV189" s="1509">
        <v>0.70821500100000001</v>
      </c>
      <c r="CW189" s="1509">
        <v>0.64743081700000005</v>
      </c>
      <c r="CX189" s="1509">
        <v>0.65232371300000003</v>
      </c>
      <c r="CY189" s="1509">
        <v>0.15230169699999996</v>
      </c>
      <c r="CZ189" s="1509">
        <v>0.17522163499999999</v>
      </c>
      <c r="DA189" s="1509">
        <v>0.16529652399999994</v>
      </c>
      <c r="DB189" s="1509">
        <v>0.602111866</v>
      </c>
      <c r="DC189" s="1509">
        <v>0.965406231</v>
      </c>
      <c r="DD189" s="1509">
        <v>0.74618052000000001</v>
      </c>
      <c r="DE189" s="1509">
        <v>0.68672449199999996</v>
      </c>
      <c r="DF189" s="1509">
        <v>0.91718098999999997</v>
      </c>
      <c r="DG189" s="1509">
        <v>0.77578896099999994</v>
      </c>
      <c r="DH189" s="1509">
        <v>0.87860447600000002</v>
      </c>
      <c r="DI189" s="1509">
        <v>0.860033665</v>
      </c>
      <c r="DJ189" s="1509">
        <v>0.21208165099999998</v>
      </c>
      <c r="DK189" s="1509">
        <v>0.11190740200000004</v>
      </c>
      <c r="DL189" s="1509">
        <v>1.1204524000000049E-2</v>
      </c>
      <c r="DM189" s="1509">
        <v>0.20403870099999999</v>
      </c>
      <c r="DN189" s="1509">
        <v>0.90616895500000005</v>
      </c>
      <c r="DO189" s="1509">
        <v>0.55965590099999996</v>
      </c>
      <c r="DP189" s="1509">
        <v>0.197240415</v>
      </c>
      <c r="DQ189" s="1509">
        <v>7.6385664999999991E-2</v>
      </c>
      <c r="DR189" s="1509">
        <v>0.14753838699999999</v>
      </c>
      <c r="DS189" s="1509">
        <v>0.177537677</v>
      </c>
      <c r="DT189" s="1509">
        <v>0.13359843999999998</v>
      </c>
      <c r="DU189" s="1509">
        <v>0.92669802000000001</v>
      </c>
      <c r="DV189" s="1509">
        <v>0.71433096600000001</v>
      </c>
      <c r="DW189" s="1509">
        <v>0.13502827299999998</v>
      </c>
      <c r="DX189" s="1509">
        <v>0.83035343699999997</v>
      </c>
      <c r="DY189" s="1509">
        <v>0.89161878299999997</v>
      </c>
      <c r="DZ189" s="1509">
        <v>0.89815056800000004</v>
      </c>
      <c r="EA189" s="1509">
        <v>0.73170530300000003</v>
      </c>
      <c r="EB189" s="1509">
        <v>0.88743096499999996</v>
      </c>
      <c r="EC189" s="1509">
        <v>0.85581832099999999</v>
      </c>
      <c r="ED189" s="1509">
        <v>0.53344985099999997</v>
      </c>
      <c r="EE189" s="1509">
        <v>0.117147695</v>
      </c>
      <c r="EF189" s="1509">
        <v>0.84490786600000001</v>
      </c>
      <c r="EG189" s="1509">
        <v>0.23251634600000004</v>
      </c>
      <c r="EH189" s="1509">
        <v>0.32894678899999996</v>
      </c>
      <c r="EI189" s="1509">
        <v>0.57367608300000006</v>
      </c>
      <c r="EJ189" s="1509">
        <v>0.75370189399999998</v>
      </c>
      <c r="EK189" s="1509">
        <v>0.75449985499999994</v>
      </c>
      <c r="EL189" s="1509">
        <v>0.90200424899999998</v>
      </c>
      <c r="EM189" s="1509">
        <v>0.72449157899999994</v>
      </c>
      <c r="EN189" s="1509">
        <v>0.62483098599999998</v>
      </c>
      <c r="EO189" s="1509">
        <v>0.92625024099999997</v>
      </c>
      <c r="EP189" s="1509">
        <v>0.217221734</v>
      </c>
      <c r="EQ189" s="1509">
        <v>3.0428263000000011E-2</v>
      </c>
      <c r="ER189" s="1509">
        <v>0.15883473100000001</v>
      </c>
      <c r="ES189" s="1509">
        <v>0.19152742</v>
      </c>
      <c r="ET189" s="1509">
        <v>0.718954443</v>
      </c>
      <c r="EU189" s="1509">
        <v>0.14149155199999996</v>
      </c>
      <c r="EV189" s="1509">
        <v>0.33644379199999996</v>
      </c>
      <c r="EW189" s="1509">
        <v>0.346052464</v>
      </c>
      <c r="EX189" s="1509">
        <v>0.99587213500000005</v>
      </c>
      <c r="EY189" s="1509">
        <v>0.61112762300000001</v>
      </c>
      <c r="EZ189" s="1509">
        <v>0.20321623899999997</v>
      </c>
      <c r="FA189" s="1509">
        <v>0.81373784999999998</v>
      </c>
      <c r="FB189" s="1509">
        <v>0.73415246000000001</v>
      </c>
      <c r="FC189" s="1509">
        <v>0.88049005999999996</v>
      </c>
      <c r="FD189" s="1509">
        <v>0.95116460800000002</v>
      </c>
      <c r="FE189" s="1509">
        <v>0.66462474999999999</v>
      </c>
      <c r="FF189" s="1509">
        <v>0.41354534200000004</v>
      </c>
      <c r="FG189" s="1509">
        <v>0.69173741499999997</v>
      </c>
      <c r="FH189" s="1509">
        <v>0.16770542600000005</v>
      </c>
      <c r="FI189" s="1509">
        <v>0.86705497200000003</v>
      </c>
      <c r="FJ189" s="1509">
        <v>0.17219800500000004</v>
      </c>
      <c r="FK189" s="1509">
        <v>0.15741979900000003</v>
      </c>
      <c r="FL189" s="1509">
        <v>0.55982854900000001</v>
      </c>
      <c r="FM189" s="1509">
        <v>0.450801589</v>
      </c>
      <c r="FN189" s="1509">
        <v>0.69761349299999997</v>
      </c>
      <c r="FO189" s="1509">
        <v>0.19080029099999996</v>
      </c>
      <c r="FP189" s="1509">
        <v>0.87409123799999999</v>
      </c>
      <c r="FQ189" s="1509">
        <v>0.192029322</v>
      </c>
      <c r="FR189" s="1509">
        <v>0.77599454000000001</v>
      </c>
      <c r="FS189" s="1509">
        <v>0.79067641700000002</v>
      </c>
      <c r="FT189" s="1509">
        <v>0.85684194999999996</v>
      </c>
      <c r="FU189" s="1509">
        <v>0.79936424399999995</v>
      </c>
    </row>
    <row r="190" spans="1:177" s="1509" customFormat="1" x14ac:dyDescent="0.2">
      <c r="A190" s="1512" t="s">
        <v>1883</v>
      </c>
      <c r="B190" s="1512" t="s">
        <v>1041</v>
      </c>
      <c r="C190" s="1509">
        <v>0</v>
      </c>
      <c r="D190" s="1509">
        <v>0</v>
      </c>
      <c r="E190" s="1509">
        <v>0</v>
      </c>
      <c r="F190" s="1509">
        <v>0</v>
      </c>
      <c r="G190" s="1509">
        <v>0</v>
      </c>
      <c r="H190" s="1509">
        <v>0</v>
      </c>
      <c r="I190" s="1509">
        <v>0</v>
      </c>
      <c r="J190" s="1509">
        <v>0</v>
      </c>
      <c r="K190" s="1509">
        <v>0</v>
      </c>
      <c r="L190" s="1509">
        <v>0</v>
      </c>
      <c r="M190" s="1509">
        <v>0</v>
      </c>
      <c r="N190" s="1509">
        <v>0</v>
      </c>
      <c r="O190" s="1509">
        <v>0</v>
      </c>
      <c r="P190" s="1509">
        <v>0</v>
      </c>
      <c r="Q190" s="1509">
        <v>0</v>
      </c>
      <c r="R190" s="1509">
        <v>0</v>
      </c>
      <c r="S190" s="1509">
        <v>0</v>
      </c>
      <c r="T190" s="1509">
        <v>0</v>
      </c>
      <c r="U190" s="1509">
        <v>0</v>
      </c>
      <c r="V190" s="1509">
        <v>0</v>
      </c>
      <c r="W190" s="1509">
        <v>0</v>
      </c>
      <c r="X190" s="1509">
        <v>0</v>
      </c>
      <c r="Y190" s="1509">
        <v>0</v>
      </c>
      <c r="Z190" s="1509">
        <v>0</v>
      </c>
      <c r="AA190" s="1509">
        <v>0</v>
      </c>
      <c r="AB190" s="1509">
        <v>0</v>
      </c>
      <c r="AC190" s="1509">
        <v>0.808490657</v>
      </c>
      <c r="AD190" s="1509">
        <v>0.83350724099999995</v>
      </c>
      <c r="AE190" s="1509">
        <v>0</v>
      </c>
      <c r="AF190" s="1509">
        <v>1</v>
      </c>
      <c r="AG190" s="1509">
        <v>0</v>
      </c>
      <c r="AH190" s="1509">
        <v>0.86763905799999996</v>
      </c>
      <c r="AI190" s="1509">
        <v>0</v>
      </c>
      <c r="AJ190" s="1509">
        <v>0</v>
      </c>
      <c r="AK190" s="1509">
        <v>0</v>
      </c>
      <c r="AL190" s="1509">
        <v>0</v>
      </c>
      <c r="AM190" s="1509">
        <v>0</v>
      </c>
      <c r="AN190" s="1509">
        <v>0</v>
      </c>
      <c r="AO190" s="1509">
        <v>0.95567790500000005</v>
      </c>
      <c r="AP190" s="1509">
        <v>0.91178096200000003</v>
      </c>
      <c r="AQ190" s="1509">
        <v>0</v>
      </c>
      <c r="AR190" s="1509">
        <v>0.94775316300000001</v>
      </c>
      <c r="AS190" s="1509">
        <v>1</v>
      </c>
      <c r="AT190" s="1509">
        <v>0.87339154799999996</v>
      </c>
      <c r="AU190" s="1509">
        <v>0.92031146699999999</v>
      </c>
      <c r="AV190" s="1509">
        <v>0.98531724399999998</v>
      </c>
      <c r="AW190" s="1509">
        <v>0</v>
      </c>
      <c r="AX190" s="1509">
        <v>0</v>
      </c>
      <c r="AY190" s="1509">
        <v>0</v>
      </c>
      <c r="AZ190" s="1509">
        <v>0</v>
      </c>
      <c r="BA190" s="1509">
        <v>0</v>
      </c>
      <c r="BB190" s="1509">
        <v>0</v>
      </c>
      <c r="BC190" s="1509">
        <v>0.87940258599999999</v>
      </c>
      <c r="BD190" s="1509">
        <v>0.84286746499999998</v>
      </c>
      <c r="BE190" s="1509">
        <v>0</v>
      </c>
      <c r="BF190" s="1509">
        <v>0.89214721699999999</v>
      </c>
      <c r="BG190" s="1509">
        <v>0</v>
      </c>
      <c r="BH190" s="1509">
        <v>1</v>
      </c>
      <c r="BI190" s="1509">
        <v>0.94473097799999994</v>
      </c>
      <c r="BJ190" s="1509">
        <v>0</v>
      </c>
      <c r="BK190" s="1509">
        <v>0.99259154400000005</v>
      </c>
      <c r="BL190" s="1509">
        <v>0</v>
      </c>
      <c r="BM190" s="1509">
        <v>0</v>
      </c>
      <c r="BN190" s="1509">
        <v>0</v>
      </c>
      <c r="BO190" s="1509">
        <v>0</v>
      </c>
      <c r="BP190" s="1509">
        <v>1</v>
      </c>
      <c r="BQ190" s="1509">
        <v>0</v>
      </c>
      <c r="BR190" s="1509">
        <v>0</v>
      </c>
      <c r="BS190" s="1509">
        <v>0.97000469599999994</v>
      </c>
      <c r="BT190" s="1509">
        <v>1</v>
      </c>
      <c r="BU190" s="1509">
        <v>0</v>
      </c>
      <c r="BV190" s="1509">
        <v>0</v>
      </c>
      <c r="BW190" s="1509">
        <v>0</v>
      </c>
      <c r="BX190" s="1509">
        <v>0</v>
      </c>
      <c r="BY190" s="1509">
        <v>0</v>
      </c>
      <c r="BZ190" s="1509">
        <v>0</v>
      </c>
      <c r="CA190" s="1509">
        <v>0.96426786399999997</v>
      </c>
      <c r="CB190" s="1509">
        <v>0</v>
      </c>
      <c r="CC190" s="1509">
        <v>0</v>
      </c>
      <c r="CD190" s="1509">
        <v>0</v>
      </c>
      <c r="CE190" s="1509">
        <v>0</v>
      </c>
      <c r="CF190" s="1509">
        <v>0</v>
      </c>
      <c r="CG190" s="1509">
        <v>0.98699048199999995</v>
      </c>
      <c r="CH190" s="1509">
        <v>0.948491105</v>
      </c>
      <c r="CI190" s="1509">
        <v>0</v>
      </c>
      <c r="CJ190" s="1509">
        <v>0.95112608200000004</v>
      </c>
      <c r="CK190" s="1509">
        <v>0.99529423399999994</v>
      </c>
      <c r="CL190" s="1509">
        <v>0.99600973100000001</v>
      </c>
      <c r="CM190" s="1509">
        <v>0</v>
      </c>
      <c r="CN190" s="1509">
        <v>0.92493267599999995</v>
      </c>
      <c r="CO190" s="1509">
        <v>0.75341842400000003</v>
      </c>
      <c r="CP190" s="1509">
        <v>0.84505382200000001</v>
      </c>
      <c r="CQ190" s="1509">
        <v>0</v>
      </c>
      <c r="CR190" s="1509">
        <v>0.94139195500000006</v>
      </c>
      <c r="CS190" s="1509">
        <v>0</v>
      </c>
      <c r="CT190" s="1509">
        <v>0</v>
      </c>
      <c r="CU190" s="1509">
        <v>0</v>
      </c>
      <c r="CV190" s="1509">
        <v>0</v>
      </c>
      <c r="CW190" s="1509">
        <v>0</v>
      </c>
      <c r="CX190" s="1509">
        <v>0</v>
      </c>
      <c r="CY190" s="1509">
        <v>0.98870616199999994</v>
      </c>
      <c r="CZ190" s="1509">
        <v>0</v>
      </c>
      <c r="DA190" s="1509">
        <v>0</v>
      </c>
      <c r="DB190" s="1509">
        <v>0</v>
      </c>
      <c r="DC190" s="1509">
        <v>0</v>
      </c>
      <c r="DD190" s="1509">
        <v>1</v>
      </c>
      <c r="DE190" s="1509">
        <v>0</v>
      </c>
      <c r="DF190" s="1509">
        <v>0</v>
      </c>
      <c r="DG190" s="1509">
        <v>0</v>
      </c>
      <c r="DH190" s="1509">
        <v>0</v>
      </c>
      <c r="DI190" s="1509">
        <v>0</v>
      </c>
      <c r="DJ190" s="1509">
        <v>0</v>
      </c>
      <c r="DK190" s="1509">
        <v>0</v>
      </c>
      <c r="DL190" s="1509">
        <v>0</v>
      </c>
      <c r="DM190" s="1509">
        <v>0</v>
      </c>
      <c r="DN190" s="1509">
        <v>0.89534883700000001</v>
      </c>
      <c r="DO190" s="1509">
        <v>0</v>
      </c>
      <c r="DP190" s="1509">
        <v>0.99057742599999998</v>
      </c>
      <c r="DQ190" s="1509">
        <v>0</v>
      </c>
      <c r="DR190" s="1509">
        <v>0</v>
      </c>
      <c r="DS190" s="1509">
        <v>0</v>
      </c>
      <c r="DT190" s="1509">
        <v>0</v>
      </c>
      <c r="DU190" s="1509">
        <v>0</v>
      </c>
      <c r="DV190" s="1509">
        <v>0.80743976000000006</v>
      </c>
      <c r="DW190" s="1509">
        <v>0.932124485</v>
      </c>
      <c r="DX190" s="1509">
        <v>0</v>
      </c>
      <c r="DY190" s="1509">
        <v>1</v>
      </c>
      <c r="DZ190" s="1509">
        <v>0.84815594900000002</v>
      </c>
      <c r="EA190" s="1509">
        <v>0</v>
      </c>
      <c r="EB190" s="1509">
        <v>0</v>
      </c>
      <c r="EC190" s="1509">
        <v>1</v>
      </c>
      <c r="ED190" s="1509">
        <v>0</v>
      </c>
      <c r="EE190" s="1509">
        <v>0</v>
      </c>
      <c r="EF190" s="1509">
        <v>0</v>
      </c>
      <c r="EG190" s="1509">
        <v>0</v>
      </c>
      <c r="EH190" s="1509">
        <v>0.98196398299999998</v>
      </c>
      <c r="EI190" s="1509">
        <v>0</v>
      </c>
      <c r="EJ190" s="1509">
        <v>0</v>
      </c>
      <c r="EK190" s="1509">
        <v>0</v>
      </c>
      <c r="EL190" s="1509">
        <v>0</v>
      </c>
      <c r="EM190" s="1509">
        <v>0</v>
      </c>
      <c r="EN190" s="1509">
        <v>0</v>
      </c>
      <c r="EO190" s="1509">
        <v>1</v>
      </c>
      <c r="EP190" s="1509">
        <v>0</v>
      </c>
      <c r="EQ190" s="1509">
        <v>0</v>
      </c>
      <c r="ER190" s="1509">
        <v>0</v>
      </c>
      <c r="ES190" s="1509">
        <v>0</v>
      </c>
      <c r="ET190" s="1509">
        <v>0</v>
      </c>
      <c r="EU190" s="1509">
        <v>0</v>
      </c>
      <c r="EV190" s="1509">
        <v>0.84283861599999998</v>
      </c>
      <c r="EW190" s="1509">
        <v>0</v>
      </c>
      <c r="EX190" s="1509">
        <v>0</v>
      </c>
      <c r="EY190" s="1509">
        <v>0</v>
      </c>
      <c r="EZ190" s="1509">
        <v>0</v>
      </c>
      <c r="FA190" s="1509">
        <v>0.77415648999999997</v>
      </c>
      <c r="FB190" s="1509">
        <v>0.77926108599999999</v>
      </c>
      <c r="FC190" s="1509">
        <v>0</v>
      </c>
      <c r="FD190" s="1509">
        <v>0</v>
      </c>
      <c r="FE190" s="1509">
        <v>0</v>
      </c>
      <c r="FF190" s="1509">
        <v>0</v>
      </c>
      <c r="FG190" s="1509">
        <v>0</v>
      </c>
      <c r="FH190" s="1509">
        <v>0.99065936200000004</v>
      </c>
      <c r="FI190" s="1509">
        <v>0</v>
      </c>
      <c r="FJ190" s="1509">
        <v>0</v>
      </c>
      <c r="FK190" s="1509">
        <v>0</v>
      </c>
      <c r="FL190" s="1509">
        <v>0</v>
      </c>
      <c r="FM190" s="1509">
        <v>0</v>
      </c>
      <c r="FN190" s="1509">
        <v>0</v>
      </c>
      <c r="FO190" s="1509">
        <v>0</v>
      </c>
      <c r="FP190" s="1509">
        <v>0</v>
      </c>
      <c r="FQ190" s="1509">
        <v>0</v>
      </c>
      <c r="FR190" s="1509">
        <v>0</v>
      </c>
      <c r="FS190" s="1509">
        <v>1</v>
      </c>
      <c r="FT190" s="1509">
        <v>0</v>
      </c>
      <c r="FU190" s="1509">
        <v>0.96428065699999999</v>
      </c>
    </row>
    <row r="191" spans="1:177" s="1509" customFormat="1" x14ac:dyDescent="0.2">
      <c r="A191" s="1512" t="s">
        <v>1883</v>
      </c>
      <c r="B191" s="1512" t="s">
        <v>1039</v>
      </c>
      <c r="C191" s="1509" t="s">
        <v>2372</v>
      </c>
      <c r="D191" s="1509" t="s">
        <v>2372</v>
      </c>
      <c r="E191" s="1509">
        <v>1</v>
      </c>
      <c r="F191" s="1509" t="s">
        <v>2372</v>
      </c>
      <c r="G191" s="1509" t="s">
        <v>2372</v>
      </c>
      <c r="H191" s="1509" t="s">
        <v>2372</v>
      </c>
      <c r="I191" s="1509">
        <v>1</v>
      </c>
      <c r="J191" s="1509">
        <v>1</v>
      </c>
      <c r="K191" s="1509">
        <v>1</v>
      </c>
      <c r="L191" s="1509" t="s">
        <v>2372</v>
      </c>
      <c r="M191" s="1509" t="s">
        <v>2372</v>
      </c>
      <c r="N191" s="1509">
        <v>1</v>
      </c>
      <c r="O191" s="1509">
        <v>1</v>
      </c>
      <c r="P191" s="1509">
        <v>1</v>
      </c>
      <c r="Q191" s="1509" t="s">
        <v>2372</v>
      </c>
      <c r="R191" s="1509">
        <v>1</v>
      </c>
      <c r="S191" s="1509">
        <v>1</v>
      </c>
      <c r="T191" s="1509" t="s">
        <v>2372</v>
      </c>
      <c r="U191" s="1509" t="s">
        <v>2372</v>
      </c>
      <c r="V191" s="1509" t="s">
        <v>2372</v>
      </c>
      <c r="W191" s="1509">
        <v>1</v>
      </c>
      <c r="X191" s="1509" t="s">
        <v>2372</v>
      </c>
      <c r="Y191" s="1509" t="s">
        <v>2372</v>
      </c>
      <c r="Z191" s="1509" t="s">
        <v>2372</v>
      </c>
      <c r="AA191" s="1509" t="s">
        <v>2372</v>
      </c>
      <c r="AB191" s="1509" t="s">
        <v>2372</v>
      </c>
      <c r="AC191" s="1509" t="s">
        <v>2372</v>
      </c>
      <c r="AD191" s="1509" t="s">
        <v>2372</v>
      </c>
      <c r="AE191" s="1509">
        <v>1</v>
      </c>
      <c r="AF191" s="1509" t="s">
        <v>2372</v>
      </c>
      <c r="AG191" s="1509">
        <v>1</v>
      </c>
      <c r="AH191" s="1509">
        <v>1</v>
      </c>
      <c r="AI191" s="1509">
        <v>1</v>
      </c>
      <c r="AJ191" s="1509">
        <v>1</v>
      </c>
      <c r="AK191" s="1509">
        <v>1</v>
      </c>
      <c r="AL191" s="1509" t="s">
        <v>2372</v>
      </c>
      <c r="AM191" s="1509">
        <v>1</v>
      </c>
      <c r="AN191" s="1509" t="s">
        <v>2372</v>
      </c>
      <c r="AO191" s="1509" t="s">
        <v>2372</v>
      </c>
      <c r="AP191" s="1509">
        <v>1</v>
      </c>
      <c r="AQ191" s="1509" t="s">
        <v>2372</v>
      </c>
      <c r="AR191" s="1509" t="s">
        <v>2372</v>
      </c>
      <c r="AS191" s="1509" t="s">
        <v>2372</v>
      </c>
      <c r="AT191" s="1509" t="s">
        <v>2372</v>
      </c>
      <c r="AU191" s="1509" t="s">
        <v>2372</v>
      </c>
      <c r="AV191" s="1509" t="s">
        <v>2372</v>
      </c>
      <c r="AW191" s="1509" t="s">
        <v>2372</v>
      </c>
      <c r="AX191" s="1509">
        <v>1</v>
      </c>
      <c r="AY191" s="1509" t="s">
        <v>2372</v>
      </c>
      <c r="AZ191" s="1509" t="s">
        <v>2372</v>
      </c>
      <c r="BA191" s="1509">
        <v>1</v>
      </c>
      <c r="BB191" s="1509" t="s">
        <v>2372</v>
      </c>
      <c r="BC191" s="1509" t="s">
        <v>2372</v>
      </c>
      <c r="BD191" s="1509" t="s">
        <v>2372</v>
      </c>
      <c r="BE191" s="1509">
        <v>1</v>
      </c>
      <c r="BF191" s="1509" t="s">
        <v>2372</v>
      </c>
      <c r="BG191" s="1509" t="s">
        <v>2372</v>
      </c>
      <c r="BH191" s="1509">
        <v>1</v>
      </c>
      <c r="BI191" s="1509" t="s">
        <v>2372</v>
      </c>
      <c r="BJ191" s="1509" t="s">
        <v>2372</v>
      </c>
      <c r="BK191" s="1509">
        <v>1</v>
      </c>
      <c r="BL191" s="1509">
        <v>1</v>
      </c>
      <c r="BM191" s="1509">
        <v>1</v>
      </c>
      <c r="BN191" s="1509" t="s">
        <v>2372</v>
      </c>
      <c r="BO191" s="1509">
        <v>1</v>
      </c>
      <c r="BP191" s="1509">
        <v>1</v>
      </c>
      <c r="BQ191" s="1509">
        <v>1</v>
      </c>
      <c r="BR191" s="1509" t="s">
        <v>2372</v>
      </c>
      <c r="BS191" s="1509" t="s">
        <v>2372</v>
      </c>
      <c r="BT191" s="1509">
        <v>1</v>
      </c>
      <c r="BU191" s="1509" t="s">
        <v>2372</v>
      </c>
      <c r="BV191" s="1509">
        <v>1</v>
      </c>
      <c r="BW191" s="1509" t="s">
        <v>2372</v>
      </c>
      <c r="BX191" s="1509">
        <v>1</v>
      </c>
      <c r="BY191" s="1509" t="s">
        <v>2372</v>
      </c>
      <c r="BZ191" s="1509">
        <v>1</v>
      </c>
      <c r="CA191" s="1509" t="s">
        <v>2372</v>
      </c>
      <c r="CB191" s="1509" t="s">
        <v>2372</v>
      </c>
      <c r="CC191" s="1509" t="s">
        <v>2372</v>
      </c>
      <c r="CD191" s="1509">
        <v>1</v>
      </c>
      <c r="CE191" s="1509" t="s">
        <v>2372</v>
      </c>
      <c r="CF191" s="1509" t="s">
        <v>2372</v>
      </c>
      <c r="CG191" s="1509" t="s">
        <v>2372</v>
      </c>
      <c r="CH191" s="1509">
        <v>1</v>
      </c>
      <c r="CI191" s="1509" t="s">
        <v>2372</v>
      </c>
      <c r="CJ191" s="1509" t="s">
        <v>2372</v>
      </c>
      <c r="CK191" s="1509" t="s">
        <v>2372</v>
      </c>
      <c r="CL191" s="1509" t="s">
        <v>2372</v>
      </c>
      <c r="CM191" s="1509" t="s">
        <v>2372</v>
      </c>
      <c r="CN191" s="1509" t="s">
        <v>2372</v>
      </c>
      <c r="CO191" s="1509" t="s">
        <v>2372</v>
      </c>
      <c r="CP191" s="1509" t="s">
        <v>2372</v>
      </c>
      <c r="CQ191" s="1509">
        <v>1</v>
      </c>
      <c r="CR191" s="1509" t="s">
        <v>2372</v>
      </c>
      <c r="CS191" s="1509">
        <v>1</v>
      </c>
      <c r="CT191" s="1509" t="s">
        <v>2372</v>
      </c>
      <c r="CU191" s="1509" t="s">
        <v>2372</v>
      </c>
      <c r="CV191" s="1509">
        <v>1</v>
      </c>
      <c r="CW191" s="1509" t="s">
        <v>2372</v>
      </c>
      <c r="CX191" s="1509" t="s">
        <v>2372</v>
      </c>
      <c r="CY191" s="1509">
        <v>1</v>
      </c>
      <c r="CZ191" s="1509">
        <v>1</v>
      </c>
      <c r="DA191" s="1509" t="s">
        <v>2372</v>
      </c>
      <c r="DB191" s="1509" t="s">
        <v>2372</v>
      </c>
      <c r="DC191" s="1509" t="s">
        <v>2372</v>
      </c>
      <c r="DD191" s="1509">
        <v>1</v>
      </c>
      <c r="DE191" s="1509">
        <v>1</v>
      </c>
      <c r="DF191" s="1509" t="s">
        <v>2372</v>
      </c>
      <c r="DG191" s="1509" t="s">
        <v>2372</v>
      </c>
      <c r="DH191" s="1509" t="s">
        <v>2372</v>
      </c>
      <c r="DI191" s="1509" t="s">
        <v>2372</v>
      </c>
      <c r="DJ191" s="1509">
        <v>1</v>
      </c>
      <c r="DK191" s="1509">
        <v>1</v>
      </c>
      <c r="DL191" s="1509" t="s">
        <v>2372</v>
      </c>
      <c r="DM191" s="1509" t="s">
        <v>2372</v>
      </c>
      <c r="DN191" s="1509" t="s">
        <v>2372</v>
      </c>
      <c r="DO191" s="1509" t="s">
        <v>2372</v>
      </c>
      <c r="DP191" s="1509" t="s">
        <v>2372</v>
      </c>
      <c r="DQ191" s="1509">
        <v>1</v>
      </c>
      <c r="DR191" s="1509">
        <v>1</v>
      </c>
      <c r="DS191" s="1509">
        <v>1</v>
      </c>
      <c r="DT191" s="1509" t="s">
        <v>2372</v>
      </c>
      <c r="DU191" s="1509" t="s">
        <v>2372</v>
      </c>
      <c r="DV191" s="1509" t="s">
        <v>2372</v>
      </c>
      <c r="DW191" s="1509" t="s">
        <v>2372</v>
      </c>
      <c r="DX191" s="1509" t="s">
        <v>2372</v>
      </c>
      <c r="DY191" s="1509" t="s">
        <v>2372</v>
      </c>
      <c r="DZ191" s="1509" t="s">
        <v>2372</v>
      </c>
      <c r="EA191" s="1509" t="s">
        <v>2372</v>
      </c>
      <c r="EB191" s="1509" t="s">
        <v>2372</v>
      </c>
      <c r="EC191" s="1509" t="s">
        <v>2372</v>
      </c>
      <c r="ED191" s="1509">
        <v>1</v>
      </c>
      <c r="EE191" s="1509" t="s">
        <v>2372</v>
      </c>
      <c r="EF191" s="1509" t="s">
        <v>2372</v>
      </c>
      <c r="EG191" s="1509" t="s">
        <v>2372</v>
      </c>
      <c r="EH191" s="1509" t="s">
        <v>2372</v>
      </c>
      <c r="EI191" s="1509" t="s">
        <v>2372</v>
      </c>
      <c r="EJ191" s="1509" t="s">
        <v>2372</v>
      </c>
      <c r="EK191" s="1509" t="s">
        <v>2372</v>
      </c>
      <c r="EL191" s="1509" t="s">
        <v>2372</v>
      </c>
      <c r="EM191" s="1509" t="s">
        <v>2372</v>
      </c>
      <c r="EN191" s="1509" t="s">
        <v>2372</v>
      </c>
      <c r="EO191" s="1509">
        <v>1</v>
      </c>
      <c r="EP191" s="1509" t="s">
        <v>2372</v>
      </c>
      <c r="EQ191" s="1509" t="s">
        <v>2372</v>
      </c>
      <c r="ER191" s="1509">
        <v>1</v>
      </c>
      <c r="ES191" s="1509">
        <v>1</v>
      </c>
      <c r="ET191" s="1509" t="s">
        <v>2372</v>
      </c>
      <c r="EU191" s="1509" t="s">
        <v>2372</v>
      </c>
      <c r="EV191" s="1509" t="s">
        <v>2372</v>
      </c>
      <c r="EW191" s="1509" t="s">
        <v>2372</v>
      </c>
      <c r="EX191" s="1509" t="s">
        <v>2372</v>
      </c>
      <c r="EY191" s="1509" t="s">
        <v>2372</v>
      </c>
      <c r="EZ191" s="1509" t="s">
        <v>2372</v>
      </c>
      <c r="FA191" s="1509" t="s">
        <v>2372</v>
      </c>
      <c r="FB191" s="1509" t="s">
        <v>2372</v>
      </c>
      <c r="FC191" s="1509" t="s">
        <v>2372</v>
      </c>
      <c r="FD191" s="1509">
        <v>1</v>
      </c>
      <c r="FE191" s="1509" t="s">
        <v>2372</v>
      </c>
      <c r="FF191" s="1509" t="s">
        <v>2372</v>
      </c>
      <c r="FG191" s="1509" t="s">
        <v>2372</v>
      </c>
      <c r="FH191" s="1509" t="s">
        <v>2372</v>
      </c>
      <c r="FI191" s="1509" t="s">
        <v>2372</v>
      </c>
      <c r="FJ191" s="1509">
        <v>1</v>
      </c>
      <c r="FK191" s="1509" t="s">
        <v>2372</v>
      </c>
      <c r="FL191" s="1509" t="s">
        <v>2372</v>
      </c>
      <c r="FM191" s="1509" t="s">
        <v>2372</v>
      </c>
      <c r="FN191" s="1509">
        <v>1</v>
      </c>
      <c r="FO191" s="1509" t="s">
        <v>2372</v>
      </c>
      <c r="FP191" s="1509" t="s">
        <v>2372</v>
      </c>
      <c r="FQ191" s="1509" t="s">
        <v>2372</v>
      </c>
      <c r="FR191" s="1509" t="s">
        <v>2372</v>
      </c>
      <c r="FS191" s="1509" t="s">
        <v>2372</v>
      </c>
      <c r="FT191" s="1509" t="s">
        <v>2372</v>
      </c>
      <c r="FU191" s="1509">
        <v>1</v>
      </c>
    </row>
    <row r="192" spans="1:177" s="1509" customFormat="1" x14ac:dyDescent="0.2">
      <c r="A192" s="1512" t="s">
        <v>1883</v>
      </c>
      <c r="B192" s="1512" t="s">
        <v>1284</v>
      </c>
      <c r="C192" s="1509" t="s">
        <v>2372</v>
      </c>
      <c r="D192" s="1509" t="s">
        <v>2372</v>
      </c>
      <c r="E192" s="1509" t="s">
        <v>2372</v>
      </c>
      <c r="F192" s="1509" t="s">
        <v>2372</v>
      </c>
      <c r="G192" s="1509" t="s">
        <v>2372</v>
      </c>
      <c r="H192" s="1509" t="s">
        <v>2372</v>
      </c>
      <c r="I192" s="1509" t="s">
        <v>2372</v>
      </c>
      <c r="J192" s="1509" t="s">
        <v>2372</v>
      </c>
      <c r="K192" s="1509" t="s">
        <v>2372</v>
      </c>
      <c r="L192" s="1509" t="s">
        <v>2372</v>
      </c>
      <c r="M192" s="1509" t="s">
        <v>2372</v>
      </c>
      <c r="N192" s="1509" t="s">
        <v>2372</v>
      </c>
      <c r="O192" s="1509" t="s">
        <v>2372</v>
      </c>
      <c r="P192" s="1509" t="s">
        <v>2372</v>
      </c>
      <c r="Q192" s="1509" t="s">
        <v>2372</v>
      </c>
      <c r="R192" s="1509" t="s">
        <v>2372</v>
      </c>
      <c r="S192" s="1509">
        <v>1</v>
      </c>
      <c r="T192" s="1509" t="s">
        <v>2372</v>
      </c>
      <c r="U192" s="1509" t="s">
        <v>2372</v>
      </c>
      <c r="V192" s="1509" t="s">
        <v>2372</v>
      </c>
      <c r="W192" s="1509" t="s">
        <v>2372</v>
      </c>
      <c r="X192" s="1509">
        <v>1</v>
      </c>
      <c r="Y192" s="1509" t="s">
        <v>2372</v>
      </c>
      <c r="Z192" s="1509" t="s">
        <v>2372</v>
      </c>
      <c r="AA192" s="1509" t="s">
        <v>2372</v>
      </c>
      <c r="AB192" s="1509" t="s">
        <v>2372</v>
      </c>
      <c r="AC192" s="1509" t="s">
        <v>2372</v>
      </c>
      <c r="AD192" s="1509" t="s">
        <v>2372</v>
      </c>
      <c r="AE192" s="1509" t="s">
        <v>2372</v>
      </c>
      <c r="AF192" s="1509" t="s">
        <v>2372</v>
      </c>
      <c r="AG192" s="1509" t="s">
        <v>2372</v>
      </c>
      <c r="AH192" s="1509" t="s">
        <v>2372</v>
      </c>
      <c r="AI192" s="1509" t="s">
        <v>2372</v>
      </c>
      <c r="AJ192" s="1509" t="s">
        <v>2372</v>
      </c>
      <c r="AK192" s="1509" t="s">
        <v>2372</v>
      </c>
      <c r="AL192" s="1509" t="s">
        <v>2372</v>
      </c>
      <c r="AM192" s="1509" t="s">
        <v>2372</v>
      </c>
      <c r="AN192" s="1509" t="s">
        <v>2372</v>
      </c>
      <c r="AO192" s="1509" t="s">
        <v>2372</v>
      </c>
      <c r="AP192" s="1509" t="s">
        <v>2372</v>
      </c>
      <c r="AQ192" s="1509" t="s">
        <v>2372</v>
      </c>
      <c r="AR192" s="1509">
        <v>1</v>
      </c>
      <c r="AS192" s="1509">
        <v>1</v>
      </c>
      <c r="AT192" s="1509">
        <v>1</v>
      </c>
      <c r="AU192" s="1509">
        <v>1</v>
      </c>
      <c r="AV192" s="1509">
        <v>1</v>
      </c>
      <c r="AW192" s="1509" t="s">
        <v>2372</v>
      </c>
      <c r="AX192" s="1509" t="s">
        <v>2372</v>
      </c>
      <c r="AY192" s="1509" t="s">
        <v>2372</v>
      </c>
      <c r="AZ192" s="1509" t="s">
        <v>2372</v>
      </c>
      <c r="BA192" s="1509" t="s">
        <v>2372</v>
      </c>
      <c r="BB192" s="1509" t="s">
        <v>2372</v>
      </c>
      <c r="BC192" s="1509" t="s">
        <v>2372</v>
      </c>
      <c r="BD192" s="1509">
        <v>1</v>
      </c>
      <c r="BE192" s="1509" t="s">
        <v>2372</v>
      </c>
      <c r="BF192" s="1509" t="s">
        <v>2372</v>
      </c>
      <c r="BG192" s="1509" t="s">
        <v>2372</v>
      </c>
      <c r="BH192" s="1509" t="s">
        <v>2372</v>
      </c>
      <c r="BI192" s="1509" t="s">
        <v>2372</v>
      </c>
      <c r="BJ192" s="1509" t="s">
        <v>2372</v>
      </c>
      <c r="BK192" s="1509" t="s">
        <v>2372</v>
      </c>
      <c r="BL192" s="1509" t="s">
        <v>2372</v>
      </c>
      <c r="BM192" s="1509" t="s">
        <v>2372</v>
      </c>
      <c r="BN192" s="1509" t="s">
        <v>2372</v>
      </c>
      <c r="BO192" s="1509" t="s">
        <v>2372</v>
      </c>
      <c r="BP192" s="1509" t="s">
        <v>2372</v>
      </c>
      <c r="BQ192" s="1509" t="s">
        <v>2372</v>
      </c>
      <c r="BR192" s="1509" t="s">
        <v>2372</v>
      </c>
      <c r="BS192" s="1509" t="s">
        <v>2372</v>
      </c>
      <c r="BT192" s="1509" t="s">
        <v>2372</v>
      </c>
      <c r="BU192" s="1509" t="s">
        <v>2372</v>
      </c>
      <c r="BV192" s="1509" t="s">
        <v>2372</v>
      </c>
      <c r="BW192" s="1509" t="s">
        <v>2372</v>
      </c>
      <c r="BX192" s="1509" t="s">
        <v>2372</v>
      </c>
      <c r="BY192" s="1509" t="s">
        <v>2372</v>
      </c>
      <c r="BZ192" s="1509">
        <v>1</v>
      </c>
      <c r="CA192" s="1509" t="s">
        <v>2372</v>
      </c>
      <c r="CB192" s="1509" t="s">
        <v>2372</v>
      </c>
      <c r="CC192" s="1509" t="s">
        <v>2372</v>
      </c>
      <c r="CD192" s="1509" t="s">
        <v>2372</v>
      </c>
      <c r="CE192" s="1509" t="s">
        <v>2372</v>
      </c>
      <c r="CF192" s="1509" t="s">
        <v>2372</v>
      </c>
      <c r="CG192" s="1509" t="s">
        <v>2372</v>
      </c>
      <c r="CH192" s="1509">
        <v>1</v>
      </c>
      <c r="CI192" s="1509" t="s">
        <v>2372</v>
      </c>
      <c r="CJ192" s="1509" t="s">
        <v>2372</v>
      </c>
      <c r="CK192" s="1509" t="s">
        <v>2372</v>
      </c>
      <c r="CL192" s="1509" t="s">
        <v>2372</v>
      </c>
      <c r="CM192" s="1509" t="s">
        <v>2372</v>
      </c>
      <c r="CN192" s="1509" t="s">
        <v>2372</v>
      </c>
      <c r="CO192" s="1509" t="s">
        <v>2372</v>
      </c>
      <c r="CP192" s="1509" t="s">
        <v>2372</v>
      </c>
      <c r="CQ192" s="1509" t="s">
        <v>2372</v>
      </c>
      <c r="CR192" s="1509" t="s">
        <v>2372</v>
      </c>
      <c r="CS192" s="1509" t="s">
        <v>2372</v>
      </c>
      <c r="CT192" s="1509" t="s">
        <v>2372</v>
      </c>
      <c r="CU192" s="1509" t="s">
        <v>2372</v>
      </c>
      <c r="CV192" s="1509" t="s">
        <v>2372</v>
      </c>
      <c r="CW192" s="1509" t="s">
        <v>2372</v>
      </c>
      <c r="CX192" s="1509" t="s">
        <v>2372</v>
      </c>
      <c r="CY192" s="1509" t="s">
        <v>2372</v>
      </c>
      <c r="CZ192" s="1509" t="s">
        <v>2372</v>
      </c>
      <c r="DA192" s="1509" t="s">
        <v>2372</v>
      </c>
      <c r="DB192" s="1509" t="s">
        <v>2372</v>
      </c>
      <c r="DC192" s="1509" t="s">
        <v>2372</v>
      </c>
      <c r="DD192" s="1509" t="s">
        <v>2372</v>
      </c>
      <c r="DE192" s="1509" t="s">
        <v>2372</v>
      </c>
      <c r="DF192" s="1509" t="s">
        <v>2372</v>
      </c>
      <c r="DG192" s="1509" t="s">
        <v>2372</v>
      </c>
      <c r="DH192" s="1509" t="s">
        <v>2372</v>
      </c>
      <c r="DI192" s="1509" t="s">
        <v>2372</v>
      </c>
      <c r="DJ192" s="1509" t="s">
        <v>2372</v>
      </c>
      <c r="DK192" s="1509" t="s">
        <v>2372</v>
      </c>
      <c r="DL192" s="1509" t="s">
        <v>2372</v>
      </c>
      <c r="DM192" s="1509">
        <v>1</v>
      </c>
      <c r="DN192" s="1509" t="s">
        <v>2372</v>
      </c>
      <c r="DO192" s="1509" t="s">
        <v>2372</v>
      </c>
      <c r="DP192" s="1509">
        <v>1</v>
      </c>
      <c r="DQ192" s="1509" t="s">
        <v>2372</v>
      </c>
      <c r="DR192" s="1509" t="s">
        <v>2372</v>
      </c>
      <c r="DS192" s="1509" t="s">
        <v>2372</v>
      </c>
      <c r="DT192" s="1509" t="s">
        <v>2372</v>
      </c>
      <c r="DU192" s="1509" t="s">
        <v>2372</v>
      </c>
      <c r="DV192" s="1509" t="s">
        <v>2372</v>
      </c>
      <c r="DW192" s="1509" t="s">
        <v>2372</v>
      </c>
      <c r="DX192" s="1509">
        <v>1</v>
      </c>
      <c r="DY192" s="1509" t="s">
        <v>2372</v>
      </c>
      <c r="DZ192" s="1509" t="s">
        <v>2372</v>
      </c>
      <c r="EA192" s="1509" t="s">
        <v>2372</v>
      </c>
      <c r="EB192" s="1509">
        <v>1</v>
      </c>
      <c r="EC192" s="1509" t="s">
        <v>2372</v>
      </c>
      <c r="ED192" s="1509" t="s">
        <v>2372</v>
      </c>
      <c r="EE192" s="1509" t="s">
        <v>2372</v>
      </c>
      <c r="EF192" s="1509" t="s">
        <v>2372</v>
      </c>
      <c r="EG192" s="1509">
        <v>1</v>
      </c>
      <c r="EH192" s="1509" t="s">
        <v>2372</v>
      </c>
      <c r="EI192" s="1509" t="s">
        <v>2372</v>
      </c>
      <c r="EJ192" s="1509" t="s">
        <v>2372</v>
      </c>
      <c r="EK192" s="1509" t="s">
        <v>2372</v>
      </c>
      <c r="EL192" s="1509" t="s">
        <v>2372</v>
      </c>
      <c r="EM192" s="1509" t="s">
        <v>2372</v>
      </c>
      <c r="EN192" s="1509">
        <v>1</v>
      </c>
      <c r="EO192" s="1509" t="s">
        <v>2372</v>
      </c>
      <c r="EP192" s="1509">
        <v>1</v>
      </c>
      <c r="EQ192" s="1509" t="s">
        <v>2372</v>
      </c>
      <c r="ER192" s="1509" t="s">
        <v>2372</v>
      </c>
      <c r="ES192" s="1509" t="s">
        <v>2372</v>
      </c>
      <c r="ET192" s="1509" t="s">
        <v>2372</v>
      </c>
      <c r="EU192" s="1509" t="s">
        <v>2372</v>
      </c>
      <c r="EV192" s="1509" t="s">
        <v>2372</v>
      </c>
      <c r="EW192" s="1509" t="s">
        <v>2372</v>
      </c>
      <c r="EX192" s="1509" t="s">
        <v>2372</v>
      </c>
      <c r="EY192" s="1509" t="s">
        <v>2372</v>
      </c>
      <c r="EZ192" s="1509" t="s">
        <v>2372</v>
      </c>
      <c r="FA192" s="1509" t="s">
        <v>2372</v>
      </c>
      <c r="FB192" s="1509" t="s">
        <v>2372</v>
      </c>
      <c r="FC192" s="1509" t="s">
        <v>2372</v>
      </c>
      <c r="FD192" s="1509" t="s">
        <v>2372</v>
      </c>
      <c r="FE192" s="1509" t="s">
        <v>2372</v>
      </c>
      <c r="FF192" s="1509" t="s">
        <v>2372</v>
      </c>
      <c r="FG192" s="1509" t="s">
        <v>2372</v>
      </c>
      <c r="FH192" s="1509">
        <v>1</v>
      </c>
      <c r="FI192" s="1509">
        <v>1</v>
      </c>
      <c r="FJ192" s="1509" t="s">
        <v>2372</v>
      </c>
      <c r="FK192" s="1509" t="s">
        <v>2372</v>
      </c>
      <c r="FL192" s="1509" t="s">
        <v>2372</v>
      </c>
      <c r="FM192" s="1509" t="s">
        <v>2372</v>
      </c>
      <c r="FN192" s="1509" t="s">
        <v>2372</v>
      </c>
      <c r="FO192" s="1509">
        <v>1</v>
      </c>
      <c r="FP192" s="1509" t="s">
        <v>2372</v>
      </c>
      <c r="FQ192" s="1509">
        <v>1</v>
      </c>
      <c r="FR192" s="1509" t="s">
        <v>2372</v>
      </c>
      <c r="FS192" s="1509" t="s">
        <v>2372</v>
      </c>
      <c r="FT192" s="1509">
        <v>1</v>
      </c>
      <c r="FU192" s="1509" t="s">
        <v>2372</v>
      </c>
    </row>
    <row r="193" spans="1:177" s="1509" customFormat="1" x14ac:dyDescent="0.2">
      <c r="A193" s="1512" t="s">
        <v>1883</v>
      </c>
      <c r="B193" s="1512" t="s">
        <v>1076</v>
      </c>
      <c r="C193" s="1509" t="s">
        <v>2372</v>
      </c>
      <c r="D193" s="1509" t="s">
        <v>2372</v>
      </c>
      <c r="E193" s="1509" t="s">
        <v>2372</v>
      </c>
      <c r="F193" s="1509" t="s">
        <v>2372</v>
      </c>
      <c r="G193" s="1509" t="s">
        <v>2372</v>
      </c>
      <c r="H193" s="1509" t="s">
        <v>2372</v>
      </c>
      <c r="I193" s="1509" t="s">
        <v>2372</v>
      </c>
      <c r="J193" s="1509" t="s">
        <v>2372</v>
      </c>
      <c r="K193" s="1509" t="s">
        <v>2372</v>
      </c>
      <c r="L193" s="1509" t="s">
        <v>2372</v>
      </c>
      <c r="M193" s="1509" t="s">
        <v>2372</v>
      </c>
      <c r="N193" s="1509" t="s">
        <v>2372</v>
      </c>
      <c r="O193" s="1509" t="s">
        <v>2372</v>
      </c>
      <c r="P193" s="1509" t="s">
        <v>2372</v>
      </c>
      <c r="Q193" s="1509" t="s">
        <v>2372</v>
      </c>
      <c r="R193" s="1509" t="s">
        <v>2372</v>
      </c>
      <c r="S193" s="1509" t="s">
        <v>2372</v>
      </c>
      <c r="T193" s="1509" t="s">
        <v>2372</v>
      </c>
      <c r="U193" s="1509" t="s">
        <v>2372</v>
      </c>
      <c r="V193" s="1509" t="s">
        <v>2372</v>
      </c>
      <c r="W193" s="1509" t="s">
        <v>2372</v>
      </c>
      <c r="X193" s="1509" t="s">
        <v>2372</v>
      </c>
      <c r="Y193" s="1509" t="s">
        <v>2372</v>
      </c>
      <c r="Z193" s="1509" t="s">
        <v>2372</v>
      </c>
      <c r="AA193" s="1509" t="s">
        <v>2372</v>
      </c>
      <c r="AB193" s="1509" t="s">
        <v>2372</v>
      </c>
      <c r="AC193" s="1509" t="s">
        <v>2372</v>
      </c>
      <c r="AD193" s="1509" t="s">
        <v>2372</v>
      </c>
      <c r="AE193" s="1509" t="s">
        <v>2372</v>
      </c>
      <c r="AF193" s="1509" t="s">
        <v>2372</v>
      </c>
      <c r="AG193" s="1509">
        <v>1</v>
      </c>
      <c r="AH193" s="1509" t="s">
        <v>2372</v>
      </c>
      <c r="AI193" s="1509" t="s">
        <v>2372</v>
      </c>
      <c r="AJ193" s="1509" t="s">
        <v>2372</v>
      </c>
      <c r="AK193" s="1509" t="s">
        <v>2372</v>
      </c>
      <c r="AL193" s="1509" t="s">
        <v>2372</v>
      </c>
      <c r="AM193" s="1509">
        <v>1</v>
      </c>
      <c r="AN193" s="1509" t="s">
        <v>2372</v>
      </c>
      <c r="AO193" s="1509" t="s">
        <v>2372</v>
      </c>
      <c r="AP193" s="1509">
        <v>1</v>
      </c>
      <c r="AQ193" s="1509" t="s">
        <v>2372</v>
      </c>
      <c r="AR193" s="1509" t="s">
        <v>2372</v>
      </c>
      <c r="AS193" s="1509" t="s">
        <v>2372</v>
      </c>
      <c r="AT193" s="1509" t="s">
        <v>2372</v>
      </c>
      <c r="AU193" s="1509" t="s">
        <v>2372</v>
      </c>
      <c r="AV193" s="1509" t="s">
        <v>2372</v>
      </c>
      <c r="AW193" s="1509" t="s">
        <v>2372</v>
      </c>
      <c r="AX193" s="1509">
        <v>1</v>
      </c>
      <c r="AY193" s="1509" t="s">
        <v>2372</v>
      </c>
      <c r="AZ193" s="1509" t="s">
        <v>2372</v>
      </c>
      <c r="BA193" s="1509" t="s">
        <v>2372</v>
      </c>
      <c r="BB193" s="1509" t="s">
        <v>2372</v>
      </c>
      <c r="BC193" s="1509" t="s">
        <v>2372</v>
      </c>
      <c r="BD193" s="1509" t="s">
        <v>2372</v>
      </c>
      <c r="BE193" s="1509">
        <v>1</v>
      </c>
      <c r="BF193" s="1509" t="s">
        <v>2372</v>
      </c>
      <c r="BG193" s="1509" t="s">
        <v>2372</v>
      </c>
      <c r="BH193" s="1509" t="s">
        <v>2372</v>
      </c>
      <c r="BI193" s="1509" t="s">
        <v>2372</v>
      </c>
      <c r="BJ193" s="1509" t="s">
        <v>2372</v>
      </c>
      <c r="BK193" s="1509">
        <v>1</v>
      </c>
      <c r="BL193" s="1509" t="s">
        <v>2372</v>
      </c>
      <c r="BM193" s="1509">
        <v>1</v>
      </c>
      <c r="BN193" s="1509" t="s">
        <v>2372</v>
      </c>
      <c r="BO193" s="1509">
        <v>1</v>
      </c>
      <c r="BP193" s="1509">
        <v>1</v>
      </c>
      <c r="BQ193" s="1509" t="s">
        <v>2372</v>
      </c>
      <c r="BR193" s="1509" t="s">
        <v>2372</v>
      </c>
      <c r="BS193" s="1509" t="s">
        <v>2372</v>
      </c>
      <c r="BT193" s="1509" t="s">
        <v>2372</v>
      </c>
      <c r="BU193" s="1509" t="s">
        <v>2372</v>
      </c>
      <c r="BV193" s="1509" t="s">
        <v>2372</v>
      </c>
      <c r="BW193" s="1509" t="s">
        <v>2372</v>
      </c>
      <c r="BX193" s="1509" t="s">
        <v>2372</v>
      </c>
      <c r="BY193" s="1509" t="s">
        <v>2372</v>
      </c>
      <c r="BZ193" s="1509">
        <v>1</v>
      </c>
      <c r="CA193" s="1509" t="s">
        <v>2372</v>
      </c>
      <c r="CB193" s="1509" t="s">
        <v>2372</v>
      </c>
      <c r="CC193" s="1509" t="s">
        <v>2372</v>
      </c>
      <c r="CD193" s="1509">
        <v>1</v>
      </c>
      <c r="CE193" s="1509" t="s">
        <v>2372</v>
      </c>
      <c r="CF193" s="1509" t="s">
        <v>2372</v>
      </c>
      <c r="CG193" s="1509" t="s">
        <v>2372</v>
      </c>
      <c r="CH193" s="1509">
        <v>1</v>
      </c>
      <c r="CI193" s="1509" t="s">
        <v>2372</v>
      </c>
      <c r="CJ193" s="1509" t="s">
        <v>2372</v>
      </c>
      <c r="CK193" s="1509" t="s">
        <v>2372</v>
      </c>
      <c r="CL193" s="1509" t="s">
        <v>2372</v>
      </c>
      <c r="CM193" s="1509" t="s">
        <v>2372</v>
      </c>
      <c r="CN193" s="1509" t="s">
        <v>2372</v>
      </c>
      <c r="CO193" s="1509" t="s">
        <v>2372</v>
      </c>
      <c r="CP193" s="1509" t="s">
        <v>2372</v>
      </c>
      <c r="CQ193" s="1509">
        <v>1</v>
      </c>
      <c r="CR193" s="1509" t="s">
        <v>2372</v>
      </c>
      <c r="CS193" s="1509" t="s">
        <v>2372</v>
      </c>
      <c r="CT193" s="1509" t="s">
        <v>2372</v>
      </c>
      <c r="CU193" s="1509" t="s">
        <v>2372</v>
      </c>
      <c r="CV193" s="1509" t="s">
        <v>2372</v>
      </c>
      <c r="CW193" s="1509" t="s">
        <v>2372</v>
      </c>
      <c r="CX193" s="1509" t="s">
        <v>2372</v>
      </c>
      <c r="CY193" s="1509" t="s">
        <v>2372</v>
      </c>
      <c r="CZ193" s="1509" t="s">
        <v>2372</v>
      </c>
      <c r="DA193" s="1509" t="s">
        <v>2372</v>
      </c>
      <c r="DB193" s="1509" t="s">
        <v>2372</v>
      </c>
      <c r="DC193" s="1509" t="s">
        <v>2372</v>
      </c>
      <c r="DD193" s="1509">
        <v>1</v>
      </c>
      <c r="DE193" s="1509" t="s">
        <v>2372</v>
      </c>
      <c r="DF193" s="1509" t="s">
        <v>2372</v>
      </c>
      <c r="DG193" s="1509" t="s">
        <v>2372</v>
      </c>
      <c r="DH193" s="1509" t="s">
        <v>2372</v>
      </c>
      <c r="DI193" s="1509" t="s">
        <v>2372</v>
      </c>
      <c r="DJ193" s="1509" t="s">
        <v>2372</v>
      </c>
      <c r="DK193" s="1509">
        <v>1</v>
      </c>
      <c r="DL193" s="1509" t="s">
        <v>2372</v>
      </c>
      <c r="DM193" s="1509" t="s">
        <v>2372</v>
      </c>
      <c r="DN193" s="1509" t="s">
        <v>2372</v>
      </c>
      <c r="DO193" s="1509" t="s">
        <v>2372</v>
      </c>
      <c r="DP193" s="1509" t="s">
        <v>2372</v>
      </c>
      <c r="DQ193" s="1509">
        <v>1</v>
      </c>
      <c r="DR193" s="1509">
        <v>1</v>
      </c>
      <c r="DS193" s="1509" t="s">
        <v>2372</v>
      </c>
      <c r="DT193" s="1509" t="s">
        <v>2372</v>
      </c>
      <c r="DU193" s="1509" t="s">
        <v>2372</v>
      </c>
      <c r="DV193" s="1509" t="s">
        <v>2372</v>
      </c>
      <c r="DW193" s="1509" t="s">
        <v>2372</v>
      </c>
      <c r="DX193" s="1509" t="s">
        <v>2372</v>
      </c>
      <c r="DY193" s="1509" t="s">
        <v>2372</v>
      </c>
      <c r="DZ193" s="1509" t="s">
        <v>2372</v>
      </c>
      <c r="EA193" s="1509" t="s">
        <v>2372</v>
      </c>
      <c r="EB193" s="1509" t="s">
        <v>2372</v>
      </c>
      <c r="EC193" s="1509" t="s">
        <v>2372</v>
      </c>
      <c r="ED193" s="1509" t="s">
        <v>2372</v>
      </c>
      <c r="EE193" s="1509" t="s">
        <v>2372</v>
      </c>
      <c r="EF193" s="1509" t="s">
        <v>2372</v>
      </c>
      <c r="EG193" s="1509" t="s">
        <v>2372</v>
      </c>
      <c r="EH193" s="1509" t="s">
        <v>2372</v>
      </c>
      <c r="EI193" s="1509" t="s">
        <v>2372</v>
      </c>
      <c r="EJ193" s="1509" t="s">
        <v>2372</v>
      </c>
      <c r="EK193" s="1509" t="s">
        <v>2372</v>
      </c>
      <c r="EL193" s="1509" t="s">
        <v>2372</v>
      </c>
      <c r="EM193" s="1509" t="s">
        <v>2372</v>
      </c>
      <c r="EN193" s="1509" t="s">
        <v>2372</v>
      </c>
      <c r="EO193" s="1509" t="s">
        <v>2372</v>
      </c>
      <c r="EP193" s="1509" t="s">
        <v>2372</v>
      </c>
      <c r="EQ193" s="1509" t="s">
        <v>2372</v>
      </c>
      <c r="ER193" s="1509">
        <v>1</v>
      </c>
      <c r="ES193" s="1509">
        <v>1</v>
      </c>
      <c r="ET193" s="1509" t="s">
        <v>2372</v>
      </c>
      <c r="EU193" s="1509" t="s">
        <v>2372</v>
      </c>
      <c r="EV193" s="1509" t="s">
        <v>2372</v>
      </c>
      <c r="EW193" s="1509" t="s">
        <v>2372</v>
      </c>
      <c r="EX193" s="1509" t="s">
        <v>2372</v>
      </c>
      <c r="EY193" s="1509" t="s">
        <v>2372</v>
      </c>
      <c r="EZ193" s="1509" t="s">
        <v>2372</v>
      </c>
      <c r="FA193" s="1509" t="s">
        <v>2372</v>
      </c>
      <c r="FB193" s="1509" t="s">
        <v>2372</v>
      </c>
      <c r="FC193" s="1509" t="s">
        <v>2372</v>
      </c>
      <c r="FD193" s="1509" t="s">
        <v>2372</v>
      </c>
      <c r="FE193" s="1509" t="s">
        <v>2372</v>
      </c>
      <c r="FF193" s="1509" t="s">
        <v>2372</v>
      </c>
      <c r="FG193" s="1509" t="s">
        <v>2372</v>
      </c>
      <c r="FH193" s="1509" t="s">
        <v>2372</v>
      </c>
      <c r="FI193" s="1509" t="s">
        <v>2372</v>
      </c>
      <c r="FJ193" s="1509">
        <v>1</v>
      </c>
      <c r="FK193" s="1509" t="s">
        <v>2372</v>
      </c>
      <c r="FL193" s="1509" t="s">
        <v>2372</v>
      </c>
      <c r="FM193" s="1509" t="s">
        <v>2372</v>
      </c>
      <c r="FN193" s="1509" t="s">
        <v>2372</v>
      </c>
      <c r="FO193" s="1509" t="s">
        <v>2372</v>
      </c>
      <c r="FP193" s="1509" t="s">
        <v>2372</v>
      </c>
      <c r="FQ193" s="1509" t="s">
        <v>2372</v>
      </c>
      <c r="FR193" s="1509" t="s">
        <v>2372</v>
      </c>
      <c r="FS193" s="1509" t="s">
        <v>2372</v>
      </c>
      <c r="FT193" s="1509" t="s">
        <v>2372</v>
      </c>
      <c r="FU193" s="1509" t="s">
        <v>2372</v>
      </c>
    </row>
    <row r="194" spans="1:177" s="1509" customFormat="1" x14ac:dyDescent="0.2">
      <c r="A194" s="1512" t="s">
        <v>1883</v>
      </c>
      <c r="B194" s="1512" t="s">
        <v>1205</v>
      </c>
      <c r="C194" s="1509">
        <v>0.97806157800000004</v>
      </c>
      <c r="D194" s="1509">
        <v>0.95695418499999996</v>
      </c>
      <c r="E194" s="1509">
        <v>0</v>
      </c>
      <c r="F194" s="1509">
        <v>0</v>
      </c>
      <c r="G194" s="1509">
        <v>0</v>
      </c>
      <c r="H194" s="1509">
        <v>0</v>
      </c>
      <c r="I194" s="1509">
        <v>0.96194781299999998</v>
      </c>
      <c r="J194" s="1509">
        <v>0.964444627</v>
      </c>
      <c r="K194" s="1509">
        <v>0.96074785200000001</v>
      </c>
      <c r="L194" s="1509">
        <v>0.96848797399999997</v>
      </c>
      <c r="M194" s="1509">
        <v>0.95867214199999995</v>
      </c>
      <c r="N194" s="1509">
        <v>0.973198381</v>
      </c>
      <c r="O194" s="1509">
        <v>0.97073138000000003</v>
      </c>
      <c r="P194" s="1509">
        <v>0.97291516099999997</v>
      </c>
      <c r="Q194" s="1509">
        <v>0</v>
      </c>
      <c r="R194" s="1509">
        <v>0.95347533600000001</v>
      </c>
      <c r="S194" s="1509">
        <v>0</v>
      </c>
      <c r="T194" s="1509">
        <v>0.97662684200000005</v>
      </c>
      <c r="U194" s="1509">
        <v>0.97754730899999998</v>
      </c>
      <c r="V194" s="1509">
        <v>0.96413532000000002</v>
      </c>
      <c r="W194" s="1509">
        <v>0.96893143800000003</v>
      </c>
      <c r="X194" s="1509">
        <v>0</v>
      </c>
      <c r="Y194" s="1509">
        <v>0</v>
      </c>
      <c r="Z194" s="1509">
        <v>0</v>
      </c>
      <c r="AA194" s="1509">
        <v>0.97765165300000001</v>
      </c>
      <c r="AB194" s="1509">
        <v>0.950291047</v>
      </c>
      <c r="AC194" s="1509">
        <v>0</v>
      </c>
      <c r="AD194" s="1509">
        <v>0.96068077299999999</v>
      </c>
      <c r="AE194" s="1509">
        <v>0.95397359199999998</v>
      </c>
      <c r="AF194" s="1509">
        <v>0.98217945799999995</v>
      </c>
      <c r="AG194" s="1509">
        <v>0.95496791400000003</v>
      </c>
      <c r="AH194" s="1509">
        <v>0.97827026699999997</v>
      </c>
      <c r="AI194" s="1509">
        <v>0</v>
      </c>
      <c r="AJ194" s="1509">
        <v>0.97477472799999998</v>
      </c>
      <c r="AK194" s="1509">
        <v>0.953646612</v>
      </c>
      <c r="AL194" s="1509">
        <v>0.95373224999999995</v>
      </c>
      <c r="AM194" s="1509">
        <v>0.95397359199999998</v>
      </c>
      <c r="AN194" s="1509">
        <v>0</v>
      </c>
      <c r="AO194" s="1509">
        <v>0.96012088600000001</v>
      </c>
      <c r="AP194" s="1509">
        <v>1</v>
      </c>
      <c r="AQ194" s="1509">
        <v>0</v>
      </c>
      <c r="AR194" s="1509">
        <v>0.97820806500000002</v>
      </c>
      <c r="AS194" s="1509">
        <v>0.97819269099999995</v>
      </c>
      <c r="AT194" s="1509">
        <v>0.97495657000000002</v>
      </c>
      <c r="AU194" s="1509">
        <v>0.97877688399999996</v>
      </c>
      <c r="AV194" s="1509">
        <v>0.96134410599999998</v>
      </c>
      <c r="AW194" s="1509">
        <v>0.95225868499999999</v>
      </c>
      <c r="AX194" s="1509">
        <v>0.99057742599999998</v>
      </c>
      <c r="AY194" s="1509">
        <v>0.95853422300000002</v>
      </c>
      <c r="AZ194" s="1509">
        <v>0.97515025399999999</v>
      </c>
      <c r="BA194" s="1509">
        <v>0.98325187700000005</v>
      </c>
      <c r="BB194" s="1509">
        <v>0.96969596899999999</v>
      </c>
      <c r="BC194" s="1509">
        <v>0</v>
      </c>
      <c r="BD194" s="1509">
        <v>0.97045213500000005</v>
      </c>
      <c r="BE194" s="1509">
        <v>0.98314528199999995</v>
      </c>
      <c r="BF194" s="1509">
        <v>0</v>
      </c>
      <c r="BG194" s="1509">
        <v>0</v>
      </c>
      <c r="BH194" s="1509">
        <v>0.98099067600000001</v>
      </c>
      <c r="BI194" s="1509">
        <v>0.97983916000000004</v>
      </c>
      <c r="BJ194" s="1509">
        <v>0.96273784900000003</v>
      </c>
      <c r="BK194" s="1509">
        <v>0.982268896</v>
      </c>
      <c r="BL194" s="1509">
        <v>0.98244404500000004</v>
      </c>
      <c r="BM194" s="1509">
        <v>1</v>
      </c>
      <c r="BN194" s="1509">
        <v>0.974286545</v>
      </c>
      <c r="BO194" s="1509">
        <v>0.98224281000000002</v>
      </c>
      <c r="BP194" s="1509">
        <v>0.97640697300000001</v>
      </c>
      <c r="BQ194" s="1509">
        <v>0.96636754599999997</v>
      </c>
      <c r="BR194" s="1509">
        <v>0</v>
      </c>
      <c r="BS194" s="1509">
        <v>0.98244404500000004</v>
      </c>
      <c r="BT194" s="1509">
        <v>0.98427558699999995</v>
      </c>
      <c r="BU194" s="1509">
        <v>0.98382427400000005</v>
      </c>
      <c r="BV194" s="1509">
        <v>0.95878739800000001</v>
      </c>
      <c r="BW194" s="1509">
        <v>1</v>
      </c>
      <c r="BX194" s="1509">
        <v>0.99027153400000001</v>
      </c>
      <c r="BY194" s="1509">
        <v>0.995001939</v>
      </c>
      <c r="BZ194" s="1509">
        <v>0.995001939</v>
      </c>
      <c r="CA194" s="1509">
        <v>1</v>
      </c>
      <c r="CB194" s="1509">
        <v>1</v>
      </c>
      <c r="CC194" s="1509">
        <v>0.95376339099999996</v>
      </c>
      <c r="CD194" s="1509">
        <v>0.95370889400000003</v>
      </c>
      <c r="CE194" s="1509">
        <v>0.95394245099999997</v>
      </c>
      <c r="CF194" s="1509">
        <v>0</v>
      </c>
      <c r="CG194" s="1509">
        <v>0.98056957199999994</v>
      </c>
      <c r="CH194" s="1509">
        <v>0.97594115000000004</v>
      </c>
      <c r="CI194" s="1509">
        <v>0.95141647600000001</v>
      </c>
      <c r="CJ194" s="1509">
        <v>0.95756004699999997</v>
      </c>
      <c r="CK194" s="1509">
        <v>0</v>
      </c>
      <c r="CL194" s="1509">
        <v>0</v>
      </c>
      <c r="CM194" s="1509">
        <v>0</v>
      </c>
      <c r="CN194" s="1509">
        <v>0.95404365999999996</v>
      </c>
      <c r="CO194" s="1509">
        <v>0.95409037100000005</v>
      </c>
      <c r="CP194" s="1509">
        <v>0.95409037100000005</v>
      </c>
      <c r="CQ194" s="1509">
        <v>0.97930998499999999</v>
      </c>
      <c r="CR194" s="1509">
        <v>0.94801782800000001</v>
      </c>
      <c r="CS194" s="1509">
        <v>0.97537098200000005</v>
      </c>
      <c r="CT194" s="1509">
        <v>0.96529056199999996</v>
      </c>
      <c r="CU194" s="1509">
        <v>0</v>
      </c>
      <c r="CV194" s="1509">
        <v>0</v>
      </c>
      <c r="CW194" s="1509">
        <v>0</v>
      </c>
      <c r="CX194" s="1509">
        <v>0</v>
      </c>
      <c r="CY194" s="1509">
        <v>0.98595425199999998</v>
      </c>
      <c r="CZ194" s="1509">
        <v>0.98939755600000001</v>
      </c>
      <c r="DA194" s="1509">
        <v>0.98941394299999996</v>
      </c>
      <c r="DB194" s="1509">
        <v>0.92059345699999995</v>
      </c>
      <c r="DC194" s="1509">
        <v>0.89859178200000001</v>
      </c>
      <c r="DD194" s="1509">
        <v>0.93532869100000005</v>
      </c>
      <c r="DE194" s="1509">
        <v>0.91804560400000002</v>
      </c>
      <c r="DF194" s="1509">
        <v>0.89878494099999995</v>
      </c>
      <c r="DG194" s="1509">
        <v>0.90251014100000004</v>
      </c>
      <c r="DH194" s="1509">
        <v>0</v>
      </c>
      <c r="DI194" s="1509">
        <v>0.92716084600000004</v>
      </c>
      <c r="DJ194" s="1509">
        <v>0.99051734000000002</v>
      </c>
      <c r="DK194" s="1509">
        <v>0.99402417600000004</v>
      </c>
      <c r="DL194" s="1509">
        <v>0.95394245099999997</v>
      </c>
      <c r="DM194" s="1509">
        <v>0.95409037100000005</v>
      </c>
      <c r="DN194" s="1509">
        <v>0</v>
      </c>
      <c r="DO194" s="1509">
        <v>0.97387336800000002</v>
      </c>
      <c r="DP194" s="1509">
        <v>0.99229807000000003</v>
      </c>
      <c r="DQ194" s="1509">
        <v>0.99419351</v>
      </c>
      <c r="DR194" s="1509">
        <v>0.97961992899999994</v>
      </c>
      <c r="DS194" s="1509">
        <v>0.98626216099999997</v>
      </c>
      <c r="DT194" s="1509">
        <v>0.98028633700000001</v>
      </c>
      <c r="DU194" s="1509">
        <v>0.96081492999999996</v>
      </c>
      <c r="DV194" s="1509">
        <v>0</v>
      </c>
      <c r="DW194" s="1509">
        <v>0</v>
      </c>
      <c r="DX194" s="1509">
        <v>0.97840023399999998</v>
      </c>
      <c r="DY194" s="1509">
        <v>0.97065363400000004</v>
      </c>
      <c r="DZ194" s="1509">
        <v>0</v>
      </c>
      <c r="EA194" s="1509">
        <v>0</v>
      </c>
      <c r="EB194" s="1509">
        <v>0</v>
      </c>
      <c r="EC194" s="1509">
        <v>0</v>
      </c>
      <c r="ED194" s="1509">
        <v>0.970332635</v>
      </c>
      <c r="EE194" s="1509">
        <v>0</v>
      </c>
      <c r="EF194" s="1509">
        <v>0</v>
      </c>
      <c r="EG194" s="1509">
        <v>0</v>
      </c>
      <c r="EH194" s="1509">
        <v>0.94689364399999998</v>
      </c>
      <c r="EI194" s="1509">
        <v>0</v>
      </c>
      <c r="EJ194" s="1509">
        <v>0</v>
      </c>
      <c r="EK194" s="1509">
        <v>0</v>
      </c>
      <c r="EL194" s="1509">
        <v>0.91145061999999999</v>
      </c>
      <c r="EM194" s="1509">
        <v>0.89758919800000003</v>
      </c>
      <c r="EN194" s="1509">
        <v>0.90687920200000005</v>
      </c>
      <c r="EO194" s="1509">
        <v>0</v>
      </c>
      <c r="EP194" s="1509">
        <v>0</v>
      </c>
      <c r="EQ194" s="1509">
        <v>0.95321842300000004</v>
      </c>
      <c r="ER194" s="1509">
        <v>0.98542038200000004</v>
      </c>
      <c r="ES194" s="1509">
        <v>0.98341699100000002</v>
      </c>
      <c r="ET194" s="1509">
        <v>0</v>
      </c>
      <c r="EU194" s="1509">
        <v>0</v>
      </c>
      <c r="EV194" s="1509">
        <v>0.955739318</v>
      </c>
      <c r="EW194" s="1509">
        <v>0</v>
      </c>
      <c r="EX194" s="1509">
        <v>0</v>
      </c>
      <c r="EY194" s="1509">
        <v>0.95310745699999999</v>
      </c>
      <c r="EZ194" s="1509">
        <v>0</v>
      </c>
      <c r="FA194" s="1509">
        <v>0.95394245099999997</v>
      </c>
      <c r="FB194" s="1509">
        <v>0.96047127899999996</v>
      </c>
      <c r="FC194" s="1509">
        <v>0</v>
      </c>
      <c r="FD194" s="1509">
        <v>0</v>
      </c>
      <c r="FE194" s="1509">
        <v>0.95154437199999997</v>
      </c>
      <c r="FF194" s="1509">
        <v>0</v>
      </c>
      <c r="FG194" s="1509">
        <v>0</v>
      </c>
      <c r="FH194" s="1509">
        <v>0</v>
      </c>
      <c r="FI194" s="1509">
        <v>0</v>
      </c>
      <c r="FJ194" s="1509">
        <v>0.97090130600000002</v>
      </c>
      <c r="FK194" s="1509">
        <v>0.97533743699999997</v>
      </c>
      <c r="FL194" s="1509">
        <v>0</v>
      </c>
      <c r="FM194" s="1509">
        <v>0.96768675800000004</v>
      </c>
      <c r="FN194" s="1509">
        <v>0.97899695200000003</v>
      </c>
      <c r="FO194" s="1509">
        <v>0.97949975700000003</v>
      </c>
      <c r="FP194" s="1509">
        <v>0</v>
      </c>
      <c r="FQ194" s="1509">
        <v>0</v>
      </c>
      <c r="FR194" s="1509">
        <v>0</v>
      </c>
      <c r="FS194" s="1509">
        <v>0.96117206499999996</v>
      </c>
      <c r="FT194" s="1509">
        <v>0</v>
      </c>
      <c r="FU194" s="1509">
        <v>0.95070097099999995</v>
      </c>
    </row>
    <row r="195" spans="1:177" s="1509" customFormat="1" x14ac:dyDescent="0.2">
      <c r="A195" s="1512" t="s">
        <v>1883</v>
      </c>
      <c r="B195" s="1512" t="s">
        <v>1065</v>
      </c>
      <c r="C195" s="1509">
        <v>0.18663869199999999</v>
      </c>
      <c r="D195" s="1509">
        <v>0.18663869199999999</v>
      </c>
      <c r="E195" s="1509">
        <v>0.467649492</v>
      </c>
      <c r="F195" s="1509">
        <v>0.83200140899999997</v>
      </c>
      <c r="G195" s="1509">
        <v>0.79598422899999999</v>
      </c>
      <c r="H195" s="1509">
        <v>0.84979615600000002</v>
      </c>
      <c r="I195" s="1509">
        <v>0.968081776</v>
      </c>
      <c r="J195" s="1509">
        <v>0.96258878599999997</v>
      </c>
      <c r="K195" s="1509">
        <v>0.467649492</v>
      </c>
      <c r="L195" s="1509">
        <v>8.7228238999999999E-2</v>
      </c>
      <c r="M195" s="1509">
        <v>5.4363462000000001E-2</v>
      </c>
      <c r="N195" s="1509">
        <v>0.88723345600000003</v>
      </c>
      <c r="O195" s="1509">
        <v>0.95526976799999996</v>
      </c>
      <c r="P195" s="1509">
        <v>0.11600867500000001</v>
      </c>
      <c r="Q195" s="1509">
        <v>0.58117311800000004</v>
      </c>
      <c r="R195" s="1509">
        <v>3.8171469E-2</v>
      </c>
      <c r="S195" s="1509">
        <v>0.72381140499999996</v>
      </c>
      <c r="T195" s="1509">
        <v>0.72381140499999996</v>
      </c>
      <c r="U195" s="1509">
        <v>0.72381140499999996</v>
      </c>
      <c r="V195" s="1509">
        <v>0.72381140499999996</v>
      </c>
      <c r="W195" s="1509">
        <v>4.1823494000000003E-2</v>
      </c>
      <c r="X195" s="1509">
        <v>0.54604944399999999</v>
      </c>
      <c r="Y195" s="1509">
        <v>0.467649492</v>
      </c>
      <c r="Z195" s="1509">
        <v>0.467649492</v>
      </c>
      <c r="AA195" s="1509">
        <v>0.467649492</v>
      </c>
      <c r="AB195" s="1509">
        <v>0.326676405</v>
      </c>
      <c r="AC195" s="1509">
        <v>0.326676405</v>
      </c>
      <c r="AD195" s="1509">
        <v>0.25678798000000003</v>
      </c>
      <c r="AE195" s="1509">
        <v>5.6716373E-2</v>
      </c>
      <c r="AF195" s="1509">
        <v>0.99929194799999999</v>
      </c>
      <c r="AG195" s="1509">
        <v>0.18663869199999999</v>
      </c>
      <c r="AH195" s="1509">
        <v>0.91359906400000002</v>
      </c>
      <c r="AI195" s="1509">
        <v>0.18663869199999999</v>
      </c>
      <c r="AJ195" s="1509">
        <v>0.72381140499999996</v>
      </c>
      <c r="AK195" s="1509">
        <v>9.1471284E-2</v>
      </c>
      <c r="AL195" s="1509">
        <v>0.86545620000000001</v>
      </c>
      <c r="AM195" s="1509">
        <v>0.92872968199999995</v>
      </c>
      <c r="AN195" s="1509">
        <v>0.95323491500000002</v>
      </c>
      <c r="AO195" s="1509">
        <v>0.92291994399999999</v>
      </c>
      <c r="AP195" s="1509">
        <v>0.62163598499999995</v>
      </c>
      <c r="AQ195" s="1509">
        <v>0.18663869199999999</v>
      </c>
      <c r="AR195" s="1509">
        <v>0.95700801000000002</v>
      </c>
      <c r="AS195" s="1509">
        <v>0.99091426199999999</v>
      </c>
      <c r="AT195" s="1509">
        <v>0.99940812000000001</v>
      </c>
      <c r="AU195" s="1509">
        <v>0.94271065499999995</v>
      </c>
      <c r="AV195" s="1509">
        <v>0.98411355700000003</v>
      </c>
      <c r="AW195" s="1509">
        <v>0.79598422899999999</v>
      </c>
      <c r="AX195" s="1509">
        <v>0.64191488500000005</v>
      </c>
      <c r="AY195" s="1509">
        <v>0.97567862100000002</v>
      </c>
      <c r="AZ195" s="1509">
        <v>0.67417387699999998</v>
      </c>
      <c r="BA195" s="1509">
        <v>0.94858882099999997</v>
      </c>
      <c r="BB195" s="1509">
        <v>0.575616978</v>
      </c>
      <c r="BC195" s="1509">
        <v>0.98701707999999999</v>
      </c>
      <c r="BD195" s="1509">
        <v>0.96015189000000001</v>
      </c>
      <c r="BE195" s="1509">
        <v>0.46049184300000001</v>
      </c>
      <c r="BF195" s="1509">
        <v>0.98781650200000004</v>
      </c>
      <c r="BG195" s="1509">
        <v>0.59705872100000001</v>
      </c>
      <c r="BH195" s="1509">
        <v>0.99929194799999999</v>
      </c>
      <c r="BI195" s="1509">
        <v>0.79598422899999999</v>
      </c>
      <c r="BJ195" s="1509">
        <v>0.326676405</v>
      </c>
      <c r="BK195" s="1509">
        <v>0.91359906400000002</v>
      </c>
      <c r="BL195" s="1509">
        <v>0.54604944399999999</v>
      </c>
      <c r="BM195" s="1509">
        <v>0.14051904800000001</v>
      </c>
      <c r="BN195" s="1509">
        <v>0.54604944399999999</v>
      </c>
      <c r="BO195" s="1509">
        <v>0.72381140499999996</v>
      </c>
      <c r="BP195" s="1509">
        <v>0.99291948299999999</v>
      </c>
      <c r="BQ195" s="1509">
        <v>0.326676405</v>
      </c>
      <c r="BR195" s="1509">
        <v>0.99369461400000003</v>
      </c>
      <c r="BS195" s="1509">
        <v>0.11600867500000001</v>
      </c>
      <c r="BT195" s="1509">
        <v>0.99925148100000005</v>
      </c>
      <c r="BU195" s="1509">
        <v>0.93820861700000002</v>
      </c>
      <c r="BV195" s="1509">
        <v>0.35781982699999998</v>
      </c>
      <c r="BW195" s="1509">
        <v>0.30084369599999999</v>
      </c>
      <c r="BX195" s="1509">
        <v>0.95767215999999999</v>
      </c>
      <c r="BY195" s="1509">
        <v>0.95767215999999999</v>
      </c>
      <c r="BZ195" s="1509">
        <v>0.71328610199999998</v>
      </c>
      <c r="CA195" s="1509">
        <v>0.83893683799999996</v>
      </c>
      <c r="CB195" s="1509">
        <v>0.30084369599999999</v>
      </c>
      <c r="CC195" s="1509">
        <v>0.43306005800000003</v>
      </c>
      <c r="CD195" s="1509">
        <v>3.1688959000000003E-2</v>
      </c>
      <c r="CE195" s="1509">
        <v>0.43306005800000003</v>
      </c>
      <c r="CF195" s="1509">
        <v>0.63656165799999997</v>
      </c>
      <c r="CG195" s="1509">
        <v>0.98411355700000003</v>
      </c>
      <c r="CH195" s="1509">
        <v>0.968081776</v>
      </c>
      <c r="CI195" s="1509">
        <v>0.18663869199999999</v>
      </c>
      <c r="CJ195" s="1509">
        <v>0.95606300799999999</v>
      </c>
      <c r="CK195" s="1509">
        <v>0.98654866500000005</v>
      </c>
      <c r="CL195" s="1509">
        <v>0.98853004</v>
      </c>
      <c r="CM195" s="1509">
        <v>0.97259533200000003</v>
      </c>
      <c r="CN195" s="1509">
        <v>0.98008250500000005</v>
      </c>
      <c r="CO195" s="1509">
        <v>0.98008250500000005</v>
      </c>
      <c r="CP195" s="1509">
        <v>0.99981350700000005</v>
      </c>
      <c r="CQ195" s="1509">
        <v>0.93193760199999998</v>
      </c>
      <c r="CR195" s="1509">
        <v>0.98411355700000003</v>
      </c>
      <c r="CS195" s="1509">
        <v>0.84979615600000002</v>
      </c>
      <c r="CT195" s="1509">
        <v>0.95526976799999996</v>
      </c>
      <c r="CU195" s="1509">
        <v>0.72381140499999996</v>
      </c>
      <c r="CV195" s="1509">
        <v>0.575616978</v>
      </c>
      <c r="CW195" s="1509">
        <v>0.67417387699999998</v>
      </c>
      <c r="CX195" s="1509">
        <v>0.575616978</v>
      </c>
      <c r="CY195" s="1509">
        <v>0.96730180700000001</v>
      </c>
      <c r="CZ195" s="1509">
        <v>0.93190073799999995</v>
      </c>
      <c r="DA195" s="1509">
        <v>0.94642515699999996</v>
      </c>
      <c r="DB195" s="1509">
        <v>0.72999199800000003</v>
      </c>
      <c r="DC195" s="1509">
        <v>0.88200774500000001</v>
      </c>
      <c r="DD195" s="1509">
        <v>0.99575051299999995</v>
      </c>
      <c r="DE195" s="1509">
        <v>0.68852730399999995</v>
      </c>
      <c r="DF195" s="1509">
        <v>0.85533347400000004</v>
      </c>
      <c r="DG195" s="1509">
        <v>0.82741747099999996</v>
      </c>
      <c r="DH195" s="1509">
        <v>0.55754743900000003</v>
      </c>
      <c r="DI195" s="1509">
        <v>0.82741747099999996</v>
      </c>
      <c r="DJ195" s="1509">
        <v>0.97259533200000003</v>
      </c>
      <c r="DK195" s="1509">
        <v>0.76207045399999995</v>
      </c>
      <c r="DL195" s="1509">
        <v>0</v>
      </c>
      <c r="DM195" s="1509">
        <v>0.14051904800000001</v>
      </c>
      <c r="DN195" s="1509">
        <v>0.97893371900000004</v>
      </c>
      <c r="DO195" s="1509">
        <v>0.90537282900000005</v>
      </c>
      <c r="DP195" s="1509">
        <v>0.97728749999999998</v>
      </c>
      <c r="DQ195" s="1509">
        <v>0.66184704299999997</v>
      </c>
      <c r="DR195" s="1509">
        <v>0.71328610199999998</v>
      </c>
      <c r="DS195" s="1509">
        <v>0.71328610199999998</v>
      </c>
      <c r="DT195" s="1509">
        <v>0.82451070900000001</v>
      </c>
      <c r="DU195" s="1509">
        <v>0.97285180900000001</v>
      </c>
      <c r="DV195" s="1509">
        <v>0.326676405</v>
      </c>
      <c r="DW195" s="1509">
        <v>0.804706433</v>
      </c>
      <c r="DX195" s="1509">
        <v>0.94806831999999996</v>
      </c>
      <c r="DY195" s="1509">
        <v>0.99948264099999995</v>
      </c>
      <c r="DZ195" s="1509">
        <v>0.99653327599999997</v>
      </c>
      <c r="EA195" s="1509">
        <v>0.28261563499999998</v>
      </c>
      <c r="EB195" s="1509">
        <v>0.968081776</v>
      </c>
      <c r="EC195" s="1509">
        <v>0.99214435300000003</v>
      </c>
      <c r="ED195" s="1509">
        <v>0.638073801</v>
      </c>
      <c r="EE195" s="1509">
        <v>0.19524367200000001</v>
      </c>
      <c r="EF195" s="1509">
        <v>0.49701142599999998</v>
      </c>
      <c r="EG195" s="1509">
        <v>0.95767215999999999</v>
      </c>
      <c r="EH195" s="1509">
        <v>0.35781982699999998</v>
      </c>
      <c r="EI195" s="1509">
        <v>0.89683184999999999</v>
      </c>
      <c r="EJ195" s="1509">
        <v>0.63656165799999997</v>
      </c>
      <c r="EK195" s="1509">
        <v>0.91359906400000002</v>
      </c>
      <c r="EL195" s="1509">
        <v>0.92620425100000003</v>
      </c>
      <c r="EM195" s="1509">
        <v>0.98410581399999997</v>
      </c>
      <c r="EN195" s="1509">
        <v>0.76398789499999997</v>
      </c>
      <c r="EO195" s="1509">
        <v>0.99944811899999997</v>
      </c>
      <c r="EP195" s="1509">
        <v>0.89487685100000003</v>
      </c>
      <c r="EQ195" s="1509">
        <v>2.1237868999999999E-2</v>
      </c>
      <c r="ER195" s="1509">
        <v>0.28261563499999998</v>
      </c>
      <c r="ES195" s="1509">
        <v>0.12462849199999999</v>
      </c>
      <c r="ET195" s="1509">
        <v>0.71064429699999998</v>
      </c>
      <c r="EU195" s="1509">
        <v>0.71328610199999998</v>
      </c>
      <c r="EV195" s="1509">
        <v>0.18663869199999999</v>
      </c>
      <c r="EW195" s="1509">
        <v>0.31008460500000001</v>
      </c>
      <c r="EX195" s="1509">
        <v>0.94858882099999997</v>
      </c>
      <c r="EY195" s="1509">
        <v>0.97167183999999995</v>
      </c>
      <c r="EZ195" s="1509">
        <v>0.95767215999999999</v>
      </c>
      <c r="FA195" s="1509">
        <v>0.736253571</v>
      </c>
      <c r="FB195" s="1509">
        <v>0.36909570200000003</v>
      </c>
      <c r="FC195" s="1509">
        <v>0.204411862</v>
      </c>
      <c r="FD195" s="1509">
        <v>0.67417387699999998</v>
      </c>
      <c r="FE195" s="1509">
        <v>0.92488937299999996</v>
      </c>
      <c r="FF195" s="1509">
        <v>0.256706773</v>
      </c>
      <c r="FG195" s="1509">
        <v>0.50310433300000001</v>
      </c>
      <c r="FH195" s="1509">
        <v>0.96633000300000005</v>
      </c>
      <c r="FI195" s="1509">
        <v>0.97648909500000003</v>
      </c>
      <c r="FJ195" s="1509">
        <v>0.28261563499999998</v>
      </c>
      <c r="FK195" s="1509">
        <v>0.79629761099999996</v>
      </c>
      <c r="FL195" s="1509">
        <v>0.59046716799999999</v>
      </c>
      <c r="FM195" s="1509">
        <v>0.79598422899999999</v>
      </c>
      <c r="FN195" s="1509">
        <v>0.326676405</v>
      </c>
      <c r="FO195" s="1509">
        <v>0.97259533200000003</v>
      </c>
      <c r="FP195" s="1509">
        <v>0.76975893900000003</v>
      </c>
      <c r="FQ195" s="1509">
        <v>0.97259533200000003</v>
      </c>
      <c r="FR195" s="1509">
        <v>0.204411862</v>
      </c>
      <c r="FS195" s="1509">
        <v>0.89785723399999995</v>
      </c>
      <c r="FT195" s="1509">
        <v>0.82741747099999996</v>
      </c>
      <c r="FU195" s="1509">
        <v>0.93193760199999998</v>
      </c>
    </row>
    <row r="196" spans="1:177" s="1509" customFormat="1" x14ac:dyDescent="0.2">
      <c r="A196" s="1512" t="s">
        <v>1883</v>
      </c>
      <c r="B196" s="1512" t="s">
        <v>1068</v>
      </c>
      <c r="C196" s="1509" t="s">
        <v>2372</v>
      </c>
      <c r="D196" s="1509">
        <v>1</v>
      </c>
      <c r="E196" s="1509" t="s">
        <v>2372</v>
      </c>
      <c r="F196" s="1509" t="s">
        <v>2372</v>
      </c>
      <c r="G196" s="1509" t="s">
        <v>2372</v>
      </c>
      <c r="H196" s="1509" t="s">
        <v>2372</v>
      </c>
      <c r="I196" s="1509" t="s">
        <v>2372</v>
      </c>
      <c r="J196" s="1509" t="s">
        <v>2372</v>
      </c>
      <c r="K196" s="1509" t="s">
        <v>2372</v>
      </c>
      <c r="L196" s="1509" t="s">
        <v>2372</v>
      </c>
      <c r="M196" s="1509" t="s">
        <v>2372</v>
      </c>
      <c r="N196" s="1509" t="s">
        <v>2372</v>
      </c>
      <c r="O196" s="1509" t="s">
        <v>2372</v>
      </c>
      <c r="P196" s="1509" t="s">
        <v>2372</v>
      </c>
      <c r="Q196" s="1509" t="s">
        <v>2372</v>
      </c>
      <c r="R196" s="1509" t="s">
        <v>2372</v>
      </c>
      <c r="S196" s="1509" t="s">
        <v>2372</v>
      </c>
      <c r="T196" s="1509">
        <v>1</v>
      </c>
      <c r="U196" s="1509" t="s">
        <v>2372</v>
      </c>
      <c r="V196" s="1509" t="s">
        <v>2372</v>
      </c>
      <c r="W196" s="1509" t="s">
        <v>2372</v>
      </c>
      <c r="X196" s="1509" t="s">
        <v>2372</v>
      </c>
      <c r="Y196" s="1509" t="s">
        <v>2372</v>
      </c>
      <c r="Z196" s="1509" t="s">
        <v>2372</v>
      </c>
      <c r="AA196" s="1509" t="s">
        <v>2372</v>
      </c>
      <c r="AB196" s="1509" t="s">
        <v>2372</v>
      </c>
      <c r="AC196" s="1509" t="s">
        <v>2372</v>
      </c>
      <c r="AD196" s="1509" t="s">
        <v>2372</v>
      </c>
      <c r="AE196" s="1509" t="s">
        <v>2372</v>
      </c>
      <c r="AF196" s="1509" t="s">
        <v>2372</v>
      </c>
      <c r="AG196" s="1509" t="s">
        <v>2372</v>
      </c>
      <c r="AH196" s="1509" t="s">
        <v>2372</v>
      </c>
      <c r="AI196" s="1509" t="s">
        <v>2372</v>
      </c>
      <c r="AJ196" s="1509" t="s">
        <v>2372</v>
      </c>
      <c r="AK196" s="1509" t="s">
        <v>2372</v>
      </c>
      <c r="AL196" s="1509" t="s">
        <v>2372</v>
      </c>
      <c r="AM196" s="1509" t="s">
        <v>2372</v>
      </c>
      <c r="AN196" s="1509" t="s">
        <v>2372</v>
      </c>
      <c r="AO196" s="1509" t="s">
        <v>2372</v>
      </c>
      <c r="AP196" s="1509" t="s">
        <v>2372</v>
      </c>
      <c r="AQ196" s="1509" t="s">
        <v>2372</v>
      </c>
      <c r="AR196" s="1509" t="s">
        <v>2372</v>
      </c>
      <c r="AS196" s="1509" t="s">
        <v>2372</v>
      </c>
      <c r="AT196" s="1509" t="s">
        <v>2372</v>
      </c>
      <c r="AU196" s="1509" t="s">
        <v>2372</v>
      </c>
      <c r="AV196" s="1509" t="s">
        <v>2372</v>
      </c>
      <c r="AW196" s="1509">
        <v>1</v>
      </c>
      <c r="AX196" s="1509" t="s">
        <v>2372</v>
      </c>
      <c r="AY196" s="1509" t="s">
        <v>2372</v>
      </c>
      <c r="AZ196" s="1509" t="s">
        <v>2372</v>
      </c>
      <c r="BA196" s="1509" t="s">
        <v>2372</v>
      </c>
      <c r="BB196" s="1509" t="s">
        <v>2372</v>
      </c>
      <c r="BC196" s="1509" t="s">
        <v>2372</v>
      </c>
      <c r="BD196" s="1509" t="s">
        <v>2372</v>
      </c>
      <c r="BE196" s="1509">
        <v>1</v>
      </c>
      <c r="BF196" s="1509" t="s">
        <v>2372</v>
      </c>
      <c r="BG196" s="1509" t="s">
        <v>2372</v>
      </c>
      <c r="BH196" s="1509" t="s">
        <v>2372</v>
      </c>
      <c r="BI196" s="1509" t="s">
        <v>2372</v>
      </c>
      <c r="BJ196" s="1509" t="s">
        <v>2372</v>
      </c>
      <c r="BK196" s="1509" t="s">
        <v>2372</v>
      </c>
      <c r="BL196" s="1509" t="s">
        <v>2372</v>
      </c>
      <c r="BM196" s="1509" t="s">
        <v>2372</v>
      </c>
      <c r="BN196" s="1509" t="s">
        <v>2372</v>
      </c>
      <c r="BO196" s="1509" t="s">
        <v>2372</v>
      </c>
      <c r="BP196" s="1509" t="s">
        <v>2372</v>
      </c>
      <c r="BQ196" s="1509" t="s">
        <v>2372</v>
      </c>
      <c r="BR196" s="1509" t="s">
        <v>2372</v>
      </c>
      <c r="BS196" s="1509" t="s">
        <v>2372</v>
      </c>
      <c r="BT196" s="1509" t="s">
        <v>2372</v>
      </c>
      <c r="BU196" s="1509" t="s">
        <v>2372</v>
      </c>
      <c r="BV196" s="1509" t="s">
        <v>2372</v>
      </c>
      <c r="BW196" s="1509" t="s">
        <v>2372</v>
      </c>
      <c r="BX196" s="1509" t="s">
        <v>2372</v>
      </c>
      <c r="BY196" s="1509" t="s">
        <v>2372</v>
      </c>
      <c r="BZ196" s="1509" t="s">
        <v>2372</v>
      </c>
      <c r="CA196" s="1509" t="s">
        <v>2372</v>
      </c>
      <c r="CB196" s="1509" t="s">
        <v>2372</v>
      </c>
      <c r="CC196" s="1509" t="s">
        <v>2372</v>
      </c>
      <c r="CD196" s="1509" t="s">
        <v>2372</v>
      </c>
      <c r="CE196" s="1509" t="s">
        <v>2372</v>
      </c>
      <c r="CF196" s="1509" t="s">
        <v>2372</v>
      </c>
      <c r="CG196" s="1509" t="s">
        <v>2372</v>
      </c>
      <c r="CH196" s="1509" t="s">
        <v>2372</v>
      </c>
      <c r="CI196" s="1509" t="s">
        <v>2372</v>
      </c>
      <c r="CJ196" s="1509" t="s">
        <v>2372</v>
      </c>
      <c r="CK196" s="1509" t="s">
        <v>2372</v>
      </c>
      <c r="CL196" s="1509" t="s">
        <v>2372</v>
      </c>
      <c r="CM196" s="1509" t="s">
        <v>2372</v>
      </c>
      <c r="CN196" s="1509" t="s">
        <v>2372</v>
      </c>
      <c r="CO196" s="1509" t="s">
        <v>2372</v>
      </c>
      <c r="CP196" s="1509" t="s">
        <v>2372</v>
      </c>
      <c r="CQ196" s="1509" t="s">
        <v>2372</v>
      </c>
      <c r="CR196" s="1509" t="s">
        <v>2372</v>
      </c>
      <c r="CS196" s="1509" t="s">
        <v>2372</v>
      </c>
      <c r="CT196" s="1509" t="s">
        <v>2372</v>
      </c>
      <c r="CU196" s="1509" t="s">
        <v>2372</v>
      </c>
      <c r="CV196" s="1509" t="s">
        <v>2372</v>
      </c>
      <c r="CW196" s="1509" t="s">
        <v>2372</v>
      </c>
      <c r="CX196" s="1509" t="s">
        <v>2372</v>
      </c>
      <c r="CY196" s="1509" t="s">
        <v>2372</v>
      </c>
      <c r="CZ196" s="1509" t="s">
        <v>2372</v>
      </c>
      <c r="DA196" s="1509" t="s">
        <v>2372</v>
      </c>
      <c r="DB196" s="1509" t="s">
        <v>2372</v>
      </c>
      <c r="DC196" s="1509" t="s">
        <v>2372</v>
      </c>
      <c r="DD196" s="1509" t="s">
        <v>2372</v>
      </c>
      <c r="DE196" s="1509" t="s">
        <v>2372</v>
      </c>
      <c r="DF196" s="1509" t="s">
        <v>2372</v>
      </c>
      <c r="DG196" s="1509" t="s">
        <v>2372</v>
      </c>
      <c r="DH196" s="1509" t="s">
        <v>2372</v>
      </c>
      <c r="DI196" s="1509" t="s">
        <v>2372</v>
      </c>
      <c r="DJ196" s="1509" t="s">
        <v>2372</v>
      </c>
      <c r="DK196" s="1509" t="s">
        <v>2372</v>
      </c>
      <c r="DL196" s="1509">
        <v>1</v>
      </c>
      <c r="DM196" s="1509" t="s">
        <v>2372</v>
      </c>
      <c r="DN196" s="1509" t="s">
        <v>2372</v>
      </c>
      <c r="DO196" s="1509" t="s">
        <v>2372</v>
      </c>
      <c r="DP196" s="1509" t="s">
        <v>2372</v>
      </c>
      <c r="DQ196" s="1509" t="s">
        <v>2372</v>
      </c>
      <c r="DR196" s="1509" t="s">
        <v>2372</v>
      </c>
      <c r="DS196" s="1509" t="s">
        <v>2372</v>
      </c>
      <c r="DT196" s="1509" t="s">
        <v>2372</v>
      </c>
      <c r="DU196" s="1509" t="s">
        <v>2372</v>
      </c>
      <c r="DV196" s="1509" t="s">
        <v>2372</v>
      </c>
      <c r="DW196" s="1509">
        <v>1</v>
      </c>
      <c r="DX196" s="1509" t="s">
        <v>2372</v>
      </c>
      <c r="DY196" s="1509" t="s">
        <v>2372</v>
      </c>
      <c r="DZ196" s="1509" t="s">
        <v>2372</v>
      </c>
      <c r="EA196" s="1509" t="s">
        <v>2372</v>
      </c>
      <c r="EB196" s="1509" t="s">
        <v>2372</v>
      </c>
      <c r="EC196" s="1509" t="s">
        <v>2372</v>
      </c>
      <c r="ED196" s="1509" t="s">
        <v>2372</v>
      </c>
      <c r="EE196" s="1509" t="s">
        <v>2372</v>
      </c>
      <c r="EF196" s="1509" t="s">
        <v>2372</v>
      </c>
      <c r="EG196" s="1509" t="s">
        <v>2372</v>
      </c>
      <c r="EH196" s="1509" t="s">
        <v>2372</v>
      </c>
      <c r="EI196" s="1509">
        <v>1</v>
      </c>
      <c r="EJ196" s="1509" t="s">
        <v>2372</v>
      </c>
      <c r="EK196" s="1509" t="s">
        <v>2372</v>
      </c>
      <c r="EL196" s="1509" t="s">
        <v>2372</v>
      </c>
      <c r="EM196" s="1509" t="s">
        <v>2372</v>
      </c>
      <c r="EN196" s="1509" t="s">
        <v>2372</v>
      </c>
      <c r="EO196" s="1509" t="s">
        <v>2372</v>
      </c>
      <c r="EP196" s="1509" t="s">
        <v>2372</v>
      </c>
      <c r="EQ196" s="1509" t="s">
        <v>2372</v>
      </c>
      <c r="ER196" s="1509" t="s">
        <v>2372</v>
      </c>
      <c r="ES196" s="1509" t="s">
        <v>2372</v>
      </c>
      <c r="ET196" s="1509" t="s">
        <v>2372</v>
      </c>
      <c r="EU196" s="1509" t="s">
        <v>2372</v>
      </c>
      <c r="EV196" s="1509" t="s">
        <v>2372</v>
      </c>
      <c r="EW196" s="1509" t="s">
        <v>2372</v>
      </c>
      <c r="EX196" s="1509" t="s">
        <v>2372</v>
      </c>
      <c r="EY196" s="1509" t="s">
        <v>2372</v>
      </c>
      <c r="EZ196" s="1509" t="s">
        <v>2372</v>
      </c>
      <c r="FA196" s="1509" t="s">
        <v>2372</v>
      </c>
      <c r="FB196" s="1509" t="s">
        <v>2372</v>
      </c>
      <c r="FC196" s="1509" t="s">
        <v>2372</v>
      </c>
      <c r="FD196" s="1509" t="s">
        <v>2372</v>
      </c>
      <c r="FE196" s="1509" t="s">
        <v>2372</v>
      </c>
      <c r="FF196" s="1509" t="s">
        <v>2372</v>
      </c>
      <c r="FG196" s="1509" t="s">
        <v>2372</v>
      </c>
      <c r="FH196" s="1509" t="s">
        <v>2372</v>
      </c>
      <c r="FI196" s="1509" t="s">
        <v>2372</v>
      </c>
      <c r="FJ196" s="1509" t="s">
        <v>2372</v>
      </c>
      <c r="FK196" s="1509" t="s">
        <v>2372</v>
      </c>
      <c r="FL196" s="1509" t="s">
        <v>2372</v>
      </c>
      <c r="FM196" s="1509" t="s">
        <v>2372</v>
      </c>
      <c r="FN196" s="1509" t="s">
        <v>2372</v>
      </c>
      <c r="FO196" s="1509" t="s">
        <v>2372</v>
      </c>
      <c r="FP196" s="1509" t="s">
        <v>2372</v>
      </c>
      <c r="FQ196" s="1509" t="s">
        <v>2372</v>
      </c>
      <c r="FR196" s="1509" t="s">
        <v>2372</v>
      </c>
      <c r="FS196" s="1509" t="s">
        <v>2372</v>
      </c>
      <c r="FT196" s="1509" t="s">
        <v>2372</v>
      </c>
      <c r="FU196" s="1509" t="s">
        <v>2372</v>
      </c>
    </row>
    <row r="197" spans="1:177" s="1509" customFormat="1" x14ac:dyDescent="0.2">
      <c r="A197" s="1512" t="s">
        <v>1883</v>
      </c>
      <c r="B197" s="1512" t="s">
        <v>1075</v>
      </c>
      <c r="C197" s="1509" t="s">
        <v>2372</v>
      </c>
      <c r="D197" s="1509" t="s">
        <v>2372</v>
      </c>
      <c r="E197" s="1509" t="s">
        <v>2372</v>
      </c>
      <c r="F197" s="1509" t="s">
        <v>2372</v>
      </c>
      <c r="G197" s="1509" t="s">
        <v>2372</v>
      </c>
      <c r="H197" s="1509" t="s">
        <v>2372</v>
      </c>
      <c r="I197" s="1509">
        <v>1</v>
      </c>
      <c r="J197" s="1509">
        <v>1</v>
      </c>
      <c r="K197" s="1509">
        <v>1</v>
      </c>
      <c r="L197" s="1509" t="s">
        <v>2372</v>
      </c>
      <c r="M197" s="1509">
        <v>1</v>
      </c>
      <c r="N197" s="1509">
        <v>1</v>
      </c>
      <c r="O197" s="1509">
        <v>1</v>
      </c>
      <c r="P197" s="1509" t="s">
        <v>2372</v>
      </c>
      <c r="Q197" s="1509" t="s">
        <v>2372</v>
      </c>
      <c r="R197" s="1509" t="s">
        <v>2372</v>
      </c>
      <c r="S197" s="1509" t="s">
        <v>2372</v>
      </c>
      <c r="T197" s="1509">
        <v>1</v>
      </c>
      <c r="U197" s="1509" t="s">
        <v>2372</v>
      </c>
      <c r="V197" s="1509" t="s">
        <v>2372</v>
      </c>
      <c r="W197" s="1509" t="s">
        <v>2372</v>
      </c>
      <c r="X197" s="1509" t="s">
        <v>2372</v>
      </c>
      <c r="Y197" s="1509" t="s">
        <v>2372</v>
      </c>
      <c r="Z197" s="1509" t="s">
        <v>2372</v>
      </c>
      <c r="AA197" s="1509" t="s">
        <v>2372</v>
      </c>
      <c r="AB197" s="1509" t="s">
        <v>2372</v>
      </c>
      <c r="AC197" s="1509" t="s">
        <v>2372</v>
      </c>
      <c r="AD197" s="1509" t="s">
        <v>2372</v>
      </c>
      <c r="AE197" s="1509" t="s">
        <v>2372</v>
      </c>
      <c r="AF197" s="1509">
        <v>1</v>
      </c>
      <c r="AG197" s="1509" t="s">
        <v>2372</v>
      </c>
      <c r="AH197" s="1509" t="s">
        <v>2372</v>
      </c>
      <c r="AI197" s="1509" t="s">
        <v>2372</v>
      </c>
      <c r="AJ197" s="1509" t="s">
        <v>2372</v>
      </c>
      <c r="AK197" s="1509">
        <v>1</v>
      </c>
      <c r="AL197" s="1509" t="s">
        <v>2372</v>
      </c>
      <c r="AM197" s="1509" t="s">
        <v>2372</v>
      </c>
      <c r="AN197" s="1509" t="s">
        <v>2372</v>
      </c>
      <c r="AO197" s="1509" t="s">
        <v>2372</v>
      </c>
      <c r="AP197" s="1509" t="s">
        <v>2372</v>
      </c>
      <c r="AQ197" s="1509" t="s">
        <v>2372</v>
      </c>
      <c r="AR197" s="1509" t="s">
        <v>2372</v>
      </c>
      <c r="AS197" s="1509" t="s">
        <v>2372</v>
      </c>
      <c r="AT197" s="1509" t="s">
        <v>2372</v>
      </c>
      <c r="AU197" s="1509" t="s">
        <v>2372</v>
      </c>
      <c r="AV197" s="1509" t="s">
        <v>2372</v>
      </c>
      <c r="AW197" s="1509" t="s">
        <v>2372</v>
      </c>
      <c r="AX197" s="1509" t="s">
        <v>2372</v>
      </c>
      <c r="AY197" s="1509" t="s">
        <v>2372</v>
      </c>
      <c r="AZ197" s="1509" t="s">
        <v>2372</v>
      </c>
      <c r="BA197" s="1509" t="s">
        <v>2372</v>
      </c>
      <c r="BB197" s="1509" t="s">
        <v>2372</v>
      </c>
      <c r="BC197" s="1509" t="s">
        <v>2372</v>
      </c>
      <c r="BD197" s="1509" t="s">
        <v>2372</v>
      </c>
      <c r="BE197" s="1509" t="s">
        <v>2372</v>
      </c>
      <c r="BF197" s="1509" t="s">
        <v>2372</v>
      </c>
      <c r="BG197" s="1509" t="s">
        <v>2372</v>
      </c>
      <c r="BH197" s="1509" t="s">
        <v>2372</v>
      </c>
      <c r="BI197" s="1509" t="s">
        <v>2372</v>
      </c>
      <c r="BJ197" s="1509" t="s">
        <v>2372</v>
      </c>
      <c r="BK197" s="1509" t="s">
        <v>2372</v>
      </c>
      <c r="BL197" s="1509" t="s">
        <v>2372</v>
      </c>
      <c r="BM197" s="1509" t="s">
        <v>2372</v>
      </c>
      <c r="BN197" s="1509" t="s">
        <v>2372</v>
      </c>
      <c r="BO197" s="1509" t="s">
        <v>2372</v>
      </c>
      <c r="BP197" s="1509" t="s">
        <v>2372</v>
      </c>
      <c r="BQ197" s="1509" t="s">
        <v>2372</v>
      </c>
      <c r="BR197" s="1509" t="s">
        <v>2372</v>
      </c>
      <c r="BS197" s="1509" t="s">
        <v>2372</v>
      </c>
      <c r="BT197" s="1509" t="s">
        <v>2372</v>
      </c>
      <c r="BU197" s="1509" t="s">
        <v>2372</v>
      </c>
      <c r="BV197" s="1509" t="s">
        <v>2372</v>
      </c>
      <c r="BW197" s="1509" t="s">
        <v>2372</v>
      </c>
      <c r="BX197" s="1509" t="s">
        <v>2372</v>
      </c>
      <c r="BY197" s="1509" t="s">
        <v>2372</v>
      </c>
      <c r="BZ197" s="1509">
        <v>1</v>
      </c>
      <c r="CA197" s="1509" t="s">
        <v>2372</v>
      </c>
      <c r="CB197" s="1509" t="s">
        <v>2372</v>
      </c>
      <c r="CC197" s="1509" t="s">
        <v>2372</v>
      </c>
      <c r="CD197" s="1509">
        <v>1</v>
      </c>
      <c r="CE197" s="1509" t="s">
        <v>2372</v>
      </c>
      <c r="CF197" s="1509" t="s">
        <v>2372</v>
      </c>
      <c r="CG197" s="1509" t="s">
        <v>2372</v>
      </c>
      <c r="CH197" s="1509" t="s">
        <v>2372</v>
      </c>
      <c r="CI197" s="1509" t="s">
        <v>2372</v>
      </c>
      <c r="CJ197" s="1509" t="s">
        <v>2372</v>
      </c>
      <c r="CK197" s="1509" t="s">
        <v>2372</v>
      </c>
      <c r="CL197" s="1509" t="s">
        <v>2372</v>
      </c>
      <c r="CM197" s="1509" t="s">
        <v>2372</v>
      </c>
      <c r="CN197" s="1509" t="s">
        <v>2372</v>
      </c>
      <c r="CO197" s="1509" t="s">
        <v>2372</v>
      </c>
      <c r="CP197" s="1509" t="s">
        <v>2372</v>
      </c>
      <c r="CQ197" s="1509" t="s">
        <v>2372</v>
      </c>
      <c r="CR197" s="1509">
        <v>1</v>
      </c>
      <c r="CS197" s="1509" t="s">
        <v>2372</v>
      </c>
      <c r="CT197" s="1509" t="s">
        <v>2372</v>
      </c>
      <c r="CU197" s="1509" t="s">
        <v>2372</v>
      </c>
      <c r="CV197" s="1509" t="s">
        <v>2372</v>
      </c>
      <c r="CW197" s="1509" t="s">
        <v>2372</v>
      </c>
      <c r="CX197" s="1509" t="s">
        <v>2372</v>
      </c>
      <c r="CY197" s="1509">
        <v>1</v>
      </c>
      <c r="CZ197" s="1509">
        <v>1</v>
      </c>
      <c r="DA197" s="1509" t="s">
        <v>2372</v>
      </c>
      <c r="DB197" s="1509" t="s">
        <v>2372</v>
      </c>
      <c r="DC197" s="1509" t="s">
        <v>2372</v>
      </c>
      <c r="DD197" s="1509" t="s">
        <v>2372</v>
      </c>
      <c r="DE197" s="1509" t="s">
        <v>2372</v>
      </c>
      <c r="DF197" s="1509" t="s">
        <v>2372</v>
      </c>
      <c r="DG197" s="1509" t="s">
        <v>2372</v>
      </c>
      <c r="DH197" s="1509" t="s">
        <v>2372</v>
      </c>
      <c r="DI197" s="1509" t="s">
        <v>2372</v>
      </c>
      <c r="DJ197" s="1509" t="s">
        <v>2372</v>
      </c>
      <c r="DK197" s="1509" t="s">
        <v>2372</v>
      </c>
      <c r="DL197" s="1509" t="s">
        <v>2372</v>
      </c>
      <c r="DM197" s="1509" t="s">
        <v>2372</v>
      </c>
      <c r="DN197" s="1509" t="s">
        <v>2372</v>
      </c>
      <c r="DO197" s="1509" t="s">
        <v>2372</v>
      </c>
      <c r="DP197" s="1509">
        <v>1</v>
      </c>
      <c r="DQ197" s="1509" t="s">
        <v>2372</v>
      </c>
      <c r="DR197" s="1509" t="s">
        <v>2372</v>
      </c>
      <c r="DS197" s="1509" t="s">
        <v>2372</v>
      </c>
      <c r="DT197" s="1509" t="s">
        <v>2372</v>
      </c>
      <c r="DU197" s="1509" t="s">
        <v>2372</v>
      </c>
      <c r="DV197" s="1509" t="s">
        <v>2372</v>
      </c>
      <c r="DW197" s="1509">
        <v>1</v>
      </c>
      <c r="DX197" s="1509" t="s">
        <v>2372</v>
      </c>
      <c r="DY197" s="1509" t="s">
        <v>2372</v>
      </c>
      <c r="DZ197" s="1509" t="s">
        <v>2372</v>
      </c>
      <c r="EA197" s="1509" t="s">
        <v>2372</v>
      </c>
      <c r="EB197" s="1509" t="s">
        <v>2372</v>
      </c>
      <c r="EC197" s="1509" t="s">
        <v>2372</v>
      </c>
      <c r="ED197" s="1509" t="s">
        <v>2372</v>
      </c>
      <c r="EE197" s="1509" t="s">
        <v>2372</v>
      </c>
      <c r="EF197" s="1509" t="s">
        <v>2372</v>
      </c>
      <c r="EG197" s="1509" t="s">
        <v>2372</v>
      </c>
      <c r="EH197" s="1509" t="s">
        <v>2372</v>
      </c>
      <c r="EI197" s="1509" t="s">
        <v>2372</v>
      </c>
      <c r="EJ197" s="1509" t="s">
        <v>2372</v>
      </c>
      <c r="EK197" s="1509" t="s">
        <v>2372</v>
      </c>
      <c r="EL197" s="1509" t="s">
        <v>2372</v>
      </c>
      <c r="EM197" s="1509" t="s">
        <v>2372</v>
      </c>
      <c r="EN197" s="1509" t="s">
        <v>2372</v>
      </c>
      <c r="EO197" s="1509" t="s">
        <v>2372</v>
      </c>
      <c r="EP197" s="1509">
        <v>1</v>
      </c>
      <c r="EQ197" s="1509" t="s">
        <v>2372</v>
      </c>
      <c r="ER197" s="1509" t="s">
        <v>2372</v>
      </c>
      <c r="ES197" s="1509" t="s">
        <v>2372</v>
      </c>
      <c r="ET197" s="1509" t="s">
        <v>2372</v>
      </c>
      <c r="EU197" s="1509" t="s">
        <v>2372</v>
      </c>
      <c r="EV197" s="1509" t="s">
        <v>2372</v>
      </c>
      <c r="EW197" s="1509" t="s">
        <v>2372</v>
      </c>
      <c r="EX197" s="1509" t="s">
        <v>2372</v>
      </c>
      <c r="EY197" s="1509" t="s">
        <v>2372</v>
      </c>
      <c r="EZ197" s="1509" t="s">
        <v>2372</v>
      </c>
      <c r="FA197" s="1509" t="s">
        <v>2372</v>
      </c>
      <c r="FB197" s="1509" t="s">
        <v>2372</v>
      </c>
      <c r="FC197" s="1509" t="s">
        <v>2372</v>
      </c>
      <c r="FD197" s="1509" t="s">
        <v>2372</v>
      </c>
      <c r="FE197" s="1509" t="s">
        <v>2372</v>
      </c>
      <c r="FF197" s="1509" t="s">
        <v>2372</v>
      </c>
      <c r="FG197" s="1509" t="s">
        <v>2372</v>
      </c>
      <c r="FH197" s="1509" t="s">
        <v>2372</v>
      </c>
      <c r="FI197" s="1509" t="s">
        <v>2372</v>
      </c>
      <c r="FJ197" s="1509" t="s">
        <v>2372</v>
      </c>
      <c r="FK197" s="1509" t="s">
        <v>2372</v>
      </c>
      <c r="FL197" s="1509">
        <v>1</v>
      </c>
      <c r="FM197" s="1509" t="s">
        <v>2372</v>
      </c>
      <c r="FN197" s="1509" t="s">
        <v>2372</v>
      </c>
      <c r="FO197" s="1509">
        <v>1</v>
      </c>
      <c r="FP197" s="1509" t="s">
        <v>2372</v>
      </c>
      <c r="FQ197" s="1509" t="s">
        <v>2372</v>
      </c>
      <c r="FR197" s="1509" t="s">
        <v>2372</v>
      </c>
      <c r="FS197" s="1509">
        <v>1</v>
      </c>
      <c r="FT197" s="1509" t="s">
        <v>2372</v>
      </c>
      <c r="FU197" s="1509" t="s">
        <v>2372</v>
      </c>
    </row>
    <row r="198" spans="1:177" s="1509" customFormat="1" x14ac:dyDescent="0.2">
      <c r="A198" s="1512" t="s">
        <v>1883</v>
      </c>
      <c r="B198" s="1512" t="s">
        <v>1026</v>
      </c>
      <c r="C198" s="1509">
        <v>0</v>
      </c>
      <c r="D198" s="1509">
        <v>0</v>
      </c>
      <c r="E198" s="1509">
        <v>0</v>
      </c>
      <c r="F198" s="1509">
        <v>0</v>
      </c>
      <c r="G198" s="1509">
        <v>0</v>
      </c>
      <c r="H198" s="1509">
        <v>0</v>
      </c>
      <c r="I198" s="1509">
        <v>1</v>
      </c>
      <c r="J198" s="1509">
        <v>1</v>
      </c>
      <c r="K198" s="1509">
        <v>0</v>
      </c>
      <c r="L198" s="1509">
        <v>0.993985287</v>
      </c>
      <c r="M198" s="1509">
        <v>0</v>
      </c>
      <c r="N198" s="1509">
        <v>0</v>
      </c>
      <c r="O198" s="1509">
        <v>1</v>
      </c>
      <c r="P198" s="1509">
        <v>0.993985287</v>
      </c>
      <c r="Q198" s="1509">
        <v>0</v>
      </c>
      <c r="R198" s="1509">
        <v>0</v>
      </c>
      <c r="S198" s="1509">
        <v>0.98701656800000004</v>
      </c>
      <c r="T198" s="1509">
        <v>0</v>
      </c>
      <c r="U198" s="1509">
        <v>0</v>
      </c>
      <c r="V198" s="1509">
        <v>0</v>
      </c>
      <c r="W198" s="1509">
        <v>0.993985287</v>
      </c>
      <c r="X198" s="1509">
        <v>0</v>
      </c>
      <c r="Y198" s="1509">
        <v>0</v>
      </c>
      <c r="Z198" s="1509">
        <v>0</v>
      </c>
      <c r="AA198" s="1509">
        <v>0</v>
      </c>
      <c r="AB198" s="1509">
        <v>0</v>
      </c>
      <c r="AC198" s="1509">
        <v>0</v>
      </c>
      <c r="AD198" s="1509">
        <v>0</v>
      </c>
      <c r="AE198" s="1509">
        <v>0</v>
      </c>
      <c r="AF198" s="1509">
        <v>0</v>
      </c>
      <c r="AG198" s="1509">
        <v>0</v>
      </c>
      <c r="AH198" s="1509">
        <v>0</v>
      </c>
      <c r="AI198" s="1509">
        <v>0</v>
      </c>
      <c r="AJ198" s="1509">
        <v>0</v>
      </c>
      <c r="AK198" s="1509">
        <v>0</v>
      </c>
      <c r="AL198" s="1509">
        <v>0</v>
      </c>
      <c r="AM198" s="1509">
        <v>0</v>
      </c>
      <c r="AN198" s="1509">
        <v>0</v>
      </c>
      <c r="AO198" s="1509">
        <v>0</v>
      </c>
      <c r="AP198" s="1509">
        <v>1</v>
      </c>
      <c r="AQ198" s="1509">
        <v>0</v>
      </c>
      <c r="AR198" s="1509">
        <v>0.98639445299999995</v>
      </c>
      <c r="AS198" s="1509">
        <v>0</v>
      </c>
      <c r="AT198" s="1509">
        <v>0</v>
      </c>
      <c r="AU198" s="1509">
        <v>0</v>
      </c>
      <c r="AV198" s="1509">
        <v>0</v>
      </c>
      <c r="AW198" s="1509">
        <v>0</v>
      </c>
      <c r="AX198" s="1509">
        <v>0.99183376899999998</v>
      </c>
      <c r="AY198" s="1509">
        <v>0</v>
      </c>
      <c r="AZ198" s="1509">
        <v>0</v>
      </c>
      <c r="BA198" s="1509">
        <v>0</v>
      </c>
      <c r="BB198" s="1509">
        <v>0</v>
      </c>
      <c r="BC198" s="1509">
        <v>0</v>
      </c>
      <c r="BD198" s="1509">
        <v>0</v>
      </c>
      <c r="BE198" s="1509">
        <v>1</v>
      </c>
      <c r="BF198" s="1509">
        <v>0</v>
      </c>
      <c r="BG198" s="1509">
        <v>0</v>
      </c>
      <c r="BH198" s="1509">
        <v>0</v>
      </c>
      <c r="BI198" s="1509">
        <v>0.993985287</v>
      </c>
      <c r="BJ198" s="1509">
        <v>0</v>
      </c>
      <c r="BK198" s="1509">
        <v>1</v>
      </c>
      <c r="BL198" s="1509">
        <v>0</v>
      </c>
      <c r="BM198" s="1509" t="s">
        <v>2372</v>
      </c>
      <c r="BN198" s="1509">
        <v>0</v>
      </c>
      <c r="BO198" s="1509">
        <v>0.993985287</v>
      </c>
      <c r="BP198" s="1509">
        <v>0</v>
      </c>
      <c r="BQ198" s="1509">
        <v>0</v>
      </c>
      <c r="BR198" s="1509">
        <v>0</v>
      </c>
      <c r="BS198" s="1509">
        <v>0</v>
      </c>
      <c r="BT198" s="1509">
        <v>0</v>
      </c>
      <c r="BU198" s="1509">
        <v>0</v>
      </c>
      <c r="BV198" s="1509">
        <v>0</v>
      </c>
      <c r="BW198" s="1509">
        <v>0</v>
      </c>
      <c r="BX198" s="1509">
        <v>0</v>
      </c>
      <c r="BY198" s="1509">
        <v>0</v>
      </c>
      <c r="BZ198" s="1509">
        <v>0</v>
      </c>
      <c r="CA198" s="1509">
        <v>0</v>
      </c>
      <c r="CB198" s="1509">
        <v>0</v>
      </c>
      <c r="CC198" s="1509">
        <v>0</v>
      </c>
      <c r="CD198" s="1509">
        <v>0</v>
      </c>
      <c r="CE198" s="1509">
        <v>0</v>
      </c>
      <c r="CF198" s="1509">
        <v>0</v>
      </c>
      <c r="CG198" s="1509">
        <v>0</v>
      </c>
      <c r="CH198" s="1509">
        <v>0</v>
      </c>
      <c r="CI198" s="1509">
        <v>0</v>
      </c>
      <c r="CJ198" s="1509">
        <v>0</v>
      </c>
      <c r="CK198" s="1509">
        <v>0</v>
      </c>
      <c r="CL198" s="1509">
        <v>0</v>
      </c>
      <c r="CM198" s="1509">
        <v>0</v>
      </c>
      <c r="CN198" s="1509">
        <v>0</v>
      </c>
      <c r="CO198" s="1509">
        <v>0</v>
      </c>
      <c r="CP198" s="1509">
        <v>0</v>
      </c>
      <c r="CQ198" s="1509">
        <v>1</v>
      </c>
      <c r="CR198" s="1509">
        <v>0</v>
      </c>
      <c r="CS198" s="1509">
        <v>0</v>
      </c>
      <c r="CT198" s="1509">
        <v>0</v>
      </c>
      <c r="CU198" s="1509">
        <v>0</v>
      </c>
      <c r="CV198" s="1509">
        <v>0</v>
      </c>
      <c r="CW198" s="1509">
        <v>0</v>
      </c>
      <c r="CX198" s="1509">
        <v>0</v>
      </c>
      <c r="CY198" s="1509">
        <v>0</v>
      </c>
      <c r="CZ198" s="1509">
        <v>0</v>
      </c>
      <c r="DA198" s="1509">
        <v>0</v>
      </c>
      <c r="DB198" s="1509">
        <v>0</v>
      </c>
      <c r="DC198" s="1509">
        <v>0</v>
      </c>
      <c r="DD198" s="1509">
        <v>0</v>
      </c>
      <c r="DE198" s="1509" t="s">
        <v>2372</v>
      </c>
      <c r="DF198" s="1509">
        <v>0</v>
      </c>
      <c r="DG198" s="1509">
        <v>0</v>
      </c>
      <c r="DH198" s="1509">
        <v>0</v>
      </c>
      <c r="DI198" s="1509">
        <v>0</v>
      </c>
      <c r="DJ198" s="1509">
        <v>0</v>
      </c>
      <c r="DK198" s="1509">
        <v>0.99183376899999998</v>
      </c>
      <c r="DL198" s="1509">
        <v>0</v>
      </c>
      <c r="DM198" s="1509" t="s">
        <v>2372</v>
      </c>
      <c r="DN198" s="1509">
        <v>0</v>
      </c>
      <c r="DO198" s="1509">
        <v>0</v>
      </c>
      <c r="DP198" s="1509">
        <v>0</v>
      </c>
      <c r="DQ198" s="1509">
        <v>1</v>
      </c>
      <c r="DR198" s="1509">
        <v>0</v>
      </c>
      <c r="DS198" s="1509">
        <v>0</v>
      </c>
      <c r="DT198" s="1509">
        <v>0</v>
      </c>
      <c r="DU198" s="1509">
        <v>0</v>
      </c>
      <c r="DV198" s="1509">
        <v>0</v>
      </c>
      <c r="DW198" s="1509">
        <v>0</v>
      </c>
      <c r="DX198" s="1509">
        <v>0</v>
      </c>
      <c r="DY198" s="1509">
        <v>0</v>
      </c>
      <c r="DZ198" s="1509">
        <v>0</v>
      </c>
      <c r="EA198" s="1509">
        <v>0</v>
      </c>
      <c r="EB198" s="1509">
        <v>0</v>
      </c>
      <c r="EC198" s="1509">
        <v>0</v>
      </c>
      <c r="ED198" s="1509">
        <v>0</v>
      </c>
      <c r="EE198" s="1509">
        <v>0</v>
      </c>
      <c r="EF198" s="1509">
        <v>0</v>
      </c>
      <c r="EG198" s="1509">
        <v>0</v>
      </c>
      <c r="EH198" s="1509">
        <v>0</v>
      </c>
      <c r="EI198" s="1509">
        <v>0</v>
      </c>
      <c r="EJ198" s="1509">
        <v>0</v>
      </c>
      <c r="EK198" s="1509">
        <v>0</v>
      </c>
      <c r="EL198" s="1509">
        <v>0</v>
      </c>
      <c r="EM198" s="1509">
        <v>0</v>
      </c>
      <c r="EN198" s="1509">
        <v>0</v>
      </c>
      <c r="EO198" s="1509">
        <v>0</v>
      </c>
      <c r="EP198" s="1509">
        <v>0</v>
      </c>
      <c r="EQ198" s="1509">
        <v>0</v>
      </c>
      <c r="ER198" s="1509">
        <v>0</v>
      </c>
      <c r="ES198" s="1509">
        <v>0</v>
      </c>
      <c r="ET198" s="1509">
        <v>0</v>
      </c>
      <c r="EU198" s="1509">
        <v>0</v>
      </c>
      <c r="EV198" s="1509">
        <v>0</v>
      </c>
      <c r="EW198" s="1509">
        <v>0</v>
      </c>
      <c r="EX198" s="1509">
        <v>0</v>
      </c>
      <c r="EY198" s="1509">
        <v>0</v>
      </c>
      <c r="EZ198" s="1509">
        <v>0</v>
      </c>
      <c r="FA198" s="1509">
        <v>0</v>
      </c>
      <c r="FB198" s="1509">
        <v>0</v>
      </c>
      <c r="FC198" s="1509">
        <v>0</v>
      </c>
      <c r="FD198" s="1509">
        <v>0</v>
      </c>
      <c r="FE198" s="1509">
        <v>0</v>
      </c>
      <c r="FF198" s="1509">
        <v>0</v>
      </c>
      <c r="FG198" s="1509">
        <v>0</v>
      </c>
      <c r="FH198" s="1509">
        <v>0.99183376899999998</v>
      </c>
      <c r="FI198" s="1509">
        <v>0</v>
      </c>
      <c r="FJ198" s="1509">
        <v>1</v>
      </c>
      <c r="FK198" s="1509">
        <v>0</v>
      </c>
      <c r="FL198" s="1509">
        <v>0</v>
      </c>
      <c r="FM198" s="1509">
        <v>0</v>
      </c>
      <c r="FN198" s="1509">
        <v>0.993985287</v>
      </c>
      <c r="FO198" s="1509">
        <v>0</v>
      </c>
      <c r="FP198" s="1509">
        <v>0</v>
      </c>
      <c r="FQ198" s="1509">
        <v>0</v>
      </c>
      <c r="FR198" s="1509">
        <v>0</v>
      </c>
      <c r="FS198" s="1509">
        <v>0</v>
      </c>
      <c r="FT198" s="1509">
        <v>0</v>
      </c>
      <c r="FU198" s="1509">
        <v>0</v>
      </c>
    </row>
    <row r="199" spans="1:177" s="1509" customFormat="1" x14ac:dyDescent="0.2">
      <c r="A199" s="1512" t="s">
        <v>1883</v>
      </c>
      <c r="B199" s="1512" t="s">
        <v>1009</v>
      </c>
      <c r="C199" s="1509">
        <v>0.83229237300000003</v>
      </c>
      <c r="D199" s="1509">
        <v>0.98823888900000001</v>
      </c>
      <c r="E199" s="1509">
        <v>0.84593168399999996</v>
      </c>
      <c r="F199" s="1509">
        <v>0.64677035900000002</v>
      </c>
      <c r="G199" s="1509">
        <v>0.91128485299999995</v>
      </c>
      <c r="H199" s="1509">
        <v>0.688338016</v>
      </c>
      <c r="I199" s="1509">
        <v>0.92876254899999999</v>
      </c>
      <c r="J199" s="1509">
        <v>0.92459622399999997</v>
      </c>
      <c r="K199" s="1509">
        <v>0.94040813599999995</v>
      </c>
      <c r="L199" s="1509">
        <v>0.91646108299999995</v>
      </c>
      <c r="M199" s="1509">
        <v>0.93830261400000003</v>
      </c>
      <c r="N199" s="1509">
        <v>0.98738177400000005</v>
      </c>
      <c r="O199" s="1509">
        <v>0.96940098799999996</v>
      </c>
      <c r="P199" s="1509">
        <v>0.96018513699999997</v>
      </c>
      <c r="Q199" s="1509">
        <v>0.78108658500000006</v>
      </c>
      <c r="R199" s="1509">
        <v>0.96687131199999998</v>
      </c>
      <c r="S199" s="1509">
        <v>0.98213101199999997</v>
      </c>
      <c r="T199" s="1509">
        <v>0.66215873800000002</v>
      </c>
      <c r="U199" s="1509">
        <v>0.70434743700000002</v>
      </c>
      <c r="V199" s="1509">
        <v>0.76117044700000003</v>
      </c>
      <c r="W199" s="1509">
        <v>0.87350097999999998</v>
      </c>
      <c r="X199" s="1509">
        <v>0.61042252100000005</v>
      </c>
      <c r="Y199" s="1509">
        <v>0.94935194599999995</v>
      </c>
      <c r="Z199" s="1509">
        <v>0.71753583099999996</v>
      </c>
      <c r="AA199" s="1509">
        <v>0.97503186200000003</v>
      </c>
      <c r="AB199" s="1509">
        <v>0.81772141499999995</v>
      </c>
      <c r="AC199" s="1509">
        <v>0.76805345400000002</v>
      </c>
      <c r="AD199" s="1509">
        <v>0.631451655</v>
      </c>
      <c r="AE199" s="1509">
        <v>0.93988944699999999</v>
      </c>
      <c r="AF199" s="1509">
        <v>0.96713522299999999</v>
      </c>
      <c r="AG199" s="1509">
        <v>0.99993664800000004</v>
      </c>
      <c r="AH199" s="1509">
        <v>0.87982127300000001</v>
      </c>
      <c r="AI199" s="1509">
        <v>0.76203874199999999</v>
      </c>
      <c r="AJ199" s="1509">
        <v>0.84334543200000001</v>
      </c>
      <c r="AK199" s="1509">
        <v>0.93660716300000002</v>
      </c>
      <c r="AL199" s="1509">
        <v>0.70068554999999999</v>
      </c>
      <c r="AM199" s="1509">
        <v>0.99151827999999997</v>
      </c>
      <c r="AN199" s="1509">
        <v>0.74790567900000005</v>
      </c>
      <c r="AO199" s="1509">
        <v>0.60720207500000001</v>
      </c>
      <c r="AP199" s="1509">
        <v>0.98482207399999999</v>
      </c>
      <c r="AQ199" s="1509">
        <v>0.90834084900000001</v>
      </c>
      <c r="AR199" s="1509">
        <v>0.87875689899999998</v>
      </c>
      <c r="AS199" s="1509">
        <v>0.530216613</v>
      </c>
      <c r="AT199" s="1509">
        <v>2.2406875E-2</v>
      </c>
      <c r="AU199" s="1509">
        <v>0.66647193599999999</v>
      </c>
      <c r="AV199" s="1509">
        <v>0.77418741800000002</v>
      </c>
      <c r="AW199" s="1509">
        <v>0.928143936</v>
      </c>
      <c r="AX199" s="1509">
        <v>0.99389307999999998</v>
      </c>
      <c r="AY199" s="1509">
        <v>0.86784228299999999</v>
      </c>
      <c r="AZ199" s="1509">
        <v>0.90573608100000003</v>
      </c>
      <c r="BA199" s="1509">
        <v>0.93679963899999996</v>
      </c>
      <c r="BB199" s="1509">
        <v>0.95922770400000001</v>
      </c>
      <c r="BC199" s="1509">
        <v>4.2154135000000002E-2</v>
      </c>
      <c r="BD199" s="1509">
        <v>0.97830799300000004</v>
      </c>
      <c r="BE199" s="1509">
        <v>0.99979040799999996</v>
      </c>
      <c r="BF199" s="1509">
        <v>0.115847003</v>
      </c>
      <c r="BG199" s="1509">
        <v>0.23558179300000001</v>
      </c>
      <c r="BH199" s="1509">
        <v>0.90223669799999995</v>
      </c>
      <c r="BI199" s="1509">
        <v>0.81742701500000003</v>
      </c>
      <c r="BJ199" s="1509">
        <v>0.55852606000000005</v>
      </c>
      <c r="BK199" s="1509">
        <v>0.99864352199999995</v>
      </c>
      <c r="BL199" s="1509">
        <v>0.96717994200000001</v>
      </c>
      <c r="BM199" s="1509">
        <v>0.99952257700000002</v>
      </c>
      <c r="BN199" s="1509">
        <v>0.94067645</v>
      </c>
      <c r="BO199" s="1509">
        <v>0.99890438299999995</v>
      </c>
      <c r="BP199" s="1509">
        <v>0.99305736700000002</v>
      </c>
      <c r="BQ199" s="1509">
        <v>0.980114928</v>
      </c>
      <c r="BR199" s="1509">
        <v>0.39400839199999999</v>
      </c>
      <c r="BS199" s="1509">
        <v>0.95856034499999998</v>
      </c>
      <c r="BT199" s="1509">
        <v>0.94207229800000003</v>
      </c>
      <c r="BU199" s="1509">
        <v>0.74907535800000002</v>
      </c>
      <c r="BV199" s="1509">
        <v>0.915868613</v>
      </c>
      <c r="BW199" s="1509">
        <v>0.65351017899999997</v>
      </c>
      <c r="BX199" s="1509">
        <v>0.93755428200000002</v>
      </c>
      <c r="BY199" s="1509">
        <v>0.63980095199999998</v>
      </c>
      <c r="BZ199" s="1509">
        <v>0.999136947</v>
      </c>
      <c r="CA199" s="1509">
        <v>0.96645356699999996</v>
      </c>
      <c r="CB199" s="1509">
        <v>0.52152506799999998</v>
      </c>
      <c r="CC199" s="1509">
        <v>0.89275137400000004</v>
      </c>
      <c r="CD199" s="1509">
        <v>0.99728465600000005</v>
      </c>
      <c r="CE199" s="1509">
        <v>0.90291899499999995</v>
      </c>
      <c r="CF199" s="1509">
        <v>0.492566373</v>
      </c>
      <c r="CG199" s="1509">
        <v>0.92607567999999996</v>
      </c>
      <c r="CH199" s="1509">
        <v>0.98469117799999994</v>
      </c>
      <c r="CI199" s="1509">
        <v>0.98615945299999996</v>
      </c>
      <c r="CJ199" s="1509">
        <v>0.96819893000000001</v>
      </c>
      <c r="CK199" s="1509">
        <v>0.56065759599999998</v>
      </c>
      <c r="CL199" s="1509">
        <v>0.48370319000000001</v>
      </c>
      <c r="CM199" s="1509">
        <v>0.81213846000000001</v>
      </c>
      <c r="CN199" s="1509">
        <v>0.95347362599999996</v>
      </c>
      <c r="CO199" s="1509">
        <v>0.46369719399999998</v>
      </c>
      <c r="CP199" s="1509">
        <v>0.83421482499999999</v>
      </c>
      <c r="CQ199" s="1509">
        <v>0.99995155400000002</v>
      </c>
      <c r="CR199" s="1509">
        <v>0.99953417700000002</v>
      </c>
      <c r="CS199" s="1509">
        <v>0.87910576799999995</v>
      </c>
      <c r="CT199" s="1509">
        <v>0.42917620099999998</v>
      </c>
      <c r="CU199" s="1509">
        <v>0.53106856199999997</v>
      </c>
      <c r="CV199" s="1509">
        <v>0.87828302800000002</v>
      </c>
      <c r="CW199" s="1509">
        <v>0.67632036600000001</v>
      </c>
      <c r="CX199" s="1509">
        <v>0.98385179300000003</v>
      </c>
      <c r="CY199" s="1509">
        <v>0.99954868699999999</v>
      </c>
      <c r="CZ199" s="1509">
        <v>0.93755428200000002</v>
      </c>
      <c r="DA199" s="1509">
        <v>0.98056491700000004</v>
      </c>
      <c r="DB199" s="1509">
        <v>0.97159650099999995</v>
      </c>
      <c r="DC199" s="1509">
        <v>0.58195899500000003</v>
      </c>
      <c r="DD199" s="1509">
        <v>0.97276465000000001</v>
      </c>
      <c r="DE199" s="1509">
        <v>0.71969021099999997</v>
      </c>
      <c r="DF199" s="1509">
        <v>0.76719800599999999</v>
      </c>
      <c r="DG199" s="1509">
        <v>0.88427045900000001</v>
      </c>
      <c r="DH199" s="1509">
        <v>0.18645315000000001</v>
      </c>
      <c r="DI199" s="1509">
        <v>0.60466891700000003</v>
      </c>
      <c r="DJ199" s="1509">
        <v>0.936434498</v>
      </c>
      <c r="DK199" s="1509">
        <v>0.99833944200000002</v>
      </c>
      <c r="DL199" s="1509">
        <v>0.81622940200000005</v>
      </c>
      <c r="DM199" s="1509">
        <v>0.99850805300000001</v>
      </c>
      <c r="DN199" s="1509">
        <v>8.7666340999999995E-2</v>
      </c>
      <c r="DO199" s="1509">
        <v>0.96630561599999998</v>
      </c>
      <c r="DP199" s="1509">
        <v>0.97864216599999998</v>
      </c>
      <c r="DQ199" s="1509">
        <v>0.99925165599999999</v>
      </c>
      <c r="DR199" s="1509">
        <v>0.97169950500000002</v>
      </c>
      <c r="DS199" s="1509">
        <v>0.97136083799999995</v>
      </c>
      <c r="DT199" s="1509">
        <v>0.98925553499999996</v>
      </c>
      <c r="DU199" s="1509">
        <v>0.73268068399999997</v>
      </c>
      <c r="DV199" s="1509">
        <v>0.83032846100000002</v>
      </c>
      <c r="DW199" s="1509">
        <v>0.464733642</v>
      </c>
      <c r="DX199" s="1509">
        <v>0.82471904900000004</v>
      </c>
      <c r="DY199" s="1509">
        <v>0.64478347999999996</v>
      </c>
      <c r="DZ199" s="1509">
        <v>0.18021584399999999</v>
      </c>
      <c r="EA199" s="1509">
        <v>0.91509257399999999</v>
      </c>
      <c r="EB199" s="1509">
        <v>0.42289317399999998</v>
      </c>
      <c r="EC199" s="1509">
        <v>0.76814661900000003</v>
      </c>
      <c r="ED199" s="1509">
        <v>0.97562811599999999</v>
      </c>
      <c r="EE199" s="1509">
        <v>0.95985169999999997</v>
      </c>
      <c r="EF199" s="1509">
        <v>0.962546507</v>
      </c>
      <c r="EG199" s="1509">
        <v>0.23852494399999999</v>
      </c>
      <c r="EH199" s="1509">
        <v>0.99076459100000003</v>
      </c>
      <c r="EI199" s="1509">
        <v>0.72870431800000002</v>
      </c>
      <c r="EJ199" s="1509">
        <v>0.55967415899999995</v>
      </c>
      <c r="EK199" s="1509">
        <v>0.93850012299999996</v>
      </c>
      <c r="EL199" s="1509">
        <v>0.70980233400000003</v>
      </c>
      <c r="EM199" s="1509">
        <v>0.939716149</v>
      </c>
      <c r="EN199" s="1509">
        <v>0.963870161</v>
      </c>
      <c r="EO199" s="1509">
        <v>0.45045484200000002</v>
      </c>
      <c r="EP199" s="1509">
        <v>0.52207613399999997</v>
      </c>
      <c r="EQ199" s="1509">
        <v>0.96881084299999998</v>
      </c>
      <c r="ER199" s="1509">
        <v>0.99105078899999999</v>
      </c>
      <c r="ES199" s="1509">
        <v>0.98351606000000003</v>
      </c>
      <c r="ET199" s="1509">
        <v>0.90507485799999998</v>
      </c>
      <c r="EU199" s="1509">
        <v>0.42575831200000003</v>
      </c>
      <c r="EV199" s="1509">
        <v>0.70859947400000001</v>
      </c>
      <c r="EW199" s="1509">
        <v>0.97398069799999998</v>
      </c>
      <c r="EX199" s="1509">
        <v>0.29460295399999997</v>
      </c>
      <c r="EY199" s="1509">
        <v>0.93455958400000005</v>
      </c>
      <c r="EZ199" s="1509">
        <v>0.907352885</v>
      </c>
      <c r="FA199" s="1509">
        <v>0.90505247899999997</v>
      </c>
      <c r="FB199" s="1509">
        <v>0.78903958200000002</v>
      </c>
      <c r="FC199" s="1509">
        <v>0.82632146699999998</v>
      </c>
      <c r="FD199" s="1509">
        <v>0.88438126100000003</v>
      </c>
      <c r="FE199" s="1509">
        <v>0.98426457999999994</v>
      </c>
      <c r="FF199" s="1509">
        <v>0.64746396799999995</v>
      </c>
      <c r="FG199" s="1509">
        <v>0.74533430199999995</v>
      </c>
      <c r="FH199" s="1509">
        <v>0.848124498</v>
      </c>
      <c r="FI199" s="1509">
        <v>0.61264401999999996</v>
      </c>
      <c r="FJ199" s="1509">
        <v>0.99852497600000001</v>
      </c>
      <c r="FK199" s="1509">
        <v>0.964674908</v>
      </c>
      <c r="FL199" s="1509">
        <v>0.99519863099999994</v>
      </c>
      <c r="FM199" s="1509">
        <v>0.364244136</v>
      </c>
      <c r="FN199" s="1509">
        <v>0.98436696499999998</v>
      </c>
      <c r="FO199" s="1509">
        <v>0.99451578900000004</v>
      </c>
      <c r="FP199" s="1509">
        <v>0.56185961500000003</v>
      </c>
      <c r="FQ199" s="1509">
        <v>0.95298545400000001</v>
      </c>
      <c r="FR199" s="1509">
        <v>0.69246857299999998</v>
      </c>
      <c r="FS199" s="1509">
        <v>0.72103652100000004</v>
      </c>
      <c r="FT199" s="1509">
        <v>0.341301888</v>
      </c>
      <c r="FU199" s="1509">
        <v>0.96161614699999998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FF00"/>
  </sheetPr>
  <dimension ref="A1:G15"/>
  <sheetViews>
    <sheetView workbookViewId="0">
      <selection activeCell="J21" sqref="J21"/>
    </sheetView>
  </sheetViews>
  <sheetFormatPr defaultColWidth="9.33203125" defaultRowHeight="15.75" x14ac:dyDescent="0.2"/>
  <cols>
    <col min="1" max="1" width="16" style="643" customWidth="1"/>
    <col min="2" max="2" width="15.83203125" style="645" customWidth="1"/>
    <col min="3" max="3" width="13.33203125" style="645" customWidth="1"/>
    <col min="4" max="4" width="14.1640625" style="645" customWidth="1"/>
    <col min="5" max="5" width="12" style="645" customWidth="1"/>
    <col min="6" max="6" width="12.33203125" style="645" customWidth="1"/>
    <col min="7" max="7" width="13" style="645" customWidth="1"/>
    <col min="8" max="16384" width="9.33203125" style="643"/>
  </cols>
  <sheetData>
    <row r="1" spans="1:7" x14ac:dyDescent="0.2">
      <c r="A1" s="646" t="s">
        <v>2309</v>
      </c>
      <c r="B1" s="640" t="s">
        <v>2310</v>
      </c>
      <c r="C1" s="640" t="s">
        <v>2311</v>
      </c>
      <c r="D1" s="641" t="s">
        <v>1884</v>
      </c>
      <c r="E1" s="642" t="s">
        <v>1885</v>
      </c>
      <c r="F1" s="642" t="s">
        <v>1886</v>
      </c>
      <c r="G1" s="642" t="s">
        <v>1887</v>
      </c>
    </row>
    <row r="2" spans="1:7" s="645" customFormat="1" x14ac:dyDescent="0.2">
      <c r="A2" s="644" t="s">
        <v>658</v>
      </c>
    </row>
    <row r="3" spans="1:7" s="645" customFormat="1" x14ac:dyDescent="0.2">
      <c r="A3" s="644" t="s">
        <v>675</v>
      </c>
    </row>
    <row r="4" spans="1:7" s="645" customFormat="1" x14ac:dyDescent="0.2">
      <c r="A4" s="644" t="s">
        <v>659</v>
      </c>
    </row>
    <row r="5" spans="1:7" s="645" customFormat="1" x14ac:dyDescent="0.2">
      <c r="A5" s="644" t="s">
        <v>661</v>
      </c>
    </row>
    <row r="6" spans="1:7" s="645" customFormat="1" x14ac:dyDescent="0.2">
      <c r="A6" s="644" t="s">
        <v>663</v>
      </c>
    </row>
    <row r="7" spans="1:7" s="645" customFormat="1" x14ac:dyDescent="0.2">
      <c r="A7" s="644" t="s">
        <v>664</v>
      </c>
    </row>
    <row r="8" spans="1:7" s="645" customFormat="1" x14ac:dyDescent="0.2">
      <c r="A8" s="644" t="s">
        <v>665</v>
      </c>
    </row>
    <row r="9" spans="1:7" s="645" customFormat="1" x14ac:dyDescent="0.2">
      <c r="A9" s="644" t="s">
        <v>1058</v>
      </c>
    </row>
    <row r="10" spans="1:7" s="645" customFormat="1" x14ac:dyDescent="0.2">
      <c r="A10" s="644" t="s">
        <v>667</v>
      </c>
    </row>
    <row r="11" spans="1:7" s="645" customFormat="1" x14ac:dyDescent="0.2">
      <c r="A11" s="644" t="s">
        <v>669</v>
      </c>
    </row>
    <row r="12" spans="1:7" s="645" customFormat="1" x14ac:dyDescent="0.2">
      <c r="A12" s="644" t="s">
        <v>670</v>
      </c>
    </row>
    <row r="13" spans="1:7" s="645" customFormat="1" x14ac:dyDescent="0.2">
      <c r="A13" s="644" t="s">
        <v>671</v>
      </c>
    </row>
    <row r="14" spans="1:7" s="645" customFormat="1" x14ac:dyDescent="0.2">
      <c r="A14" s="644" t="s">
        <v>673</v>
      </c>
    </row>
    <row r="15" spans="1:7" s="645" customFormat="1" x14ac:dyDescent="0.2">
      <c r="A15" s="644" t="s">
        <v>1883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sheetPr>
  <dimension ref="A1:FT56"/>
  <sheetViews>
    <sheetView topLeftCell="A22" workbookViewId="0">
      <selection activeCell="FT18" sqref="FT18"/>
    </sheetView>
  </sheetViews>
  <sheetFormatPr defaultRowHeight="12.75" x14ac:dyDescent="0.2"/>
  <cols>
    <col min="1" max="1" width="62.5" bestFit="1" customWidth="1"/>
    <col min="2" max="97" width="6.6640625" bestFit="1" customWidth="1"/>
    <col min="98" max="161" width="7.1640625" bestFit="1" customWidth="1"/>
    <col min="162" max="162" width="9" bestFit="1" customWidth="1"/>
    <col min="163" max="165" width="8" bestFit="1" customWidth="1"/>
    <col min="166" max="166" width="11.1640625" bestFit="1" customWidth="1"/>
    <col min="167" max="168" width="7.6640625" bestFit="1" customWidth="1"/>
    <col min="169" max="169" width="8.6640625" bestFit="1" customWidth="1"/>
    <col min="170" max="172" width="7.6640625" bestFit="1" customWidth="1"/>
    <col min="173" max="175" width="6.6640625" bestFit="1" customWidth="1"/>
    <col min="176" max="176" width="6.5" bestFit="1" customWidth="1"/>
    <col min="177" max="177" width="7" bestFit="1" customWidth="1"/>
    <col min="178" max="178" width="6.6640625" bestFit="1" customWidth="1"/>
    <col min="179" max="179" width="6.83203125" bestFit="1" customWidth="1"/>
    <col min="180" max="180" width="7.83203125" bestFit="1" customWidth="1"/>
    <col min="181" max="181" width="6.5" bestFit="1" customWidth="1"/>
    <col min="182" max="182" width="7.5" bestFit="1" customWidth="1"/>
    <col min="183" max="183" width="7" bestFit="1" customWidth="1"/>
    <col min="184" max="185" width="7.33203125" bestFit="1" customWidth="1"/>
    <col min="186" max="186" width="10.33203125" bestFit="1" customWidth="1"/>
    <col min="187" max="187" width="9.83203125" bestFit="1" customWidth="1"/>
    <col min="188" max="188" width="10.33203125" bestFit="1" customWidth="1"/>
    <col min="189" max="193" width="11.1640625" bestFit="1" customWidth="1"/>
    <col min="194" max="194" width="6.5" bestFit="1" customWidth="1"/>
    <col min="195" max="195" width="9.33203125" bestFit="1" customWidth="1"/>
    <col min="196" max="196" width="10.33203125" bestFit="1" customWidth="1"/>
    <col min="197" max="197" width="8.6640625" bestFit="1" customWidth="1"/>
    <col min="198" max="198" width="8.1640625" bestFit="1" customWidth="1"/>
    <col min="199" max="199" width="7.83203125" bestFit="1" customWidth="1"/>
    <col min="200" max="200" width="9.5" bestFit="1" customWidth="1"/>
    <col min="201" max="201" width="6.83203125" bestFit="1" customWidth="1"/>
    <col min="202" max="202" width="7.83203125" bestFit="1" customWidth="1"/>
    <col min="203" max="203" width="6.83203125" bestFit="1" customWidth="1"/>
    <col min="204" max="204" width="7.83203125" bestFit="1" customWidth="1"/>
    <col min="205" max="205" width="6.83203125" bestFit="1" customWidth="1"/>
  </cols>
  <sheetData>
    <row r="1" spans="1:176" ht="13.5" thickBot="1" x14ac:dyDescent="0.25">
      <c r="A1" s="1494" t="s">
        <v>2021</v>
      </c>
      <c r="B1" s="1513" t="s">
        <v>1858</v>
      </c>
      <c r="C1" s="1513" t="s">
        <v>1861</v>
      </c>
      <c r="D1" s="1513" t="s">
        <v>1862</v>
      </c>
      <c r="E1" s="1513" t="s">
        <v>1864</v>
      </c>
      <c r="F1" s="1513" t="s">
        <v>1880</v>
      </c>
      <c r="G1" s="1513" t="s">
        <v>1881</v>
      </c>
      <c r="H1" s="1513" t="s">
        <v>1868</v>
      </c>
      <c r="I1" s="1513" t="s">
        <v>1869</v>
      </c>
      <c r="J1" s="1513" t="s">
        <v>1871</v>
      </c>
      <c r="K1" s="1513" t="s">
        <v>1872</v>
      </c>
      <c r="L1" s="1513" t="s">
        <v>1876</v>
      </c>
      <c r="M1" s="1513" t="s">
        <v>1870</v>
      </c>
      <c r="N1" s="1513" t="s">
        <v>1877</v>
      </c>
      <c r="O1" s="1513" t="s">
        <v>1878</v>
      </c>
      <c r="P1" s="1513" t="s">
        <v>1867</v>
      </c>
      <c r="Q1" s="1513" t="s">
        <v>1879</v>
      </c>
      <c r="R1" s="1513" t="s">
        <v>1888</v>
      </c>
      <c r="S1" s="1513" t="s">
        <v>1889</v>
      </c>
      <c r="T1" s="1513" t="s">
        <v>1890</v>
      </c>
      <c r="U1" s="1513" t="s">
        <v>1891</v>
      </c>
      <c r="V1" s="1513" t="s">
        <v>1892</v>
      </c>
      <c r="W1" s="1513" t="s">
        <v>1893</v>
      </c>
      <c r="X1" s="1513" t="s">
        <v>1894</v>
      </c>
      <c r="Y1" s="1513" t="s">
        <v>1895</v>
      </c>
      <c r="Z1" s="1513" t="s">
        <v>1863</v>
      </c>
      <c r="AA1" s="1513" t="s">
        <v>1873</v>
      </c>
      <c r="AB1" s="1513" t="s">
        <v>1874</v>
      </c>
      <c r="AC1" s="1513" t="s">
        <v>1866</v>
      </c>
      <c r="AD1" s="1513" t="s">
        <v>1859</v>
      </c>
      <c r="AE1" s="1513">
        <v>189590</v>
      </c>
      <c r="AF1" s="1513">
        <v>5257</v>
      </c>
      <c r="AG1" s="1513">
        <v>3042</v>
      </c>
      <c r="AH1" s="1513">
        <v>3185</v>
      </c>
      <c r="AI1" s="1513">
        <v>5321</v>
      </c>
      <c r="AJ1" s="1513">
        <v>11912</v>
      </c>
      <c r="AK1" s="1513">
        <v>6919</v>
      </c>
      <c r="AL1" s="1513">
        <v>7111</v>
      </c>
      <c r="AM1" s="1513">
        <v>305377</v>
      </c>
      <c r="AN1" s="1513">
        <v>209695</v>
      </c>
      <c r="AO1" s="1513">
        <v>753655</v>
      </c>
      <c r="AP1" s="1513">
        <v>2803</v>
      </c>
      <c r="AQ1" s="1513">
        <v>1039</v>
      </c>
      <c r="AR1" s="1513">
        <v>1232</v>
      </c>
      <c r="AS1" s="1513">
        <v>37882</v>
      </c>
      <c r="AT1" s="1513">
        <v>92831</v>
      </c>
      <c r="AU1" s="1513">
        <v>148287</v>
      </c>
      <c r="AV1" s="1513">
        <v>196557</v>
      </c>
      <c r="AW1" s="1513" t="s">
        <v>1896</v>
      </c>
      <c r="AX1" s="1513">
        <v>20031</v>
      </c>
      <c r="AY1" s="1513">
        <v>23420</v>
      </c>
      <c r="AZ1" s="1513">
        <v>23467</v>
      </c>
      <c r="BA1" s="1513">
        <v>23669</v>
      </c>
      <c r="BB1" s="1513">
        <v>12</v>
      </c>
      <c r="BC1" s="1513">
        <v>52</v>
      </c>
      <c r="BD1" s="1513">
        <v>19555</v>
      </c>
      <c r="BE1" s="1513">
        <v>25411</v>
      </c>
      <c r="BF1" s="1513">
        <v>644242</v>
      </c>
      <c r="BG1" s="1513">
        <v>5062</v>
      </c>
      <c r="BH1" s="1513">
        <v>282535</v>
      </c>
      <c r="BI1" s="1513">
        <v>4507</v>
      </c>
      <c r="BJ1" s="1513">
        <v>4647</v>
      </c>
      <c r="BK1" s="1513">
        <v>272004</v>
      </c>
      <c r="BL1" s="1513">
        <v>6926</v>
      </c>
      <c r="BM1" s="1513">
        <v>436864</v>
      </c>
      <c r="BN1" s="1513">
        <v>15082</v>
      </c>
      <c r="BO1" s="1513">
        <v>15434</v>
      </c>
      <c r="BP1" s="1513">
        <v>15186</v>
      </c>
      <c r="BQ1" s="1513">
        <v>17152</v>
      </c>
      <c r="BR1" s="1513">
        <v>6174</v>
      </c>
      <c r="BS1" s="1513">
        <v>228332</v>
      </c>
      <c r="BT1" s="1513">
        <v>17902</v>
      </c>
      <c r="BU1" s="1513">
        <v>588706</v>
      </c>
      <c r="BV1" s="1513">
        <v>11568</v>
      </c>
      <c r="BW1" s="1513">
        <v>11491</v>
      </c>
      <c r="BX1" s="1513">
        <v>421060</v>
      </c>
      <c r="BY1" s="1513">
        <v>11488</v>
      </c>
      <c r="BZ1" s="1513">
        <v>11698</v>
      </c>
      <c r="CA1" s="1513">
        <v>421953</v>
      </c>
      <c r="CB1" s="1513">
        <v>423143</v>
      </c>
      <c r="CC1" s="1513">
        <v>10763</v>
      </c>
      <c r="CD1" s="1513">
        <v>11808</v>
      </c>
      <c r="CE1" s="1513">
        <v>368499</v>
      </c>
      <c r="CF1" s="1513">
        <v>3410</v>
      </c>
      <c r="CG1" s="1513">
        <v>286841</v>
      </c>
      <c r="CH1" s="1513">
        <v>495717</v>
      </c>
      <c r="CI1" s="1513">
        <v>22720</v>
      </c>
      <c r="CJ1" s="1513">
        <v>715354</v>
      </c>
      <c r="CK1" s="1513">
        <v>715420</v>
      </c>
      <c r="CL1" s="1513">
        <v>728347</v>
      </c>
      <c r="CM1" s="1513">
        <v>8245</v>
      </c>
      <c r="CN1" s="1513">
        <v>321809</v>
      </c>
      <c r="CO1" s="1513">
        <v>359454</v>
      </c>
      <c r="CP1" s="1513">
        <v>2882</v>
      </c>
      <c r="CQ1" s="1513">
        <v>205184</v>
      </c>
      <c r="CR1" s="1513">
        <v>18237</v>
      </c>
      <c r="CS1" s="1513">
        <v>488834</v>
      </c>
      <c r="CT1" s="1513">
        <v>586891</v>
      </c>
      <c r="CU1" s="1513">
        <v>692585</v>
      </c>
      <c r="CV1" s="1513">
        <v>693500</v>
      </c>
      <c r="CW1" s="1513">
        <v>708592</v>
      </c>
      <c r="CX1" s="1513">
        <v>22645</v>
      </c>
      <c r="CY1" s="1513">
        <v>2939</v>
      </c>
      <c r="CZ1" s="1513">
        <v>2966</v>
      </c>
      <c r="DA1" s="1513">
        <v>872</v>
      </c>
      <c r="DB1" s="1513">
        <v>3350</v>
      </c>
      <c r="DC1" s="1513">
        <v>2137</v>
      </c>
      <c r="DD1" s="1513">
        <v>5824</v>
      </c>
      <c r="DE1" s="1513">
        <v>16930</v>
      </c>
      <c r="DF1" s="1513">
        <v>6846</v>
      </c>
      <c r="DG1" s="1513">
        <v>6786</v>
      </c>
      <c r="DH1" s="1513">
        <v>25368</v>
      </c>
      <c r="DI1" s="1513">
        <v>40430</v>
      </c>
      <c r="DJ1" s="1513">
        <v>2658</v>
      </c>
      <c r="DK1" s="1513">
        <v>57</v>
      </c>
      <c r="DL1" s="1513">
        <v>4104</v>
      </c>
      <c r="DM1" s="1513">
        <v>14076</v>
      </c>
      <c r="DN1" s="1513">
        <v>841</v>
      </c>
      <c r="DO1" s="1513">
        <v>3014</v>
      </c>
      <c r="DP1" s="1513">
        <v>2944</v>
      </c>
      <c r="DQ1" s="1513">
        <v>2953</v>
      </c>
      <c r="DR1" s="1513">
        <v>1828</v>
      </c>
      <c r="DS1" s="1513">
        <v>177552</v>
      </c>
      <c r="DT1" s="1513" t="s">
        <v>1897</v>
      </c>
      <c r="DU1" s="1513" t="s">
        <v>1875</v>
      </c>
      <c r="DV1" s="1513">
        <v>6497</v>
      </c>
      <c r="DW1" s="1513">
        <v>1340</v>
      </c>
      <c r="DX1" s="1513">
        <v>23929</v>
      </c>
      <c r="DY1" s="1513">
        <v>25577</v>
      </c>
      <c r="DZ1" s="1513">
        <v>662856</v>
      </c>
      <c r="EA1" s="1513">
        <v>444845</v>
      </c>
      <c r="EB1" s="1513">
        <v>505036</v>
      </c>
      <c r="EC1" s="1513">
        <v>13871</v>
      </c>
      <c r="ED1" s="1513">
        <v>421244</v>
      </c>
      <c r="EE1" s="1513">
        <v>636534</v>
      </c>
      <c r="EF1" s="1513">
        <v>421050</v>
      </c>
      <c r="EG1" s="1513">
        <v>20957</v>
      </c>
      <c r="EH1" s="1513">
        <v>309237</v>
      </c>
      <c r="EI1" s="1513">
        <v>368504</v>
      </c>
      <c r="EJ1" s="1513">
        <v>206100</v>
      </c>
      <c r="EK1" s="1513">
        <v>1094</v>
      </c>
      <c r="EL1" s="1513">
        <v>10576</v>
      </c>
      <c r="EM1" s="1513">
        <v>7544</v>
      </c>
      <c r="EN1" s="1513">
        <v>34259</v>
      </c>
      <c r="EO1" s="1513">
        <v>99916</v>
      </c>
      <c r="EP1" s="1513">
        <v>166</v>
      </c>
      <c r="EQ1" s="1513">
        <v>840</v>
      </c>
      <c r="ER1" s="1513">
        <v>842</v>
      </c>
      <c r="ES1" s="1513">
        <v>107527</v>
      </c>
      <c r="ET1" s="1513">
        <v>25701</v>
      </c>
      <c r="EU1" s="1513" t="s">
        <v>1865</v>
      </c>
      <c r="EV1" s="1513">
        <v>25256</v>
      </c>
      <c r="EW1" s="1513">
        <v>752362</v>
      </c>
      <c r="EX1" s="1513">
        <v>753469</v>
      </c>
      <c r="EY1" s="1513">
        <v>421057</v>
      </c>
      <c r="EZ1" s="1513" t="s">
        <v>1860</v>
      </c>
      <c r="FA1" s="1513">
        <v>148810</v>
      </c>
      <c r="FB1" s="1513">
        <v>23981</v>
      </c>
      <c r="FC1" s="1513">
        <v>738519</v>
      </c>
      <c r="FD1" s="1513">
        <v>752536</v>
      </c>
      <c r="FE1" s="1513">
        <v>2778</v>
      </c>
      <c r="FF1" s="1513">
        <v>11537</v>
      </c>
      <c r="FG1" s="1513">
        <v>191518</v>
      </c>
      <c r="FH1" s="1513">
        <v>186633</v>
      </c>
      <c r="FI1" s="1513">
        <v>21071</v>
      </c>
      <c r="FJ1" s="1513">
        <v>421059</v>
      </c>
      <c r="FK1" s="1513">
        <v>6920</v>
      </c>
      <c r="FL1" s="1513" t="s">
        <v>1898</v>
      </c>
      <c r="FM1" s="1513">
        <v>15949</v>
      </c>
      <c r="FN1" s="1513">
        <v>212872</v>
      </c>
      <c r="FO1" s="1513">
        <v>208930</v>
      </c>
      <c r="FP1" s="1513">
        <v>842121</v>
      </c>
      <c r="FQ1" s="1513">
        <v>735360</v>
      </c>
      <c r="FR1" s="1513" t="s">
        <v>1882</v>
      </c>
      <c r="FS1" s="1513">
        <v>7374</v>
      </c>
      <c r="FT1" s="1513">
        <v>3934</v>
      </c>
    </row>
    <row r="2" spans="1:176" s="613" customFormat="1" x14ac:dyDescent="0.2">
      <c r="A2" s="616" t="s">
        <v>321</v>
      </c>
      <c r="B2" s="613">
        <v>10</v>
      </c>
      <c r="C2" s="613">
        <v>10</v>
      </c>
      <c r="D2" s="613">
        <v>10</v>
      </c>
      <c r="E2" s="613">
        <v>10</v>
      </c>
      <c r="F2" s="613">
        <v>10</v>
      </c>
      <c r="G2" s="613">
        <v>10</v>
      </c>
      <c r="H2" s="613">
        <v>10</v>
      </c>
      <c r="I2" s="613">
        <v>10</v>
      </c>
      <c r="J2" s="613">
        <v>6.439486737666666</v>
      </c>
      <c r="K2" s="613">
        <v>10</v>
      </c>
      <c r="L2" s="613">
        <v>10</v>
      </c>
      <c r="M2" s="613">
        <v>6.5055554115000005</v>
      </c>
      <c r="N2" s="613">
        <v>8.0962804301666669</v>
      </c>
      <c r="O2" s="613">
        <v>7.2293456970000003</v>
      </c>
      <c r="P2" s="613">
        <v>10</v>
      </c>
      <c r="Q2" s="613">
        <v>10</v>
      </c>
      <c r="R2" s="613">
        <v>10</v>
      </c>
      <c r="S2" s="613">
        <v>10</v>
      </c>
      <c r="T2" s="613">
        <v>10</v>
      </c>
      <c r="U2" s="613">
        <v>10</v>
      </c>
      <c r="V2" s="613">
        <v>10</v>
      </c>
      <c r="W2" s="613">
        <v>10</v>
      </c>
      <c r="X2" s="613">
        <v>5.6790094349166678</v>
      </c>
      <c r="Y2" s="613">
        <v>10</v>
      </c>
      <c r="Z2" s="613">
        <v>4.8380962218333341</v>
      </c>
      <c r="AA2" s="613">
        <v>4.8803162873333328</v>
      </c>
      <c r="AB2" s="613">
        <v>10</v>
      </c>
      <c r="AC2" s="613">
        <v>10</v>
      </c>
      <c r="AD2" s="613">
        <v>5.9674998490000011</v>
      </c>
      <c r="AE2" s="613">
        <v>10</v>
      </c>
      <c r="AF2" s="613">
        <v>5.8118815488333331</v>
      </c>
      <c r="AG2" s="613">
        <v>3.9865908042500005</v>
      </c>
      <c r="AH2" s="613">
        <v>10</v>
      </c>
      <c r="AI2" s="613">
        <v>10</v>
      </c>
      <c r="AJ2" s="613">
        <v>10</v>
      </c>
      <c r="AK2" s="613">
        <v>4.5469563521666663</v>
      </c>
      <c r="AL2" s="613">
        <v>5.5841552031666666</v>
      </c>
      <c r="AM2" s="613">
        <v>10</v>
      </c>
      <c r="AN2" s="613">
        <v>4.9090990081666668</v>
      </c>
      <c r="AO2" s="613">
        <v>10</v>
      </c>
      <c r="AP2" s="613">
        <v>10</v>
      </c>
      <c r="AQ2" s="613">
        <v>6.1571030684999997</v>
      </c>
      <c r="AR2" s="613">
        <v>3.0073654445999995</v>
      </c>
      <c r="AS2" s="613">
        <v>10</v>
      </c>
      <c r="AT2" s="613">
        <v>4.6604070906666664</v>
      </c>
      <c r="AU2" s="613">
        <v>5.8366655243333332</v>
      </c>
      <c r="AV2" s="613">
        <v>10</v>
      </c>
      <c r="AW2" s="613">
        <v>6.0769350658333332</v>
      </c>
      <c r="AX2" s="613">
        <v>5.2317666180833333</v>
      </c>
      <c r="AY2" s="613">
        <v>5.6041425526666666</v>
      </c>
      <c r="AZ2" s="613">
        <v>5.7376211866666669</v>
      </c>
      <c r="BA2" s="613">
        <v>5.7927722573333327</v>
      </c>
      <c r="BB2" s="613">
        <v>10</v>
      </c>
      <c r="BC2" s="613">
        <v>5.9041129233333329</v>
      </c>
      <c r="BD2" s="613">
        <v>6.5270359138333331</v>
      </c>
      <c r="BE2" s="613">
        <v>10</v>
      </c>
      <c r="BF2" s="613">
        <v>10</v>
      </c>
      <c r="BG2" s="613">
        <v>10</v>
      </c>
      <c r="BH2" s="613">
        <v>10</v>
      </c>
      <c r="BI2" s="613">
        <v>10</v>
      </c>
      <c r="BJ2" s="613">
        <v>8.028391319999999</v>
      </c>
      <c r="BK2" s="613">
        <v>4.8380033668333331</v>
      </c>
      <c r="BL2" s="613">
        <v>5.7740692110000005</v>
      </c>
      <c r="BM2" s="613">
        <v>10</v>
      </c>
      <c r="BN2" s="613">
        <v>7.1126491563333341</v>
      </c>
      <c r="BO2" s="613">
        <v>4.9680727709166668</v>
      </c>
      <c r="BP2" s="613">
        <v>10</v>
      </c>
      <c r="BQ2" s="613">
        <v>10</v>
      </c>
      <c r="BR2" s="613">
        <v>3.442930724833333</v>
      </c>
      <c r="BS2" s="613">
        <v>5.6726574304166668</v>
      </c>
      <c r="BT2" s="613">
        <v>10</v>
      </c>
      <c r="BU2" s="613">
        <v>10</v>
      </c>
      <c r="BV2" s="613">
        <v>10</v>
      </c>
      <c r="BW2" s="613">
        <v>6.7721444134999995</v>
      </c>
      <c r="BX2" s="613">
        <v>10</v>
      </c>
      <c r="BY2" s="613">
        <v>4.9883401336666662</v>
      </c>
      <c r="BZ2" s="613">
        <v>3.6077614828333333</v>
      </c>
      <c r="CA2" s="613">
        <v>3.0883972504999995</v>
      </c>
      <c r="CB2" s="613">
        <v>5.0722720210000007</v>
      </c>
      <c r="CC2" s="613">
        <v>5.0127780015000001</v>
      </c>
      <c r="CD2" s="613">
        <v>4.0762287993333333</v>
      </c>
      <c r="CE2" s="613">
        <v>10</v>
      </c>
      <c r="CF2" s="613">
        <v>10</v>
      </c>
      <c r="CG2" s="613">
        <v>5.4571113228333337</v>
      </c>
      <c r="CH2" s="613">
        <v>5.3083909704166663</v>
      </c>
      <c r="CI2" s="613">
        <v>5.2738127574999991</v>
      </c>
      <c r="CJ2" s="613">
        <v>10</v>
      </c>
      <c r="CK2" s="613">
        <v>10</v>
      </c>
      <c r="CL2" s="613">
        <v>10</v>
      </c>
      <c r="CM2" s="613">
        <v>10</v>
      </c>
      <c r="CN2" s="613">
        <v>10</v>
      </c>
      <c r="CO2" s="613">
        <v>4.1336857473333337</v>
      </c>
      <c r="CP2" s="613">
        <v>7.2352299865833327</v>
      </c>
      <c r="CQ2" s="613">
        <v>4.7969391679999998</v>
      </c>
      <c r="CR2" s="613">
        <v>10</v>
      </c>
      <c r="CS2" s="613">
        <v>10</v>
      </c>
      <c r="CT2" s="613">
        <v>10</v>
      </c>
      <c r="CU2" s="613">
        <v>10</v>
      </c>
      <c r="CV2" s="613">
        <v>10</v>
      </c>
      <c r="CW2" s="613">
        <v>5.735185409083333</v>
      </c>
      <c r="CX2" s="613">
        <v>6.2187014021666664</v>
      </c>
      <c r="CY2" s="613">
        <v>4.9908173140000001</v>
      </c>
      <c r="CZ2" s="613">
        <v>5.3119777751666675</v>
      </c>
      <c r="DA2" s="613">
        <v>5.4547756141666675</v>
      </c>
      <c r="DB2" s="613">
        <v>5.8219316155000005</v>
      </c>
      <c r="DC2" s="613">
        <v>5.1855770373333332</v>
      </c>
      <c r="DD2" s="613">
        <v>10</v>
      </c>
      <c r="DE2" s="613">
        <v>4.4377194118333332</v>
      </c>
      <c r="DF2" s="613">
        <v>5.2360603941666675</v>
      </c>
      <c r="DG2" s="613">
        <v>10</v>
      </c>
      <c r="DH2" s="613">
        <v>4.6530712201666669</v>
      </c>
      <c r="DI2" s="613">
        <v>4.9533587153333336</v>
      </c>
      <c r="DJ2" s="613">
        <v>7.3227795963333344</v>
      </c>
      <c r="DK2" s="613">
        <v>5.3843395208333344</v>
      </c>
      <c r="DL2" s="613">
        <v>5.9945467124</v>
      </c>
      <c r="DM2" s="613">
        <v>10</v>
      </c>
      <c r="DN2" s="613">
        <v>10</v>
      </c>
      <c r="DO2" s="613">
        <v>5.2753107630000002</v>
      </c>
      <c r="DP2" s="613">
        <v>7.2159831429999999</v>
      </c>
      <c r="DQ2" s="613">
        <v>5.2505963091666663</v>
      </c>
      <c r="DR2" s="613">
        <v>5.8727465486666661</v>
      </c>
      <c r="DS2" s="613">
        <v>5.9524688048333338</v>
      </c>
      <c r="DT2" s="613">
        <v>10</v>
      </c>
      <c r="DU2" s="613">
        <v>4.7352377443333342</v>
      </c>
      <c r="DV2" s="613">
        <v>10</v>
      </c>
      <c r="DW2" s="613">
        <v>10</v>
      </c>
      <c r="DX2" s="613">
        <v>5.0830946904166661</v>
      </c>
      <c r="DY2" s="613">
        <v>10</v>
      </c>
      <c r="DZ2" s="613">
        <v>5.2062838778333331</v>
      </c>
      <c r="EA2" s="613">
        <v>4.384446588666667</v>
      </c>
      <c r="EB2" s="613">
        <v>10</v>
      </c>
      <c r="EC2" s="613">
        <v>4.9319577865833324</v>
      </c>
      <c r="ED2" s="613">
        <v>3.7128480273333331</v>
      </c>
      <c r="EE2" s="613">
        <v>5.4632297539166661</v>
      </c>
      <c r="EF2" s="613">
        <v>5.0308791846666665</v>
      </c>
      <c r="EG2" s="613">
        <v>5.3274899660833341</v>
      </c>
      <c r="EH2" s="613">
        <v>10</v>
      </c>
      <c r="EI2" s="613">
        <v>10</v>
      </c>
      <c r="EJ2" s="613">
        <v>10</v>
      </c>
      <c r="EK2" s="613">
        <v>5.0310349004999999</v>
      </c>
      <c r="EL2" s="613">
        <v>4.2510332440000003</v>
      </c>
      <c r="EM2" s="613">
        <v>5.0083786326666671</v>
      </c>
      <c r="EN2" s="613">
        <v>3.3237483777999999</v>
      </c>
      <c r="EO2" s="613">
        <v>5.566795123166667</v>
      </c>
      <c r="EP2" s="613">
        <v>5.8086895708333328</v>
      </c>
      <c r="EQ2" s="613">
        <v>10</v>
      </c>
      <c r="ER2" s="613">
        <v>10</v>
      </c>
      <c r="ES2" s="613">
        <v>10</v>
      </c>
      <c r="ET2" s="613">
        <v>4.9833684749999989</v>
      </c>
      <c r="EU2" s="613">
        <v>10</v>
      </c>
      <c r="EV2" s="613">
        <v>4.7193642566666671</v>
      </c>
      <c r="EW2" s="613">
        <v>10</v>
      </c>
      <c r="EX2" s="613">
        <v>10</v>
      </c>
      <c r="EY2" s="613">
        <v>10</v>
      </c>
      <c r="EZ2" s="613">
        <v>5.3635231269999997</v>
      </c>
      <c r="FA2" s="613">
        <v>4.8373970068333332</v>
      </c>
      <c r="FB2" s="613">
        <v>10</v>
      </c>
      <c r="FC2" s="613">
        <v>5.2725062311666671</v>
      </c>
      <c r="FD2" s="613">
        <v>5.1520817848333325</v>
      </c>
      <c r="FE2" s="613">
        <v>10</v>
      </c>
      <c r="FF2" s="613">
        <v>10</v>
      </c>
      <c r="FG2" s="613">
        <v>6.3073465730000002</v>
      </c>
      <c r="FH2" s="613">
        <v>10</v>
      </c>
      <c r="FI2" s="613">
        <v>6.7182651698333338</v>
      </c>
      <c r="FJ2" s="613">
        <v>6.0584777670000003</v>
      </c>
      <c r="FK2" s="613">
        <v>5.0151913041666667</v>
      </c>
      <c r="FL2" s="613">
        <v>10</v>
      </c>
      <c r="FM2" s="613">
        <v>10</v>
      </c>
      <c r="FN2" s="613">
        <v>5.7600766916666668</v>
      </c>
      <c r="FO2" s="613">
        <v>10</v>
      </c>
      <c r="FP2" s="613">
        <v>6.5155900354999998</v>
      </c>
      <c r="FQ2" s="613">
        <v>4.3999758980000001</v>
      </c>
      <c r="FR2" s="613">
        <v>10</v>
      </c>
      <c r="FS2" s="613">
        <v>3.2971843315</v>
      </c>
      <c r="FT2" s="613">
        <v>10</v>
      </c>
    </row>
    <row r="3" spans="1:176" s="613" customFormat="1" ht="13.5" thickBot="1" x14ac:dyDescent="0.25">
      <c r="A3" s="617" t="s">
        <v>320</v>
      </c>
      <c r="B3" s="613">
        <v>2.5721294371428574</v>
      </c>
      <c r="C3" s="613">
        <v>2.7296097098214283</v>
      </c>
      <c r="D3" s="613">
        <v>4.1131619616071431</v>
      </c>
      <c r="E3" s="613">
        <v>3.1946469066071432</v>
      </c>
      <c r="F3" s="613">
        <v>4.0004193744642862</v>
      </c>
      <c r="G3" s="613">
        <v>3.799671422321429</v>
      </c>
      <c r="H3" s="613">
        <v>5.8325642808928579</v>
      </c>
      <c r="I3" s="613">
        <v>5.8121405844642862</v>
      </c>
      <c r="J3" s="613">
        <v>3.4002883583928574</v>
      </c>
      <c r="K3" s="613">
        <v>5.8120354396428571</v>
      </c>
      <c r="L3" s="613">
        <v>3.3182694903571432</v>
      </c>
      <c r="M3" s="613">
        <v>3.4295280973214286</v>
      </c>
      <c r="N3" s="613">
        <v>5.8564630203571433</v>
      </c>
      <c r="O3" s="613">
        <v>6.9788626601785717</v>
      </c>
      <c r="P3" s="613">
        <v>4.4803547851785721</v>
      </c>
      <c r="Q3" s="613">
        <v>3.2311134692857149</v>
      </c>
      <c r="R3" s="613">
        <v>6.3011048266071432</v>
      </c>
      <c r="S3" s="613">
        <v>3.4515129685714285</v>
      </c>
      <c r="T3" s="613">
        <v>2.6713751224999998</v>
      </c>
      <c r="U3" s="613">
        <v>2.4061931373214285</v>
      </c>
      <c r="V3" s="613">
        <v>6.347909436250001</v>
      </c>
      <c r="W3" s="613">
        <v>4.5177516005357141</v>
      </c>
      <c r="X3" s="613">
        <v>5.0187567142857148</v>
      </c>
      <c r="Y3" s="613">
        <v>4.1019469292857149</v>
      </c>
      <c r="Z3" s="613">
        <v>4.0176768028571432</v>
      </c>
      <c r="AA3" s="613">
        <v>1.7585507878571429</v>
      </c>
      <c r="AB3" s="613">
        <v>2.0410461007142859</v>
      </c>
      <c r="AC3" s="613">
        <v>1.5314931275000001</v>
      </c>
      <c r="AD3" s="613">
        <v>2.5928123789285715</v>
      </c>
      <c r="AE3" s="613">
        <v>3.883648079285714</v>
      </c>
      <c r="AF3" s="613">
        <v>2.4335409737499996</v>
      </c>
      <c r="AG3" s="613">
        <v>3.0925593878571429</v>
      </c>
      <c r="AH3" s="613">
        <v>3.3357039307142857</v>
      </c>
      <c r="AI3" s="613">
        <v>1.8006805282142857</v>
      </c>
      <c r="AJ3" s="613">
        <v>2.6679208192857145</v>
      </c>
      <c r="AK3" s="613">
        <v>3.9867622480357139</v>
      </c>
      <c r="AL3" s="613">
        <v>4.337884424107143</v>
      </c>
      <c r="AM3" s="613">
        <v>4.9763193335714284</v>
      </c>
      <c r="AN3" s="613">
        <v>3.3184403091071428</v>
      </c>
      <c r="AO3" s="613">
        <v>5.5220638701785703</v>
      </c>
      <c r="AP3" s="613">
        <v>3.9741243041071428</v>
      </c>
      <c r="AQ3" s="613">
        <v>6.4996518992857144</v>
      </c>
      <c r="AR3" s="613">
        <v>3.5738183276785715</v>
      </c>
      <c r="AS3" s="613">
        <v>2.5203122369642861</v>
      </c>
      <c r="AT3" s="613">
        <v>1.7394194646428573</v>
      </c>
      <c r="AU3" s="613">
        <v>4.4089944653571429</v>
      </c>
      <c r="AV3" s="613">
        <v>3.2520713169642859</v>
      </c>
      <c r="AW3" s="613">
        <v>5.8829897448214288</v>
      </c>
      <c r="AX3" s="613">
        <v>3.6969068144642856</v>
      </c>
      <c r="AY3" s="613">
        <v>2.639967048035714</v>
      </c>
      <c r="AZ3" s="613">
        <v>2.6104459342857145</v>
      </c>
      <c r="BA3" s="613">
        <v>2.1699437983928571</v>
      </c>
      <c r="BB3" s="613">
        <v>3.083336445</v>
      </c>
      <c r="BC3" s="613">
        <v>2.2805076108928568</v>
      </c>
      <c r="BD3" s="613">
        <v>6.6332545830357139</v>
      </c>
      <c r="BE3" s="613">
        <v>3.0857989492857141</v>
      </c>
      <c r="BF3" s="613">
        <v>3.0876538883928575</v>
      </c>
      <c r="BG3" s="613">
        <v>3.0283955348214286</v>
      </c>
      <c r="BH3" s="613">
        <v>5.3021830078571428</v>
      </c>
      <c r="BI3" s="613">
        <v>2.764493231785714</v>
      </c>
      <c r="BJ3" s="613">
        <v>5.3139443860714284</v>
      </c>
      <c r="BK3" s="613">
        <v>2.309943360892857</v>
      </c>
      <c r="BL3" s="613">
        <v>4.0141443690476191</v>
      </c>
      <c r="BM3" s="613">
        <v>4.1371678403571437</v>
      </c>
      <c r="BN3" s="613">
        <v>5.8404526683928566</v>
      </c>
      <c r="BO3" s="613">
        <v>3.9310502755357142</v>
      </c>
      <c r="BP3" s="613">
        <v>4.4107053691071432</v>
      </c>
      <c r="BQ3" s="613">
        <v>3.2846470173214284</v>
      </c>
      <c r="BR3" s="613">
        <v>3.5077378605357143</v>
      </c>
      <c r="BS3" s="613">
        <v>4.4580555873214287</v>
      </c>
      <c r="BT3" s="613">
        <v>3.3114202682142855</v>
      </c>
      <c r="BU3" s="613">
        <v>3.4653227908928574</v>
      </c>
      <c r="BV3" s="613">
        <v>4.4504665519642863</v>
      </c>
      <c r="BW3" s="613">
        <v>3.1676829908928572</v>
      </c>
      <c r="BX3" s="613">
        <v>2.5545816723214285</v>
      </c>
      <c r="BY3" s="613">
        <v>2.4608924174999998</v>
      </c>
      <c r="BZ3" s="613">
        <v>3.3409054094642854</v>
      </c>
      <c r="CA3" s="613">
        <v>4.5095876255357146</v>
      </c>
      <c r="CB3" s="613">
        <v>3.9222990069642854</v>
      </c>
      <c r="CC3" s="613">
        <v>3.5902336648214286</v>
      </c>
      <c r="CD3" s="613">
        <v>5.2214959567857147</v>
      </c>
      <c r="CE3" s="613">
        <v>3.7395403848214279</v>
      </c>
      <c r="CF3" s="613">
        <v>2.9687195553571435</v>
      </c>
      <c r="CG3" s="613">
        <v>3.6559435875000004</v>
      </c>
      <c r="CH3" s="613">
        <v>4.3458707274999995</v>
      </c>
      <c r="CI3" s="613">
        <v>3.8913262944642857</v>
      </c>
      <c r="CJ3" s="613">
        <v>3.7586370657142854</v>
      </c>
      <c r="CK3" s="613">
        <v>3.7964404432142862</v>
      </c>
      <c r="CL3" s="613">
        <v>3.0845682830357148</v>
      </c>
      <c r="CM3" s="613">
        <v>4.3484841957142866</v>
      </c>
      <c r="CN3" s="613">
        <v>3.1270383032142854</v>
      </c>
      <c r="CO3" s="613">
        <v>4.2052339203571432</v>
      </c>
      <c r="CP3" s="613">
        <v>6.3355551407142858</v>
      </c>
      <c r="CQ3" s="613">
        <v>5.4999417053571431</v>
      </c>
      <c r="CR3" s="613">
        <v>3.6783197507142855</v>
      </c>
      <c r="CS3" s="613">
        <v>3.2361268455357144</v>
      </c>
      <c r="CT3" s="613">
        <v>3.6520353299999995</v>
      </c>
      <c r="CU3" s="613">
        <v>3.9890240073214289</v>
      </c>
      <c r="CV3" s="613">
        <v>2.924846718928571</v>
      </c>
      <c r="CW3" s="613">
        <v>2.7999473596428572</v>
      </c>
      <c r="CX3" s="613">
        <v>2.1559827555357143</v>
      </c>
      <c r="CY3" s="613">
        <v>3.0636347573214282</v>
      </c>
      <c r="CZ3" s="613">
        <v>2.1837731576785715</v>
      </c>
      <c r="DA3" s="613">
        <v>3.3346582864285716</v>
      </c>
      <c r="DB3" s="613">
        <v>2.5088416008928571</v>
      </c>
      <c r="DC3" s="613">
        <v>3.153173055535714</v>
      </c>
      <c r="DD3" s="613">
        <v>3.9188751785714282</v>
      </c>
      <c r="DE3" s="613">
        <v>3.8588421925000005</v>
      </c>
      <c r="DF3" s="613">
        <v>2.0335057750000001</v>
      </c>
      <c r="DG3" s="613">
        <v>2.2452607176785713</v>
      </c>
      <c r="DH3" s="613">
        <v>1.69749537875</v>
      </c>
      <c r="DI3" s="613">
        <v>2.8570287332142859</v>
      </c>
      <c r="DJ3" s="613">
        <v>4.6223225651785711</v>
      </c>
      <c r="DK3" s="613">
        <v>3.5625212541071427</v>
      </c>
      <c r="DL3" s="613">
        <v>2.5149286128571431</v>
      </c>
      <c r="DM3" s="613">
        <v>2.6779906412500001</v>
      </c>
      <c r="DN3" s="613">
        <v>3.0240569989285717</v>
      </c>
      <c r="DO3" s="613">
        <v>1.987802155357143</v>
      </c>
      <c r="DP3" s="613">
        <v>4.7254187878571425</v>
      </c>
      <c r="DQ3" s="613">
        <v>2.1914711860714284</v>
      </c>
      <c r="DR3" s="613">
        <v>4.5412211271428573</v>
      </c>
      <c r="DS3" s="613">
        <v>2.3363593507142859</v>
      </c>
      <c r="DT3" s="613">
        <v>2.9982873667857142</v>
      </c>
      <c r="DU3" s="613">
        <v>1.8022936083928567</v>
      </c>
      <c r="DV3" s="613">
        <v>3.7378983524999998</v>
      </c>
      <c r="DW3" s="613">
        <v>3.1426259907142855</v>
      </c>
      <c r="DX3" s="613">
        <v>2.7720577355357143</v>
      </c>
      <c r="DY3" s="613">
        <v>3.0244943764285717</v>
      </c>
      <c r="DZ3" s="613">
        <v>3.8744905042857143</v>
      </c>
      <c r="EA3" s="613">
        <v>3.2022827744642859</v>
      </c>
      <c r="EB3" s="613">
        <v>4.5198158639285708</v>
      </c>
      <c r="EC3" s="613">
        <v>3.9864666307142853</v>
      </c>
      <c r="ED3" s="613">
        <v>6.0969501928571432</v>
      </c>
      <c r="EE3" s="613">
        <v>4.9470670144642863</v>
      </c>
      <c r="EF3" s="613">
        <v>3.4638668678571434</v>
      </c>
      <c r="EG3" s="613">
        <v>3.7149514794642857</v>
      </c>
      <c r="EH3" s="613">
        <v>4.4494381758928565</v>
      </c>
      <c r="EI3" s="613">
        <v>3.6677404248214285</v>
      </c>
      <c r="EJ3" s="613">
        <v>2.4977800178571434</v>
      </c>
      <c r="EK3" s="613">
        <v>2.8852263969642857</v>
      </c>
      <c r="EL3" s="613">
        <v>4.5194705741071433</v>
      </c>
      <c r="EM3" s="613">
        <v>3.3533286332142853</v>
      </c>
      <c r="EN3" s="613">
        <v>3.4202475444642859</v>
      </c>
      <c r="EO3" s="613">
        <v>2.5173556783928577</v>
      </c>
      <c r="EP3" s="613">
        <v>4.2433395508928573</v>
      </c>
      <c r="EQ3" s="613">
        <v>3.5707818723214286</v>
      </c>
      <c r="ER3" s="613">
        <v>3.5569171603571426</v>
      </c>
      <c r="ES3" s="613">
        <v>4.1060492071428563</v>
      </c>
      <c r="ET3" s="613">
        <v>4.216642723392857</v>
      </c>
      <c r="EU3" s="613">
        <v>1.5837764860714285</v>
      </c>
      <c r="EV3" s="613">
        <v>4.4476250707142864</v>
      </c>
      <c r="EW3" s="613">
        <v>2.1486420501785717</v>
      </c>
      <c r="EX3" s="613">
        <v>3.4019787401785715</v>
      </c>
      <c r="EY3" s="613">
        <v>4.9074900291071435</v>
      </c>
      <c r="EZ3" s="613">
        <v>4.6177821792857143</v>
      </c>
      <c r="FA3" s="613">
        <v>3.5204597573214285</v>
      </c>
      <c r="FB3" s="613">
        <v>3.9568099550000002</v>
      </c>
      <c r="FC3" s="613">
        <v>2.8528931223214289</v>
      </c>
      <c r="FD3" s="613">
        <v>3.5606410842857144</v>
      </c>
      <c r="FE3" s="613">
        <v>2.6834227169642855</v>
      </c>
      <c r="FF3" s="613">
        <v>4.1846460658928573</v>
      </c>
      <c r="FG3" s="613">
        <v>4.4788214030357141</v>
      </c>
      <c r="FH3" s="613">
        <v>3.7730796799999999</v>
      </c>
      <c r="FI3" s="613">
        <v>6.0375063675000007</v>
      </c>
      <c r="FJ3" s="613">
        <v>4.259677353392858</v>
      </c>
      <c r="FK3" s="613">
        <v>2.7018555700000002</v>
      </c>
      <c r="FL3" s="613">
        <v>1.2797534755357143</v>
      </c>
      <c r="FM3" s="613">
        <v>6.4466433819642859</v>
      </c>
      <c r="FN3" s="613">
        <v>4.2376367244642852</v>
      </c>
      <c r="FO3" s="613">
        <v>3.8441180232142855</v>
      </c>
      <c r="FP3" s="613">
        <v>3.5311904748214284</v>
      </c>
      <c r="FQ3" s="613">
        <v>3.8263959664285716</v>
      </c>
      <c r="FR3" s="613">
        <v>4.1572352030357145</v>
      </c>
      <c r="FS3" s="613">
        <v>3.1802546666071425</v>
      </c>
      <c r="FT3" s="613">
        <v>3.4026580683928564</v>
      </c>
    </row>
    <row r="4" spans="1:176" s="613" customFormat="1" x14ac:dyDescent="0.2">
      <c r="A4" s="618" t="s">
        <v>319</v>
      </c>
      <c r="B4" s="613">
        <v>0</v>
      </c>
      <c r="C4" s="613">
        <v>0</v>
      </c>
      <c r="D4" s="613">
        <v>0</v>
      </c>
      <c r="E4" s="613">
        <v>0</v>
      </c>
      <c r="F4" s="613">
        <v>0</v>
      </c>
      <c r="G4" s="613">
        <v>0</v>
      </c>
      <c r="H4" s="613">
        <v>0</v>
      </c>
      <c r="I4" s="613">
        <v>0</v>
      </c>
      <c r="J4" s="613">
        <v>3.7106742883333332</v>
      </c>
      <c r="K4" s="613">
        <v>0</v>
      </c>
      <c r="L4" s="613">
        <v>0</v>
      </c>
      <c r="M4" s="613">
        <v>4.9116301833333331</v>
      </c>
      <c r="N4" s="613">
        <v>4.8987610333333338</v>
      </c>
      <c r="O4" s="613">
        <v>8.6687262258333337</v>
      </c>
      <c r="P4" s="613">
        <v>0</v>
      </c>
      <c r="Q4" s="613">
        <v>0</v>
      </c>
      <c r="R4" s="613">
        <v>0</v>
      </c>
      <c r="S4" s="613">
        <v>0</v>
      </c>
      <c r="T4" s="613">
        <v>0</v>
      </c>
      <c r="U4" s="613">
        <v>0</v>
      </c>
      <c r="V4" s="613">
        <v>0</v>
      </c>
      <c r="W4" s="613">
        <v>0</v>
      </c>
      <c r="X4" s="613">
        <v>3.8963963974999998</v>
      </c>
      <c r="Y4" s="613">
        <v>0</v>
      </c>
      <c r="Z4" s="613">
        <v>2.5324165287499998</v>
      </c>
      <c r="AA4" s="613">
        <v>4.8757276174999999</v>
      </c>
      <c r="AB4" s="613">
        <v>0</v>
      </c>
      <c r="AC4" s="613">
        <v>0</v>
      </c>
      <c r="AD4" s="613">
        <v>4.4845325099999993</v>
      </c>
      <c r="AE4" s="613">
        <v>0</v>
      </c>
      <c r="AF4" s="613">
        <v>3.7667763316666663</v>
      </c>
      <c r="AG4" s="613">
        <v>3.7228378337499999</v>
      </c>
      <c r="AH4" s="613">
        <v>0</v>
      </c>
      <c r="AI4" s="613">
        <v>0</v>
      </c>
      <c r="AJ4" s="613">
        <v>0</v>
      </c>
      <c r="AK4" s="613">
        <v>3.6050169462499997</v>
      </c>
      <c r="AL4" s="613">
        <v>3.3757420687500002</v>
      </c>
      <c r="AM4" s="613">
        <v>0</v>
      </c>
      <c r="AN4" s="613">
        <v>3.4947193383333328</v>
      </c>
      <c r="AO4" s="613">
        <v>0</v>
      </c>
      <c r="AP4" s="613">
        <v>0</v>
      </c>
      <c r="AQ4" s="613">
        <v>7.4401097049999994</v>
      </c>
      <c r="AR4" s="613">
        <v>3.7227408637499999</v>
      </c>
      <c r="AS4" s="613">
        <v>0</v>
      </c>
      <c r="AT4" s="613">
        <v>4.9511763283333332</v>
      </c>
      <c r="AU4" s="613">
        <v>3.7016801324999999</v>
      </c>
      <c r="AV4" s="613">
        <v>0</v>
      </c>
      <c r="AW4" s="613">
        <v>7.5149613266666666</v>
      </c>
      <c r="AX4" s="613">
        <v>2.5196067324999998</v>
      </c>
      <c r="AY4" s="613">
        <v>3.1533638499999999</v>
      </c>
      <c r="AZ4" s="613">
        <v>4.9581296925</v>
      </c>
      <c r="BA4" s="613">
        <v>3.3066300783333329</v>
      </c>
      <c r="BB4" s="613">
        <v>0</v>
      </c>
      <c r="BC4" s="613">
        <v>3.3954347766666664</v>
      </c>
      <c r="BD4" s="613">
        <v>8.7289316024999994</v>
      </c>
      <c r="BE4" s="613">
        <v>0</v>
      </c>
      <c r="BF4" s="613">
        <v>0</v>
      </c>
      <c r="BG4" s="613">
        <v>0</v>
      </c>
      <c r="BH4" s="613">
        <v>0</v>
      </c>
      <c r="BI4" s="613">
        <v>0</v>
      </c>
      <c r="BJ4" s="613">
        <v>4.9556722400000002</v>
      </c>
      <c r="BK4" s="613">
        <v>4.9561101125000002</v>
      </c>
      <c r="BL4" s="613">
        <v>5</v>
      </c>
      <c r="BM4" s="613">
        <v>0</v>
      </c>
      <c r="BN4" s="613">
        <v>8.6669902566666668</v>
      </c>
      <c r="BO4" s="613">
        <v>3.15744565375</v>
      </c>
      <c r="BP4" s="613">
        <v>0</v>
      </c>
      <c r="BQ4" s="613">
        <v>0</v>
      </c>
      <c r="BR4" s="613">
        <v>3.7280550562500006</v>
      </c>
      <c r="BS4" s="613">
        <v>3.7303444837499997</v>
      </c>
      <c r="BT4" s="613">
        <v>0</v>
      </c>
      <c r="BU4" s="613">
        <v>0</v>
      </c>
      <c r="BV4" s="613">
        <v>0</v>
      </c>
      <c r="BW4" s="613">
        <v>3.7858692233333335</v>
      </c>
      <c r="BX4" s="613">
        <v>0</v>
      </c>
      <c r="BY4" s="613">
        <v>3.5720112233333334</v>
      </c>
      <c r="BZ4" s="613">
        <v>3.5167340533333338</v>
      </c>
      <c r="CA4" s="613">
        <v>3.75</v>
      </c>
      <c r="CB4" s="613">
        <v>2.6705415958333334</v>
      </c>
      <c r="CC4" s="613">
        <v>3.4830877733333332</v>
      </c>
      <c r="CD4" s="613">
        <v>3.5954514949999998</v>
      </c>
      <c r="CE4" s="613">
        <v>0</v>
      </c>
      <c r="CF4" s="613">
        <v>0</v>
      </c>
      <c r="CG4" s="613">
        <v>3.7034487083333332</v>
      </c>
      <c r="CH4" s="613">
        <v>2.5068381625000002</v>
      </c>
      <c r="CI4" s="613">
        <v>3.6969500587499997</v>
      </c>
      <c r="CJ4" s="613">
        <v>0</v>
      </c>
      <c r="CK4" s="613">
        <v>0</v>
      </c>
      <c r="CL4" s="613">
        <v>0</v>
      </c>
      <c r="CM4" s="613">
        <v>0</v>
      </c>
      <c r="CN4" s="613">
        <v>0</v>
      </c>
      <c r="CO4" s="613">
        <v>4.8852259274999996</v>
      </c>
      <c r="CP4" s="613">
        <v>8.6944893708333346</v>
      </c>
      <c r="CQ4" s="613">
        <v>4.3223801475000005</v>
      </c>
      <c r="CR4" s="613">
        <v>0</v>
      </c>
      <c r="CS4" s="613">
        <v>0</v>
      </c>
      <c r="CT4" s="613">
        <v>0</v>
      </c>
      <c r="CU4" s="613">
        <v>0</v>
      </c>
      <c r="CV4" s="613">
        <v>0</v>
      </c>
      <c r="CW4" s="613">
        <v>0.79124579000000006</v>
      </c>
      <c r="CX4" s="613">
        <v>3.8760666566666662</v>
      </c>
      <c r="CY4" s="613">
        <v>2.6797003166666666</v>
      </c>
      <c r="CZ4" s="613">
        <v>2.399129045</v>
      </c>
      <c r="DA4" s="613">
        <v>3.6134438333333336</v>
      </c>
      <c r="DB4" s="613">
        <v>4.8309863033333329</v>
      </c>
      <c r="DC4" s="613">
        <v>3.4472661933333333</v>
      </c>
      <c r="DD4" s="613">
        <v>0</v>
      </c>
      <c r="DE4" s="613">
        <v>2.7484811762499999</v>
      </c>
      <c r="DF4" s="613">
        <v>2.5526763183333334</v>
      </c>
      <c r="DG4" s="613">
        <v>0</v>
      </c>
      <c r="DH4" s="613">
        <v>2.0926110733333338</v>
      </c>
      <c r="DI4" s="613">
        <v>3.1137010441666666</v>
      </c>
      <c r="DJ4" s="613">
        <v>3.5632532366666663</v>
      </c>
      <c r="DK4" s="613">
        <v>3.7116187091666664</v>
      </c>
      <c r="DL4" s="613">
        <v>4.4573872083333335</v>
      </c>
      <c r="DM4" s="613">
        <v>0</v>
      </c>
      <c r="DN4" s="613">
        <v>0</v>
      </c>
      <c r="DO4" s="613">
        <v>2.2511189983333333</v>
      </c>
      <c r="DP4" s="613">
        <v>3.5760169550000005</v>
      </c>
      <c r="DQ4" s="613">
        <v>3.5522101633333332</v>
      </c>
      <c r="DR4" s="613">
        <v>3.0420096575</v>
      </c>
      <c r="DS4" s="613">
        <v>2.2085722233333334</v>
      </c>
      <c r="DT4" s="613">
        <v>0</v>
      </c>
      <c r="DU4" s="613">
        <v>3.2780369833333332</v>
      </c>
      <c r="DV4" s="613">
        <v>0</v>
      </c>
      <c r="DW4" s="613">
        <v>0</v>
      </c>
      <c r="DX4" s="613">
        <v>4.9266340849999999</v>
      </c>
      <c r="DY4" s="613">
        <v>0</v>
      </c>
      <c r="DZ4" s="613">
        <v>3.1397306400000002</v>
      </c>
      <c r="EA4" s="613">
        <v>2.5</v>
      </c>
      <c r="EB4" s="613">
        <v>0</v>
      </c>
      <c r="EC4" s="613">
        <v>4.9596153725000001</v>
      </c>
      <c r="ED4" s="613">
        <v>3.0911566779166666</v>
      </c>
      <c r="EE4" s="613">
        <v>3.1410657325000004</v>
      </c>
      <c r="EF4" s="613">
        <v>2.5</v>
      </c>
      <c r="EG4" s="613">
        <v>4.9261566700000001</v>
      </c>
      <c r="EH4" s="613">
        <v>0</v>
      </c>
      <c r="EI4" s="613">
        <v>0</v>
      </c>
      <c r="EJ4" s="613">
        <v>0</v>
      </c>
      <c r="EK4" s="613">
        <v>2.6848496266666668</v>
      </c>
      <c r="EL4" s="613">
        <v>4.4974099899999995</v>
      </c>
      <c r="EM4" s="613">
        <v>3.2557326683333332</v>
      </c>
      <c r="EN4" s="613">
        <v>2.5</v>
      </c>
      <c r="EO4" s="613">
        <v>3.333333333333333</v>
      </c>
      <c r="EP4" s="613">
        <v>3.4804908583333338</v>
      </c>
      <c r="EQ4" s="613">
        <v>0</v>
      </c>
      <c r="ER4" s="613">
        <v>0</v>
      </c>
      <c r="ES4" s="613">
        <v>0</v>
      </c>
      <c r="ET4" s="613">
        <v>2.9166666666666661</v>
      </c>
      <c r="EU4" s="613">
        <v>0</v>
      </c>
      <c r="EV4" s="613">
        <v>4.191640791666666</v>
      </c>
      <c r="EW4" s="613">
        <v>0</v>
      </c>
      <c r="EX4" s="613">
        <v>0</v>
      </c>
      <c r="EY4" s="613">
        <v>0</v>
      </c>
      <c r="EZ4" s="613">
        <v>4.8848561275</v>
      </c>
      <c r="FA4" s="613">
        <v>2.6896173125000002</v>
      </c>
      <c r="FB4" s="613">
        <v>0</v>
      </c>
      <c r="FC4" s="613">
        <v>0.15993266000000006</v>
      </c>
      <c r="FD4" s="613">
        <v>3.70962031</v>
      </c>
      <c r="FE4" s="613">
        <v>0</v>
      </c>
      <c r="FF4" s="613">
        <v>0</v>
      </c>
      <c r="FG4" s="613">
        <v>0.70456893166666679</v>
      </c>
      <c r="FH4" s="613">
        <v>0</v>
      </c>
      <c r="FI4" s="613">
        <v>8.6709468041666664</v>
      </c>
      <c r="FJ4" s="613">
        <v>3.0025456900000003</v>
      </c>
      <c r="FK4" s="613">
        <v>0.75455608833333343</v>
      </c>
      <c r="FL4" s="613">
        <v>0</v>
      </c>
      <c r="FM4" s="613">
        <v>0</v>
      </c>
      <c r="FN4" s="613">
        <v>4.9792066600000009</v>
      </c>
      <c r="FO4" s="613">
        <v>0</v>
      </c>
      <c r="FP4" s="613">
        <v>1.8817934783333334</v>
      </c>
      <c r="FQ4" s="613">
        <v>2.5</v>
      </c>
      <c r="FR4" s="613">
        <v>0</v>
      </c>
      <c r="FS4" s="613">
        <v>4.631611463333333</v>
      </c>
      <c r="FT4" s="613">
        <v>0</v>
      </c>
    </row>
    <row r="5" spans="1:176" s="613" customFormat="1" x14ac:dyDescent="0.2">
      <c r="A5" s="619" t="s">
        <v>9</v>
      </c>
      <c r="B5" s="613">
        <v>10</v>
      </c>
      <c r="C5" s="613">
        <v>10</v>
      </c>
      <c r="D5" s="613">
        <v>10</v>
      </c>
      <c r="E5" s="613">
        <v>10</v>
      </c>
      <c r="F5" s="613">
        <v>10</v>
      </c>
      <c r="G5" s="613">
        <v>10</v>
      </c>
      <c r="H5" s="613">
        <v>10</v>
      </c>
      <c r="I5" s="613">
        <v>10</v>
      </c>
      <c r="J5" s="613">
        <v>6.7003637816666668</v>
      </c>
      <c r="K5" s="613">
        <v>10</v>
      </c>
      <c r="L5" s="613">
        <v>10</v>
      </c>
      <c r="M5" s="613">
        <v>6.0672302650000001</v>
      </c>
      <c r="N5" s="613">
        <v>6.061079635833333</v>
      </c>
      <c r="O5" s="613">
        <v>5.937906592500001</v>
      </c>
      <c r="P5" s="613">
        <v>10</v>
      </c>
      <c r="Q5" s="613">
        <v>10</v>
      </c>
      <c r="R5" s="613">
        <v>10</v>
      </c>
      <c r="S5" s="613">
        <v>10</v>
      </c>
      <c r="T5" s="613">
        <v>10</v>
      </c>
      <c r="U5" s="613">
        <v>10</v>
      </c>
      <c r="V5" s="613">
        <v>10</v>
      </c>
      <c r="W5" s="613">
        <v>10</v>
      </c>
      <c r="X5" s="613">
        <v>5.7288717349999994</v>
      </c>
      <c r="Y5" s="613">
        <v>10</v>
      </c>
      <c r="Z5" s="613">
        <v>4.1255252233333337</v>
      </c>
      <c r="AA5" s="613">
        <v>3.12506987125</v>
      </c>
      <c r="AB5" s="613">
        <v>10</v>
      </c>
      <c r="AC5" s="613">
        <v>10</v>
      </c>
      <c r="AD5" s="613">
        <v>6.1228286750000009</v>
      </c>
      <c r="AE5" s="613">
        <v>10</v>
      </c>
      <c r="AF5" s="613">
        <v>6.2195395658333332</v>
      </c>
      <c r="AG5" s="613">
        <v>4.8546731516666668</v>
      </c>
      <c r="AH5" s="613">
        <v>10</v>
      </c>
      <c r="AI5" s="613">
        <v>10</v>
      </c>
      <c r="AJ5" s="613">
        <v>10</v>
      </c>
      <c r="AK5" s="613">
        <v>3.5043850325000001</v>
      </c>
      <c r="AL5" s="613">
        <v>6.0495785858333342</v>
      </c>
      <c r="AM5" s="613">
        <v>10</v>
      </c>
      <c r="AN5" s="613">
        <v>3.1096623233333331</v>
      </c>
      <c r="AO5" s="613">
        <v>10</v>
      </c>
      <c r="AP5" s="613">
        <v>10</v>
      </c>
      <c r="AQ5" s="613">
        <v>6.115151851666667</v>
      </c>
      <c r="AR5" s="613">
        <v>5.3711637362499998</v>
      </c>
      <c r="AS5" s="613">
        <v>10</v>
      </c>
      <c r="AT5" s="613">
        <v>4.0390596412500006</v>
      </c>
      <c r="AU5" s="613">
        <v>4.1448645762500007</v>
      </c>
      <c r="AV5" s="613">
        <v>10</v>
      </c>
      <c r="AW5" s="613">
        <v>5.792139534166667</v>
      </c>
      <c r="AX5" s="613">
        <v>3.9303468250000009</v>
      </c>
      <c r="AY5" s="613">
        <v>3.5411098916666668</v>
      </c>
      <c r="AZ5" s="613">
        <v>2.9355676991666662</v>
      </c>
      <c r="BA5" s="613">
        <v>6.5380838658333325</v>
      </c>
      <c r="BB5" s="613">
        <v>10</v>
      </c>
      <c r="BC5" s="613">
        <v>7.3144288516666665</v>
      </c>
      <c r="BD5" s="613">
        <v>5.3740502266666663</v>
      </c>
      <c r="BE5" s="613">
        <v>10</v>
      </c>
      <c r="BF5" s="613">
        <v>10</v>
      </c>
      <c r="BG5" s="613">
        <v>10</v>
      </c>
      <c r="BH5" s="613">
        <v>10</v>
      </c>
      <c r="BI5" s="613">
        <v>10</v>
      </c>
      <c r="BJ5" s="613">
        <v>6.092213928333333</v>
      </c>
      <c r="BK5" s="613">
        <v>3.6742858116666666</v>
      </c>
      <c r="BL5" s="613">
        <v>3.3437292750000003</v>
      </c>
      <c r="BM5" s="613">
        <v>10</v>
      </c>
      <c r="BN5" s="613">
        <v>5.8602507175000005</v>
      </c>
      <c r="BO5" s="613">
        <v>5.7889590491666665</v>
      </c>
      <c r="BP5" s="613">
        <v>10</v>
      </c>
      <c r="BQ5" s="613">
        <v>10</v>
      </c>
      <c r="BR5" s="613">
        <v>3.1294524766666667</v>
      </c>
      <c r="BS5" s="613">
        <v>3.1699065824999999</v>
      </c>
      <c r="BT5" s="613">
        <v>10</v>
      </c>
      <c r="BU5" s="613">
        <v>10</v>
      </c>
      <c r="BV5" s="613">
        <v>10</v>
      </c>
      <c r="BW5" s="613">
        <v>6.526046809166667</v>
      </c>
      <c r="BX5" s="613">
        <v>10</v>
      </c>
      <c r="BY5" s="613">
        <v>4.0981803841666666</v>
      </c>
      <c r="BZ5" s="613">
        <v>3.1113678633333333</v>
      </c>
      <c r="CA5" s="613">
        <v>0.91138392999999995</v>
      </c>
      <c r="CB5" s="613">
        <v>3.8961510066666669</v>
      </c>
      <c r="CC5" s="613">
        <v>5.4151170324999995</v>
      </c>
      <c r="CD5" s="613">
        <v>5.9112800316666672</v>
      </c>
      <c r="CE5" s="613">
        <v>10</v>
      </c>
      <c r="CF5" s="613">
        <v>10</v>
      </c>
      <c r="CG5" s="613">
        <v>3.5145138175000001</v>
      </c>
      <c r="CH5" s="613">
        <v>3.7639375216666666</v>
      </c>
      <c r="CI5" s="613">
        <v>5.7533490733333323</v>
      </c>
      <c r="CJ5" s="613">
        <v>10</v>
      </c>
      <c r="CK5" s="613">
        <v>10</v>
      </c>
      <c r="CL5" s="613">
        <v>10</v>
      </c>
      <c r="CM5" s="613">
        <v>10</v>
      </c>
      <c r="CN5" s="613">
        <v>10</v>
      </c>
      <c r="CO5" s="613">
        <v>4.8994508324999995</v>
      </c>
      <c r="CP5" s="613">
        <v>5.8331508658333329</v>
      </c>
      <c r="CQ5" s="613">
        <v>4.1509766141666669</v>
      </c>
      <c r="CR5" s="613">
        <v>10</v>
      </c>
      <c r="CS5" s="613">
        <v>10</v>
      </c>
      <c r="CT5" s="613">
        <v>10</v>
      </c>
      <c r="CU5" s="613">
        <v>10</v>
      </c>
      <c r="CV5" s="613">
        <v>10</v>
      </c>
      <c r="CW5" s="613">
        <v>6.1325750366666671</v>
      </c>
      <c r="CX5" s="613">
        <v>6.5153062058333333</v>
      </c>
      <c r="CY5" s="613">
        <v>5.8103714516666667</v>
      </c>
      <c r="CZ5" s="613">
        <v>6.3403772416666673</v>
      </c>
      <c r="DA5" s="613">
        <v>5.7630502016666671</v>
      </c>
      <c r="DB5" s="613">
        <v>2.5251680962499998</v>
      </c>
      <c r="DC5" s="613">
        <v>5.4505653649999992</v>
      </c>
      <c r="DD5" s="613">
        <v>10</v>
      </c>
      <c r="DE5" s="613">
        <v>3.273763095833333</v>
      </c>
      <c r="DF5" s="613">
        <v>3.8404920774999995</v>
      </c>
      <c r="DG5" s="613">
        <v>10</v>
      </c>
      <c r="DH5" s="613">
        <v>3.3714365324999997</v>
      </c>
      <c r="DI5" s="613">
        <v>6.6802819583333326</v>
      </c>
      <c r="DJ5" s="613">
        <v>6.1336476683333334</v>
      </c>
      <c r="DK5" s="613">
        <v>6.8560835787500007</v>
      </c>
      <c r="DL5" s="613">
        <v>4.3081966699999992</v>
      </c>
      <c r="DM5" s="613">
        <v>10</v>
      </c>
      <c r="DN5" s="613">
        <v>10</v>
      </c>
      <c r="DO5" s="613">
        <v>6.6114094799999998</v>
      </c>
      <c r="DP5" s="613">
        <v>6.0184391116666669</v>
      </c>
      <c r="DQ5" s="613">
        <v>5.6985614616666673</v>
      </c>
      <c r="DR5" s="613">
        <v>5.9875067333333334</v>
      </c>
      <c r="DS5" s="613">
        <v>7.1174312116666671</v>
      </c>
      <c r="DT5" s="613">
        <v>10</v>
      </c>
      <c r="DU5" s="613">
        <v>5.4603453799999997</v>
      </c>
      <c r="DV5" s="613">
        <v>10</v>
      </c>
      <c r="DW5" s="613">
        <v>10</v>
      </c>
      <c r="DX5" s="613">
        <v>5.2288349687500002</v>
      </c>
      <c r="DY5" s="613">
        <v>10</v>
      </c>
      <c r="DZ5" s="613">
        <v>6.2024030783333339</v>
      </c>
      <c r="EA5" s="613">
        <v>5.8584614037499989</v>
      </c>
      <c r="EB5" s="613">
        <v>10</v>
      </c>
      <c r="EC5" s="613">
        <v>6.4652414966666676</v>
      </c>
      <c r="ED5" s="613">
        <v>5.857281627499999</v>
      </c>
      <c r="EE5" s="613">
        <v>6.3995038941666671</v>
      </c>
      <c r="EF5" s="613">
        <v>5.0450781375</v>
      </c>
      <c r="EG5" s="613">
        <v>6.6909232691666665</v>
      </c>
      <c r="EH5" s="613">
        <v>10</v>
      </c>
      <c r="EI5" s="613">
        <v>10</v>
      </c>
      <c r="EJ5" s="613">
        <v>10</v>
      </c>
      <c r="EK5" s="613">
        <v>2.9978775566666664</v>
      </c>
      <c r="EL5" s="613">
        <v>4.0279922691666661</v>
      </c>
      <c r="EM5" s="613">
        <v>3.9850018550000001</v>
      </c>
      <c r="EN5" s="613">
        <v>5.2207065912499999</v>
      </c>
      <c r="EO5" s="613">
        <v>6.1825261787500008</v>
      </c>
      <c r="EP5" s="613">
        <v>5.9848651949999994</v>
      </c>
      <c r="EQ5" s="613">
        <v>10</v>
      </c>
      <c r="ER5" s="613">
        <v>10</v>
      </c>
      <c r="ES5" s="613">
        <v>10</v>
      </c>
      <c r="ET5" s="613">
        <v>5.2762111425000002</v>
      </c>
      <c r="EU5" s="613">
        <v>10</v>
      </c>
      <c r="EV5" s="613">
        <v>6.1980800908333329</v>
      </c>
      <c r="EW5" s="613">
        <v>10</v>
      </c>
      <c r="EX5" s="613">
        <v>10</v>
      </c>
      <c r="EY5" s="613">
        <v>10</v>
      </c>
      <c r="EZ5" s="613">
        <v>5.7637893216666667</v>
      </c>
      <c r="FA5" s="613">
        <v>3.485715569166667</v>
      </c>
      <c r="FB5" s="613">
        <v>10</v>
      </c>
      <c r="FC5" s="613">
        <v>5.9815998416666671</v>
      </c>
      <c r="FD5" s="613">
        <v>5.7686266666666679</v>
      </c>
      <c r="FE5" s="613">
        <v>10</v>
      </c>
      <c r="FF5" s="613">
        <v>10</v>
      </c>
      <c r="FG5" s="613">
        <v>6.1682048524999997</v>
      </c>
      <c r="FH5" s="613">
        <v>10</v>
      </c>
      <c r="FI5" s="613">
        <v>5.8815651366666666</v>
      </c>
      <c r="FJ5" s="613">
        <v>4.0563936474999993</v>
      </c>
      <c r="FK5" s="613">
        <v>6.5278933924999993</v>
      </c>
      <c r="FL5" s="613">
        <v>10</v>
      </c>
      <c r="FM5" s="613">
        <v>10</v>
      </c>
      <c r="FN5" s="613">
        <v>4.6780870749999988</v>
      </c>
      <c r="FO5" s="613">
        <v>10</v>
      </c>
      <c r="FP5" s="613">
        <v>7.0368823733333343</v>
      </c>
      <c r="FQ5" s="613">
        <v>5.5210603650000003</v>
      </c>
      <c r="FR5" s="613">
        <v>10</v>
      </c>
      <c r="FS5" s="613">
        <v>4.7539988424999997</v>
      </c>
      <c r="FT5" s="613">
        <v>10</v>
      </c>
    </row>
    <row r="6" spans="1:176" s="613" customFormat="1" x14ac:dyDescent="0.2">
      <c r="A6" s="619" t="s">
        <v>315</v>
      </c>
      <c r="B6" s="613">
        <v>10</v>
      </c>
      <c r="C6" s="613">
        <v>10</v>
      </c>
      <c r="D6" s="613">
        <v>10</v>
      </c>
      <c r="E6" s="613">
        <v>10</v>
      </c>
      <c r="F6" s="613">
        <v>10</v>
      </c>
      <c r="G6" s="613">
        <v>10</v>
      </c>
      <c r="H6" s="613">
        <v>10</v>
      </c>
      <c r="I6" s="613">
        <v>10</v>
      </c>
      <c r="J6" s="613">
        <v>4.4901487416666663</v>
      </c>
      <c r="K6" s="613">
        <v>10</v>
      </c>
      <c r="L6" s="613">
        <v>10</v>
      </c>
      <c r="M6" s="613">
        <v>4.4986076475000001</v>
      </c>
      <c r="N6" s="613">
        <v>6.9965553674999992</v>
      </c>
      <c r="O6" s="613">
        <v>6.9791708358333331</v>
      </c>
      <c r="P6" s="613">
        <v>10</v>
      </c>
      <c r="Q6" s="613">
        <v>10</v>
      </c>
      <c r="R6" s="613">
        <v>10</v>
      </c>
      <c r="S6" s="613">
        <v>10</v>
      </c>
      <c r="T6" s="613">
        <v>10</v>
      </c>
      <c r="U6" s="613">
        <v>10</v>
      </c>
      <c r="V6" s="613">
        <v>10</v>
      </c>
      <c r="W6" s="613">
        <v>10</v>
      </c>
      <c r="X6" s="613">
        <v>4.5610442999999998</v>
      </c>
      <c r="Y6" s="613">
        <v>10</v>
      </c>
      <c r="Z6" s="613">
        <v>4.33951419</v>
      </c>
      <c r="AA6" s="613">
        <v>4.1082030245833332</v>
      </c>
      <c r="AB6" s="613">
        <v>10</v>
      </c>
      <c r="AC6" s="613">
        <v>10</v>
      </c>
      <c r="AD6" s="613">
        <v>4.3720444187499998</v>
      </c>
      <c r="AE6" s="613">
        <v>10</v>
      </c>
      <c r="AF6" s="613">
        <v>4.0933047500000006</v>
      </c>
      <c r="AG6" s="613">
        <v>5.0408168441666668</v>
      </c>
      <c r="AH6" s="613">
        <v>10</v>
      </c>
      <c r="AI6" s="613">
        <v>10</v>
      </c>
      <c r="AJ6" s="613">
        <v>10</v>
      </c>
      <c r="AK6" s="613">
        <v>3.4050672795833337</v>
      </c>
      <c r="AL6" s="613">
        <v>4.2792592404166667</v>
      </c>
      <c r="AM6" s="613">
        <v>10</v>
      </c>
      <c r="AN6" s="613">
        <v>2.2996363766666668</v>
      </c>
      <c r="AO6" s="613">
        <v>10</v>
      </c>
      <c r="AP6" s="613">
        <v>10</v>
      </c>
      <c r="AQ6" s="613">
        <v>5.1696040374999992</v>
      </c>
      <c r="AR6" s="613">
        <v>3.28038425</v>
      </c>
      <c r="AS6" s="613">
        <v>10</v>
      </c>
      <c r="AT6" s="613">
        <v>2.3807334816666668</v>
      </c>
      <c r="AU6" s="613">
        <v>2.6777442591666665</v>
      </c>
      <c r="AV6" s="613">
        <v>10</v>
      </c>
      <c r="AW6" s="613">
        <v>7.5714312479166672</v>
      </c>
      <c r="AX6" s="613">
        <v>4.4592391712500001</v>
      </c>
      <c r="AY6" s="613">
        <v>4.5400168983333336</v>
      </c>
      <c r="AZ6" s="613">
        <v>5.1669152549999993</v>
      </c>
      <c r="BA6" s="613">
        <v>6.0927998733333331</v>
      </c>
      <c r="BB6" s="613">
        <v>10</v>
      </c>
      <c r="BC6" s="613">
        <v>2.9896546674999995</v>
      </c>
      <c r="BD6" s="613">
        <v>7.1562988616666683</v>
      </c>
      <c r="BE6" s="613">
        <v>10</v>
      </c>
      <c r="BF6" s="613">
        <v>10</v>
      </c>
      <c r="BG6" s="613">
        <v>10</v>
      </c>
      <c r="BH6" s="613">
        <v>10</v>
      </c>
      <c r="BI6" s="613">
        <v>10</v>
      </c>
      <c r="BJ6" s="613">
        <v>6.054340008333333</v>
      </c>
      <c r="BK6" s="613">
        <v>1.93728758</v>
      </c>
      <c r="BL6" s="613">
        <v>4.3507238527777776</v>
      </c>
      <c r="BM6" s="613">
        <v>10</v>
      </c>
      <c r="BN6" s="613">
        <v>8.5382363199999993</v>
      </c>
      <c r="BO6" s="613">
        <v>5.5039990883333338</v>
      </c>
      <c r="BP6" s="613">
        <v>10</v>
      </c>
      <c r="BQ6" s="613">
        <v>10</v>
      </c>
      <c r="BR6" s="613">
        <v>4.2169009074999995</v>
      </c>
      <c r="BS6" s="613">
        <v>2.88949935625</v>
      </c>
      <c r="BT6" s="613">
        <v>10</v>
      </c>
      <c r="BU6" s="613">
        <v>10</v>
      </c>
      <c r="BV6" s="613">
        <v>10</v>
      </c>
      <c r="BW6" s="613">
        <v>3.0535612895833331</v>
      </c>
      <c r="BX6" s="613">
        <v>10</v>
      </c>
      <c r="BY6" s="613">
        <v>2.7398942179166665</v>
      </c>
      <c r="BZ6" s="613">
        <v>4.6202362041666669</v>
      </c>
      <c r="CA6" s="613">
        <v>3.819904255</v>
      </c>
      <c r="CB6" s="613">
        <v>3.3448095541666669</v>
      </c>
      <c r="CC6" s="613">
        <v>5.2431239262500009</v>
      </c>
      <c r="CD6" s="613">
        <v>5.5667502075000002</v>
      </c>
      <c r="CE6" s="613">
        <v>10</v>
      </c>
      <c r="CF6" s="613">
        <v>10</v>
      </c>
      <c r="CG6" s="613">
        <v>1.7198025275000002</v>
      </c>
      <c r="CH6" s="613">
        <v>4.5207117525000005</v>
      </c>
      <c r="CI6" s="613">
        <v>3.176015819166667</v>
      </c>
      <c r="CJ6" s="613">
        <v>10</v>
      </c>
      <c r="CK6" s="613">
        <v>10</v>
      </c>
      <c r="CL6" s="613">
        <v>10</v>
      </c>
      <c r="CM6" s="613">
        <v>10</v>
      </c>
      <c r="CN6" s="613">
        <v>10</v>
      </c>
      <c r="CO6" s="613">
        <v>2.6306613150000002</v>
      </c>
      <c r="CP6" s="613">
        <v>4.9043457850000003</v>
      </c>
      <c r="CQ6" s="613">
        <v>3.2770270774999997</v>
      </c>
      <c r="CR6" s="613">
        <v>10</v>
      </c>
      <c r="CS6" s="613">
        <v>10</v>
      </c>
      <c r="CT6" s="613">
        <v>10</v>
      </c>
      <c r="CU6" s="613">
        <v>10</v>
      </c>
      <c r="CV6" s="613">
        <v>10</v>
      </c>
      <c r="CW6" s="613">
        <v>5.9073560374999996</v>
      </c>
      <c r="CX6" s="613">
        <v>3.7000115583333333</v>
      </c>
      <c r="CY6" s="613">
        <v>4.6005438154166667</v>
      </c>
      <c r="CZ6" s="613">
        <v>4.6215170079166672</v>
      </c>
      <c r="DA6" s="613">
        <v>4.8608992141666665</v>
      </c>
      <c r="DB6" s="613">
        <v>3.8507398283333334</v>
      </c>
      <c r="DC6" s="613">
        <v>4.9939395733333338</v>
      </c>
      <c r="DD6" s="613">
        <v>10</v>
      </c>
      <c r="DE6" s="613">
        <v>4.7201117858333328</v>
      </c>
      <c r="DF6" s="613">
        <v>3.5168592116666666</v>
      </c>
      <c r="DG6" s="613">
        <v>10</v>
      </c>
      <c r="DH6" s="613">
        <v>3.4446524233333333</v>
      </c>
      <c r="DI6" s="613">
        <v>4.0359673224999995</v>
      </c>
      <c r="DJ6" s="613">
        <v>6.3951594720833338</v>
      </c>
      <c r="DK6" s="613">
        <v>2.7393237424999999</v>
      </c>
      <c r="DL6" s="613">
        <v>3.077678578888889</v>
      </c>
      <c r="DM6" s="613">
        <v>10</v>
      </c>
      <c r="DN6" s="613">
        <v>10</v>
      </c>
      <c r="DO6" s="613">
        <v>4.9007703245833341</v>
      </c>
      <c r="DP6" s="613">
        <v>7.1391443304166664</v>
      </c>
      <c r="DQ6" s="613">
        <v>4.6223773295833332</v>
      </c>
      <c r="DR6" s="613">
        <v>2.0276005758333335</v>
      </c>
      <c r="DS6" s="613">
        <v>4.0675516070833337</v>
      </c>
      <c r="DT6" s="613">
        <v>10</v>
      </c>
      <c r="DU6" s="613">
        <v>4.9137763854166669</v>
      </c>
      <c r="DV6" s="613">
        <v>10</v>
      </c>
      <c r="DW6" s="613">
        <v>10</v>
      </c>
      <c r="DX6" s="613">
        <v>5.5621495595833341</v>
      </c>
      <c r="DY6" s="613">
        <v>10</v>
      </c>
      <c r="DZ6" s="613">
        <v>3.102241705</v>
      </c>
      <c r="EA6" s="613">
        <v>1.7246523733333332</v>
      </c>
      <c r="EB6" s="613">
        <v>10</v>
      </c>
      <c r="EC6" s="613">
        <v>5.3959125166666668</v>
      </c>
      <c r="ED6" s="613">
        <v>5.4507393225000005</v>
      </c>
      <c r="EE6" s="613">
        <v>4.9560322770833327</v>
      </c>
      <c r="EF6" s="613">
        <v>2.5085820537500005</v>
      </c>
      <c r="EG6" s="613">
        <v>3.8878348770833333</v>
      </c>
      <c r="EH6" s="613">
        <v>10</v>
      </c>
      <c r="EI6" s="613">
        <v>10</v>
      </c>
      <c r="EJ6" s="613">
        <v>10</v>
      </c>
      <c r="EK6" s="613">
        <v>4.0154971383333331</v>
      </c>
      <c r="EL6" s="613">
        <v>4.5572301074999997</v>
      </c>
      <c r="EM6" s="613">
        <v>4.0526494916666671</v>
      </c>
      <c r="EN6" s="613">
        <v>3.4463055111111114</v>
      </c>
      <c r="EO6" s="613">
        <v>3.1685855479166669</v>
      </c>
      <c r="EP6" s="613">
        <v>3.6725290058333337</v>
      </c>
      <c r="EQ6" s="613">
        <v>10</v>
      </c>
      <c r="ER6" s="613">
        <v>10</v>
      </c>
      <c r="ES6" s="613">
        <v>10</v>
      </c>
      <c r="ET6" s="613">
        <v>2.6262003545833332</v>
      </c>
      <c r="EU6" s="613">
        <v>10</v>
      </c>
      <c r="EV6" s="613">
        <v>4.0830888700000001</v>
      </c>
      <c r="EW6" s="613">
        <v>10</v>
      </c>
      <c r="EX6" s="613">
        <v>10</v>
      </c>
      <c r="EY6" s="613">
        <v>10</v>
      </c>
      <c r="EZ6" s="613">
        <v>4.7596753808333334</v>
      </c>
      <c r="FA6" s="613">
        <v>3.5888976895833338</v>
      </c>
      <c r="FB6" s="613">
        <v>10</v>
      </c>
      <c r="FC6" s="613">
        <v>6.035479916249999</v>
      </c>
      <c r="FD6" s="613">
        <v>5.4382131724999994</v>
      </c>
      <c r="FE6" s="613">
        <v>10</v>
      </c>
      <c r="FF6" s="613">
        <v>10</v>
      </c>
      <c r="FG6" s="613">
        <v>7.2886924079166686</v>
      </c>
      <c r="FH6" s="613">
        <v>10</v>
      </c>
      <c r="FI6" s="613">
        <v>6.9624015729166651</v>
      </c>
      <c r="FJ6" s="613">
        <v>2.2526522037500003</v>
      </c>
      <c r="FK6" s="613">
        <v>4.6180597066666662</v>
      </c>
      <c r="FL6" s="613">
        <v>10</v>
      </c>
      <c r="FM6" s="613">
        <v>10</v>
      </c>
      <c r="FN6" s="613">
        <v>1.7307636104166662</v>
      </c>
      <c r="FO6" s="613">
        <v>10</v>
      </c>
      <c r="FP6" s="613">
        <v>3.0973381454166669</v>
      </c>
      <c r="FQ6" s="613">
        <v>3.9149724074999996</v>
      </c>
      <c r="FR6" s="613">
        <v>10</v>
      </c>
      <c r="FS6" s="613">
        <v>4.3172076633333329</v>
      </c>
      <c r="FT6" s="613">
        <v>10</v>
      </c>
    </row>
    <row r="7" spans="1:176" s="613" customFormat="1" ht="13.5" thickBot="1" x14ac:dyDescent="0.25">
      <c r="A7" s="617" t="s">
        <v>70</v>
      </c>
      <c r="B7" s="613">
        <v>2.0140191116666664</v>
      </c>
      <c r="C7" s="613">
        <v>2.5145924942857141</v>
      </c>
      <c r="D7" s="613">
        <v>4.9656178683333332</v>
      </c>
      <c r="E7" s="613">
        <v>3.9209376312500006</v>
      </c>
      <c r="F7" s="613">
        <v>2.852443618214286</v>
      </c>
      <c r="G7" s="613">
        <v>1.6714059545833335</v>
      </c>
      <c r="H7" s="613">
        <v>3.6876831828571435</v>
      </c>
      <c r="I7" s="613">
        <v>4.8092380196428577</v>
      </c>
      <c r="J7" s="613">
        <v>3.693031585</v>
      </c>
      <c r="K7" s="613">
        <v>3.6561161057142852</v>
      </c>
      <c r="L7" s="613">
        <v>2.3824590010714286</v>
      </c>
      <c r="M7" s="613">
        <v>2.6093090596428574</v>
      </c>
      <c r="N7" s="613">
        <v>4.0585398635714283</v>
      </c>
      <c r="O7" s="613">
        <v>4.0882088242857142</v>
      </c>
      <c r="P7" s="613">
        <v>2.0913394954166669</v>
      </c>
      <c r="Q7" s="613">
        <v>3.3123729967857147</v>
      </c>
      <c r="R7" s="613">
        <v>4.4433351042857145</v>
      </c>
      <c r="S7" s="613">
        <v>2.3279962374999998</v>
      </c>
      <c r="T7" s="613">
        <v>2.1601743304166665</v>
      </c>
      <c r="U7" s="613">
        <v>1.9104696616666663</v>
      </c>
      <c r="V7" s="613">
        <v>2.9519222271428576</v>
      </c>
      <c r="W7" s="613">
        <v>3.4804913120833336</v>
      </c>
      <c r="X7" s="613">
        <v>2.8067331935714286</v>
      </c>
      <c r="Y7" s="613">
        <v>2.27140365625</v>
      </c>
      <c r="Z7" s="613">
        <v>2.9205844303571427</v>
      </c>
      <c r="AA7" s="613">
        <v>1.4349005495833334</v>
      </c>
      <c r="AB7" s="613">
        <v>3.2001292495833331</v>
      </c>
      <c r="AC7" s="613">
        <v>2.1455266662500003</v>
      </c>
      <c r="AD7" s="613">
        <v>3.1941481696428573</v>
      </c>
      <c r="AE7" s="613">
        <v>2.0322115585714284</v>
      </c>
      <c r="AF7" s="613">
        <v>3.3623269596428567</v>
      </c>
      <c r="AG7" s="613">
        <v>2.9697472846428576</v>
      </c>
      <c r="AH7" s="613">
        <v>3.5199155058333331</v>
      </c>
      <c r="AI7" s="613">
        <v>1.9294395470833334</v>
      </c>
      <c r="AJ7" s="613">
        <v>3.2219836425000006</v>
      </c>
      <c r="AK7" s="613">
        <v>2.1217938679166668</v>
      </c>
      <c r="AL7" s="613">
        <v>2.821875286428571</v>
      </c>
      <c r="AM7" s="613">
        <v>1.837930706666667</v>
      </c>
      <c r="AN7" s="613">
        <v>2.7027262010714286</v>
      </c>
      <c r="AO7" s="613">
        <v>4.1510003221428571</v>
      </c>
      <c r="AP7" s="613">
        <v>3.6127263814285717</v>
      </c>
      <c r="AQ7" s="613">
        <v>5.2070909778571419</v>
      </c>
      <c r="AR7" s="613">
        <v>4.4708918158333333</v>
      </c>
      <c r="AS7" s="613">
        <v>2.9428125054166658</v>
      </c>
      <c r="AT7" s="613">
        <v>3.4563363162499998</v>
      </c>
      <c r="AU7" s="613">
        <v>2.4813943912499998</v>
      </c>
      <c r="AV7" s="613">
        <v>1.7181781339285715</v>
      </c>
      <c r="AW7" s="613">
        <v>5.5103252725000011</v>
      </c>
      <c r="AX7" s="613">
        <v>3.2059563975000001</v>
      </c>
      <c r="AY7" s="613">
        <v>1.8906281439285713</v>
      </c>
      <c r="AZ7" s="613">
        <v>1.5856343225</v>
      </c>
      <c r="BA7" s="613">
        <v>4.5249122839285718</v>
      </c>
      <c r="BB7" s="613">
        <v>2.7674489216666665</v>
      </c>
      <c r="BC7" s="613">
        <v>3.9006893489285717</v>
      </c>
      <c r="BD7" s="613">
        <v>3.7946864357142864</v>
      </c>
      <c r="BE7" s="613">
        <v>2.9827003300000001</v>
      </c>
      <c r="BF7" s="613">
        <v>4.494403592916667</v>
      </c>
      <c r="BG7" s="613">
        <v>2.3494727310714287</v>
      </c>
      <c r="BH7" s="613">
        <v>3.3563614720833335</v>
      </c>
      <c r="BI7" s="613">
        <v>4.4957588208333341</v>
      </c>
      <c r="BJ7" s="613">
        <v>3.7362052260714282</v>
      </c>
      <c r="BK7" s="613">
        <v>2.3722472389285714</v>
      </c>
      <c r="BL7" s="613">
        <v>2.8674476545833332</v>
      </c>
      <c r="BM7" s="613">
        <v>2.5961560600000002</v>
      </c>
      <c r="BN7" s="613">
        <v>5.229279067857143</v>
      </c>
      <c r="BO7" s="613">
        <v>3.6004896878571429</v>
      </c>
      <c r="BP7" s="613">
        <v>2.8409210107142857</v>
      </c>
      <c r="BQ7" s="613">
        <v>4.6698541279166665</v>
      </c>
      <c r="BR7" s="613">
        <v>2.9175670703571432</v>
      </c>
      <c r="BS7" s="613">
        <v>1.9628197321428573</v>
      </c>
      <c r="BT7" s="613">
        <v>3.393272620416667</v>
      </c>
      <c r="BU7" s="613">
        <v>1.6105556189285712</v>
      </c>
      <c r="BV7" s="613">
        <v>3.335507239583333</v>
      </c>
      <c r="BW7" s="613">
        <v>4.4645407182142858</v>
      </c>
      <c r="BX7" s="613">
        <v>3.7416393774999994</v>
      </c>
      <c r="BY7" s="613">
        <v>2.8553900953571434</v>
      </c>
      <c r="BZ7" s="613">
        <v>2.4681240517857144</v>
      </c>
      <c r="CA7" s="613">
        <v>1.7240593900000001</v>
      </c>
      <c r="CB7" s="613">
        <v>3.0220952985714291</v>
      </c>
      <c r="CC7" s="613">
        <v>3.3745485907142863</v>
      </c>
      <c r="CD7" s="613">
        <v>4.080784425</v>
      </c>
      <c r="CE7" s="613">
        <v>4.8943343941666662</v>
      </c>
      <c r="CF7" s="613">
        <v>4.253090423571428</v>
      </c>
      <c r="CG7" s="613">
        <v>1.6390025199999996</v>
      </c>
      <c r="CH7" s="613">
        <v>2.7894737582142861</v>
      </c>
      <c r="CI7" s="613">
        <v>2.3690405432142856</v>
      </c>
      <c r="CJ7" s="613">
        <v>3.8175204012500004</v>
      </c>
      <c r="CK7" s="613">
        <v>4.1761034245833333</v>
      </c>
      <c r="CL7" s="613">
        <v>4.7014584900000003</v>
      </c>
      <c r="CM7" s="613">
        <v>4.3628542139285713</v>
      </c>
      <c r="CN7" s="613">
        <v>3.4352578983333331</v>
      </c>
      <c r="CO7" s="613">
        <v>4.6942358221428568</v>
      </c>
      <c r="CP7" s="613">
        <v>4.352342498214286</v>
      </c>
      <c r="CQ7" s="613">
        <v>2.9294540428571429</v>
      </c>
      <c r="CR7" s="613">
        <v>3.6699852367857142</v>
      </c>
      <c r="CS7" s="613">
        <v>2.3762512025000002</v>
      </c>
      <c r="CT7" s="613">
        <v>2.0766785791666664</v>
      </c>
      <c r="CU7" s="613">
        <v>1.8237382085714284</v>
      </c>
      <c r="CV7" s="613">
        <v>2.2199982199999999</v>
      </c>
      <c r="CW7" s="613">
        <v>4.0319770975000004</v>
      </c>
      <c r="CX7" s="613">
        <v>3.4046260246428566</v>
      </c>
      <c r="CY7" s="613">
        <v>2.763729162142857</v>
      </c>
      <c r="CZ7" s="613">
        <v>4.3688045385714283</v>
      </c>
      <c r="DA7" s="613">
        <v>3.2893586353571429</v>
      </c>
      <c r="DB7" s="613">
        <v>2.8878262612499999</v>
      </c>
      <c r="DC7" s="613">
        <v>2.7679859446428572</v>
      </c>
      <c r="DD7" s="613">
        <v>3.2199105800000001</v>
      </c>
      <c r="DE7" s="613">
        <v>2.8095818453571431</v>
      </c>
      <c r="DF7" s="613">
        <v>2.2652227300000001</v>
      </c>
      <c r="DG7" s="613">
        <v>3.3132609458333335</v>
      </c>
      <c r="DH7" s="613">
        <v>4.0514908671428573</v>
      </c>
      <c r="DI7" s="613">
        <v>5.3525062982142853</v>
      </c>
      <c r="DJ7" s="613">
        <v>4.7961197967857148</v>
      </c>
      <c r="DK7" s="613">
        <v>3.6331880079166661</v>
      </c>
      <c r="DL7" s="613">
        <v>3.0309534720833335</v>
      </c>
      <c r="DM7" s="613">
        <v>4.9947582308333338</v>
      </c>
      <c r="DN7" s="613">
        <v>3.1573893139285718</v>
      </c>
      <c r="DO7" s="613">
        <v>4.2258175057142857</v>
      </c>
      <c r="DP7" s="613">
        <v>4.7419338478571422</v>
      </c>
      <c r="DQ7" s="613">
        <v>3.6313501953571423</v>
      </c>
      <c r="DR7" s="613">
        <v>3.0047699142857143</v>
      </c>
      <c r="DS7" s="613">
        <v>5.1368311660714285</v>
      </c>
      <c r="DT7" s="613">
        <v>2.2567100316666666</v>
      </c>
      <c r="DU7" s="613">
        <v>3.5123474270833333</v>
      </c>
      <c r="DV7" s="613">
        <v>5.0543999683333327</v>
      </c>
      <c r="DW7" s="613">
        <v>2.6286439174999998</v>
      </c>
      <c r="DX7" s="613">
        <v>4.5817926616666664</v>
      </c>
      <c r="DY7" s="613">
        <v>3.9648235116666664</v>
      </c>
      <c r="DZ7" s="613">
        <v>3.0377166857142863</v>
      </c>
      <c r="EA7" s="613">
        <v>2.7376025737499998</v>
      </c>
      <c r="EB7" s="613">
        <v>1.786012500833333</v>
      </c>
      <c r="EC7" s="613">
        <v>4.4451273514285718</v>
      </c>
      <c r="ED7" s="613">
        <v>2.4461884875000002</v>
      </c>
      <c r="EE7" s="613">
        <v>2.1902937321428571</v>
      </c>
      <c r="EF7" s="613">
        <v>4.453958665</v>
      </c>
      <c r="EG7" s="613">
        <v>3.7185908021428569</v>
      </c>
      <c r="EH7" s="613">
        <v>3.1524720320833333</v>
      </c>
      <c r="EI7" s="613">
        <v>3.6039135033333336</v>
      </c>
      <c r="EJ7" s="613">
        <v>5.306562426428572</v>
      </c>
      <c r="EK7" s="613">
        <v>2.9001833692857151</v>
      </c>
      <c r="EL7" s="613">
        <v>2.0549230450000002</v>
      </c>
      <c r="EM7" s="613">
        <v>2.4279683014285718</v>
      </c>
      <c r="EN7" s="613">
        <v>5.0592214789999996</v>
      </c>
      <c r="EO7" s="613">
        <v>4.4821364837499997</v>
      </c>
      <c r="EP7" s="613">
        <v>3.4321193446428571</v>
      </c>
      <c r="EQ7" s="613">
        <v>2.4261214421428572</v>
      </c>
      <c r="ER7" s="613">
        <v>2.4104158471428567</v>
      </c>
      <c r="ES7" s="613">
        <v>3.7184399867857145</v>
      </c>
      <c r="ET7" s="613">
        <v>5.1163963254166669</v>
      </c>
      <c r="EU7" s="613">
        <v>1.5368537795833335</v>
      </c>
      <c r="EV7" s="613">
        <v>2.012516180714286</v>
      </c>
      <c r="EW7" s="613">
        <v>2.8998735941666665</v>
      </c>
      <c r="EX7" s="613">
        <v>3.2802018174999996</v>
      </c>
      <c r="EY7" s="613">
        <v>2.6638327049999999</v>
      </c>
      <c r="EZ7" s="613">
        <v>3.921713949285714</v>
      </c>
      <c r="FA7" s="613">
        <v>3.6130724460714285</v>
      </c>
      <c r="FB7" s="613">
        <v>5.6068148595833334</v>
      </c>
      <c r="FC7" s="613">
        <v>3.5789043782142853</v>
      </c>
      <c r="FD7" s="613">
        <v>3.6713582271428575</v>
      </c>
      <c r="FE7" s="613">
        <v>4.2744729560714285</v>
      </c>
      <c r="FF7" s="613">
        <v>2.5286199800000002</v>
      </c>
      <c r="FG7" s="613">
        <v>3.9417013185714289</v>
      </c>
      <c r="FH7" s="613">
        <v>3.805430385357143</v>
      </c>
      <c r="FI7" s="613">
        <v>4.1658513139285711</v>
      </c>
      <c r="FJ7" s="613">
        <v>2.977323001785714</v>
      </c>
      <c r="FK7" s="613">
        <v>1.8250378110714285</v>
      </c>
      <c r="FL7" s="613">
        <v>3.1776989183333333</v>
      </c>
      <c r="FM7" s="613">
        <v>4.3134574003571426</v>
      </c>
      <c r="FN7" s="613">
        <v>3.1213172521428572</v>
      </c>
      <c r="FO7" s="613">
        <v>2.8199103517857145</v>
      </c>
      <c r="FP7" s="613">
        <v>2.775835110714286</v>
      </c>
      <c r="FQ7" s="613">
        <v>2.1429328191666666</v>
      </c>
      <c r="FR7" s="613">
        <v>2.9226579035714284</v>
      </c>
      <c r="FS7" s="613">
        <v>2.75880212625</v>
      </c>
      <c r="FT7" s="613">
        <v>1.9139469675</v>
      </c>
    </row>
    <row r="8" spans="1:176" s="613" customFormat="1" x14ac:dyDescent="0.2">
      <c r="A8" s="618" t="s">
        <v>280</v>
      </c>
      <c r="B8" s="613">
        <v>0</v>
      </c>
      <c r="C8" s="613">
        <v>0</v>
      </c>
      <c r="D8" s="613">
        <v>0</v>
      </c>
      <c r="E8" s="613">
        <v>0</v>
      </c>
      <c r="F8" s="613">
        <v>0</v>
      </c>
      <c r="G8" s="613">
        <v>0</v>
      </c>
      <c r="H8" s="613">
        <v>0</v>
      </c>
      <c r="I8" s="613">
        <v>0</v>
      </c>
      <c r="J8" s="613">
        <v>5.9549657516666663</v>
      </c>
      <c r="K8" s="613">
        <v>0</v>
      </c>
      <c r="L8" s="613">
        <v>0</v>
      </c>
      <c r="M8" s="613">
        <v>5.8792376238888888</v>
      </c>
      <c r="N8" s="613">
        <v>5.9039673994444444</v>
      </c>
      <c r="O8" s="613">
        <v>5.9491605561111118</v>
      </c>
      <c r="P8" s="613">
        <v>0</v>
      </c>
      <c r="Q8" s="613">
        <v>0</v>
      </c>
      <c r="R8" s="613">
        <v>0</v>
      </c>
      <c r="S8" s="613">
        <v>0</v>
      </c>
      <c r="T8" s="613">
        <v>0</v>
      </c>
      <c r="U8" s="613">
        <v>0</v>
      </c>
      <c r="V8" s="613">
        <v>0</v>
      </c>
      <c r="W8" s="613">
        <v>0</v>
      </c>
      <c r="X8" s="613">
        <v>4.0429563755555549</v>
      </c>
      <c r="Y8" s="613">
        <v>0</v>
      </c>
      <c r="Z8" s="613">
        <v>3.3906151272222225</v>
      </c>
      <c r="AA8" s="613">
        <v>3.7016485577777773</v>
      </c>
      <c r="AB8" s="613">
        <v>0</v>
      </c>
      <c r="AC8" s="613">
        <v>0</v>
      </c>
      <c r="AD8" s="613">
        <v>7.2452133661111109</v>
      </c>
      <c r="AE8" s="613">
        <v>0</v>
      </c>
      <c r="AF8" s="613">
        <v>5.6747483927777775</v>
      </c>
      <c r="AG8" s="613">
        <v>6.3767536450000009</v>
      </c>
      <c r="AH8" s="613">
        <v>0</v>
      </c>
      <c r="AI8" s="613">
        <v>0</v>
      </c>
      <c r="AJ8" s="613">
        <v>0</v>
      </c>
      <c r="AK8" s="613">
        <v>2.7506326277777777</v>
      </c>
      <c r="AL8" s="613">
        <v>6.5244099600000007</v>
      </c>
      <c r="AM8" s="613">
        <v>0</v>
      </c>
      <c r="AN8" s="613">
        <v>2.0473005216666671</v>
      </c>
      <c r="AO8" s="613">
        <v>0</v>
      </c>
      <c r="AP8" s="613">
        <v>0</v>
      </c>
      <c r="AQ8" s="613">
        <v>4.9098889494444444</v>
      </c>
      <c r="AR8" s="613">
        <v>5.2306913983333327</v>
      </c>
      <c r="AS8" s="613">
        <v>0</v>
      </c>
      <c r="AT8" s="613">
        <v>4.1660458316666666</v>
      </c>
      <c r="AU8" s="613">
        <v>2.8975494794444439</v>
      </c>
      <c r="AV8" s="613">
        <v>0</v>
      </c>
      <c r="AW8" s="613">
        <v>7.913521192777778</v>
      </c>
      <c r="AX8" s="613">
        <v>4.252287753888889</v>
      </c>
      <c r="AY8" s="613">
        <v>3.7878173555555557</v>
      </c>
      <c r="AZ8" s="613">
        <v>5.0247794188888895</v>
      </c>
      <c r="BA8" s="613">
        <v>8.718224491111112</v>
      </c>
      <c r="BB8" s="613">
        <v>0</v>
      </c>
      <c r="BC8" s="613">
        <v>5.7009280777777782</v>
      </c>
      <c r="BD8" s="613">
        <v>6.1826412116666676</v>
      </c>
      <c r="BE8" s="613">
        <v>0</v>
      </c>
      <c r="BF8" s="613">
        <v>0</v>
      </c>
      <c r="BG8" s="613">
        <v>0</v>
      </c>
      <c r="BH8" s="613">
        <v>0</v>
      </c>
      <c r="BI8" s="613">
        <v>0</v>
      </c>
      <c r="BJ8" s="613">
        <v>5.738807375555556</v>
      </c>
      <c r="BK8" s="613">
        <v>4.7663708750000007</v>
      </c>
      <c r="BL8" s="613">
        <v>5.009443434444445</v>
      </c>
      <c r="BM8" s="613">
        <v>0</v>
      </c>
      <c r="BN8" s="613">
        <v>8.1790077916666668</v>
      </c>
      <c r="BO8" s="613">
        <v>7.7460841600000006</v>
      </c>
      <c r="BP8" s="613">
        <v>0</v>
      </c>
      <c r="BQ8" s="613">
        <v>0</v>
      </c>
      <c r="BR8" s="613">
        <v>5.7521009422222225</v>
      </c>
      <c r="BS8" s="613">
        <v>3.2834626133333327</v>
      </c>
      <c r="BT8" s="613">
        <v>0</v>
      </c>
      <c r="BU8" s="613">
        <v>0</v>
      </c>
      <c r="BV8" s="613">
        <v>0</v>
      </c>
      <c r="BW8" s="613">
        <v>7.4582940649999996</v>
      </c>
      <c r="BX8" s="613">
        <v>0</v>
      </c>
      <c r="BY8" s="613">
        <v>5.6721622716666662</v>
      </c>
      <c r="BZ8" s="613">
        <v>5.3336311872222222</v>
      </c>
      <c r="CA8" s="613">
        <v>1.3269378522222222</v>
      </c>
      <c r="CB8" s="613">
        <v>2.3115550483333331</v>
      </c>
      <c r="CC8" s="613">
        <v>7.9984768488888882</v>
      </c>
      <c r="CD8" s="613">
        <v>7.2577788766666673</v>
      </c>
      <c r="CE8" s="613">
        <v>0</v>
      </c>
      <c r="CF8" s="613">
        <v>0</v>
      </c>
      <c r="CG8" s="613">
        <v>2.0029030122222222</v>
      </c>
      <c r="CH8" s="613">
        <v>3.6589190900000008</v>
      </c>
      <c r="CI8" s="613">
        <v>6.4133533666666667</v>
      </c>
      <c r="CJ8" s="613">
        <v>0</v>
      </c>
      <c r="CK8" s="613">
        <v>0</v>
      </c>
      <c r="CL8" s="613">
        <v>0</v>
      </c>
      <c r="CM8" s="613">
        <v>0</v>
      </c>
      <c r="CN8" s="613">
        <v>0</v>
      </c>
      <c r="CO8" s="613">
        <v>4.9369720972222213</v>
      </c>
      <c r="CP8" s="613">
        <v>5.2315160983333344</v>
      </c>
      <c r="CQ8" s="613">
        <v>3.8556179133333335</v>
      </c>
      <c r="CR8" s="613">
        <v>0</v>
      </c>
      <c r="CS8" s="613">
        <v>0</v>
      </c>
      <c r="CT8" s="613">
        <v>0</v>
      </c>
      <c r="CU8" s="613">
        <v>0</v>
      </c>
      <c r="CV8" s="613">
        <v>0</v>
      </c>
      <c r="CW8" s="613">
        <v>5.6799816300000003</v>
      </c>
      <c r="CX8" s="613">
        <v>6.4592185300000002</v>
      </c>
      <c r="CY8" s="613">
        <v>7.8815087194444455</v>
      </c>
      <c r="CZ8" s="613">
        <v>8.0221979100000009</v>
      </c>
      <c r="DA8" s="613">
        <v>7.0938067266666671</v>
      </c>
      <c r="DB8" s="613">
        <v>2.4828916749999999</v>
      </c>
      <c r="DC8" s="613">
        <v>7.1578270499999999</v>
      </c>
      <c r="DD8" s="613">
        <v>0</v>
      </c>
      <c r="DE8" s="613">
        <v>4.5091995566666672</v>
      </c>
      <c r="DF8" s="613">
        <v>4.4423007916666668</v>
      </c>
      <c r="DG8" s="613">
        <v>0</v>
      </c>
      <c r="DH8" s="613">
        <v>2.938085033333333</v>
      </c>
      <c r="DI8" s="613">
        <v>7.8656581605555553</v>
      </c>
      <c r="DJ8" s="613">
        <v>7.7411442333333333</v>
      </c>
      <c r="DK8" s="613">
        <v>6.1347736305555554</v>
      </c>
      <c r="DL8" s="613">
        <v>5.5946060750000006</v>
      </c>
      <c r="DM8" s="613">
        <v>0</v>
      </c>
      <c r="DN8" s="613">
        <v>0</v>
      </c>
      <c r="DO8" s="613">
        <v>7.865339903333334</v>
      </c>
      <c r="DP8" s="613">
        <v>7.094745876666666</v>
      </c>
      <c r="DQ8" s="613">
        <v>8.1082270711111128</v>
      </c>
      <c r="DR8" s="613">
        <v>7.1315574255555561</v>
      </c>
      <c r="DS8" s="613">
        <v>7.6945593933333321</v>
      </c>
      <c r="DT8" s="613">
        <v>0</v>
      </c>
      <c r="DU8" s="613">
        <v>4.7848185422222222</v>
      </c>
      <c r="DV8" s="613">
        <v>0</v>
      </c>
      <c r="DW8" s="613">
        <v>0</v>
      </c>
      <c r="DX8" s="613">
        <v>6.9255509327777789</v>
      </c>
      <c r="DY8" s="613">
        <v>0</v>
      </c>
      <c r="DZ8" s="613">
        <v>3.2847712966666665</v>
      </c>
      <c r="EA8" s="613">
        <v>1.4339039983333333</v>
      </c>
      <c r="EB8" s="613">
        <v>0</v>
      </c>
      <c r="EC8" s="613">
        <v>7.3641875911111097</v>
      </c>
      <c r="ED8" s="613">
        <v>3.2802365905555559</v>
      </c>
      <c r="EE8" s="613">
        <v>4.095065031111111</v>
      </c>
      <c r="EF8" s="613">
        <v>3.4801343011111108</v>
      </c>
      <c r="EG8" s="613">
        <v>6.8955123072222211</v>
      </c>
      <c r="EH8" s="613">
        <v>0</v>
      </c>
      <c r="EI8" s="613">
        <v>0</v>
      </c>
      <c r="EJ8" s="613">
        <v>0</v>
      </c>
      <c r="EK8" s="613">
        <v>4.5714855116666664</v>
      </c>
      <c r="EL8" s="613">
        <v>3.7365655183333328</v>
      </c>
      <c r="EM8" s="613">
        <v>3.7962760266666669</v>
      </c>
      <c r="EN8" s="613">
        <v>5.7207265200000004</v>
      </c>
      <c r="EO8" s="613">
        <v>3.2066004750000006</v>
      </c>
      <c r="EP8" s="613">
        <v>6.6554109894444444</v>
      </c>
      <c r="EQ8" s="613">
        <v>0</v>
      </c>
      <c r="ER8" s="613">
        <v>0</v>
      </c>
      <c r="ES8" s="613">
        <v>0</v>
      </c>
      <c r="ET8" s="613">
        <v>2.8061941966666666</v>
      </c>
      <c r="EU8" s="613">
        <v>0</v>
      </c>
      <c r="EV8" s="613">
        <v>3.4772520066666668</v>
      </c>
      <c r="EW8" s="613">
        <v>0</v>
      </c>
      <c r="EX8" s="613">
        <v>0</v>
      </c>
      <c r="EY8" s="613">
        <v>0</v>
      </c>
      <c r="EZ8" s="613">
        <v>6.3510074544444439</v>
      </c>
      <c r="FA8" s="613">
        <v>3.8840823105555549</v>
      </c>
      <c r="FB8" s="613">
        <v>0</v>
      </c>
      <c r="FC8" s="613">
        <v>5.379625960555555</v>
      </c>
      <c r="FD8" s="613">
        <v>7.4973684394444451</v>
      </c>
      <c r="FE8" s="613">
        <v>0</v>
      </c>
      <c r="FF8" s="613">
        <v>0</v>
      </c>
      <c r="FG8" s="613">
        <v>3.7501934572222222</v>
      </c>
      <c r="FH8" s="613">
        <v>0</v>
      </c>
      <c r="FI8" s="613">
        <v>6.9272511222222235</v>
      </c>
      <c r="FJ8" s="613">
        <v>4.42158446</v>
      </c>
      <c r="FK8" s="613">
        <v>4.9354973216666664</v>
      </c>
      <c r="FL8" s="613">
        <v>0</v>
      </c>
      <c r="FM8" s="613">
        <v>0</v>
      </c>
      <c r="FN8" s="613">
        <v>3.929107649444445</v>
      </c>
      <c r="FO8" s="613">
        <v>0</v>
      </c>
      <c r="FP8" s="613">
        <v>4.3247458933333336</v>
      </c>
      <c r="FQ8" s="613">
        <v>2.9377554683333336</v>
      </c>
      <c r="FR8" s="613">
        <v>0</v>
      </c>
      <c r="FS8" s="613">
        <v>4.4775123649999999</v>
      </c>
      <c r="FT8" s="613">
        <v>0</v>
      </c>
    </row>
    <row r="9" spans="1:176" s="613" customFormat="1" x14ac:dyDescent="0.2">
      <c r="A9" s="619" t="s">
        <v>1105</v>
      </c>
      <c r="B9" s="613">
        <v>3.6947427783333335</v>
      </c>
      <c r="C9" s="613">
        <v>3.1761967933333333</v>
      </c>
      <c r="D9" s="613">
        <v>1.8255525206666667</v>
      </c>
      <c r="E9" s="613">
        <v>1.7878167450000002</v>
      </c>
      <c r="F9" s="613">
        <v>1.3047879746666666</v>
      </c>
      <c r="G9" s="613">
        <v>0.20746534866666663</v>
      </c>
      <c r="H9" s="613">
        <v>4.2736483046666667</v>
      </c>
      <c r="I9" s="613">
        <v>5.4690515319999999</v>
      </c>
      <c r="J9" s="613">
        <v>5.0753872280000003</v>
      </c>
      <c r="K9" s="613">
        <v>5.321579674333333</v>
      </c>
      <c r="L9" s="613">
        <v>3.3726364113333336</v>
      </c>
      <c r="M9" s="613">
        <v>5.1134264530000006</v>
      </c>
      <c r="N9" s="613">
        <v>6.1998763736666662</v>
      </c>
      <c r="O9" s="613">
        <v>7.4758960303333328</v>
      </c>
      <c r="P9" s="613">
        <v>1.8231495496666668</v>
      </c>
      <c r="Q9" s="613">
        <v>4.5513068616666663</v>
      </c>
      <c r="R9" s="613">
        <v>3.8321520043333335</v>
      </c>
      <c r="S9" s="613">
        <v>3.0053824349999996</v>
      </c>
      <c r="T9" s="613">
        <v>2.0420706900000001</v>
      </c>
      <c r="U9" s="613">
        <v>2.1850101740000003</v>
      </c>
      <c r="V9" s="613">
        <v>5.418329344</v>
      </c>
      <c r="W9" s="613">
        <v>2.186068525</v>
      </c>
      <c r="X9" s="613">
        <v>1.9971106526666667</v>
      </c>
      <c r="Y9" s="613">
        <v>1.055005677</v>
      </c>
      <c r="Z9" s="613">
        <v>3.3782051756666664</v>
      </c>
      <c r="AA9" s="613">
        <v>3.4359002083333334</v>
      </c>
      <c r="AB9" s="613">
        <v>1.7309117973333334</v>
      </c>
      <c r="AC9" s="613">
        <v>2.282932477333333</v>
      </c>
      <c r="AD9" s="613">
        <v>5.6112865670000005</v>
      </c>
      <c r="AE9" s="613">
        <v>2.7396792156666665</v>
      </c>
      <c r="AF9" s="613">
        <v>5.4903493799999996</v>
      </c>
      <c r="AG9" s="613">
        <v>3.3926807883333332</v>
      </c>
      <c r="AH9" s="613">
        <v>1.9866215506666669</v>
      </c>
      <c r="AI9" s="613">
        <v>2.4555008163333332</v>
      </c>
      <c r="AJ9" s="613">
        <v>4.475344070666667</v>
      </c>
      <c r="AK9" s="613">
        <v>3.1624332863333331</v>
      </c>
      <c r="AL9" s="613">
        <v>4.9614085993333337</v>
      </c>
      <c r="AM9" s="613">
        <v>1.3399973630000002</v>
      </c>
      <c r="AN9" s="613">
        <v>2.8949734290000002</v>
      </c>
      <c r="AO9" s="613">
        <v>6.6119212613333334</v>
      </c>
      <c r="AP9" s="613">
        <v>2.1495318169999997</v>
      </c>
      <c r="AQ9" s="613">
        <v>7.0084974029999998</v>
      </c>
      <c r="AR9" s="613">
        <v>4.0449800646666665</v>
      </c>
      <c r="AS9" s="613">
        <v>2.5523339529999998</v>
      </c>
      <c r="AT9" s="613">
        <v>4.7003702713333331</v>
      </c>
      <c r="AU9" s="613">
        <v>3.2995505739999995</v>
      </c>
      <c r="AV9" s="613">
        <v>2.6089505183333332</v>
      </c>
      <c r="AW9" s="613">
        <v>6.4956630923333334</v>
      </c>
      <c r="AX9" s="613">
        <v>3.499711967333333</v>
      </c>
      <c r="AY9" s="613">
        <v>3.2174871020000002</v>
      </c>
      <c r="AZ9" s="613">
        <v>2.6126833696666667</v>
      </c>
      <c r="BA9" s="613">
        <v>4.5583753086666663</v>
      </c>
      <c r="BB9" s="613">
        <v>0.92241507466666683</v>
      </c>
      <c r="BC9" s="613">
        <v>4.8868135959999996</v>
      </c>
      <c r="BD9" s="613">
        <v>6.9290590806666668</v>
      </c>
      <c r="BE9" s="613">
        <v>1.0012657523333333</v>
      </c>
      <c r="BF9" s="613">
        <v>0.40218441766666668</v>
      </c>
      <c r="BG9" s="613">
        <v>2.9003302306666665</v>
      </c>
      <c r="BH9" s="613">
        <v>4.6813692969999998</v>
      </c>
      <c r="BI9" s="613">
        <v>3.6754008496666666</v>
      </c>
      <c r="BJ9" s="613">
        <v>7.0941115493333324</v>
      </c>
      <c r="BK9" s="613">
        <v>5.9653889986666666</v>
      </c>
      <c r="BL9" s="613">
        <v>7.7814040241666662</v>
      </c>
      <c r="BM9" s="613">
        <v>2.2070752993333334</v>
      </c>
      <c r="BN9" s="613">
        <v>6.7199726186666666</v>
      </c>
      <c r="BO9" s="613">
        <v>4.4336335016666668</v>
      </c>
      <c r="BP9" s="613">
        <v>3.254921263</v>
      </c>
      <c r="BQ9" s="613">
        <v>1.058937529</v>
      </c>
      <c r="BR9" s="613">
        <v>5.5734948246666676</v>
      </c>
      <c r="BS9" s="613">
        <v>2.7739966523333335</v>
      </c>
      <c r="BT9" s="613">
        <v>2.8343478333333341</v>
      </c>
      <c r="BU9" s="613">
        <v>2.5195348903333334</v>
      </c>
      <c r="BV9" s="613">
        <v>3.9680507673333336</v>
      </c>
      <c r="BW9" s="613">
        <v>5.5767463943333331</v>
      </c>
      <c r="BX9" s="613">
        <v>4.817680240333333</v>
      </c>
      <c r="BY9" s="613">
        <v>6.7005908043333324</v>
      </c>
      <c r="BZ9" s="613">
        <v>5.1904715186666657</v>
      </c>
      <c r="CA9" s="613">
        <v>4.3587337339999994</v>
      </c>
      <c r="CB9" s="613">
        <v>3.6515694823333336</v>
      </c>
      <c r="CC9" s="613">
        <v>5.5376118663333331</v>
      </c>
      <c r="CD9" s="613">
        <v>3.2337629419999998</v>
      </c>
      <c r="CE9" s="613">
        <v>1.1485581576666666</v>
      </c>
      <c r="CF9" s="613">
        <v>3.3536162123333337</v>
      </c>
      <c r="CG9" s="613">
        <v>3.8527563086666667</v>
      </c>
      <c r="CH9" s="613">
        <v>3.2380730566666664</v>
      </c>
      <c r="CI9" s="613">
        <v>4.9312646316666662</v>
      </c>
      <c r="CJ9" s="613">
        <v>1.0382221923333332</v>
      </c>
      <c r="CK9" s="613">
        <v>0.43395599899999998</v>
      </c>
      <c r="CL9" s="613">
        <v>1.5669039149999999</v>
      </c>
      <c r="CM9" s="613">
        <v>3.1051849630000001</v>
      </c>
      <c r="CN9" s="613">
        <v>3.1452668173333329</v>
      </c>
      <c r="CO9" s="613">
        <v>5.0701025169999987</v>
      </c>
      <c r="CP9" s="613">
        <v>7.3349584286666669</v>
      </c>
      <c r="CQ9" s="613">
        <v>4.0135660213333333</v>
      </c>
      <c r="CR9" s="613">
        <v>2.7447054426666666</v>
      </c>
      <c r="CS9" s="613">
        <v>1.9599019166666665</v>
      </c>
      <c r="CT9" s="613">
        <v>0.22445486333333334</v>
      </c>
      <c r="CU9" s="613">
        <v>1.3682128726666667</v>
      </c>
      <c r="CV9" s="613">
        <v>1.3485165363333333</v>
      </c>
      <c r="CW9" s="613">
        <v>2.5934750380000002</v>
      </c>
      <c r="CX9" s="613">
        <v>4.7089708589999999</v>
      </c>
      <c r="CY9" s="613">
        <v>5.1482368663333329</v>
      </c>
      <c r="CZ9" s="613">
        <v>5.1162911549999999</v>
      </c>
      <c r="DA9" s="613">
        <v>4.612431026666667</v>
      </c>
      <c r="DB9" s="613">
        <v>3.2044414176666667</v>
      </c>
      <c r="DC9" s="613">
        <v>4.3465601506666669</v>
      </c>
      <c r="DD9" s="613">
        <v>2.6849646033333334</v>
      </c>
      <c r="DE9" s="613">
        <v>3.0607866769999998</v>
      </c>
      <c r="DF9" s="613">
        <v>3.3196865316666671</v>
      </c>
      <c r="DG9" s="613">
        <v>1.1530030013333334</v>
      </c>
      <c r="DH9" s="613">
        <v>3.6783481563333336</v>
      </c>
      <c r="DI9" s="613">
        <v>5.3419850110000002</v>
      </c>
      <c r="DJ9" s="613">
        <v>7.5465340653333337</v>
      </c>
      <c r="DK9" s="613">
        <v>6.3083230036666667</v>
      </c>
      <c r="DL9" s="613">
        <v>8.485291530833333</v>
      </c>
      <c r="DM9" s="613">
        <v>0.88320366199999989</v>
      </c>
      <c r="DN9" s="613">
        <v>3.0139785450000005</v>
      </c>
      <c r="DO9" s="613">
        <v>4.3385800726666668</v>
      </c>
      <c r="DP9" s="613">
        <v>7.0629136589999995</v>
      </c>
      <c r="DQ9" s="613">
        <v>4.9607595130000002</v>
      </c>
      <c r="DR9" s="613">
        <v>5.7200295959999998</v>
      </c>
      <c r="DS9" s="613">
        <v>5.4305572046666661</v>
      </c>
      <c r="DT9" s="613">
        <v>1.6398364766666669</v>
      </c>
      <c r="DU9" s="613">
        <v>2.3218169353333336</v>
      </c>
      <c r="DV9" s="613">
        <v>1.565062425</v>
      </c>
      <c r="DW9" s="613">
        <v>3.8610194256666661</v>
      </c>
      <c r="DX9" s="613">
        <v>2.8613018743333334</v>
      </c>
      <c r="DY9" s="613">
        <v>0.95317232066666668</v>
      </c>
      <c r="DZ9" s="613">
        <v>1.7417461053333336</v>
      </c>
      <c r="EA9" s="613">
        <v>2.8982492493333334</v>
      </c>
      <c r="EB9" s="613">
        <v>0.69992273533333327</v>
      </c>
      <c r="EC9" s="613">
        <v>4.1722133746666668</v>
      </c>
      <c r="ED9" s="613">
        <v>2.4817621883333332</v>
      </c>
      <c r="EE9" s="613">
        <v>2.2411553623333331</v>
      </c>
      <c r="EF9" s="613">
        <v>2.8351404646666669</v>
      </c>
      <c r="EG9" s="613">
        <v>4.7907080479999999</v>
      </c>
      <c r="EH9" s="613">
        <v>1.1942192010000001</v>
      </c>
      <c r="EI9" s="613">
        <v>1.2053889139999998</v>
      </c>
      <c r="EJ9" s="613">
        <v>1.7368022889999999</v>
      </c>
      <c r="EK9" s="613">
        <v>3.3392660586666665</v>
      </c>
      <c r="EL9" s="613">
        <v>2.9483009719999997</v>
      </c>
      <c r="EM9" s="613">
        <v>3.7005000663333334</v>
      </c>
      <c r="EN9" s="613">
        <v>1.1498695413333333</v>
      </c>
      <c r="EO9" s="613">
        <v>2.882945232</v>
      </c>
      <c r="EP9" s="613">
        <v>5.5341611056666657</v>
      </c>
      <c r="EQ9" s="613">
        <v>3.7191896180000006</v>
      </c>
      <c r="ER9" s="613">
        <v>3.7837035200000004</v>
      </c>
      <c r="ES9" s="613">
        <v>1.1657528483333335</v>
      </c>
      <c r="ET9" s="613">
        <v>3.7410913429999999</v>
      </c>
      <c r="EU9" s="613">
        <v>2.4390951363333331</v>
      </c>
      <c r="EV9" s="613">
        <v>2.6630032740000003</v>
      </c>
      <c r="EW9" s="613">
        <v>0.74458057099999997</v>
      </c>
      <c r="EX9" s="613">
        <v>1.920368903</v>
      </c>
      <c r="EY9" s="613">
        <v>2.1955452616666666</v>
      </c>
      <c r="EZ9" s="613">
        <v>4.3016692006666668</v>
      </c>
      <c r="FA9" s="613">
        <v>3.4642976463333328</v>
      </c>
      <c r="FB9" s="613">
        <v>2.3612450000000003</v>
      </c>
      <c r="FC9" s="613">
        <v>2.2078205603333334</v>
      </c>
      <c r="FD9" s="613">
        <v>4.2560504963333328</v>
      </c>
      <c r="FE9" s="613">
        <v>2.2989668796666667</v>
      </c>
      <c r="FF9" s="613">
        <v>1.6476666136666669</v>
      </c>
      <c r="FG9" s="613">
        <v>4.3260228723333327</v>
      </c>
      <c r="FH9" s="613">
        <v>1.7057452203333332</v>
      </c>
      <c r="FI9" s="613">
        <v>7.2644750459999994</v>
      </c>
      <c r="FJ9" s="613">
        <v>3.9894885960000002</v>
      </c>
      <c r="FK9" s="613">
        <v>2.987809551666667</v>
      </c>
      <c r="FL9" s="613">
        <v>2.8015082750000002</v>
      </c>
      <c r="FM9" s="613">
        <v>5.3539811139999998</v>
      </c>
      <c r="FN9" s="613">
        <v>4.1715345409999998</v>
      </c>
      <c r="FO9" s="613">
        <v>1.1638394056666668</v>
      </c>
      <c r="FP9" s="613">
        <v>2.8567058686666664</v>
      </c>
      <c r="FQ9" s="613">
        <v>1.9558391853333332</v>
      </c>
      <c r="FR9" s="613">
        <v>1.5179511136666668</v>
      </c>
      <c r="FS9" s="613">
        <v>2.2437599066666665</v>
      </c>
      <c r="FT9" s="613">
        <v>2.1890174973333334</v>
      </c>
    </row>
    <row r="10" spans="1:176" s="613" customFormat="1" x14ac:dyDescent="0.2">
      <c r="A10" s="619" t="s">
        <v>18</v>
      </c>
      <c r="B10" s="613">
        <v>5.3761151797222215</v>
      </c>
      <c r="C10" s="613">
        <v>5.037571041944445</v>
      </c>
      <c r="D10" s="613">
        <v>6.1917942652777782</v>
      </c>
      <c r="E10" s="613">
        <v>5.8236897227777771</v>
      </c>
      <c r="F10" s="613">
        <v>4.4847800397222226</v>
      </c>
      <c r="G10" s="613">
        <v>3.6684262363888891</v>
      </c>
      <c r="H10" s="613">
        <v>4.9482602619444442</v>
      </c>
      <c r="I10" s="613">
        <v>4.9971475838888884</v>
      </c>
      <c r="J10" s="613">
        <v>5.1823279388888901</v>
      </c>
      <c r="K10" s="613">
        <v>6.9113471697222231</v>
      </c>
      <c r="L10" s="613">
        <v>5.9020369116666664</v>
      </c>
      <c r="M10" s="613">
        <v>6.1391052833333326</v>
      </c>
      <c r="N10" s="613">
        <v>5.2940439986111123</v>
      </c>
      <c r="O10" s="613">
        <v>6.9479305405555545</v>
      </c>
      <c r="P10" s="613">
        <v>4.6681200711111108</v>
      </c>
      <c r="Q10" s="613">
        <v>5.2310001102777779</v>
      </c>
      <c r="R10" s="613">
        <v>6.7310022688888891</v>
      </c>
      <c r="S10" s="613">
        <v>4.7766925113888883</v>
      </c>
      <c r="T10" s="613">
        <v>4.3778296188888888</v>
      </c>
      <c r="U10" s="613">
        <v>3.6377394433333339</v>
      </c>
      <c r="V10" s="613">
        <v>5.1781112236111104</v>
      </c>
      <c r="W10" s="613">
        <v>6.7933553286111117</v>
      </c>
      <c r="X10" s="613">
        <v>6.5712589813888886</v>
      </c>
      <c r="Y10" s="613">
        <v>3.2800019291666667</v>
      </c>
      <c r="Z10" s="613">
        <v>5.3884543277777777</v>
      </c>
      <c r="AA10" s="613">
        <v>5.4853203483333335</v>
      </c>
      <c r="AB10" s="613">
        <v>6.6915314949999996</v>
      </c>
      <c r="AC10" s="613">
        <v>5.232212788888889</v>
      </c>
      <c r="AD10" s="613">
        <v>5.2945752986111119</v>
      </c>
      <c r="AE10" s="613">
        <v>3.9046082558333333</v>
      </c>
      <c r="AF10" s="613">
        <v>6.5757428961111106</v>
      </c>
      <c r="AG10" s="613">
        <v>5.480574791944445</v>
      </c>
      <c r="AH10" s="613">
        <v>5.9071096255555569</v>
      </c>
      <c r="AI10" s="613">
        <v>4.018748048611112</v>
      </c>
      <c r="AJ10" s="613">
        <v>4.9930573244444449</v>
      </c>
      <c r="AK10" s="613">
        <v>4.6574592794444438</v>
      </c>
      <c r="AL10" s="613">
        <v>5.8803401469444436</v>
      </c>
      <c r="AM10" s="613">
        <v>4.3556545216666658</v>
      </c>
      <c r="AN10" s="613">
        <v>5.1506748427777769</v>
      </c>
      <c r="AO10" s="613">
        <v>3.6730120594444449</v>
      </c>
      <c r="AP10" s="613">
        <v>5.2627412041666668</v>
      </c>
      <c r="AQ10" s="613">
        <v>4.2319339688888888</v>
      </c>
      <c r="AR10" s="613">
        <v>3.9780310769444442</v>
      </c>
      <c r="AS10" s="613">
        <v>4.7000523544444439</v>
      </c>
      <c r="AT10" s="613">
        <v>2.9631905263888889</v>
      </c>
      <c r="AU10" s="613">
        <v>4.685072076388888</v>
      </c>
      <c r="AV10" s="613">
        <v>5.266785170555556</v>
      </c>
      <c r="AW10" s="613">
        <v>8.0735340197222225</v>
      </c>
      <c r="AX10" s="613">
        <v>5.2691624658333334</v>
      </c>
      <c r="AY10" s="613">
        <v>4.9527848719444449</v>
      </c>
      <c r="AZ10" s="613">
        <v>4.0212190588888888</v>
      </c>
      <c r="BA10" s="613">
        <v>5.3902128336111108</v>
      </c>
      <c r="BB10" s="613">
        <v>2.1916276791666665</v>
      </c>
      <c r="BC10" s="613">
        <v>4.892979058611111</v>
      </c>
      <c r="BD10" s="613">
        <v>7.7028157916666657</v>
      </c>
      <c r="BE10" s="613">
        <v>2.9972588202777777</v>
      </c>
      <c r="BF10" s="613">
        <v>6.0900862819999997</v>
      </c>
      <c r="BG10" s="613">
        <v>4.6203607544444445</v>
      </c>
      <c r="BH10" s="613">
        <v>5.3220268649999998</v>
      </c>
      <c r="BI10" s="613">
        <v>5.7102027786111105</v>
      </c>
      <c r="BJ10" s="613">
        <v>5.2101884930555551</v>
      </c>
      <c r="BK10" s="613">
        <v>5.4001012013888889</v>
      </c>
      <c r="BL10" s="613">
        <v>4.3684283413888885</v>
      </c>
      <c r="BM10" s="613">
        <v>4.2887269052777777</v>
      </c>
      <c r="BN10" s="613">
        <v>5.0318034016666671</v>
      </c>
      <c r="BO10" s="613">
        <v>5.5095821366666664</v>
      </c>
      <c r="BP10" s="613">
        <v>5.3614221191666669</v>
      </c>
      <c r="BQ10" s="613">
        <v>4.1673161727777783</v>
      </c>
      <c r="BR10" s="613">
        <v>4.6045192369444443</v>
      </c>
      <c r="BS10" s="613">
        <v>3.999845892777778</v>
      </c>
      <c r="BT10" s="613">
        <v>5.008850416944445</v>
      </c>
      <c r="BU10" s="613">
        <v>4.8337721094444444</v>
      </c>
      <c r="BV10" s="613">
        <v>5.3592766308333326</v>
      </c>
      <c r="BW10" s="613">
        <v>8.230583605833333</v>
      </c>
      <c r="BX10" s="613">
        <v>5.4032844905555555</v>
      </c>
      <c r="BY10" s="613">
        <v>6.3574407402777791</v>
      </c>
      <c r="BZ10" s="613">
        <v>6.2298793675000006</v>
      </c>
      <c r="CA10" s="613">
        <v>3.8726531788888892</v>
      </c>
      <c r="CB10" s="613">
        <v>6.8213956283333346</v>
      </c>
      <c r="CC10" s="613">
        <v>6.0464576516666666</v>
      </c>
      <c r="CD10" s="613">
        <v>5.1623162497222221</v>
      </c>
      <c r="CE10" s="613">
        <v>4.1839127480555556</v>
      </c>
      <c r="CF10" s="613">
        <v>4.8623808858333337</v>
      </c>
      <c r="CG10" s="613">
        <v>5.8563626108333331</v>
      </c>
      <c r="CH10" s="613">
        <v>4.6214745436111109</v>
      </c>
      <c r="CI10" s="613">
        <v>5.2134301769444447</v>
      </c>
      <c r="CJ10" s="613">
        <v>5.2553943552777769</v>
      </c>
      <c r="CK10" s="613">
        <v>4.7667927655555546</v>
      </c>
      <c r="CL10" s="613">
        <v>4.2342036091666664</v>
      </c>
      <c r="CM10" s="613">
        <v>5.2814629605555554</v>
      </c>
      <c r="CN10" s="613">
        <v>4.1564806633333333</v>
      </c>
      <c r="CO10" s="613">
        <v>3.5283936802777776</v>
      </c>
      <c r="CP10" s="613">
        <v>7.1424372674999992</v>
      </c>
      <c r="CQ10" s="613">
        <v>5.5311466122222228</v>
      </c>
      <c r="CR10" s="613">
        <v>5.6945761611111116</v>
      </c>
      <c r="CS10" s="613">
        <v>4.7941368769444441</v>
      </c>
      <c r="CT10" s="613">
        <v>3.9496728469444449</v>
      </c>
      <c r="CU10" s="613">
        <v>4.6027529491666659</v>
      </c>
      <c r="CV10" s="613">
        <v>4.6068532963888886</v>
      </c>
      <c r="CW10" s="613">
        <v>5.80170808</v>
      </c>
      <c r="CX10" s="613">
        <v>5.3835021777777783</v>
      </c>
      <c r="CY10" s="613">
        <v>5.3580395227777782</v>
      </c>
      <c r="CZ10" s="613">
        <v>9.3349742688888888</v>
      </c>
      <c r="DA10" s="613">
        <v>6.6531653000000004</v>
      </c>
      <c r="DB10" s="613">
        <v>4.6293367366666667</v>
      </c>
      <c r="DC10" s="613">
        <v>5.9720344783333337</v>
      </c>
      <c r="DD10" s="613">
        <v>4.1255970963888888</v>
      </c>
      <c r="DE10" s="613">
        <v>6.0306275680555554</v>
      </c>
      <c r="DF10" s="613">
        <v>4.2726964199999999</v>
      </c>
      <c r="DG10" s="613">
        <v>3.3085953024999997</v>
      </c>
      <c r="DH10" s="613">
        <v>4.6924185830555558</v>
      </c>
      <c r="DI10" s="613">
        <v>6.7972577450000005</v>
      </c>
      <c r="DJ10" s="613">
        <v>6.3628660147222229</v>
      </c>
      <c r="DK10" s="613">
        <v>5.1946935769444433</v>
      </c>
      <c r="DL10" s="613">
        <v>6.3616706872222215</v>
      </c>
      <c r="DM10" s="613">
        <v>6.0863530938888886</v>
      </c>
      <c r="DN10" s="613">
        <v>7.5649157847222215</v>
      </c>
      <c r="DO10" s="613">
        <v>6.9854133538888883</v>
      </c>
      <c r="DP10" s="613">
        <v>6.3509917272222216</v>
      </c>
      <c r="DQ10" s="613">
        <v>7.8163498300000001</v>
      </c>
      <c r="DR10" s="613">
        <v>6.3651696183333337</v>
      </c>
      <c r="DS10" s="613">
        <v>7.1602229797222225</v>
      </c>
      <c r="DT10" s="613">
        <v>4.8245934491666667</v>
      </c>
      <c r="DU10" s="613">
        <v>6.7110070563888877</v>
      </c>
      <c r="DV10" s="613">
        <v>6.0365158327777779</v>
      </c>
      <c r="DW10" s="613">
        <v>4.5741138972222224</v>
      </c>
      <c r="DX10" s="613">
        <v>4.6277793975000003</v>
      </c>
      <c r="DY10" s="613">
        <v>4.5487245977777784</v>
      </c>
      <c r="DZ10" s="613">
        <v>4.2946430100000006</v>
      </c>
      <c r="EA10" s="613">
        <v>5.8023283302777786</v>
      </c>
      <c r="EB10" s="613">
        <v>3.9310129927777782</v>
      </c>
      <c r="EC10" s="613">
        <v>4.6149878416666663</v>
      </c>
      <c r="ED10" s="613">
        <v>5.0811129099999999</v>
      </c>
      <c r="EE10" s="613">
        <v>3.9974948447222225</v>
      </c>
      <c r="EF10" s="613">
        <v>6.1049189447222219</v>
      </c>
      <c r="EG10" s="613">
        <v>4.155232756666666</v>
      </c>
      <c r="EH10" s="613">
        <v>4.8220924133333334</v>
      </c>
      <c r="EI10" s="613">
        <v>4.1674225866666665</v>
      </c>
      <c r="EJ10" s="613">
        <v>5.8514871983333343</v>
      </c>
      <c r="EK10" s="613">
        <v>6.3134069000000004</v>
      </c>
      <c r="EL10" s="613">
        <v>5.0599580219444453</v>
      </c>
      <c r="EM10" s="613">
        <v>4.0741428247222222</v>
      </c>
      <c r="EN10" s="613">
        <v>5.1713627677777776</v>
      </c>
      <c r="EO10" s="613">
        <v>2.8521785574999998</v>
      </c>
      <c r="EP10" s="613">
        <v>3.1908224847222222</v>
      </c>
      <c r="EQ10" s="613">
        <v>7.5700961336111119</v>
      </c>
      <c r="ER10" s="613">
        <v>7.3459600294444449</v>
      </c>
      <c r="ES10" s="613">
        <v>4.4203165080555555</v>
      </c>
      <c r="ET10" s="613">
        <v>4.8167487336111119</v>
      </c>
      <c r="EU10" s="613">
        <v>5.2167474508333331</v>
      </c>
      <c r="EV10" s="613">
        <v>5.5333926433333334</v>
      </c>
      <c r="EW10" s="613">
        <v>5.9732599922222231</v>
      </c>
      <c r="EX10" s="613">
        <v>4.9463390722222229</v>
      </c>
      <c r="EY10" s="613">
        <v>5.4037601438888894</v>
      </c>
      <c r="EZ10" s="613">
        <v>5.6781344405555556</v>
      </c>
      <c r="FA10" s="613">
        <v>4.2161720724999991</v>
      </c>
      <c r="FB10" s="613">
        <v>6.8797213305555562</v>
      </c>
      <c r="FC10" s="613">
        <v>4.4620676758333335</v>
      </c>
      <c r="FD10" s="613">
        <v>7.9304704713888885</v>
      </c>
      <c r="FE10" s="613">
        <v>6.6284276713888888</v>
      </c>
      <c r="FF10" s="613">
        <v>2.6348977124999999</v>
      </c>
      <c r="FG10" s="613">
        <v>3.5361626347222224</v>
      </c>
      <c r="FH10" s="613">
        <v>5.7944516930555556</v>
      </c>
      <c r="FI10" s="613">
        <v>4.7692230063888896</v>
      </c>
      <c r="FJ10" s="613">
        <v>4.7854536691666665</v>
      </c>
      <c r="FK10" s="613">
        <v>5.0368164366666672</v>
      </c>
      <c r="FL10" s="613">
        <v>4.3218177630555559</v>
      </c>
      <c r="FM10" s="613">
        <v>6.6727461783333331</v>
      </c>
      <c r="FN10" s="613">
        <v>5.4715684074999995</v>
      </c>
      <c r="FO10" s="613">
        <v>3.5006436336111113</v>
      </c>
      <c r="FP10" s="613">
        <v>5.7745098052777779</v>
      </c>
      <c r="FQ10" s="613">
        <v>3.9865208411111115</v>
      </c>
      <c r="FR10" s="613">
        <v>4.7865878708333334</v>
      </c>
      <c r="FS10" s="613">
        <v>3.7753533280555556</v>
      </c>
      <c r="FT10" s="613">
        <v>4.3392310722222227</v>
      </c>
    </row>
    <row r="11" spans="1:176" s="613" customFormat="1" x14ac:dyDescent="0.2">
      <c r="A11" s="619" t="s">
        <v>90</v>
      </c>
      <c r="B11" s="613">
        <v>5.3093906280555556</v>
      </c>
      <c r="C11" s="613">
        <v>5.1143648352777777</v>
      </c>
      <c r="D11" s="613">
        <v>7.772059995277778</v>
      </c>
      <c r="E11" s="613">
        <v>7.3681073827777777</v>
      </c>
      <c r="F11" s="613">
        <v>6.0702133047222233</v>
      </c>
      <c r="G11" s="613">
        <v>5.2469963697222219</v>
      </c>
      <c r="H11" s="613">
        <v>6.7194527452777777</v>
      </c>
      <c r="I11" s="613">
        <v>6.766184857222223</v>
      </c>
      <c r="J11" s="613">
        <v>5.2898598705555564</v>
      </c>
      <c r="K11" s="613">
        <v>5.2857102347222229</v>
      </c>
      <c r="L11" s="613">
        <v>4.4434393016666665</v>
      </c>
      <c r="M11" s="613">
        <v>6.1011810433333338</v>
      </c>
      <c r="N11" s="613">
        <v>5.2628586719444446</v>
      </c>
      <c r="O11" s="613">
        <v>5.3215607105555565</v>
      </c>
      <c r="P11" s="613">
        <v>5.2510362811111113</v>
      </c>
      <c r="Q11" s="613">
        <v>6.8028199636111122</v>
      </c>
      <c r="R11" s="613">
        <v>6.7310022688888891</v>
      </c>
      <c r="S11" s="613">
        <v>3.1394845213888889</v>
      </c>
      <c r="T11" s="613">
        <v>4.3154465405555555</v>
      </c>
      <c r="U11" s="613">
        <v>5.4080313349999996</v>
      </c>
      <c r="V11" s="613">
        <v>5.1162436569444436</v>
      </c>
      <c r="W11" s="613">
        <v>6.7933553286111117</v>
      </c>
      <c r="X11" s="613">
        <v>6.5712589813888886</v>
      </c>
      <c r="Y11" s="613">
        <v>1.6427939391666666</v>
      </c>
      <c r="Z11" s="613">
        <v>5.3997210444444441</v>
      </c>
      <c r="AA11" s="613">
        <v>5.8300632516666671</v>
      </c>
      <c r="AB11" s="613">
        <v>6.702953486666666</v>
      </c>
      <c r="AC11" s="613">
        <v>5.4102890255555556</v>
      </c>
      <c r="AD11" s="613">
        <v>6.676043821944444</v>
      </c>
      <c r="AE11" s="613">
        <v>4.3639511841666669</v>
      </c>
      <c r="AF11" s="613">
        <v>6.7424654611111112</v>
      </c>
      <c r="AG11" s="613">
        <v>5.4277069352777785</v>
      </c>
      <c r="AH11" s="613">
        <v>7.5182439238888898</v>
      </c>
      <c r="AI11" s="613">
        <v>3.9627560686111112</v>
      </c>
      <c r="AJ11" s="613">
        <v>6.5542221877777784</v>
      </c>
      <c r="AK11" s="613">
        <v>5.2123393144444439</v>
      </c>
      <c r="AL11" s="613">
        <v>6.434387176944445</v>
      </c>
      <c r="AM11" s="613">
        <v>4.9408956816666665</v>
      </c>
      <c r="AN11" s="613">
        <v>5.6225014377777773</v>
      </c>
      <c r="AO11" s="613">
        <v>3.4011982194444439</v>
      </c>
      <c r="AP11" s="613">
        <v>5.2738402241666673</v>
      </c>
      <c r="AQ11" s="613">
        <v>4.7212237638888883</v>
      </c>
      <c r="AR11" s="613">
        <v>4.4765321602777783</v>
      </c>
      <c r="AS11" s="613">
        <v>4.6886503427777777</v>
      </c>
      <c r="AT11" s="613">
        <v>2.9631905263888889</v>
      </c>
      <c r="AU11" s="613">
        <v>3.2145307530555556</v>
      </c>
      <c r="AV11" s="613">
        <v>3.7962438472222222</v>
      </c>
      <c r="AW11" s="613">
        <v>6.6182152263888891</v>
      </c>
      <c r="AX11" s="613">
        <v>5.4618163341666666</v>
      </c>
      <c r="AY11" s="613">
        <v>4.8801069336111107</v>
      </c>
      <c r="AZ11" s="613">
        <v>3.921462328888889</v>
      </c>
      <c r="BA11" s="613">
        <v>5.4659197086111107</v>
      </c>
      <c r="BB11" s="613">
        <v>3.8066265775000003</v>
      </c>
      <c r="BC11" s="613">
        <v>5.0432601369444443</v>
      </c>
      <c r="BD11" s="613">
        <v>9.6601986816666656</v>
      </c>
      <c r="BE11" s="613">
        <v>4.6127189236111112</v>
      </c>
      <c r="BF11" s="613">
        <v>6.0900862819999997</v>
      </c>
      <c r="BG11" s="613">
        <v>5.0766292477777775</v>
      </c>
      <c r="BH11" s="613">
        <v>5.2906614200000002</v>
      </c>
      <c r="BI11" s="613">
        <v>5.809287778611111</v>
      </c>
      <c r="BJ11" s="613">
        <v>5.6998969013888887</v>
      </c>
      <c r="BK11" s="613">
        <v>5.3204019113888892</v>
      </c>
      <c r="BL11" s="613">
        <v>3.3194526880555553</v>
      </c>
      <c r="BM11" s="613">
        <v>4.2208843769444444</v>
      </c>
      <c r="BN11" s="613">
        <v>5.519244801666666</v>
      </c>
      <c r="BO11" s="613">
        <v>5.4513045166666663</v>
      </c>
      <c r="BP11" s="613">
        <v>5.479916429166666</v>
      </c>
      <c r="BQ11" s="613">
        <v>5.7486005044444441</v>
      </c>
      <c r="BR11" s="613">
        <v>4.5344034886111109</v>
      </c>
      <c r="BS11" s="613">
        <v>3.9225447461111114</v>
      </c>
      <c r="BT11" s="613">
        <v>4.9217432986111112</v>
      </c>
      <c r="BU11" s="613">
        <v>4.9013241577777773</v>
      </c>
      <c r="BV11" s="613">
        <v>3.7436345591666664</v>
      </c>
      <c r="BW11" s="613">
        <v>6.6122315274999997</v>
      </c>
      <c r="BX11" s="613">
        <v>3.7617264788888889</v>
      </c>
      <c r="BY11" s="613">
        <v>4.7245951952777787</v>
      </c>
      <c r="BZ11" s="613">
        <v>4.6250414791666667</v>
      </c>
      <c r="CA11" s="613">
        <v>2.8201590155555554</v>
      </c>
      <c r="CB11" s="613">
        <v>6.8449932600000007</v>
      </c>
      <c r="CC11" s="613">
        <v>7.4453197933333337</v>
      </c>
      <c r="CD11" s="613">
        <v>5.7415771880555555</v>
      </c>
      <c r="CE11" s="613">
        <v>4.7780682930555551</v>
      </c>
      <c r="CF11" s="613">
        <v>5.3191586808333335</v>
      </c>
      <c r="CG11" s="613">
        <v>5.8564309308333335</v>
      </c>
      <c r="CH11" s="613">
        <v>4.8867976519444447</v>
      </c>
      <c r="CI11" s="613">
        <v>6.9453189402777769</v>
      </c>
      <c r="CJ11" s="613">
        <v>6.8048113169444449</v>
      </c>
      <c r="CK11" s="613">
        <v>6.317732450555555</v>
      </c>
      <c r="CL11" s="613">
        <v>2.5675369424999999</v>
      </c>
      <c r="CM11" s="613">
        <v>6.3428329672222219</v>
      </c>
      <c r="CN11" s="613">
        <v>3.1027805100000001</v>
      </c>
      <c r="CO11" s="613">
        <v>2.5115073236111112</v>
      </c>
      <c r="CP11" s="613">
        <v>5.5161357575000007</v>
      </c>
      <c r="CQ11" s="613">
        <v>5.5413947288888901</v>
      </c>
      <c r="CR11" s="613">
        <v>5.6411182611111119</v>
      </c>
      <c r="CS11" s="613">
        <v>4.8996875052777771</v>
      </c>
      <c r="CT11" s="613">
        <v>5.53299437861111</v>
      </c>
      <c r="CU11" s="613">
        <v>6.1967049858333336</v>
      </c>
      <c r="CV11" s="613">
        <v>6.2001540463888896</v>
      </c>
      <c r="CW11" s="613">
        <v>7.3497032216666671</v>
      </c>
      <c r="CX11" s="613">
        <v>5.8537356877777782</v>
      </c>
      <c r="CY11" s="613">
        <v>6.1039705177777765</v>
      </c>
      <c r="CZ11" s="613">
        <v>9.3671657872222234</v>
      </c>
      <c r="DA11" s="613">
        <v>7.0274773650000002</v>
      </c>
      <c r="DB11" s="613">
        <v>3.7574376216666665</v>
      </c>
      <c r="DC11" s="613">
        <v>6.101113418333334</v>
      </c>
      <c r="DD11" s="613">
        <v>2.8032109447222222</v>
      </c>
      <c r="DE11" s="613">
        <v>6.5050432630555557</v>
      </c>
      <c r="DF11" s="613">
        <v>3.1088366833333332</v>
      </c>
      <c r="DG11" s="613">
        <v>3.4665866991666672</v>
      </c>
      <c r="DH11" s="613">
        <v>4.8748613947222221</v>
      </c>
      <c r="DI11" s="613">
        <v>6.8235317049999997</v>
      </c>
      <c r="DJ11" s="613">
        <v>5.2740015847222219</v>
      </c>
      <c r="DK11" s="613">
        <v>4.1418637252777772</v>
      </c>
      <c r="DL11" s="613">
        <v>5.3382197638888895</v>
      </c>
      <c r="DM11" s="613">
        <v>6.4963059022222227</v>
      </c>
      <c r="DN11" s="613">
        <v>7.7344077447222226</v>
      </c>
      <c r="DO11" s="613">
        <v>5.8983578755555559</v>
      </c>
      <c r="DP11" s="613">
        <v>5.2603611338888889</v>
      </c>
      <c r="DQ11" s="613">
        <v>8.1778871566666673</v>
      </c>
      <c r="DR11" s="613">
        <v>4.9858513933333342</v>
      </c>
      <c r="DS11" s="613">
        <v>7.3674385780555554</v>
      </c>
      <c r="DT11" s="613">
        <v>3.3540521258333333</v>
      </c>
      <c r="DU11" s="613">
        <v>6.722429048055556</v>
      </c>
      <c r="DV11" s="613">
        <v>6.7354302777777777</v>
      </c>
      <c r="DW11" s="613">
        <v>5.0244831172222213</v>
      </c>
      <c r="DX11" s="613">
        <v>4.6966707091666668</v>
      </c>
      <c r="DY11" s="613">
        <v>6.1637747411111121</v>
      </c>
      <c r="DZ11" s="613">
        <v>4.3294546699999996</v>
      </c>
      <c r="EA11" s="613">
        <v>5.8142782552777783</v>
      </c>
      <c r="EB11" s="613">
        <v>5.5040242994444446</v>
      </c>
      <c r="EC11" s="613">
        <v>4.5681943233333326</v>
      </c>
      <c r="ED11" s="613">
        <v>5.1100318199999997</v>
      </c>
      <c r="EE11" s="613">
        <v>4.0279309680555562</v>
      </c>
      <c r="EF11" s="613">
        <v>6.1381938313888886</v>
      </c>
      <c r="EG11" s="613">
        <v>4.0563933299999997</v>
      </c>
      <c r="EH11" s="613">
        <v>5.3825796833333337</v>
      </c>
      <c r="EI11" s="613">
        <v>4.7616527299999998</v>
      </c>
      <c r="EJ11" s="613">
        <v>4.1850938150000001</v>
      </c>
      <c r="EK11" s="613">
        <v>6.6385248650000008</v>
      </c>
      <c r="EL11" s="613">
        <v>3.9611896369444444</v>
      </c>
      <c r="EM11" s="613">
        <v>4.4539430430555553</v>
      </c>
      <c r="EN11" s="613">
        <v>5.2974216911111114</v>
      </c>
      <c r="EO11" s="613">
        <v>3.4979480491666664</v>
      </c>
      <c r="EP11" s="613">
        <v>3.5241558180555561</v>
      </c>
      <c r="EQ11" s="613">
        <v>6.4302881069444435</v>
      </c>
      <c r="ER11" s="613">
        <v>5.7072986327777766</v>
      </c>
      <c r="ES11" s="613">
        <v>3.3756177697222229</v>
      </c>
      <c r="ET11" s="613">
        <v>4.8533465569444454</v>
      </c>
      <c r="EU11" s="613">
        <v>5.3948236874999997</v>
      </c>
      <c r="EV11" s="613">
        <v>3.9744665766666665</v>
      </c>
      <c r="EW11" s="613">
        <v>5.9754706938888891</v>
      </c>
      <c r="EX11" s="613">
        <v>5.0190096722222224</v>
      </c>
      <c r="EY11" s="613">
        <v>3.7605634238888892</v>
      </c>
      <c r="EZ11" s="613">
        <v>7.0480279388888887</v>
      </c>
      <c r="FA11" s="613">
        <v>5.7785418691666663</v>
      </c>
      <c r="FB11" s="613">
        <v>8.4227722072222218</v>
      </c>
      <c r="FC11" s="613">
        <v>6.0053203591666673</v>
      </c>
      <c r="FD11" s="613">
        <v>6.5989625713888884</v>
      </c>
      <c r="FE11" s="613">
        <v>7.3493791613888879</v>
      </c>
      <c r="FF11" s="613">
        <v>0.96823104583333319</v>
      </c>
      <c r="FG11" s="613">
        <v>1.8694959680555556</v>
      </c>
      <c r="FH11" s="613">
        <v>7.1730778847222219</v>
      </c>
      <c r="FI11" s="613">
        <v>4.8476726180555563</v>
      </c>
      <c r="FJ11" s="613">
        <v>3.1417835441666671</v>
      </c>
      <c r="FK11" s="613">
        <v>3.543701158333334</v>
      </c>
      <c r="FL11" s="613">
        <v>4.4233498880555562</v>
      </c>
      <c r="FM11" s="613">
        <v>8.301575558333333</v>
      </c>
      <c r="FN11" s="613">
        <v>4.1814605624999999</v>
      </c>
      <c r="FO11" s="613">
        <v>3.8934840736111109</v>
      </c>
      <c r="FP11" s="613">
        <v>4.1257596852777771</v>
      </c>
      <c r="FQ11" s="613">
        <v>2.3438783477777778</v>
      </c>
      <c r="FR11" s="613">
        <v>5.7998171841666668</v>
      </c>
      <c r="FS11" s="613">
        <v>2.2886306763888884</v>
      </c>
      <c r="FT11" s="613">
        <v>4.6053305522222221</v>
      </c>
    </row>
    <row r="12" spans="1:176" s="613" customFormat="1" x14ac:dyDescent="0.2">
      <c r="A12" s="619" t="s">
        <v>923</v>
      </c>
      <c r="B12" s="613">
        <v>4.1362049183333331</v>
      </c>
      <c r="C12" s="613">
        <v>10</v>
      </c>
      <c r="D12" s="613">
        <v>6.5255384545833328</v>
      </c>
      <c r="E12" s="613">
        <v>6.3414643095833334</v>
      </c>
      <c r="F12" s="613">
        <v>10</v>
      </c>
      <c r="G12" s="613">
        <v>10</v>
      </c>
      <c r="H12" s="613">
        <v>10</v>
      </c>
      <c r="I12" s="613">
        <v>10</v>
      </c>
      <c r="J12" s="613">
        <v>10</v>
      </c>
      <c r="K12" s="613">
        <v>10</v>
      </c>
      <c r="L12" s="613">
        <v>10</v>
      </c>
      <c r="M12" s="613">
        <v>10</v>
      </c>
      <c r="N12" s="613">
        <v>10</v>
      </c>
      <c r="O12" s="613">
        <v>10</v>
      </c>
      <c r="P12" s="613">
        <v>10</v>
      </c>
      <c r="Q12" s="613">
        <v>10</v>
      </c>
      <c r="R12" s="613">
        <v>6.1092312545833325</v>
      </c>
      <c r="S12" s="613">
        <v>3.1015706329166663</v>
      </c>
      <c r="T12" s="613">
        <v>10</v>
      </c>
      <c r="U12" s="613">
        <v>10</v>
      </c>
      <c r="V12" s="613">
        <v>4.22184501</v>
      </c>
      <c r="W12" s="613">
        <v>6.8998113108333339</v>
      </c>
      <c r="X12" s="613">
        <v>6.6576436658333336</v>
      </c>
      <c r="Y12" s="613">
        <v>1.5483024775000001</v>
      </c>
      <c r="Z12" s="613">
        <v>5.8942350929166665</v>
      </c>
      <c r="AA12" s="613">
        <v>5.0259628254166664</v>
      </c>
      <c r="AB12" s="613">
        <v>5.4145626974999992</v>
      </c>
      <c r="AC12" s="613">
        <v>10</v>
      </c>
      <c r="AD12" s="613">
        <v>6.5885089983333334</v>
      </c>
      <c r="AE12" s="613">
        <v>2.4929791087499997</v>
      </c>
      <c r="AF12" s="613">
        <v>10</v>
      </c>
      <c r="AG12" s="613">
        <v>4.2949785108333334</v>
      </c>
      <c r="AH12" s="613">
        <v>10</v>
      </c>
      <c r="AI12" s="613">
        <v>10</v>
      </c>
      <c r="AJ12" s="613">
        <v>6.4163874004166663</v>
      </c>
      <c r="AK12" s="613">
        <v>5.3273114620833333</v>
      </c>
      <c r="AL12" s="613">
        <v>6.6324265937499991</v>
      </c>
      <c r="AM12" s="613">
        <v>4.4891697074999994</v>
      </c>
      <c r="AN12" s="613">
        <v>3.9766218037500001</v>
      </c>
      <c r="AO12" s="613">
        <v>2.5966069333333337</v>
      </c>
      <c r="AP12" s="613">
        <v>4.6362198245833337</v>
      </c>
      <c r="AQ12" s="613">
        <v>3.015309194166667</v>
      </c>
      <c r="AR12" s="613">
        <v>2.4697197779166666</v>
      </c>
      <c r="AS12" s="613">
        <v>2.4214798529166668</v>
      </c>
      <c r="AT12" s="613">
        <v>10</v>
      </c>
      <c r="AU12" s="613">
        <v>4.1365375170833332</v>
      </c>
      <c r="AV12" s="613">
        <v>3.3203418279166668</v>
      </c>
      <c r="AW12" s="613">
        <v>7.4207654233333331</v>
      </c>
      <c r="AX12" s="613">
        <v>5.9955795150000002</v>
      </c>
      <c r="AY12" s="613">
        <v>4.383980397916666</v>
      </c>
      <c r="AZ12" s="613">
        <v>3.8454178854166665</v>
      </c>
      <c r="BA12" s="613">
        <v>5.3823989379166672</v>
      </c>
      <c r="BB12" s="613">
        <v>2.1494714083333335</v>
      </c>
      <c r="BC12" s="613">
        <v>4.3667313699999992</v>
      </c>
      <c r="BD12" s="613">
        <v>10</v>
      </c>
      <c r="BE12" s="613">
        <v>2.1451924504166668</v>
      </c>
      <c r="BF12" s="613">
        <v>3.6913752745000004</v>
      </c>
      <c r="BG12" s="613">
        <v>2.9073702229166667</v>
      </c>
      <c r="BH12" s="613">
        <v>3.3663353741666668</v>
      </c>
      <c r="BI12" s="613">
        <v>4.2538807691666669</v>
      </c>
      <c r="BJ12" s="613">
        <v>4.7110666254166667</v>
      </c>
      <c r="BK12" s="613">
        <v>4.8718881375</v>
      </c>
      <c r="BL12" s="613">
        <v>10</v>
      </c>
      <c r="BM12" s="613">
        <v>3.074958139583333</v>
      </c>
      <c r="BN12" s="613">
        <v>5.2531411820833327</v>
      </c>
      <c r="BO12" s="613">
        <v>4.9381487316666668</v>
      </c>
      <c r="BP12" s="613">
        <v>4.3282898574999997</v>
      </c>
      <c r="BQ12" s="613">
        <v>3.9339761945833334</v>
      </c>
      <c r="BR12" s="613">
        <v>3.440050842916667</v>
      </c>
      <c r="BS12" s="613">
        <v>3.8429526337500004</v>
      </c>
      <c r="BT12" s="613">
        <v>10</v>
      </c>
      <c r="BU12" s="613">
        <v>4.1708752533333335</v>
      </c>
      <c r="BV12" s="613">
        <v>2.2187654220833335</v>
      </c>
      <c r="BW12" s="613">
        <v>8.3282488874999991</v>
      </c>
      <c r="BX12" s="613">
        <v>3.6421053554166671</v>
      </c>
      <c r="BY12" s="613">
        <v>10</v>
      </c>
      <c r="BZ12" s="613">
        <v>4.278921313333333</v>
      </c>
      <c r="CA12" s="613">
        <v>2.83732583875</v>
      </c>
      <c r="CB12" s="613">
        <v>6.563925545</v>
      </c>
      <c r="CC12" s="613">
        <v>10</v>
      </c>
      <c r="CD12" s="613">
        <v>10</v>
      </c>
      <c r="CE12" s="613">
        <v>2.3651062145833333</v>
      </c>
      <c r="CF12" s="613">
        <v>3.8785251904166667</v>
      </c>
      <c r="CG12" s="613">
        <v>4.5800275395833339</v>
      </c>
      <c r="CH12" s="613">
        <v>10</v>
      </c>
      <c r="CI12" s="613">
        <v>6.9631051445833325</v>
      </c>
      <c r="CJ12" s="613">
        <v>5.1586132024999998</v>
      </c>
      <c r="CK12" s="613">
        <v>4.7305559224999998</v>
      </c>
      <c r="CL12" s="613">
        <v>2.6302636679166662</v>
      </c>
      <c r="CM12" s="613">
        <v>4.210471346666667</v>
      </c>
      <c r="CN12" s="613">
        <v>1.5184316162500002</v>
      </c>
      <c r="CO12" s="613">
        <v>2.0358326937500002</v>
      </c>
      <c r="CP12" s="613">
        <v>10</v>
      </c>
      <c r="CQ12" s="613">
        <v>6.0382382062500009</v>
      </c>
      <c r="CR12" s="613">
        <v>10</v>
      </c>
      <c r="CS12" s="613">
        <v>3.3780107741666665</v>
      </c>
      <c r="CT12" s="613">
        <v>10</v>
      </c>
      <c r="CU12" s="613">
        <v>5.0691509087500002</v>
      </c>
      <c r="CV12" s="613">
        <v>4.9140005249999996</v>
      </c>
      <c r="CW12" s="613">
        <v>7.4413728545833324</v>
      </c>
      <c r="CX12" s="613">
        <v>5.0065481687500002</v>
      </c>
      <c r="CY12" s="613">
        <v>7.342455806666667</v>
      </c>
      <c r="CZ12" s="613">
        <v>9.0955292008333331</v>
      </c>
      <c r="DA12" s="613">
        <v>10</v>
      </c>
      <c r="DB12" s="613">
        <v>2.3996244504166664</v>
      </c>
      <c r="DC12" s="613">
        <v>10</v>
      </c>
      <c r="DD12" s="613">
        <v>1.7913555558333336</v>
      </c>
      <c r="DE12" s="613">
        <v>6.2628252558333344</v>
      </c>
      <c r="DF12" s="613">
        <v>4.127674738333333</v>
      </c>
      <c r="DG12" s="613">
        <v>2.3786252124999998</v>
      </c>
      <c r="DH12" s="613">
        <v>3.3094495170833333</v>
      </c>
      <c r="DI12" s="613">
        <v>5.3835082195833328</v>
      </c>
      <c r="DJ12" s="613">
        <v>5.4821549391666666</v>
      </c>
      <c r="DK12" s="613">
        <v>4.256967451944444</v>
      </c>
      <c r="DL12" s="613">
        <v>3.8380484537499999</v>
      </c>
      <c r="DM12" s="613">
        <v>4.8406742916666667</v>
      </c>
      <c r="DN12" s="613">
        <v>6.1698336941666678</v>
      </c>
      <c r="DO12" s="613">
        <v>7.0361347145833344</v>
      </c>
      <c r="DP12" s="613">
        <v>5.2306822033333331</v>
      </c>
      <c r="DQ12" s="613">
        <v>10</v>
      </c>
      <c r="DR12" s="613">
        <v>10</v>
      </c>
      <c r="DS12" s="613">
        <v>5.9751765145833335</v>
      </c>
      <c r="DT12" s="613">
        <v>2.7184000899999998</v>
      </c>
      <c r="DU12" s="613">
        <v>6.7430586087500002</v>
      </c>
      <c r="DV12" s="613">
        <v>5.1630989324999996</v>
      </c>
      <c r="DW12" s="613">
        <v>2.8456946599999999</v>
      </c>
      <c r="DX12" s="613">
        <v>4.3432617341666671</v>
      </c>
      <c r="DY12" s="613">
        <v>3.7690311108333336</v>
      </c>
      <c r="DZ12" s="613">
        <v>5.0301746920833335</v>
      </c>
      <c r="EA12" s="613">
        <v>5.3338525712499996</v>
      </c>
      <c r="EB12" s="613">
        <v>4.2122769949999999</v>
      </c>
      <c r="EC12" s="613">
        <v>4.4246156279166664</v>
      </c>
      <c r="ED12" s="613">
        <v>6.050757512083333</v>
      </c>
      <c r="EE12" s="613">
        <v>4.7766916899999998</v>
      </c>
      <c r="EF12" s="613">
        <v>7.0257935187499987</v>
      </c>
      <c r="EG12" s="613">
        <v>4.0893104516666661</v>
      </c>
      <c r="EH12" s="613">
        <v>5.1055065233333341</v>
      </c>
      <c r="EI12" s="613">
        <v>2.3962381791666667</v>
      </c>
      <c r="EJ12" s="613">
        <v>3.5106987229166671</v>
      </c>
      <c r="EK12" s="613">
        <v>10</v>
      </c>
      <c r="EL12" s="613">
        <v>3.1186247616666667</v>
      </c>
      <c r="EM12" s="613">
        <v>10</v>
      </c>
      <c r="EN12" s="613">
        <v>4.9650820000000007</v>
      </c>
      <c r="EO12" s="613">
        <v>3.2839543241666664</v>
      </c>
      <c r="EP12" s="613">
        <v>3.3553080074999997</v>
      </c>
      <c r="EQ12" s="613">
        <v>4.3516783245833333</v>
      </c>
      <c r="ER12" s="613">
        <v>4.6732104833333326</v>
      </c>
      <c r="ES12" s="613">
        <v>2.2861298029166663</v>
      </c>
      <c r="ET12" s="613">
        <v>3.7222632966666662</v>
      </c>
      <c r="EU12" s="613">
        <v>10</v>
      </c>
      <c r="EV12" s="613">
        <v>3.9095714300000006</v>
      </c>
      <c r="EW12" s="613">
        <v>5.2007318666666666</v>
      </c>
      <c r="EX12" s="613">
        <v>4.7037356475000003</v>
      </c>
      <c r="EY12" s="613">
        <v>3.2962504791666669</v>
      </c>
      <c r="EZ12" s="613">
        <v>7.7647821741666654</v>
      </c>
      <c r="FA12" s="613">
        <v>6.3968829266666658</v>
      </c>
      <c r="FB12" s="613">
        <v>7.6144014483333322</v>
      </c>
      <c r="FC12" s="613">
        <v>6.1376945608333324</v>
      </c>
      <c r="FD12" s="613">
        <v>5.4359455608333338</v>
      </c>
      <c r="FE12" s="613">
        <v>5.5151955533333332</v>
      </c>
      <c r="FF12" s="613">
        <v>1.9837877162499997</v>
      </c>
      <c r="FG12" s="613">
        <v>3.5997761641666663</v>
      </c>
      <c r="FH12" s="613">
        <v>5.8438033537500003</v>
      </c>
      <c r="FI12" s="613">
        <v>10</v>
      </c>
      <c r="FJ12" s="613">
        <v>4.6103190362499999</v>
      </c>
      <c r="FK12" s="613">
        <v>4.487446089583333</v>
      </c>
      <c r="FL12" s="613">
        <v>3.6129550474999998</v>
      </c>
      <c r="FM12" s="613">
        <v>6.273224405833334</v>
      </c>
      <c r="FN12" s="613">
        <v>3.8473411041666665</v>
      </c>
      <c r="FO12" s="613">
        <v>1.3613012483333333</v>
      </c>
      <c r="FP12" s="613">
        <v>4.2908380083333331</v>
      </c>
      <c r="FQ12" s="613">
        <v>3.6519242275000003</v>
      </c>
      <c r="FR12" s="613">
        <v>3.5985165741666676</v>
      </c>
      <c r="FS12" s="613">
        <v>10</v>
      </c>
      <c r="FT12" s="613">
        <v>2.8576959012499996</v>
      </c>
    </row>
    <row r="13" spans="1:176" s="613" customFormat="1" x14ac:dyDescent="0.2">
      <c r="A13" s="619" t="s">
        <v>194</v>
      </c>
      <c r="B13" s="613">
        <v>5.6003310237499999</v>
      </c>
      <c r="C13" s="613">
        <v>5.4567228251388897</v>
      </c>
      <c r="D13" s="613">
        <v>5.5961739352777773</v>
      </c>
      <c r="E13" s="613">
        <v>5.1497000716666665</v>
      </c>
      <c r="F13" s="613">
        <v>4.8730238962499994</v>
      </c>
      <c r="G13" s="613">
        <v>4.2663798012500003</v>
      </c>
      <c r="H13" s="613">
        <v>4.5294163369444442</v>
      </c>
      <c r="I13" s="613">
        <v>4.6052465372222224</v>
      </c>
      <c r="J13" s="613">
        <v>5.3359951918055559</v>
      </c>
      <c r="K13" s="613">
        <v>6.5549580586111125</v>
      </c>
      <c r="L13" s="613">
        <v>6.2145073579166663</v>
      </c>
      <c r="M13" s="613">
        <v>5.7662398706944442</v>
      </c>
      <c r="N13" s="613">
        <v>5.2198974918055558</v>
      </c>
      <c r="O13" s="613">
        <v>7.0655946080555552</v>
      </c>
      <c r="P13" s="613">
        <v>5.7379916893055549</v>
      </c>
      <c r="Q13" s="613">
        <v>4.7181935923611107</v>
      </c>
      <c r="R13" s="613">
        <v>6.7514475718055555</v>
      </c>
      <c r="S13" s="613">
        <v>5.517181018194445</v>
      </c>
      <c r="T13" s="613">
        <v>4.3014640730555556</v>
      </c>
      <c r="U13" s="613">
        <v>4.1905592688888893</v>
      </c>
      <c r="V13" s="613">
        <v>5.3465850797222227</v>
      </c>
      <c r="W13" s="613">
        <v>6.6760887222222234</v>
      </c>
      <c r="X13" s="613">
        <v>7.352801854861112</v>
      </c>
      <c r="Y13" s="613">
        <v>5.6456944650000009</v>
      </c>
      <c r="Z13" s="613">
        <v>6.7423842008333335</v>
      </c>
      <c r="AA13" s="613">
        <v>6.640492563194444</v>
      </c>
      <c r="AB13" s="613">
        <v>6.7819051805555564</v>
      </c>
      <c r="AC13" s="613">
        <v>5.8965429883333345</v>
      </c>
      <c r="AD13" s="613">
        <v>4.8720948087500009</v>
      </c>
      <c r="AE13" s="613">
        <v>4.4784355823611115</v>
      </c>
      <c r="AF13" s="613">
        <v>7.7193417774999995</v>
      </c>
      <c r="AG13" s="613">
        <v>5.5527390018055556</v>
      </c>
      <c r="AH13" s="613">
        <v>6.0655121695833341</v>
      </c>
      <c r="AI13" s="613">
        <v>4.1778003650000004</v>
      </c>
      <c r="AJ13" s="613">
        <v>4.2526409123611115</v>
      </c>
      <c r="AK13" s="613">
        <v>5.0838028740277776</v>
      </c>
      <c r="AL13" s="613">
        <v>6.1460226658333337</v>
      </c>
      <c r="AM13" s="613">
        <v>6.117143136527778</v>
      </c>
      <c r="AN13" s="613">
        <v>5.6574838119444451</v>
      </c>
      <c r="AO13" s="613">
        <v>3.9824341365277771</v>
      </c>
      <c r="AP13" s="613">
        <v>7.0439422669444438</v>
      </c>
      <c r="AQ13" s="613">
        <v>5.3026715127777777</v>
      </c>
      <c r="AR13" s="613">
        <v>5.425996363055555</v>
      </c>
      <c r="AS13" s="613">
        <v>4.2643246841666667</v>
      </c>
      <c r="AT13" s="613">
        <v>5.1060450198611109</v>
      </c>
      <c r="AU13" s="613">
        <v>5.5755502506944445</v>
      </c>
      <c r="AV13" s="613">
        <v>5.7800710779166673</v>
      </c>
      <c r="AW13" s="613">
        <v>5.9304122506944443</v>
      </c>
      <c r="AX13" s="613">
        <v>6.0437749347222223</v>
      </c>
      <c r="AY13" s="613">
        <v>5.4562857604166659</v>
      </c>
      <c r="AZ13" s="613">
        <v>5.061909561805555</v>
      </c>
      <c r="BA13" s="613">
        <v>6.0779482884722222</v>
      </c>
      <c r="BB13" s="613">
        <v>3.9113907806944441</v>
      </c>
      <c r="BC13" s="613">
        <v>6.0791762786111114</v>
      </c>
      <c r="BD13" s="613">
        <v>6.0507612427777779</v>
      </c>
      <c r="BE13" s="613">
        <v>4.4058292036111109</v>
      </c>
      <c r="BF13" s="613">
        <v>6.0968617427777776</v>
      </c>
      <c r="BG13" s="613">
        <v>4.7590280963888896</v>
      </c>
      <c r="BH13" s="613">
        <v>4.6949824173611114</v>
      </c>
      <c r="BI13" s="613">
        <v>5.4233389362500004</v>
      </c>
      <c r="BJ13" s="613">
        <v>6.204360812777777</v>
      </c>
      <c r="BK13" s="613">
        <v>5.5362033048611101</v>
      </c>
      <c r="BL13" s="613">
        <v>4.2858072802777771</v>
      </c>
      <c r="BM13" s="613">
        <v>4.1405148190277776</v>
      </c>
      <c r="BN13" s="613">
        <v>5.4451883530555554</v>
      </c>
      <c r="BO13" s="613">
        <v>5.1548879809722212</v>
      </c>
      <c r="BP13" s="613">
        <v>5.0418196861111122</v>
      </c>
      <c r="BQ13" s="613">
        <v>4.4796013016666665</v>
      </c>
      <c r="BR13" s="613">
        <v>4.5753751245833332</v>
      </c>
      <c r="BS13" s="613">
        <v>5.1594089631944442</v>
      </c>
      <c r="BT13" s="613">
        <v>4.0680015115277781</v>
      </c>
      <c r="BU13" s="613">
        <v>4.5570961669444445</v>
      </c>
      <c r="BV13" s="613">
        <v>5.4705555894444435</v>
      </c>
      <c r="BW13" s="613">
        <v>6.5888714216666671</v>
      </c>
      <c r="BX13" s="613">
        <v>4.8988908541666669</v>
      </c>
      <c r="BY13" s="613">
        <v>6.4778547679166651</v>
      </c>
      <c r="BZ13" s="613">
        <v>6.547909189305555</v>
      </c>
      <c r="CA13" s="613">
        <v>4.2325006980555555</v>
      </c>
      <c r="CB13" s="613">
        <v>6.6622656723611122</v>
      </c>
      <c r="CC13" s="613">
        <v>6.2649880822222217</v>
      </c>
      <c r="CD13" s="613">
        <v>5.8829186004166658</v>
      </c>
      <c r="CE13" s="613">
        <v>5.051664889305556</v>
      </c>
      <c r="CF13" s="613">
        <v>5.2603131452777783</v>
      </c>
      <c r="CG13" s="613">
        <v>6.6495523134722223</v>
      </c>
      <c r="CH13" s="613">
        <v>5.2738389808333332</v>
      </c>
      <c r="CI13" s="613">
        <v>5.3059764448611126</v>
      </c>
      <c r="CJ13" s="613">
        <v>4.6476615194444442</v>
      </c>
      <c r="CK13" s="613">
        <v>4.5638765663888892</v>
      </c>
      <c r="CL13" s="613">
        <v>5.0368937019444449</v>
      </c>
      <c r="CM13" s="613">
        <v>5.3269743137500001</v>
      </c>
      <c r="CN13" s="613">
        <v>4.4414308126388891</v>
      </c>
      <c r="CO13" s="613">
        <v>4.565225134305555</v>
      </c>
      <c r="CP13" s="613">
        <v>7.871541955833333</v>
      </c>
      <c r="CQ13" s="613">
        <v>7.3262825249999999</v>
      </c>
      <c r="CR13" s="613">
        <v>4.370256490277777</v>
      </c>
      <c r="CS13" s="613">
        <v>4.1200325622222227</v>
      </c>
      <c r="CT13" s="613">
        <v>4.2666437690277776</v>
      </c>
      <c r="CU13" s="613">
        <v>5.5625622233333338</v>
      </c>
      <c r="CV13" s="613">
        <v>5.3997775849999998</v>
      </c>
      <c r="CW13" s="613">
        <v>6.4071531619444446</v>
      </c>
      <c r="CX13" s="613">
        <v>5.6362209118055562</v>
      </c>
      <c r="CY13" s="613">
        <v>4.9852637265277782</v>
      </c>
      <c r="CZ13" s="613">
        <v>7.104301266805555</v>
      </c>
      <c r="DA13" s="613">
        <v>7.0610653269444432</v>
      </c>
      <c r="DB13" s="613">
        <v>4.9673272105555561</v>
      </c>
      <c r="DC13" s="613">
        <v>5.785526626527778</v>
      </c>
      <c r="DD13" s="613">
        <v>3.9440671291666662</v>
      </c>
      <c r="DE13" s="613">
        <v>5.1502784379166675</v>
      </c>
      <c r="DF13" s="613">
        <v>5.3072275712500003</v>
      </c>
      <c r="DG13" s="613">
        <v>4.5966211845833334</v>
      </c>
      <c r="DH13" s="613">
        <v>5.3931672487500002</v>
      </c>
      <c r="DI13" s="613">
        <v>6.888515005833332</v>
      </c>
      <c r="DJ13" s="613">
        <v>6.3442691934722228</v>
      </c>
      <c r="DK13" s="613">
        <v>5.125544029305555</v>
      </c>
      <c r="DL13" s="613">
        <v>6.0328260680555568</v>
      </c>
      <c r="DM13" s="613">
        <v>4.9694362961111116</v>
      </c>
      <c r="DN13" s="613">
        <v>6.8888367890277777</v>
      </c>
      <c r="DO13" s="613">
        <v>4.7885457544444447</v>
      </c>
      <c r="DP13" s="613">
        <v>6.5631302300000005</v>
      </c>
      <c r="DQ13" s="613">
        <v>6.8747950302777774</v>
      </c>
      <c r="DR13" s="613">
        <v>6.8242082169444451</v>
      </c>
      <c r="DS13" s="613">
        <v>6.866062325972222</v>
      </c>
      <c r="DT13" s="613">
        <v>5.4598252098611111</v>
      </c>
      <c r="DU13" s="613">
        <v>7.6229711827777766</v>
      </c>
      <c r="DV13" s="613">
        <v>5.9816464247222232</v>
      </c>
      <c r="DW13" s="613">
        <v>4.9358320649999996</v>
      </c>
      <c r="DX13" s="613">
        <v>4.7158920494444452</v>
      </c>
      <c r="DY13" s="613">
        <v>4.7101935273611124</v>
      </c>
      <c r="DZ13" s="613">
        <v>6.3745674913888895</v>
      </c>
      <c r="EA13" s="613">
        <v>6.9074704827777778</v>
      </c>
      <c r="EB13" s="613">
        <v>4.4409901045833333</v>
      </c>
      <c r="EC13" s="613">
        <v>5.1971014193055556</v>
      </c>
      <c r="ED13" s="613">
        <v>6.6262261359722228</v>
      </c>
      <c r="EE13" s="613">
        <v>6.2600788691666667</v>
      </c>
      <c r="EF13" s="613">
        <v>6.4219751850000009</v>
      </c>
      <c r="EG13" s="613">
        <v>5.8206202581944444</v>
      </c>
      <c r="EH13" s="613">
        <v>5.7250921851388892</v>
      </c>
      <c r="EI13" s="613">
        <v>4.7402447370833327</v>
      </c>
      <c r="EJ13" s="613">
        <v>6.8883582641666665</v>
      </c>
      <c r="EK13" s="613">
        <v>5.1363231826388889</v>
      </c>
      <c r="EL13" s="613">
        <v>5.5930843554166678</v>
      </c>
      <c r="EM13" s="613">
        <v>5.005998698611112</v>
      </c>
      <c r="EN13" s="613">
        <v>5.5229140656944429</v>
      </c>
      <c r="EO13" s="613">
        <v>4.9347298249999998</v>
      </c>
      <c r="EP13" s="613">
        <v>3.647200493472222</v>
      </c>
      <c r="EQ13" s="613">
        <v>7.2059025290277781</v>
      </c>
      <c r="ER13" s="613">
        <v>6.8286431694444438</v>
      </c>
      <c r="ES13" s="613">
        <v>5.5435985108333341</v>
      </c>
      <c r="ET13" s="613">
        <v>6.2894759008333336</v>
      </c>
      <c r="EU13" s="613">
        <v>6.0514432651388894</v>
      </c>
      <c r="EV13" s="613">
        <v>6.7840159513888896</v>
      </c>
      <c r="EW13" s="613">
        <v>5.7748289500000007</v>
      </c>
      <c r="EX13" s="613">
        <v>4.3592247226388885</v>
      </c>
      <c r="EY13" s="613">
        <v>5.916823090555555</v>
      </c>
      <c r="EZ13" s="613">
        <v>5.37579031875</v>
      </c>
      <c r="FA13" s="613">
        <v>5.0059418844444448</v>
      </c>
      <c r="FB13" s="613">
        <v>5.6576024733333332</v>
      </c>
      <c r="FC13" s="613">
        <v>5.9121174544444441</v>
      </c>
      <c r="FD13" s="613">
        <v>7.4070407511111114</v>
      </c>
      <c r="FE13" s="613">
        <v>5.8498374391666665</v>
      </c>
      <c r="FF13" s="613">
        <v>3.487968728611111</v>
      </c>
      <c r="FG13" s="613">
        <v>4.4413886984722222</v>
      </c>
      <c r="FH13" s="613">
        <v>5.1256889458333337</v>
      </c>
      <c r="FI13" s="613">
        <v>5.6217535099999996</v>
      </c>
      <c r="FJ13" s="613">
        <v>5.7463227987499996</v>
      </c>
      <c r="FK13" s="613">
        <v>6.7694675238888893</v>
      </c>
      <c r="FL13" s="613">
        <v>4.2242372705555562</v>
      </c>
      <c r="FM13" s="613">
        <v>5.3192945511111116</v>
      </c>
      <c r="FN13" s="613">
        <v>6.9668985440277762</v>
      </c>
      <c r="FO13" s="613">
        <v>3.8391254399999997</v>
      </c>
      <c r="FP13" s="613">
        <v>7.4230576477777763</v>
      </c>
      <c r="FQ13" s="613">
        <v>6.3922668580555548</v>
      </c>
      <c r="FR13" s="613">
        <v>4.7779857205555558</v>
      </c>
      <c r="FS13" s="613">
        <v>4.5636918450000001</v>
      </c>
      <c r="FT13" s="613">
        <v>4.680858134027778</v>
      </c>
    </row>
    <row r="14" spans="1:176" s="613" customFormat="1" ht="13.5" thickBot="1" x14ac:dyDescent="0.25">
      <c r="A14" s="617" t="s">
        <v>1281</v>
      </c>
      <c r="B14" s="613">
        <v>4.541467293277778</v>
      </c>
      <c r="C14" s="613">
        <v>4.2867380460833342</v>
      </c>
      <c r="D14" s="613">
        <v>5.1352884069722213</v>
      </c>
      <c r="E14" s="613">
        <v>5.0187071765000004</v>
      </c>
      <c r="F14" s="613">
        <v>4.6317808596388881</v>
      </c>
      <c r="G14" s="613">
        <v>4.1168715867222225</v>
      </c>
      <c r="H14" s="613">
        <v>4.3988468478055562</v>
      </c>
      <c r="I14" s="613">
        <v>4.3519901207222222</v>
      </c>
      <c r="J14" s="613">
        <v>4.631319193805556</v>
      </c>
      <c r="K14" s="613">
        <v>5.9332361103611113</v>
      </c>
      <c r="L14" s="613">
        <v>5.4259081908055551</v>
      </c>
      <c r="M14" s="613">
        <v>5.4706528336944444</v>
      </c>
      <c r="N14" s="613">
        <v>4.8147639931388895</v>
      </c>
      <c r="O14" s="613">
        <v>6.170811085444444</v>
      </c>
      <c r="P14" s="613">
        <v>5.3654039814722223</v>
      </c>
      <c r="Q14" s="613">
        <v>3.8983632099166665</v>
      </c>
      <c r="R14" s="613">
        <v>6.2490006529999995</v>
      </c>
      <c r="S14" s="613">
        <v>4.5870766903611111</v>
      </c>
      <c r="T14" s="613">
        <v>3.5292571298611115</v>
      </c>
      <c r="U14" s="613">
        <v>3.3332289881666672</v>
      </c>
      <c r="V14" s="613">
        <v>4.1765042374166672</v>
      </c>
      <c r="W14" s="613">
        <v>5.8319145382222226</v>
      </c>
      <c r="X14" s="613">
        <v>6.3430344686666675</v>
      </c>
      <c r="Y14" s="613">
        <v>4.472475629222223</v>
      </c>
      <c r="Z14" s="613">
        <v>5.3202450401666654</v>
      </c>
      <c r="AA14" s="613">
        <v>5.5272763440277783</v>
      </c>
      <c r="AB14" s="613">
        <v>5.8191969366666676</v>
      </c>
      <c r="AC14" s="613">
        <v>4.6796704903888902</v>
      </c>
      <c r="AD14" s="613">
        <v>4.0736003074722227</v>
      </c>
      <c r="AE14" s="613">
        <v>5.8124782092777769</v>
      </c>
      <c r="AF14" s="613">
        <v>6.1921518688333332</v>
      </c>
      <c r="AG14" s="613">
        <v>4.6896246430000001</v>
      </c>
      <c r="AH14" s="613">
        <v>4.8572598892222221</v>
      </c>
      <c r="AI14" s="613">
        <v>3.4704399819444443</v>
      </c>
      <c r="AJ14" s="613">
        <v>3.5218474535277777</v>
      </c>
      <c r="AK14" s="613">
        <v>4.5556255856944441</v>
      </c>
      <c r="AL14" s="613">
        <v>5.5502054642222216</v>
      </c>
      <c r="AM14" s="613">
        <v>5.2159129433055549</v>
      </c>
      <c r="AN14" s="613">
        <v>5.1808827404444449</v>
      </c>
      <c r="AO14" s="613">
        <v>3.2162228546944442</v>
      </c>
      <c r="AP14" s="613">
        <v>6.2580964265000008</v>
      </c>
      <c r="AQ14" s="613">
        <v>6.2565789866944446</v>
      </c>
      <c r="AR14" s="613">
        <v>4.0990675866388893</v>
      </c>
      <c r="AS14" s="613">
        <v>3.7620449220277781</v>
      </c>
      <c r="AT14" s="613">
        <v>5.2102713653055552</v>
      </c>
      <c r="AU14" s="613">
        <v>4.74821982925</v>
      </c>
      <c r="AV14" s="613">
        <v>5.0677860087777784</v>
      </c>
      <c r="AW14" s="613">
        <v>5.6554083195555549</v>
      </c>
      <c r="AX14" s="613">
        <v>7.4890516790555548</v>
      </c>
      <c r="AY14" s="613">
        <v>4.4661298006944445</v>
      </c>
      <c r="AZ14" s="613">
        <v>4.2989130563055555</v>
      </c>
      <c r="BA14" s="613">
        <v>5.1659052888611114</v>
      </c>
      <c r="BB14" s="613">
        <v>3.1369776641388887</v>
      </c>
      <c r="BC14" s="613">
        <v>6.6636607023611107</v>
      </c>
      <c r="BD14" s="613">
        <v>5.4995125186388893</v>
      </c>
      <c r="BE14" s="613">
        <v>3.7569656896944448</v>
      </c>
      <c r="BF14" s="613">
        <v>5.868467220277779</v>
      </c>
      <c r="BG14" s="613">
        <v>4.1785193091944457</v>
      </c>
      <c r="BH14" s="613">
        <v>4.0993952355000003</v>
      </c>
      <c r="BI14" s="613">
        <v>4.5628054458888894</v>
      </c>
      <c r="BJ14" s="613">
        <v>5.2657408179166669</v>
      </c>
      <c r="BK14" s="613">
        <v>4.794644646888889</v>
      </c>
      <c r="BL14" s="613">
        <v>3.7319832118888892</v>
      </c>
      <c r="BM14" s="613">
        <v>3.7571141583888883</v>
      </c>
      <c r="BN14" s="613">
        <v>4.989742607777778</v>
      </c>
      <c r="BO14" s="613">
        <v>5.0965890352777778</v>
      </c>
      <c r="BP14" s="613">
        <v>4.5441994228333336</v>
      </c>
      <c r="BQ14" s="613">
        <v>4.4898235389722219</v>
      </c>
      <c r="BR14" s="613">
        <v>4.1821613233888888</v>
      </c>
      <c r="BS14" s="613">
        <v>4.1561471859166659</v>
      </c>
      <c r="BT14" s="613">
        <v>3.9235545291944445</v>
      </c>
      <c r="BU14" s="613">
        <v>4.0922464639444449</v>
      </c>
      <c r="BV14" s="613">
        <v>5.0511035957222212</v>
      </c>
      <c r="BW14" s="613">
        <v>6.229019779722222</v>
      </c>
      <c r="BX14" s="613">
        <v>5.0701195460555546</v>
      </c>
      <c r="BY14" s="613">
        <v>5.9414401380277768</v>
      </c>
      <c r="BZ14" s="613">
        <v>5.8836625090277783</v>
      </c>
      <c r="CA14" s="613">
        <v>3.7202557062222223</v>
      </c>
      <c r="CB14" s="613">
        <v>5.6944409174166672</v>
      </c>
      <c r="CC14" s="613">
        <v>4.8453584498333342</v>
      </c>
      <c r="CD14" s="613">
        <v>4.6449453522499997</v>
      </c>
      <c r="CE14" s="613">
        <v>6.4034212840833336</v>
      </c>
      <c r="CF14" s="613">
        <v>4.5731870984722223</v>
      </c>
      <c r="CG14" s="613">
        <v>5.8308729578611107</v>
      </c>
      <c r="CH14" s="613">
        <v>4.4285575861944446</v>
      </c>
      <c r="CI14" s="613">
        <v>4.9016692169722225</v>
      </c>
      <c r="CJ14" s="613">
        <v>4.7808920231666665</v>
      </c>
      <c r="CK14" s="613">
        <v>4.4293168903888889</v>
      </c>
      <c r="CL14" s="613">
        <v>5.2556263853888883</v>
      </c>
      <c r="CM14" s="613">
        <v>4.5252161784166667</v>
      </c>
      <c r="CN14" s="613">
        <v>3.7731793668055551</v>
      </c>
      <c r="CO14" s="613">
        <v>3.697178955638889</v>
      </c>
      <c r="CP14" s="613">
        <v>6.8702310253888887</v>
      </c>
      <c r="CQ14" s="613">
        <v>7.9573209432500001</v>
      </c>
      <c r="CR14" s="613">
        <v>4.4395191599444441</v>
      </c>
      <c r="CS14" s="613">
        <v>4.0539156501388893</v>
      </c>
      <c r="CT14" s="613">
        <v>4.0941211841111107</v>
      </c>
      <c r="CU14" s="613">
        <v>4.5940001940000004</v>
      </c>
      <c r="CV14" s="613">
        <v>4.5421355622222226</v>
      </c>
      <c r="CW14" s="613">
        <v>5.3581457754999997</v>
      </c>
      <c r="CX14" s="613">
        <v>5.373795426888889</v>
      </c>
      <c r="CY14" s="613">
        <v>4.8137258983611106</v>
      </c>
      <c r="CZ14" s="613">
        <v>6.9861263286944428</v>
      </c>
      <c r="DA14" s="613">
        <v>6.3071726355277766</v>
      </c>
      <c r="DB14" s="613">
        <v>4.8135923270555558</v>
      </c>
      <c r="DC14" s="613">
        <v>5.4743914476666671</v>
      </c>
      <c r="DD14" s="613">
        <v>3.626871792222222</v>
      </c>
      <c r="DE14" s="613">
        <v>4.5561607978333329</v>
      </c>
      <c r="DF14" s="613">
        <v>4.908374824638889</v>
      </c>
      <c r="DG14" s="613">
        <v>4.3641560480833332</v>
      </c>
      <c r="DH14" s="613">
        <v>4.4083187458611111</v>
      </c>
      <c r="DI14" s="613">
        <v>6.1483600277500008</v>
      </c>
      <c r="DJ14" s="613">
        <v>6.1134687371111109</v>
      </c>
      <c r="DK14" s="613">
        <v>4.4199522526944452</v>
      </c>
      <c r="DL14" s="613">
        <v>5.674489500361112</v>
      </c>
      <c r="DM14" s="613">
        <v>6.5178752796666659</v>
      </c>
      <c r="DN14" s="613">
        <v>6.8280574474444444</v>
      </c>
      <c r="DO14" s="613">
        <v>4.7266610228055566</v>
      </c>
      <c r="DP14" s="613">
        <v>6.1730181458055551</v>
      </c>
      <c r="DQ14" s="613">
        <v>6.1937829445555561</v>
      </c>
      <c r="DR14" s="613">
        <v>5.9295105112777788</v>
      </c>
      <c r="DS14" s="613">
        <v>6.6938284564722226</v>
      </c>
      <c r="DT14" s="613">
        <v>4.6629393538888895</v>
      </c>
      <c r="DU14" s="613">
        <v>6.2306182233888894</v>
      </c>
      <c r="DV14" s="613">
        <v>6.8819612735555555</v>
      </c>
      <c r="DW14" s="613">
        <v>4.1761132378611103</v>
      </c>
      <c r="DX14" s="613">
        <v>4.4316336768888887</v>
      </c>
      <c r="DY14" s="613">
        <v>4.1471969845555554</v>
      </c>
      <c r="DZ14" s="613">
        <v>5.6106357948333327</v>
      </c>
      <c r="EA14" s="613">
        <v>6.2491153488333326</v>
      </c>
      <c r="EB14" s="613">
        <v>4.299134230611112</v>
      </c>
      <c r="EC14" s="613">
        <v>4.6051306837777775</v>
      </c>
      <c r="ED14" s="613">
        <v>5.8771802660833341</v>
      </c>
      <c r="EE14" s="613">
        <v>5.6178124697222218</v>
      </c>
      <c r="EF14" s="613">
        <v>5.7400776970000003</v>
      </c>
      <c r="EG14" s="613">
        <v>4.6460303845833328</v>
      </c>
      <c r="EH14" s="613">
        <v>5.0859926903611106</v>
      </c>
      <c r="EI14" s="613">
        <v>6.0776970879722212</v>
      </c>
      <c r="EJ14" s="613">
        <v>6.5595231292777783</v>
      </c>
      <c r="EK14" s="613">
        <v>4.9311179758611106</v>
      </c>
      <c r="EL14" s="613">
        <v>5.2900635388333326</v>
      </c>
      <c r="EM14" s="613">
        <v>4.3710778989999994</v>
      </c>
      <c r="EN14" s="613">
        <v>4.6979437807222215</v>
      </c>
      <c r="EO14" s="613">
        <v>4.2051907161111108</v>
      </c>
      <c r="EP14" s="613">
        <v>2.886473983138889</v>
      </c>
      <c r="EQ14" s="613">
        <v>6.7670728768333346</v>
      </c>
      <c r="ER14" s="613">
        <v>6.1585793971111116</v>
      </c>
      <c r="ES14" s="613">
        <v>4.8819158343888898</v>
      </c>
      <c r="ET14" s="613">
        <v>6.0676930383888887</v>
      </c>
      <c r="EU14" s="613">
        <v>4.7725576556944453</v>
      </c>
      <c r="EV14" s="613">
        <v>7.9074756516666653</v>
      </c>
      <c r="EW14" s="613">
        <v>5.7568636565555567</v>
      </c>
      <c r="EX14" s="613">
        <v>5.9468004396944449</v>
      </c>
      <c r="EY14" s="613">
        <v>5.9693196905555554</v>
      </c>
      <c r="EZ14" s="613">
        <v>4.4562584914166674</v>
      </c>
      <c r="FA14" s="613">
        <v>3.615645270166667</v>
      </c>
      <c r="FB14" s="613">
        <v>5.1904506451111123</v>
      </c>
      <c r="FC14" s="613">
        <v>4.9325370839999998</v>
      </c>
      <c r="FD14" s="613">
        <v>7.229628391166667</v>
      </c>
      <c r="FE14" s="613">
        <v>5.4040761930555545</v>
      </c>
      <c r="FF14" s="613">
        <v>3.3000730218333336</v>
      </c>
      <c r="FG14" s="613">
        <v>4.6490853157222229</v>
      </c>
      <c r="FH14" s="613">
        <v>4.5597391017777769</v>
      </c>
      <c r="FI14" s="613">
        <v>4.4537188382777781</v>
      </c>
      <c r="FJ14" s="613">
        <v>5.4166074359166663</v>
      </c>
      <c r="FK14" s="613">
        <v>6.2269803493888887</v>
      </c>
      <c r="FL14" s="613">
        <v>3.554861995888889</v>
      </c>
      <c r="FM14" s="613">
        <v>4.9492062970277777</v>
      </c>
      <c r="FN14" s="613">
        <v>5.9078821272500006</v>
      </c>
      <c r="FO14" s="613">
        <v>3.8873128750555552</v>
      </c>
      <c r="FP14" s="613">
        <v>6.6992825103888887</v>
      </c>
      <c r="FQ14" s="613">
        <v>5.1614935348333333</v>
      </c>
      <c r="FR14" s="613">
        <v>4.151315818194445</v>
      </c>
      <c r="FS14" s="613">
        <v>4.3884434469999993</v>
      </c>
      <c r="FT14" s="613">
        <v>4.2025468743333336</v>
      </c>
    </row>
    <row r="15" spans="1:176" s="613" customFormat="1" ht="13.5" thickBot="1" x14ac:dyDescent="0.25">
      <c r="A15" s="620" t="s">
        <v>1006</v>
      </c>
      <c r="B15" s="613">
        <v>1.1044678986250001</v>
      </c>
      <c r="C15" s="613">
        <v>6.3488398195000002</v>
      </c>
      <c r="D15" s="613">
        <v>1.4071287757499999</v>
      </c>
      <c r="E15" s="613">
        <v>1.1977185295000001</v>
      </c>
      <c r="F15" s="613">
        <v>1.4176493990000001</v>
      </c>
      <c r="G15" s="613">
        <v>1.4094560298750001</v>
      </c>
      <c r="H15" s="613">
        <v>6.1696496447500007</v>
      </c>
      <c r="I15" s="613">
        <v>5.9936349880000002</v>
      </c>
      <c r="J15" s="613">
        <v>5.2302323158750008</v>
      </c>
      <c r="K15" s="613">
        <v>4.0644243163749998</v>
      </c>
      <c r="L15" s="613">
        <v>4.13197151425</v>
      </c>
      <c r="M15" s="613">
        <v>5.2223640912500002</v>
      </c>
      <c r="N15" s="613">
        <v>5.9630257283749994</v>
      </c>
      <c r="O15" s="613">
        <v>4.7531731893750004</v>
      </c>
      <c r="P15" s="613">
        <v>1.2268076806250001</v>
      </c>
      <c r="Q15" s="613">
        <v>4.0509536496249998</v>
      </c>
      <c r="R15" s="613">
        <v>4.6161046350000001</v>
      </c>
      <c r="S15" s="613">
        <v>7.2465221624999998</v>
      </c>
      <c r="T15" s="613">
        <v>1.8380424979999999</v>
      </c>
      <c r="U15" s="613">
        <v>1.6421176153750001</v>
      </c>
      <c r="V15" s="613">
        <v>2.0622088600000001</v>
      </c>
      <c r="W15" s="613">
        <v>3.2794009136250004</v>
      </c>
      <c r="X15" s="613">
        <v>0.85540746487499997</v>
      </c>
      <c r="Y15" s="613">
        <v>1.0987983617499999</v>
      </c>
      <c r="Z15" s="613">
        <v>1.739442110625</v>
      </c>
      <c r="AA15" s="613">
        <v>1.3707544847499997</v>
      </c>
      <c r="AB15" s="613">
        <v>1.444185032</v>
      </c>
      <c r="AC15" s="613">
        <v>1.8184159583749997</v>
      </c>
      <c r="AD15" s="613">
        <v>1.80647681075</v>
      </c>
      <c r="AE15" s="613">
        <v>5.8178332130000001</v>
      </c>
      <c r="AF15" s="613">
        <v>4.6232200885000001</v>
      </c>
      <c r="AG15" s="613">
        <v>3.0906450537499994</v>
      </c>
      <c r="AH15" s="613">
        <v>1.26412656225</v>
      </c>
      <c r="AI15" s="613">
        <v>2.3969901281250001</v>
      </c>
      <c r="AJ15" s="613">
        <v>4.9640056149999996</v>
      </c>
      <c r="AK15" s="613">
        <v>1.8901420306249999</v>
      </c>
      <c r="AL15" s="613">
        <v>5.2991075247499992</v>
      </c>
      <c r="AM15" s="613">
        <v>1.478599882625</v>
      </c>
      <c r="AN15" s="613">
        <v>4.9291325492499993</v>
      </c>
      <c r="AO15" s="613">
        <v>6.1652060926249996</v>
      </c>
      <c r="AP15" s="613">
        <v>3.6159751363750003</v>
      </c>
      <c r="AQ15" s="613">
        <v>8.0776073453750001</v>
      </c>
      <c r="AR15" s="613">
        <v>5.0782895444999996</v>
      </c>
      <c r="AS15" s="613">
        <v>7.2821565562500004</v>
      </c>
      <c r="AT15" s="613">
        <v>7.4973077156250003</v>
      </c>
      <c r="AU15" s="613">
        <v>5.1816636982499995</v>
      </c>
      <c r="AV15" s="613">
        <v>6.9470041961249995</v>
      </c>
      <c r="AW15" s="613">
        <v>5.4682595818750004</v>
      </c>
      <c r="AX15" s="613">
        <v>4.4577719442500001</v>
      </c>
      <c r="AY15" s="613">
        <v>1.9154654581249999</v>
      </c>
      <c r="AZ15" s="613">
        <v>5.0495206173749994</v>
      </c>
      <c r="BA15" s="613">
        <v>4.205829783375</v>
      </c>
      <c r="BB15" s="613">
        <v>1.7979124712500001</v>
      </c>
      <c r="BC15" s="613">
        <v>7.4623666352499995</v>
      </c>
      <c r="BD15" s="613">
        <v>7.8438449712500002</v>
      </c>
      <c r="BE15" s="613">
        <v>1.7756910390000002</v>
      </c>
      <c r="BF15" s="613">
        <v>3.5626593771250006</v>
      </c>
      <c r="BG15" s="613">
        <v>5.7218558776249999</v>
      </c>
      <c r="BH15" s="613">
        <v>5.5621627435000001</v>
      </c>
      <c r="BI15" s="613">
        <v>4.0339827526249996</v>
      </c>
      <c r="BJ15" s="613">
        <v>6.3750279496250002</v>
      </c>
      <c r="BK15" s="613">
        <v>4.7929284266250001</v>
      </c>
      <c r="BL15" s="613">
        <v>5.1032147731249999</v>
      </c>
      <c r="BM15" s="613">
        <v>4.3200328312499998</v>
      </c>
      <c r="BN15" s="613">
        <v>5.6879877168749999</v>
      </c>
      <c r="BO15" s="613">
        <v>6.0476257906250002</v>
      </c>
      <c r="BP15" s="613">
        <v>4.6298962701249993</v>
      </c>
      <c r="BQ15" s="613">
        <v>3.911394321625</v>
      </c>
      <c r="BR15" s="613">
        <v>4.4109205787500008</v>
      </c>
      <c r="BS15" s="613">
        <v>5.7286204125000006</v>
      </c>
      <c r="BT15" s="613">
        <v>4.5576415028749997</v>
      </c>
      <c r="BU15" s="613">
        <v>4.7116087936250004</v>
      </c>
      <c r="BV15" s="613">
        <v>4.0133398732500005</v>
      </c>
      <c r="BW15" s="613">
        <v>4.6726952930000003</v>
      </c>
      <c r="BX15" s="613">
        <v>4.0483337067500003</v>
      </c>
      <c r="BY15" s="613">
        <v>8.1682851186250005</v>
      </c>
      <c r="BZ15" s="613">
        <v>4.9773513084999994</v>
      </c>
      <c r="CA15" s="613">
        <v>3.747971884</v>
      </c>
      <c r="CB15" s="613">
        <v>4.069186604375</v>
      </c>
      <c r="CC15" s="613">
        <v>5.1373805074999996</v>
      </c>
      <c r="CD15" s="613">
        <v>4.195436123625</v>
      </c>
      <c r="CE15" s="613">
        <v>3.6673228121249997</v>
      </c>
      <c r="CF15" s="613">
        <v>5.0970738835000002</v>
      </c>
      <c r="CG15" s="613">
        <v>8.5681033908749988</v>
      </c>
      <c r="CH15" s="613">
        <v>1.5219207201250002</v>
      </c>
      <c r="CI15" s="613">
        <v>2.2909821297499997</v>
      </c>
      <c r="CJ15" s="613">
        <v>4.6084740936250004</v>
      </c>
      <c r="CK15" s="613">
        <v>4.596724815</v>
      </c>
      <c r="CL15" s="613">
        <v>3.6497595193749999</v>
      </c>
      <c r="CM15" s="613">
        <v>5.1009289786250003</v>
      </c>
      <c r="CN15" s="613">
        <v>4.8749232637499995</v>
      </c>
      <c r="CO15" s="613">
        <v>5.0478641898749999</v>
      </c>
      <c r="CP15" s="613">
        <v>5.5747819013750002</v>
      </c>
      <c r="CQ15" s="613">
        <v>5.665533629375</v>
      </c>
      <c r="CR15" s="613">
        <v>2.518609181875</v>
      </c>
      <c r="CS15" s="613">
        <v>1.8574692002500002</v>
      </c>
      <c r="CT15" s="613">
        <v>1.301963539125</v>
      </c>
      <c r="CU15" s="613">
        <v>1.7415365008750001</v>
      </c>
      <c r="CV15" s="613">
        <v>1.1641631167499999</v>
      </c>
      <c r="CW15" s="613">
        <v>3.7593888283750005</v>
      </c>
      <c r="CX15" s="613">
        <v>5.9354450107499996</v>
      </c>
      <c r="CY15" s="613">
        <v>5.2804274021249995</v>
      </c>
      <c r="CZ15" s="613">
        <v>4.1798154806249999</v>
      </c>
      <c r="DA15" s="613">
        <v>4.2786598940000005</v>
      </c>
      <c r="DB15" s="613">
        <v>4.3949091235000006</v>
      </c>
      <c r="DC15" s="613">
        <v>6.1677535661250005</v>
      </c>
      <c r="DD15" s="613">
        <v>5.0081172568749999</v>
      </c>
      <c r="DE15" s="613">
        <v>1.9408130134999999</v>
      </c>
      <c r="DF15" s="613">
        <v>4.3953943200000003</v>
      </c>
      <c r="DG15" s="613">
        <v>0.99082152187499994</v>
      </c>
      <c r="DH15" s="613">
        <v>4.3205718414999996</v>
      </c>
      <c r="DI15" s="613">
        <v>4.7038990333749995</v>
      </c>
      <c r="DJ15" s="613">
        <v>5.5383348535000003</v>
      </c>
      <c r="DK15" s="613">
        <v>5.8920887539999995</v>
      </c>
      <c r="DL15" s="613">
        <v>6.4357226081249994</v>
      </c>
      <c r="DM15" s="613">
        <v>4.2816153648749999</v>
      </c>
      <c r="DN15" s="613">
        <v>4.3857324482500006</v>
      </c>
      <c r="DO15" s="613">
        <v>7.9636609561250005</v>
      </c>
      <c r="DP15" s="613">
        <v>5.458118025500001</v>
      </c>
      <c r="DQ15" s="613">
        <v>5.0136750226249998</v>
      </c>
      <c r="DR15" s="613">
        <v>4.535576361375</v>
      </c>
      <c r="DS15" s="613">
        <v>4.0835891541250007</v>
      </c>
      <c r="DT15" s="613">
        <v>2.0339664501249999</v>
      </c>
      <c r="DU15" s="613">
        <v>1.5704436873750001</v>
      </c>
      <c r="DV15" s="613">
        <v>7.0272788153750003</v>
      </c>
      <c r="DW15" s="613">
        <v>7.0130732396250011</v>
      </c>
      <c r="DX15" s="613">
        <v>5.1146569470000003</v>
      </c>
      <c r="DY15" s="613">
        <v>1.804382792625</v>
      </c>
      <c r="DZ15" s="613">
        <v>1.0914968732499999</v>
      </c>
      <c r="EA15" s="613">
        <v>6.371142050125</v>
      </c>
      <c r="EB15" s="613">
        <v>4.6640499807499998</v>
      </c>
      <c r="EC15" s="613">
        <v>4.7051826579999991</v>
      </c>
      <c r="ED15" s="613">
        <v>3.1751704543749999</v>
      </c>
      <c r="EE15" s="613">
        <v>3.8199728109999995</v>
      </c>
      <c r="EF15" s="613">
        <v>5.8631302882499998</v>
      </c>
      <c r="EG15" s="613">
        <v>4.5117857418749994</v>
      </c>
      <c r="EH15" s="613">
        <v>6.2834196171250003</v>
      </c>
      <c r="EI15" s="613">
        <v>3.6487517995000003</v>
      </c>
      <c r="EJ15" s="613">
        <v>1.5118118858749998</v>
      </c>
      <c r="EK15" s="613">
        <v>4.4532567895000001</v>
      </c>
      <c r="EL15" s="613">
        <v>4.4865260441250001</v>
      </c>
      <c r="EM15" s="613">
        <v>6.8033864821250001</v>
      </c>
      <c r="EN15" s="613">
        <v>2.5537888959999999</v>
      </c>
      <c r="EO15" s="613">
        <v>6.5810996826250001</v>
      </c>
      <c r="EP15" s="613">
        <v>3.4933059654999998</v>
      </c>
      <c r="EQ15" s="613">
        <v>4.7641420642499996</v>
      </c>
      <c r="ER15" s="613">
        <v>4.6810639705000003</v>
      </c>
      <c r="ES15" s="613">
        <v>3.8460366414999996</v>
      </c>
      <c r="ET15" s="613">
        <v>0.74711518975000002</v>
      </c>
      <c r="EU15" s="613">
        <v>1.6858700835000002</v>
      </c>
      <c r="EV15" s="613">
        <v>3.3970760171249998</v>
      </c>
      <c r="EW15" s="613">
        <v>1.3625895744999998</v>
      </c>
      <c r="EX15" s="613">
        <v>4.4330831848749996</v>
      </c>
      <c r="EY15" s="613">
        <v>3.6792316918750001</v>
      </c>
      <c r="EZ15" s="613">
        <v>2.3820899093749999</v>
      </c>
      <c r="FA15" s="613">
        <v>2.0513237105000002</v>
      </c>
      <c r="FB15" s="613">
        <v>3.59122443475</v>
      </c>
      <c r="FC15" s="613">
        <v>4.4580271836250001</v>
      </c>
      <c r="FD15" s="613">
        <v>4.4613508028749997</v>
      </c>
      <c r="FE15" s="613">
        <v>3.2426395558749999</v>
      </c>
      <c r="FF15" s="613">
        <v>1.1194432434999999</v>
      </c>
      <c r="FG15" s="613">
        <v>7.2479133778749993</v>
      </c>
      <c r="FH15" s="613">
        <v>6.458537051875</v>
      </c>
      <c r="FI15" s="613">
        <v>5.2689716660000006</v>
      </c>
      <c r="FJ15" s="613">
        <v>4.0660795537500007</v>
      </c>
      <c r="FK15" s="613">
        <v>4.3415341386250006</v>
      </c>
      <c r="FL15" s="613">
        <v>3.9452065832500005</v>
      </c>
      <c r="FM15" s="613">
        <v>5.1188557882500003</v>
      </c>
      <c r="FN15" s="613">
        <v>4.8391300373749999</v>
      </c>
      <c r="FO15" s="613">
        <v>1.3083361681249999</v>
      </c>
      <c r="FP15" s="613">
        <v>6.2043831357499997</v>
      </c>
      <c r="FQ15" s="613">
        <v>3.45898828775</v>
      </c>
      <c r="FR15" s="613">
        <v>3.146437824875</v>
      </c>
      <c r="FS15" s="613">
        <v>6.2233130821249993</v>
      </c>
      <c r="FT15" s="613">
        <v>5.6408976233749994</v>
      </c>
    </row>
    <row r="17" spans="1:176" ht="13.5" thickBot="1" x14ac:dyDescent="0.25"/>
    <row r="18" spans="1:176" ht="13.5" thickBot="1" x14ac:dyDescent="0.25">
      <c r="A18" s="1493" t="s">
        <v>2008</v>
      </c>
      <c r="B18" s="1513" t="s">
        <v>1858</v>
      </c>
      <c r="C18" s="1513" t="s">
        <v>1861</v>
      </c>
      <c r="D18" s="1513" t="s">
        <v>1862</v>
      </c>
      <c r="E18" s="1513" t="s">
        <v>1864</v>
      </c>
      <c r="F18" s="1513" t="s">
        <v>1880</v>
      </c>
      <c r="G18" s="1513" t="s">
        <v>1881</v>
      </c>
      <c r="H18" s="1513" t="s">
        <v>1868</v>
      </c>
      <c r="I18" s="1513" t="s">
        <v>1869</v>
      </c>
      <c r="J18" s="1513" t="s">
        <v>1871</v>
      </c>
      <c r="K18" s="1513" t="s">
        <v>1872</v>
      </c>
      <c r="L18" s="1513" t="s">
        <v>1876</v>
      </c>
      <c r="M18" s="1513" t="s">
        <v>1870</v>
      </c>
      <c r="N18" s="1513" t="s">
        <v>1877</v>
      </c>
      <c r="O18" s="1513" t="s">
        <v>1878</v>
      </c>
      <c r="P18" s="1513" t="s">
        <v>1867</v>
      </c>
      <c r="Q18" s="1513" t="s">
        <v>1879</v>
      </c>
      <c r="R18" s="1513" t="s">
        <v>1888</v>
      </c>
      <c r="S18" s="1513" t="s">
        <v>1889</v>
      </c>
      <c r="T18" s="1513" t="s">
        <v>1890</v>
      </c>
      <c r="U18" s="1513" t="s">
        <v>1891</v>
      </c>
      <c r="V18" s="1513" t="s">
        <v>1892</v>
      </c>
      <c r="W18" s="1513" t="s">
        <v>1893</v>
      </c>
      <c r="X18" s="1513" t="s">
        <v>1894</v>
      </c>
      <c r="Y18" s="1513" t="s">
        <v>1895</v>
      </c>
      <c r="Z18" s="1513" t="s">
        <v>1863</v>
      </c>
      <c r="AA18" s="1513" t="s">
        <v>1873</v>
      </c>
      <c r="AB18" s="1513" t="s">
        <v>1874</v>
      </c>
      <c r="AC18" s="1513" t="s">
        <v>1866</v>
      </c>
      <c r="AD18" s="1513" t="s">
        <v>1859</v>
      </c>
      <c r="AE18" s="1513">
        <v>189590</v>
      </c>
      <c r="AF18" s="1513">
        <v>5257</v>
      </c>
      <c r="AG18" s="1513">
        <v>3042</v>
      </c>
      <c r="AH18" s="1513">
        <v>3185</v>
      </c>
      <c r="AI18" s="1513">
        <v>5321</v>
      </c>
      <c r="AJ18" s="1513">
        <v>11912</v>
      </c>
      <c r="AK18" s="1513">
        <v>6919</v>
      </c>
      <c r="AL18" s="1513">
        <v>7111</v>
      </c>
      <c r="AM18" s="1513">
        <v>305377</v>
      </c>
      <c r="AN18" s="1513">
        <v>209695</v>
      </c>
      <c r="AO18" s="1513">
        <v>753655</v>
      </c>
      <c r="AP18" s="1513">
        <v>2803</v>
      </c>
      <c r="AQ18" s="1513">
        <v>1039</v>
      </c>
      <c r="AR18" s="1513">
        <v>1232</v>
      </c>
      <c r="AS18" s="1513">
        <v>37882</v>
      </c>
      <c r="AT18" s="1513">
        <v>92831</v>
      </c>
      <c r="AU18" s="1513">
        <v>148287</v>
      </c>
      <c r="AV18" s="1513">
        <v>196557</v>
      </c>
      <c r="AW18" s="1513" t="s">
        <v>1896</v>
      </c>
      <c r="AX18" s="1513">
        <v>20031</v>
      </c>
      <c r="AY18" s="1513">
        <v>23420</v>
      </c>
      <c r="AZ18" s="1513">
        <v>23467</v>
      </c>
      <c r="BA18" s="1513">
        <v>23669</v>
      </c>
      <c r="BB18" s="1513">
        <v>12</v>
      </c>
      <c r="BC18" s="1513">
        <v>52</v>
      </c>
      <c r="BD18" s="1513">
        <v>19555</v>
      </c>
      <c r="BE18" s="1513">
        <v>25411</v>
      </c>
      <c r="BF18" s="1513">
        <v>644242</v>
      </c>
      <c r="BG18" s="1513">
        <v>5062</v>
      </c>
      <c r="BH18" s="1513">
        <v>282535</v>
      </c>
      <c r="BI18" s="1513">
        <v>4507</v>
      </c>
      <c r="BJ18" s="1513">
        <v>4647</v>
      </c>
      <c r="BK18" s="1513">
        <v>272004</v>
      </c>
      <c r="BL18" s="1513">
        <v>6926</v>
      </c>
      <c r="BM18" s="1513">
        <v>436864</v>
      </c>
      <c r="BN18" s="1513">
        <v>15082</v>
      </c>
      <c r="BO18" s="1513">
        <v>15434</v>
      </c>
      <c r="BP18" s="1513">
        <v>15186</v>
      </c>
      <c r="BQ18" s="1513">
        <v>17152</v>
      </c>
      <c r="BR18" s="1513">
        <v>6174</v>
      </c>
      <c r="BS18" s="1513">
        <v>228332</v>
      </c>
      <c r="BT18" s="1513">
        <v>17902</v>
      </c>
      <c r="BU18" s="1513">
        <v>588706</v>
      </c>
      <c r="BV18" s="1513">
        <v>11568</v>
      </c>
      <c r="BW18" s="1513">
        <v>11491</v>
      </c>
      <c r="BX18" s="1513">
        <v>421060</v>
      </c>
      <c r="BY18" s="1513">
        <v>11488</v>
      </c>
      <c r="BZ18" s="1513">
        <v>11698</v>
      </c>
      <c r="CA18" s="1513">
        <v>421953</v>
      </c>
      <c r="CB18" s="1513">
        <v>423143</v>
      </c>
      <c r="CC18" s="1513">
        <v>10763</v>
      </c>
      <c r="CD18" s="1513">
        <v>11808</v>
      </c>
      <c r="CE18" s="1513">
        <v>368499</v>
      </c>
      <c r="CF18" s="1513">
        <v>3410</v>
      </c>
      <c r="CG18" s="1513">
        <v>286841</v>
      </c>
      <c r="CH18" s="1513">
        <v>495717</v>
      </c>
      <c r="CI18" s="1513">
        <v>22720</v>
      </c>
      <c r="CJ18" s="1513">
        <v>715354</v>
      </c>
      <c r="CK18" s="1513">
        <v>715420</v>
      </c>
      <c r="CL18" s="1513">
        <v>728347</v>
      </c>
      <c r="CM18" s="1513">
        <v>8245</v>
      </c>
      <c r="CN18" s="1513">
        <v>321809</v>
      </c>
      <c r="CO18" s="1513">
        <v>359454</v>
      </c>
      <c r="CP18" s="1513">
        <v>2882</v>
      </c>
      <c r="CQ18" s="1513">
        <v>205184</v>
      </c>
      <c r="CR18" s="1513">
        <v>18237</v>
      </c>
      <c r="CS18" s="1513">
        <v>488834</v>
      </c>
      <c r="CT18" s="1513">
        <v>586891</v>
      </c>
      <c r="CU18" s="1513">
        <v>692585</v>
      </c>
      <c r="CV18" s="1513">
        <v>693500</v>
      </c>
      <c r="CW18" s="1513">
        <v>708592</v>
      </c>
      <c r="CX18" s="1513">
        <v>22645</v>
      </c>
      <c r="CY18" s="1513">
        <v>2939</v>
      </c>
      <c r="CZ18" s="1513">
        <v>2966</v>
      </c>
      <c r="DA18" s="1513">
        <v>872</v>
      </c>
      <c r="DB18" s="1513">
        <v>3350</v>
      </c>
      <c r="DC18" s="1513">
        <v>2137</v>
      </c>
      <c r="DD18" s="1513">
        <v>5824</v>
      </c>
      <c r="DE18" s="1513">
        <v>16930</v>
      </c>
      <c r="DF18" s="1513">
        <v>6846</v>
      </c>
      <c r="DG18" s="1513">
        <v>6786</v>
      </c>
      <c r="DH18" s="1513">
        <v>25368</v>
      </c>
      <c r="DI18" s="1513">
        <v>40430</v>
      </c>
      <c r="DJ18" s="1513">
        <v>2658</v>
      </c>
      <c r="DK18" s="1513">
        <v>57</v>
      </c>
      <c r="DL18" s="1513">
        <v>4104</v>
      </c>
      <c r="DM18" s="1513">
        <v>14076</v>
      </c>
      <c r="DN18" s="1513">
        <v>841</v>
      </c>
      <c r="DO18" s="1513">
        <v>3014</v>
      </c>
      <c r="DP18" s="1513">
        <v>2944</v>
      </c>
      <c r="DQ18" s="1513">
        <v>2953</v>
      </c>
      <c r="DR18" s="1513">
        <v>1828</v>
      </c>
      <c r="DS18" s="1513">
        <v>177552</v>
      </c>
      <c r="DT18" s="1513" t="s">
        <v>1897</v>
      </c>
      <c r="DU18" s="1513" t="s">
        <v>1875</v>
      </c>
      <c r="DV18" s="1513">
        <v>6497</v>
      </c>
      <c r="DW18" s="1513">
        <v>1340</v>
      </c>
      <c r="DX18" s="1513">
        <v>23929</v>
      </c>
      <c r="DY18" s="1513">
        <v>25577</v>
      </c>
      <c r="DZ18" s="1513">
        <v>662856</v>
      </c>
      <c r="EA18" s="1513">
        <v>444845</v>
      </c>
      <c r="EB18" s="1513">
        <v>505036</v>
      </c>
      <c r="EC18" s="1513">
        <v>13871</v>
      </c>
      <c r="ED18" s="1513">
        <v>421244</v>
      </c>
      <c r="EE18" s="1513">
        <v>636534</v>
      </c>
      <c r="EF18" s="1513">
        <v>421050</v>
      </c>
      <c r="EG18" s="1513">
        <v>20957</v>
      </c>
      <c r="EH18" s="1513">
        <v>309237</v>
      </c>
      <c r="EI18" s="1513">
        <v>368504</v>
      </c>
      <c r="EJ18" s="1513">
        <v>206100</v>
      </c>
      <c r="EK18" s="1513">
        <v>1094</v>
      </c>
      <c r="EL18" s="1513">
        <v>10576</v>
      </c>
      <c r="EM18" s="1513">
        <v>7544</v>
      </c>
      <c r="EN18" s="1513">
        <v>34259</v>
      </c>
      <c r="EO18" s="1513">
        <v>99916</v>
      </c>
      <c r="EP18" s="1513">
        <v>166</v>
      </c>
      <c r="EQ18" s="1513">
        <v>840</v>
      </c>
      <c r="ER18" s="1513">
        <v>842</v>
      </c>
      <c r="ES18" s="1513">
        <v>107527</v>
      </c>
      <c r="ET18" s="1513">
        <v>25701</v>
      </c>
      <c r="EU18" s="1513" t="s">
        <v>1865</v>
      </c>
      <c r="EV18" s="1513">
        <v>25256</v>
      </c>
      <c r="EW18" s="1513">
        <v>752362</v>
      </c>
      <c r="EX18" s="1513">
        <v>753469</v>
      </c>
      <c r="EY18" s="1513">
        <v>421057</v>
      </c>
      <c r="EZ18" s="1513" t="s">
        <v>1860</v>
      </c>
      <c r="FA18" s="1513">
        <v>148810</v>
      </c>
      <c r="FB18" s="1513">
        <v>23981</v>
      </c>
      <c r="FC18" s="1513">
        <v>738519</v>
      </c>
      <c r="FD18" s="1513">
        <v>752536</v>
      </c>
      <c r="FE18" s="1513">
        <v>2778</v>
      </c>
      <c r="FF18" s="1513">
        <v>11537</v>
      </c>
      <c r="FG18" s="1513">
        <v>191518</v>
      </c>
      <c r="FH18" s="1513">
        <v>186633</v>
      </c>
      <c r="FI18" s="1513">
        <v>21071</v>
      </c>
      <c r="FJ18" s="1513">
        <v>421059</v>
      </c>
      <c r="FK18" s="1513">
        <v>6920</v>
      </c>
      <c r="FL18" s="1513" t="s">
        <v>1898</v>
      </c>
      <c r="FM18" s="1513">
        <v>15949</v>
      </c>
      <c r="FN18" s="1513">
        <v>212872</v>
      </c>
      <c r="FO18" s="1513">
        <v>208930</v>
      </c>
      <c r="FP18" s="1513">
        <v>842121</v>
      </c>
      <c r="FQ18" s="1513">
        <v>735360</v>
      </c>
      <c r="FR18" s="1513" t="s">
        <v>1882</v>
      </c>
      <c r="FS18" s="1513">
        <v>7374</v>
      </c>
      <c r="FT18" s="1513">
        <v>3934</v>
      </c>
    </row>
    <row r="19" spans="1:176" s="613" customFormat="1" x14ac:dyDescent="0.2">
      <c r="A19" s="616" t="s">
        <v>321</v>
      </c>
      <c r="B19" s="613">
        <v>1</v>
      </c>
      <c r="C19" s="613">
        <v>1</v>
      </c>
      <c r="D19" s="613">
        <v>1</v>
      </c>
      <c r="E19" s="613">
        <v>1</v>
      </c>
      <c r="F19" s="613">
        <v>1</v>
      </c>
      <c r="G19" s="613">
        <v>1</v>
      </c>
      <c r="H19" s="613">
        <v>1</v>
      </c>
      <c r="I19" s="613">
        <v>1</v>
      </c>
      <c r="J19" s="613">
        <v>0.49081948525627456</v>
      </c>
      <c r="K19" s="613">
        <v>1</v>
      </c>
      <c r="L19" s="613">
        <v>1</v>
      </c>
      <c r="M19" s="613">
        <v>0.50026780881871691</v>
      </c>
      <c r="N19" s="613">
        <v>0.72775360205786777</v>
      </c>
      <c r="O19" s="613">
        <v>0.6037753323087095</v>
      </c>
      <c r="P19" s="613">
        <v>1</v>
      </c>
      <c r="Q19" s="613">
        <v>1</v>
      </c>
      <c r="R19" s="613">
        <v>1</v>
      </c>
      <c r="S19" s="613">
        <v>1</v>
      </c>
      <c r="T19" s="613">
        <v>1</v>
      </c>
      <c r="U19" s="613">
        <v>1</v>
      </c>
      <c r="V19" s="613">
        <v>1</v>
      </c>
      <c r="W19" s="613">
        <v>1</v>
      </c>
      <c r="X19" s="613">
        <v>0.38206543887718464</v>
      </c>
      <c r="Y19" s="613">
        <v>1</v>
      </c>
      <c r="Z19" s="613">
        <v>0.26180844468978703</v>
      </c>
      <c r="AA19" s="613">
        <v>0.26784623562044485</v>
      </c>
      <c r="AB19" s="613">
        <v>1</v>
      </c>
      <c r="AC19" s="613">
        <v>1</v>
      </c>
      <c r="AD19" s="613">
        <v>0.42332176534437421</v>
      </c>
      <c r="AE19" s="613">
        <v>1</v>
      </c>
      <c r="AF19" s="613">
        <v>0.40106716317207952</v>
      </c>
      <c r="AG19" s="613">
        <v>0.14003668458461094</v>
      </c>
      <c r="AH19" s="613">
        <v>1</v>
      </c>
      <c r="AI19" s="613">
        <v>1</v>
      </c>
      <c r="AJ19" s="613">
        <v>1</v>
      </c>
      <c r="AK19" s="613">
        <v>0.22017322589491412</v>
      </c>
      <c r="AL19" s="613">
        <v>0.36850056129084624</v>
      </c>
      <c r="AM19" s="613">
        <v>1</v>
      </c>
      <c r="AN19" s="613">
        <v>0.27196238391981609</v>
      </c>
      <c r="AO19" s="613">
        <v>1</v>
      </c>
      <c r="AP19" s="613">
        <v>1</v>
      </c>
      <c r="AQ19" s="613">
        <v>0.45043646982347202</v>
      </c>
      <c r="AR19" s="613">
        <v>0</v>
      </c>
      <c r="AS19" s="613">
        <v>1</v>
      </c>
      <c r="AT19" s="613">
        <v>0.2363975455846066</v>
      </c>
      <c r="AU19" s="613">
        <v>0.40461146043281093</v>
      </c>
      <c r="AV19" s="613">
        <v>1</v>
      </c>
      <c r="AW19" s="613">
        <v>0.43897183485198515</v>
      </c>
      <c r="AX19" s="613">
        <v>0.31810630969776044</v>
      </c>
      <c r="AY19" s="613">
        <v>0.37135890450064046</v>
      </c>
      <c r="AZ19" s="613">
        <v>0.39044736578694095</v>
      </c>
      <c r="BA19" s="613">
        <v>0.3983343889439106</v>
      </c>
      <c r="BB19" s="613">
        <v>1</v>
      </c>
      <c r="BC19" s="613">
        <v>0.41425695219498432</v>
      </c>
      <c r="BD19" s="613">
        <v>0.50333968425610043</v>
      </c>
      <c r="BE19" s="613">
        <v>1</v>
      </c>
      <c r="BF19" s="613">
        <v>1</v>
      </c>
      <c r="BG19" s="613">
        <v>1</v>
      </c>
      <c r="BH19" s="613">
        <v>1</v>
      </c>
      <c r="BI19" s="613">
        <v>1</v>
      </c>
      <c r="BJ19" s="613">
        <v>0.71804494223461979</v>
      </c>
      <c r="BK19" s="613">
        <v>0.26179516571756772</v>
      </c>
      <c r="BL19" s="613">
        <v>0.39565971086869373</v>
      </c>
      <c r="BM19" s="613">
        <v>1</v>
      </c>
      <c r="BN19" s="613">
        <v>0.58708683818791374</v>
      </c>
      <c r="BO19" s="613">
        <v>0.28039608115978665</v>
      </c>
      <c r="BP19" s="613">
        <v>1</v>
      </c>
      <c r="BQ19" s="613">
        <v>1</v>
      </c>
      <c r="BR19" s="613">
        <v>6.228915250504146E-2</v>
      </c>
      <c r="BS19" s="613">
        <v>0.38115705385439014</v>
      </c>
      <c r="BT19" s="613">
        <v>1</v>
      </c>
      <c r="BU19" s="613">
        <v>1</v>
      </c>
      <c r="BV19" s="613">
        <v>1</v>
      </c>
      <c r="BW19" s="613">
        <v>0.53839206654846317</v>
      </c>
      <c r="BX19" s="613">
        <v>1</v>
      </c>
      <c r="BY19" s="613">
        <v>0.28329446839701872</v>
      </c>
      <c r="BZ19" s="613">
        <v>8.586120631310315E-2</v>
      </c>
      <c r="CA19" s="613">
        <v>1.158816541290919E-2</v>
      </c>
      <c r="CB19" s="613">
        <v>0.2952973675430236</v>
      </c>
      <c r="CC19" s="613">
        <v>0.28678926962532858</v>
      </c>
      <c r="CD19" s="613">
        <v>0.15285560059876335</v>
      </c>
      <c r="CE19" s="613">
        <v>1</v>
      </c>
      <c r="CF19" s="613">
        <v>1</v>
      </c>
      <c r="CG19" s="613">
        <v>0.3503323187884228</v>
      </c>
      <c r="CH19" s="613">
        <v>0.32906417568178509</v>
      </c>
      <c r="CI19" s="613">
        <v>0.32411922787381409</v>
      </c>
      <c r="CJ19" s="613">
        <v>1</v>
      </c>
      <c r="CK19" s="613">
        <v>1</v>
      </c>
      <c r="CL19" s="613">
        <v>1</v>
      </c>
      <c r="CM19" s="613">
        <v>1</v>
      </c>
      <c r="CN19" s="613">
        <v>1</v>
      </c>
      <c r="CO19" s="613">
        <v>0.16107238177684308</v>
      </c>
      <c r="CP19" s="613">
        <v>0.60461683053612492</v>
      </c>
      <c r="CQ19" s="613">
        <v>0.25592267252376538</v>
      </c>
      <c r="CR19" s="613">
        <v>1</v>
      </c>
      <c r="CS19" s="613">
        <v>1</v>
      </c>
      <c r="CT19" s="613">
        <v>1</v>
      </c>
      <c r="CU19" s="613">
        <v>1</v>
      </c>
      <c r="CV19" s="613">
        <v>1</v>
      </c>
      <c r="CW19" s="613">
        <v>0.39009903104071103</v>
      </c>
      <c r="CX19" s="613">
        <v>0.45924550069426134</v>
      </c>
      <c r="CY19" s="613">
        <v>0.28364872405183783</v>
      </c>
      <c r="CZ19" s="613">
        <v>0.32957711607951129</v>
      </c>
      <c r="DA19" s="613">
        <v>0.34999829465943949</v>
      </c>
      <c r="DB19" s="613">
        <v>0.40250439925056242</v>
      </c>
      <c r="DC19" s="613">
        <v>0.31150084785300686</v>
      </c>
      <c r="DD19" s="613">
        <v>1</v>
      </c>
      <c r="DE19" s="613">
        <v>0.20455151143695266</v>
      </c>
      <c r="DF19" s="613">
        <v>0.31872035238071722</v>
      </c>
      <c r="DG19" s="613">
        <v>1</v>
      </c>
      <c r="DH19" s="613">
        <v>0.23534846023031269</v>
      </c>
      <c r="DI19" s="613">
        <v>0.27829185914349808</v>
      </c>
      <c r="DJ19" s="613">
        <v>0.61713709154166996</v>
      </c>
      <c r="DK19" s="613">
        <v>0.33992539684456091</v>
      </c>
      <c r="DL19" s="613">
        <v>0.42718967280982473</v>
      </c>
      <c r="DM19" s="613">
        <v>1</v>
      </c>
      <c r="DN19" s="613">
        <v>1</v>
      </c>
      <c r="DO19" s="613">
        <v>0.32433345406969677</v>
      </c>
      <c r="DP19" s="613">
        <v>0.60186438531239017</v>
      </c>
      <c r="DQ19" s="613">
        <v>0.3207990989368022</v>
      </c>
      <c r="DR19" s="613">
        <v>0.40977132171935127</v>
      </c>
      <c r="DS19" s="613">
        <v>0.42117221154636264</v>
      </c>
      <c r="DT19" s="613">
        <v>1</v>
      </c>
      <c r="DU19" s="613">
        <v>0.24709889899780341</v>
      </c>
      <c r="DV19" s="613">
        <v>1</v>
      </c>
      <c r="DW19" s="613">
        <v>1</v>
      </c>
      <c r="DX19" s="613">
        <v>0.2968450916991941</v>
      </c>
      <c r="DY19" s="613">
        <v>1</v>
      </c>
      <c r="DZ19" s="613">
        <v>0.31446208375571955</v>
      </c>
      <c r="EA19" s="613">
        <v>0.19693309197793393</v>
      </c>
      <c r="EB19" s="613">
        <v>1</v>
      </c>
      <c r="EC19" s="613">
        <v>0.27523136333459375</v>
      </c>
      <c r="ED19" s="613">
        <v>0.10088938255589673</v>
      </c>
      <c r="EE19" s="613">
        <v>0.35120730103364933</v>
      </c>
      <c r="EF19" s="613">
        <v>0.2893778766836923</v>
      </c>
      <c r="EG19" s="613">
        <v>0.33179547752737043</v>
      </c>
      <c r="EH19" s="613">
        <v>1</v>
      </c>
      <c r="EI19" s="613">
        <v>1</v>
      </c>
      <c r="EJ19" s="613">
        <v>1</v>
      </c>
      <c r="EK19" s="613">
        <v>0.28940014523385033</v>
      </c>
      <c r="EL19" s="613">
        <v>0.17785396756356861</v>
      </c>
      <c r="EM19" s="613">
        <v>0.28616012637488725</v>
      </c>
      <c r="EN19" s="613">
        <v>4.5245169140960814E-2</v>
      </c>
      <c r="EO19" s="613">
        <v>0.36601793762984086</v>
      </c>
      <c r="EP19" s="613">
        <v>0.40061068600675481</v>
      </c>
      <c r="EQ19" s="613">
        <v>1</v>
      </c>
      <c r="ER19" s="613">
        <v>1</v>
      </c>
      <c r="ES19" s="613">
        <v>1</v>
      </c>
      <c r="ET19" s="613">
        <v>0.28258348334163241</v>
      </c>
      <c r="EU19" s="613">
        <v>1</v>
      </c>
      <c r="EV19" s="613">
        <v>0.24482886936292012</v>
      </c>
      <c r="EW19" s="613">
        <v>1</v>
      </c>
      <c r="EX19" s="613">
        <v>1</v>
      </c>
      <c r="EY19" s="613">
        <v>1</v>
      </c>
      <c r="EZ19" s="613">
        <v>0.33694849398078125</v>
      </c>
      <c r="FA19" s="613">
        <v>0.26170845161929818</v>
      </c>
      <c r="FB19" s="613">
        <v>1</v>
      </c>
      <c r="FC19" s="613">
        <v>0.32393238465714363</v>
      </c>
      <c r="FD19" s="613">
        <v>0.3067107716328597</v>
      </c>
      <c r="FE19" s="613">
        <v>1</v>
      </c>
      <c r="FF19" s="613">
        <v>1</v>
      </c>
      <c r="FG19" s="613">
        <v>0.47192243527893496</v>
      </c>
      <c r="FH19" s="613">
        <v>1</v>
      </c>
      <c r="FI19" s="613">
        <v>0.53068692433921416</v>
      </c>
      <c r="FJ19" s="613">
        <v>0.4363323005409751</v>
      </c>
      <c r="FK19" s="613">
        <v>0.28713439028729754</v>
      </c>
      <c r="FL19" s="613">
        <v>1</v>
      </c>
      <c r="FM19" s="613">
        <v>1</v>
      </c>
      <c r="FN19" s="613">
        <v>0.39365867403165095</v>
      </c>
      <c r="FO19" s="613">
        <v>1</v>
      </c>
      <c r="FP19" s="613">
        <v>0.50170283647824909</v>
      </c>
      <c r="FQ19" s="613">
        <v>0.19915390148975673</v>
      </c>
      <c r="FR19" s="613">
        <v>1</v>
      </c>
      <c r="FS19" s="613">
        <v>4.1446308198129757E-2</v>
      </c>
      <c r="FT19" s="613">
        <v>1</v>
      </c>
    </row>
    <row r="20" spans="1:176" s="613" customFormat="1" ht="13.5" thickBot="1" x14ac:dyDescent="0.25">
      <c r="A20" s="617" t="s">
        <v>320</v>
      </c>
      <c r="B20" s="613">
        <v>0.22676806492664722</v>
      </c>
      <c r="C20" s="613">
        <v>0.25440050143144805</v>
      </c>
      <c r="D20" s="613">
        <v>0.49716690701530897</v>
      </c>
      <c r="E20" s="613">
        <v>0.33599872699954747</v>
      </c>
      <c r="F20" s="613">
        <v>0.47738441408700022</v>
      </c>
      <c r="G20" s="613">
        <v>0.44215997011884389</v>
      </c>
      <c r="H20" s="613">
        <v>0.79886358689624781</v>
      </c>
      <c r="I20" s="613">
        <v>0.79527992219236632</v>
      </c>
      <c r="J20" s="613">
        <v>0.37208181386860539</v>
      </c>
      <c r="K20" s="613">
        <v>0.7952614728491405</v>
      </c>
      <c r="L20" s="613">
        <v>0.35769028961833715</v>
      </c>
      <c r="M20" s="613">
        <v>0.37721239445256088</v>
      </c>
      <c r="N20" s="613">
        <v>0.80305700356716969</v>
      </c>
      <c r="O20" s="613">
        <v>1</v>
      </c>
      <c r="P20" s="613">
        <v>0.56159676994211294</v>
      </c>
      <c r="Q20" s="613">
        <v>0.3423973695763271</v>
      </c>
      <c r="R20" s="613">
        <v>0.88107653115371909</v>
      </c>
      <c r="S20" s="613">
        <v>0.38106999228719118</v>
      </c>
      <c r="T20" s="613">
        <v>0.24418231023090908</v>
      </c>
      <c r="U20" s="613">
        <v>0.19765188300323888</v>
      </c>
      <c r="V20" s="613">
        <v>0.8892891496746943</v>
      </c>
      <c r="W20" s="613">
        <v>0.56815864025298779</v>
      </c>
      <c r="X20" s="613">
        <v>0.65606801301953133</v>
      </c>
      <c r="Y20" s="613">
        <v>0.4951990499418476</v>
      </c>
      <c r="Z20" s="613">
        <v>0.4804125063438322</v>
      </c>
      <c r="AA20" s="613">
        <v>8.4012658260982781E-2</v>
      </c>
      <c r="AB20" s="613">
        <v>0.13358098617060959</v>
      </c>
      <c r="AC20" s="613">
        <v>4.4171754533609879E-2</v>
      </c>
      <c r="AD20" s="613">
        <v>0.23039721838126917</v>
      </c>
      <c r="AE20" s="613">
        <v>0.45689501979828734</v>
      </c>
      <c r="AF20" s="613">
        <v>0.20245049898734113</v>
      </c>
      <c r="AG20" s="613">
        <v>0.31808583650341676</v>
      </c>
      <c r="AH20" s="613">
        <v>0.36074944145984289</v>
      </c>
      <c r="AI20" s="613">
        <v>9.1404996079438347E-2</v>
      </c>
      <c r="AJ20" s="613">
        <v>0.24357619739776781</v>
      </c>
      <c r="AK20" s="613">
        <v>0.47498805248273868</v>
      </c>
      <c r="AL20" s="613">
        <v>0.53659806287130662</v>
      </c>
      <c r="AM20" s="613">
        <v>0.64862169477234966</v>
      </c>
      <c r="AN20" s="613">
        <v>0.3577202625043559</v>
      </c>
      <c r="AO20" s="613">
        <v>0.74438131595625967</v>
      </c>
      <c r="AP20" s="613">
        <v>0.47277052277430176</v>
      </c>
      <c r="AQ20" s="613">
        <v>0.91591479556416189</v>
      </c>
      <c r="AR20" s="613">
        <v>0.40253042674188</v>
      </c>
      <c r="AS20" s="613">
        <v>0.21767590709991164</v>
      </c>
      <c r="AT20" s="613">
        <v>8.065576113996642E-2</v>
      </c>
      <c r="AU20" s="613">
        <v>0.5490754587144353</v>
      </c>
      <c r="AV20" s="613">
        <v>0.34607475967354528</v>
      </c>
      <c r="AW20" s="613">
        <v>0.80771154230381403</v>
      </c>
      <c r="AX20" s="613">
        <v>0.42412827349263105</v>
      </c>
      <c r="AY20" s="613">
        <v>0.23867126044282647</v>
      </c>
      <c r="AZ20" s="613">
        <v>0.23349130813913155</v>
      </c>
      <c r="BA20" s="613">
        <v>0.15619815202977688</v>
      </c>
      <c r="BB20" s="613">
        <v>0.31646752343757911</v>
      </c>
      <c r="BC20" s="613">
        <v>0.17559834404538718</v>
      </c>
      <c r="BD20" s="613">
        <v>0.93935752659834049</v>
      </c>
      <c r="BE20" s="613">
        <v>0.31689960926115829</v>
      </c>
      <c r="BF20" s="613">
        <v>0.31722508804162131</v>
      </c>
      <c r="BG20" s="613">
        <v>0.30682726065289367</v>
      </c>
      <c r="BH20" s="613">
        <v>0.70579969640878171</v>
      </c>
      <c r="BI20" s="613">
        <v>0.26052137415630916</v>
      </c>
      <c r="BJ20" s="613">
        <v>0.70786341862101421</v>
      </c>
      <c r="BK20" s="613">
        <v>0.18076331791170991</v>
      </c>
      <c r="BL20" s="613">
        <v>0.47979268424618876</v>
      </c>
      <c r="BM20" s="613">
        <v>0.50137912299016485</v>
      </c>
      <c r="BN20" s="613">
        <v>0.80024773084654366</v>
      </c>
      <c r="BO20" s="613">
        <v>0.46521249446217566</v>
      </c>
      <c r="BP20" s="613">
        <v>0.54937566418419725</v>
      </c>
      <c r="BQ20" s="613">
        <v>0.3517906881286314</v>
      </c>
      <c r="BR20" s="613">
        <v>0.39093555024417731</v>
      </c>
      <c r="BS20" s="613">
        <v>0.55768401846908766</v>
      </c>
      <c r="BT20" s="613">
        <v>0.35648848387625487</v>
      </c>
      <c r="BU20" s="613">
        <v>0.38349314683187719</v>
      </c>
      <c r="BV20" s="613">
        <v>0.55635240064755298</v>
      </c>
      <c r="BW20" s="613">
        <v>0.33126747605476042</v>
      </c>
      <c r="BX20" s="613">
        <v>0.22368902849254732</v>
      </c>
      <c r="BY20" s="613">
        <v>0.20724974793377349</v>
      </c>
      <c r="BZ20" s="613">
        <v>0.36166212422858435</v>
      </c>
      <c r="CA20" s="613">
        <v>0.5667261400612037</v>
      </c>
      <c r="CB20" s="613">
        <v>0.46367694420547761</v>
      </c>
      <c r="CC20" s="613">
        <v>0.40541076059951003</v>
      </c>
      <c r="CD20" s="613">
        <v>0.69164186077916234</v>
      </c>
      <c r="CE20" s="613">
        <v>0.43160901635539722</v>
      </c>
      <c r="CF20" s="613">
        <v>0.29635615411135008</v>
      </c>
      <c r="CG20" s="613">
        <v>0.41694061913523306</v>
      </c>
      <c r="CH20" s="613">
        <v>0.53799938773351075</v>
      </c>
      <c r="CI20" s="613">
        <v>0.45824228564805591</v>
      </c>
      <c r="CJ20" s="613">
        <v>0.43495983492618656</v>
      </c>
      <c r="CK20" s="613">
        <v>0.44159304307771102</v>
      </c>
      <c r="CL20" s="613">
        <v>0.31668366915365592</v>
      </c>
      <c r="CM20" s="613">
        <v>0.5384579625966367</v>
      </c>
      <c r="CN20" s="613">
        <v>0.32413571451769507</v>
      </c>
      <c r="CO20" s="613">
        <v>0.51332240707101984</v>
      </c>
      <c r="CP20" s="613">
        <v>0.88712139062052386</v>
      </c>
      <c r="CQ20" s="613">
        <v>0.74049962776522815</v>
      </c>
      <c r="CR20" s="613">
        <v>0.4208668754130705</v>
      </c>
      <c r="CS20" s="613">
        <v>0.34327704674824527</v>
      </c>
      <c r="CT20" s="613">
        <v>0.41625485275080715</v>
      </c>
      <c r="CU20" s="613">
        <v>0.47538491438035063</v>
      </c>
      <c r="CV20" s="613">
        <v>0.28865796216465167</v>
      </c>
      <c r="CW20" s="613">
        <v>0.26674236882556024</v>
      </c>
      <c r="CX20" s="613">
        <v>0.15374846341971077</v>
      </c>
      <c r="CY20" s="613">
        <v>0.31301054673468293</v>
      </c>
      <c r="CZ20" s="613">
        <v>0.15862473464780774</v>
      </c>
      <c r="DA20" s="613">
        <v>0.3605659664198258</v>
      </c>
      <c r="DB20" s="613">
        <v>0.21566320025401747</v>
      </c>
      <c r="DC20" s="613">
        <v>0.32872147546290609</v>
      </c>
      <c r="DD20" s="613">
        <v>0.46307617866792949</v>
      </c>
      <c r="DE20" s="613">
        <v>0.45254242959830371</v>
      </c>
      <c r="DF20" s="613">
        <v>0.13225791523618979</v>
      </c>
      <c r="DG20" s="613">
        <v>0.1694137120138999</v>
      </c>
      <c r="DH20" s="613">
        <v>7.3299508691631446E-2</v>
      </c>
      <c r="DI20" s="613">
        <v>0.2767582102004269</v>
      </c>
      <c r="DJ20" s="613">
        <v>0.58650729111313271</v>
      </c>
      <c r="DK20" s="613">
        <v>0.40054817421689409</v>
      </c>
      <c r="DL20" s="613">
        <v>0.21673126401048812</v>
      </c>
      <c r="DM20" s="613">
        <v>0.24534310896903938</v>
      </c>
      <c r="DN20" s="613">
        <v>0.3060659950318475</v>
      </c>
      <c r="DO20" s="613">
        <v>0.12423848304738165</v>
      </c>
      <c r="DP20" s="613">
        <v>0.60459717487187525</v>
      </c>
      <c r="DQ20" s="613">
        <v>0.15997547704340889</v>
      </c>
      <c r="DR20" s="613">
        <v>0.57227674465259915</v>
      </c>
      <c r="DS20" s="613">
        <v>0.18539842648141602</v>
      </c>
      <c r="DT20" s="613">
        <v>0.30154430027079648</v>
      </c>
      <c r="DU20" s="613">
        <v>9.1688036836565387E-2</v>
      </c>
      <c r="DV20" s="613">
        <v>0.43132089548102392</v>
      </c>
      <c r="DW20" s="613">
        <v>0.32687082398743528</v>
      </c>
      <c r="DX20" s="613">
        <v>0.26184868751440099</v>
      </c>
      <c r="DY20" s="613">
        <v>0.3061427399205362</v>
      </c>
      <c r="DZ20" s="613">
        <v>0.45528817657010773</v>
      </c>
      <c r="EA20" s="613">
        <v>0.33733856233341308</v>
      </c>
      <c r="EB20" s="613">
        <v>0.56852084833252747</v>
      </c>
      <c r="EC20" s="613">
        <v>0.47493618168822482</v>
      </c>
      <c r="ED20" s="613">
        <v>0.8452543303262412</v>
      </c>
      <c r="EE20" s="613">
        <v>0.64348890679454307</v>
      </c>
      <c r="EF20" s="613">
        <v>0.38323768181295154</v>
      </c>
      <c r="EG20" s="613">
        <v>0.42729449902286376</v>
      </c>
      <c r="EH20" s="613">
        <v>0.55617195559235011</v>
      </c>
      <c r="EI20" s="613">
        <v>0.41901056321583013</v>
      </c>
      <c r="EJ20" s="613">
        <v>0.213722268315826</v>
      </c>
      <c r="EK20" s="613">
        <v>0.28170594200138677</v>
      </c>
      <c r="EL20" s="613">
        <v>0.56846026170218922</v>
      </c>
      <c r="EM20" s="613">
        <v>0.36384197784210631</v>
      </c>
      <c r="EN20" s="613">
        <v>0.3755839727893735</v>
      </c>
      <c r="EO20" s="613">
        <v>0.21715713153768951</v>
      </c>
      <c r="EP20" s="613">
        <v>0.52000865035942634</v>
      </c>
      <c r="EQ20" s="613">
        <v>0.40199763200874433</v>
      </c>
      <c r="ER20" s="613">
        <v>0.39956484619694649</v>
      </c>
      <c r="ES20" s="613">
        <v>0.49591886030592969</v>
      </c>
      <c r="ET20" s="613">
        <v>0.51532426432029954</v>
      </c>
      <c r="EU20" s="613">
        <v>5.3345707317724651E-2</v>
      </c>
      <c r="EV20" s="613">
        <v>0.55585381724478944</v>
      </c>
      <c r="EW20" s="613">
        <v>0.1524604190746536</v>
      </c>
      <c r="EX20" s="613">
        <v>0.37237841843099367</v>
      </c>
      <c r="EY20" s="613">
        <v>0.63654449073320685</v>
      </c>
      <c r="EZ20" s="613">
        <v>0.58571060767616834</v>
      </c>
      <c r="FA20" s="613">
        <v>0.39316781082623375</v>
      </c>
      <c r="FB20" s="613">
        <v>0.46973244286634025</v>
      </c>
      <c r="FC20" s="613">
        <v>0.27603255102126939</v>
      </c>
      <c r="FD20" s="613">
        <v>0.40021826830344104</v>
      </c>
      <c r="FE20" s="613">
        <v>0.24629625366907829</v>
      </c>
      <c r="FF20" s="613">
        <v>0.50970993821013832</v>
      </c>
      <c r="FG20" s="613">
        <v>0.56132771348202792</v>
      </c>
      <c r="FH20" s="613">
        <v>0.43749402295764817</v>
      </c>
      <c r="FI20" s="613">
        <v>0.83482395894165307</v>
      </c>
      <c r="FJ20" s="613">
        <v>0.52287537952194629</v>
      </c>
      <c r="FK20" s="613">
        <v>0.24953059300852892</v>
      </c>
      <c r="FL20" s="613">
        <v>0</v>
      </c>
      <c r="FM20" s="613">
        <v>0.90661360206110209</v>
      </c>
      <c r="FN20" s="613">
        <v>0.51900799810943277</v>
      </c>
      <c r="FO20" s="613">
        <v>0.44995883823188598</v>
      </c>
      <c r="FP20" s="613">
        <v>0.39505068710607683</v>
      </c>
      <c r="FQ20" s="613">
        <v>0.44684921948068385</v>
      </c>
      <c r="FR20" s="613">
        <v>0.50490026322952819</v>
      </c>
      <c r="FS20" s="613">
        <v>0.33347337794345588</v>
      </c>
      <c r="FT20" s="613">
        <v>0.37249761744829196</v>
      </c>
    </row>
    <row r="21" spans="1:176" s="613" customFormat="1" x14ac:dyDescent="0.2">
      <c r="A21" s="618" t="s">
        <v>319</v>
      </c>
      <c r="B21" s="613">
        <v>0</v>
      </c>
      <c r="C21" s="613">
        <v>0</v>
      </c>
      <c r="D21" s="613">
        <v>0</v>
      </c>
      <c r="E21" s="613">
        <v>0</v>
      </c>
      <c r="F21" s="613">
        <v>0</v>
      </c>
      <c r="G21" s="613">
        <v>0</v>
      </c>
      <c r="H21" s="613">
        <v>0</v>
      </c>
      <c r="I21" s="613">
        <v>0</v>
      </c>
      <c r="J21" s="613">
        <v>0.42510062597701898</v>
      </c>
      <c r="K21" s="613">
        <v>0</v>
      </c>
      <c r="L21" s="613">
        <v>0</v>
      </c>
      <c r="M21" s="613">
        <v>0.56268400383921247</v>
      </c>
      <c r="N21" s="613">
        <v>0.56120969397105935</v>
      </c>
      <c r="O21" s="613">
        <v>0.99310277827707771</v>
      </c>
      <c r="P21" s="613">
        <v>0</v>
      </c>
      <c r="Q21" s="613">
        <v>0</v>
      </c>
      <c r="R21" s="613">
        <v>0</v>
      </c>
      <c r="S21" s="613">
        <v>0</v>
      </c>
      <c r="T21" s="613">
        <v>0</v>
      </c>
      <c r="U21" s="613">
        <v>0</v>
      </c>
      <c r="V21" s="613">
        <v>0</v>
      </c>
      <c r="W21" s="613">
        <v>0</v>
      </c>
      <c r="X21" s="613">
        <v>0.44637724007186136</v>
      </c>
      <c r="Y21" s="613">
        <v>0</v>
      </c>
      <c r="Z21" s="613">
        <v>0.29011758186130204</v>
      </c>
      <c r="AA21" s="613">
        <v>0.5585709499778384</v>
      </c>
      <c r="AB21" s="613">
        <v>0</v>
      </c>
      <c r="AC21" s="613">
        <v>0</v>
      </c>
      <c r="AD21" s="613">
        <v>0.51375502916251647</v>
      </c>
      <c r="AE21" s="613">
        <v>0</v>
      </c>
      <c r="AF21" s="613">
        <v>0.43152776344218885</v>
      </c>
      <c r="AG21" s="613">
        <v>0.42649410068510157</v>
      </c>
      <c r="AH21" s="613">
        <v>0</v>
      </c>
      <c r="AI21" s="613">
        <v>0</v>
      </c>
      <c r="AJ21" s="613">
        <v>0</v>
      </c>
      <c r="AK21" s="613">
        <v>0.41299635630293047</v>
      </c>
      <c r="AL21" s="613">
        <v>0.38673026923285486</v>
      </c>
      <c r="AM21" s="613">
        <v>0</v>
      </c>
      <c r="AN21" s="613">
        <v>0.40036049054759826</v>
      </c>
      <c r="AO21" s="613">
        <v>0</v>
      </c>
      <c r="AP21" s="613">
        <v>0</v>
      </c>
      <c r="AQ21" s="613">
        <v>0.85235055603702103</v>
      </c>
      <c r="AR21" s="613">
        <v>0.42648299165086739</v>
      </c>
      <c r="AS21" s="613">
        <v>0</v>
      </c>
      <c r="AT21" s="613">
        <v>0.56721447180492257</v>
      </c>
      <c r="AU21" s="613">
        <v>0.42407024147603867</v>
      </c>
      <c r="AV21" s="613">
        <v>0</v>
      </c>
      <c r="AW21" s="613">
        <v>0.86092567439918455</v>
      </c>
      <c r="AX21" s="613">
        <v>0.28865007165119438</v>
      </c>
      <c r="AY21" s="613">
        <v>0.36125427413096745</v>
      </c>
      <c r="AZ21" s="613">
        <v>0.56801106003396484</v>
      </c>
      <c r="BA21" s="613">
        <v>0.37881269196636863</v>
      </c>
      <c r="BB21" s="613">
        <v>0</v>
      </c>
      <c r="BC21" s="613">
        <v>0.38898629652387251</v>
      </c>
      <c r="BD21" s="613">
        <v>1</v>
      </c>
      <c r="BE21" s="613">
        <v>0</v>
      </c>
      <c r="BF21" s="613">
        <v>0</v>
      </c>
      <c r="BG21" s="613">
        <v>0</v>
      </c>
      <c r="BH21" s="613">
        <v>0</v>
      </c>
      <c r="BI21" s="613">
        <v>0</v>
      </c>
      <c r="BJ21" s="613">
        <v>0.56772953044799623</v>
      </c>
      <c r="BK21" s="613">
        <v>0.56777969380359805</v>
      </c>
      <c r="BL21" s="613">
        <v>0.57280778767563956</v>
      </c>
      <c r="BM21" s="613">
        <v>0</v>
      </c>
      <c r="BN21" s="613">
        <v>0.99290390294551145</v>
      </c>
      <c r="BO21" s="613">
        <v>0.3617218919261202</v>
      </c>
      <c r="BP21" s="613">
        <v>0</v>
      </c>
      <c r="BQ21" s="613">
        <v>0</v>
      </c>
      <c r="BR21" s="613">
        <v>0.427091793820709</v>
      </c>
      <c r="BS21" s="613">
        <v>0.42735407420097266</v>
      </c>
      <c r="BT21" s="613">
        <v>0</v>
      </c>
      <c r="BU21" s="613">
        <v>0</v>
      </c>
      <c r="BV21" s="613">
        <v>0</v>
      </c>
      <c r="BW21" s="613">
        <v>0.43371507484937172</v>
      </c>
      <c r="BX21" s="613">
        <v>0</v>
      </c>
      <c r="BY21" s="613">
        <v>0.40921516927802432</v>
      </c>
      <c r="BZ21" s="613">
        <v>0.40288253058669032</v>
      </c>
      <c r="CA21" s="613">
        <v>0.4296058407567297</v>
      </c>
      <c r="CB21" s="613">
        <v>0.30594140468101272</v>
      </c>
      <c r="CC21" s="613">
        <v>0.39902796034462723</v>
      </c>
      <c r="CD21" s="613">
        <v>0.41190052330920418</v>
      </c>
      <c r="CE21" s="613">
        <v>0</v>
      </c>
      <c r="CF21" s="613">
        <v>0</v>
      </c>
      <c r="CG21" s="613">
        <v>0.42427285227812433</v>
      </c>
      <c r="CH21" s="613">
        <v>0.28718728438449814</v>
      </c>
      <c r="CI21" s="613">
        <v>0.42352835685998264</v>
      </c>
      <c r="CJ21" s="613">
        <v>0</v>
      </c>
      <c r="CK21" s="613">
        <v>0</v>
      </c>
      <c r="CL21" s="613">
        <v>0</v>
      </c>
      <c r="CM21" s="613">
        <v>0</v>
      </c>
      <c r="CN21" s="613">
        <v>0</v>
      </c>
      <c r="CO21" s="613">
        <v>0.55965909116538981</v>
      </c>
      <c r="CP21" s="613">
        <v>0.99605424429528122</v>
      </c>
      <c r="CQ21" s="613">
        <v>0.49517860195651597</v>
      </c>
      <c r="CR21" s="613">
        <v>0</v>
      </c>
      <c r="CS21" s="613">
        <v>0</v>
      </c>
      <c r="CT21" s="613">
        <v>0</v>
      </c>
      <c r="CU21" s="613">
        <v>0</v>
      </c>
      <c r="CV21" s="613">
        <v>0</v>
      </c>
      <c r="CW21" s="613">
        <v>9.0646350095512751E-2</v>
      </c>
      <c r="CX21" s="613">
        <v>0.44404823329770915</v>
      </c>
      <c r="CY21" s="613">
        <v>0.30699064200470882</v>
      </c>
      <c r="CZ21" s="613">
        <v>0.27484796012296397</v>
      </c>
      <c r="DA21" s="613">
        <v>0.41396175361236986</v>
      </c>
      <c r="DB21" s="613">
        <v>0.55344531534073649</v>
      </c>
      <c r="DC21" s="613">
        <v>0.39492418434645804</v>
      </c>
      <c r="DD21" s="613">
        <v>0</v>
      </c>
      <c r="DE21" s="613">
        <v>0.3148702844071804</v>
      </c>
      <c r="DF21" s="613">
        <v>0.29243857491130265</v>
      </c>
      <c r="DG21" s="613">
        <v>0</v>
      </c>
      <c r="DH21" s="613">
        <v>0.23973278387632252</v>
      </c>
      <c r="DI21" s="613">
        <v>0.35671044131848745</v>
      </c>
      <c r="DJ21" s="613">
        <v>0.40821184068461908</v>
      </c>
      <c r="DK21" s="613">
        <v>0.42520882029865426</v>
      </c>
      <c r="DL21" s="613">
        <v>0.51064522112382238</v>
      </c>
      <c r="DM21" s="613">
        <v>0</v>
      </c>
      <c r="DN21" s="613">
        <v>0</v>
      </c>
      <c r="DO21" s="613">
        <v>0.25789169864598366</v>
      </c>
      <c r="DP21" s="613">
        <v>0.4096740721368255</v>
      </c>
      <c r="DQ21" s="613">
        <v>0.40694672900357776</v>
      </c>
      <c r="DR21" s="613">
        <v>0.34849736440010098</v>
      </c>
      <c r="DS21" s="613">
        <v>0.25301747383388706</v>
      </c>
      <c r="DT21" s="613">
        <v>0</v>
      </c>
      <c r="DU21" s="613">
        <v>0.3755370224684188</v>
      </c>
      <c r="DV21" s="613">
        <v>0</v>
      </c>
      <c r="DW21" s="613">
        <v>0</v>
      </c>
      <c r="DX21" s="613">
        <v>0.56440287418324975</v>
      </c>
      <c r="DY21" s="613">
        <v>0</v>
      </c>
      <c r="DZ21" s="613">
        <v>0.35969243235916404</v>
      </c>
      <c r="EA21" s="613">
        <v>0.28640389383781978</v>
      </c>
      <c r="EB21" s="613">
        <v>0</v>
      </c>
      <c r="EC21" s="613">
        <v>0.56818126184876361</v>
      </c>
      <c r="ED21" s="613">
        <v>0.35412772360724509</v>
      </c>
      <c r="EE21" s="613">
        <v>0.35984538263541749</v>
      </c>
      <c r="EF21" s="613">
        <v>0.28640389383781978</v>
      </c>
      <c r="EG21" s="613">
        <v>0.56434818077725912</v>
      </c>
      <c r="EH21" s="613">
        <v>0</v>
      </c>
      <c r="EI21" s="613">
        <v>0</v>
      </c>
      <c r="EJ21" s="613">
        <v>0</v>
      </c>
      <c r="EK21" s="613">
        <v>0.30758055497854003</v>
      </c>
      <c r="EL21" s="613">
        <v>0.51523029332844406</v>
      </c>
      <c r="EM21" s="613">
        <v>0.37298180540226467</v>
      </c>
      <c r="EN21" s="613">
        <v>0.28640389383781978</v>
      </c>
      <c r="EO21" s="613">
        <v>0.38187185845042637</v>
      </c>
      <c r="EP21" s="613">
        <v>0.39873045371744098</v>
      </c>
      <c r="EQ21" s="613">
        <v>0</v>
      </c>
      <c r="ER21" s="613">
        <v>0</v>
      </c>
      <c r="ES21" s="613">
        <v>0</v>
      </c>
      <c r="ET21" s="613">
        <v>0.33413787614412299</v>
      </c>
      <c r="EU21" s="613">
        <v>0</v>
      </c>
      <c r="EV21" s="613">
        <v>0.48020089772110991</v>
      </c>
      <c r="EW21" s="613">
        <v>0</v>
      </c>
      <c r="EX21" s="613">
        <v>0</v>
      </c>
      <c r="EY21" s="613">
        <v>0</v>
      </c>
      <c r="EZ21" s="613">
        <v>0.55961672630141335</v>
      </c>
      <c r="FA21" s="613">
        <v>0.3081267484934449</v>
      </c>
      <c r="FB21" s="613">
        <v>0</v>
      </c>
      <c r="FC21" s="613">
        <v>1.8322134630336058E-2</v>
      </c>
      <c r="FD21" s="613">
        <v>0.42497988057754404</v>
      </c>
      <c r="FE21" s="613">
        <v>0</v>
      </c>
      <c r="FF21" s="613">
        <v>0</v>
      </c>
      <c r="FG21" s="613">
        <v>8.0716514202594458E-2</v>
      </c>
      <c r="FH21" s="613">
        <v>0</v>
      </c>
      <c r="FI21" s="613">
        <v>0.99335717118957312</v>
      </c>
      <c r="FJ21" s="613">
        <v>0.34397631081678537</v>
      </c>
      <c r="FK21" s="613">
        <v>8.6443120727080242E-2</v>
      </c>
      <c r="FL21" s="613">
        <v>0</v>
      </c>
      <c r="FM21" s="613">
        <v>0</v>
      </c>
      <c r="FN21" s="613">
        <v>0.57042567025888224</v>
      </c>
      <c r="FO21" s="613">
        <v>0</v>
      </c>
      <c r="FP21" s="613">
        <v>0.21558119183731267</v>
      </c>
      <c r="FQ21" s="613">
        <v>0.28640389383781978</v>
      </c>
      <c r="FR21" s="613">
        <v>0</v>
      </c>
      <c r="FS21" s="613">
        <v>0.53060462313701962</v>
      </c>
      <c r="FT21" s="613">
        <v>0</v>
      </c>
    </row>
    <row r="22" spans="1:176" s="613" customFormat="1" x14ac:dyDescent="0.2">
      <c r="A22" s="619" t="s">
        <v>9</v>
      </c>
      <c r="B22" s="613">
        <v>1</v>
      </c>
      <c r="C22" s="613">
        <v>1</v>
      </c>
      <c r="D22" s="613">
        <v>1</v>
      </c>
      <c r="E22" s="613">
        <v>1</v>
      </c>
      <c r="F22" s="613">
        <v>1</v>
      </c>
      <c r="G22" s="613">
        <v>1</v>
      </c>
      <c r="H22" s="613">
        <v>1</v>
      </c>
      <c r="I22" s="613">
        <v>1</v>
      </c>
      <c r="J22" s="613">
        <v>0.63694844265400541</v>
      </c>
      <c r="K22" s="613">
        <v>1</v>
      </c>
      <c r="L22" s="613">
        <v>1</v>
      </c>
      <c r="M22" s="613">
        <v>0.5672861847491375</v>
      </c>
      <c r="N22" s="613">
        <v>0.56660944484514164</v>
      </c>
      <c r="O22" s="613">
        <v>0.55305699171205069</v>
      </c>
      <c r="P22" s="613">
        <v>1</v>
      </c>
      <c r="Q22" s="613">
        <v>1</v>
      </c>
      <c r="R22" s="613">
        <v>1</v>
      </c>
      <c r="S22" s="613">
        <v>1</v>
      </c>
      <c r="T22" s="613">
        <v>1</v>
      </c>
      <c r="U22" s="613">
        <v>1</v>
      </c>
      <c r="V22" s="613">
        <v>1</v>
      </c>
      <c r="W22" s="613">
        <v>1</v>
      </c>
      <c r="X22" s="613">
        <v>0.53005735613607008</v>
      </c>
      <c r="Y22" s="613">
        <v>1</v>
      </c>
      <c r="Z22" s="613">
        <v>0.35364474289354964</v>
      </c>
      <c r="AA22" s="613">
        <v>0.2435668889741098</v>
      </c>
      <c r="AB22" s="613">
        <v>1</v>
      </c>
      <c r="AC22" s="613">
        <v>1</v>
      </c>
      <c r="AD22" s="613">
        <v>0.57340355284696287</v>
      </c>
      <c r="AE22" s="613">
        <v>1</v>
      </c>
      <c r="AF22" s="613">
        <v>0.58404443481276169</v>
      </c>
      <c r="AG22" s="613">
        <v>0.43387125072680804</v>
      </c>
      <c r="AH22" s="613">
        <v>1</v>
      </c>
      <c r="AI22" s="613">
        <v>1</v>
      </c>
      <c r="AJ22" s="613">
        <v>1</v>
      </c>
      <c r="AK22" s="613">
        <v>0.28530208367576032</v>
      </c>
      <c r="AL22" s="613">
        <v>0.56534401016164104</v>
      </c>
      <c r="AM22" s="613">
        <v>1</v>
      </c>
      <c r="AN22" s="613">
        <v>0.2418716311044849</v>
      </c>
      <c r="AO22" s="613">
        <v>1</v>
      </c>
      <c r="AP22" s="613">
        <v>1</v>
      </c>
      <c r="AQ22" s="613">
        <v>0.57255888922884901</v>
      </c>
      <c r="AR22" s="613">
        <v>0.49069954896334395</v>
      </c>
      <c r="AS22" s="613">
        <v>1</v>
      </c>
      <c r="AT22" s="613">
        <v>0.3441311292237258</v>
      </c>
      <c r="AU22" s="613">
        <v>0.35577260843080161</v>
      </c>
      <c r="AV22" s="613">
        <v>1</v>
      </c>
      <c r="AW22" s="613">
        <v>0.53701856988735874</v>
      </c>
      <c r="AX22" s="613">
        <v>0.33216970237802124</v>
      </c>
      <c r="AY22" s="613">
        <v>0.28934283739269745</v>
      </c>
      <c r="AZ22" s="613">
        <v>0.2227163908758516</v>
      </c>
      <c r="BA22" s="613">
        <v>0.61909314823035899</v>
      </c>
      <c r="BB22" s="613">
        <v>1</v>
      </c>
      <c r="BC22" s="613">
        <v>0.70451264222746146</v>
      </c>
      <c r="BD22" s="613">
        <v>0.49101714301665583</v>
      </c>
      <c r="BE22" s="613">
        <v>1</v>
      </c>
      <c r="BF22" s="613">
        <v>1</v>
      </c>
      <c r="BG22" s="613">
        <v>1</v>
      </c>
      <c r="BH22" s="613">
        <v>1</v>
      </c>
      <c r="BI22" s="613">
        <v>1</v>
      </c>
      <c r="BJ22" s="613">
        <v>0.57003508107624723</v>
      </c>
      <c r="BK22" s="613">
        <v>0.30399588456448756</v>
      </c>
      <c r="BL22" s="613">
        <v>0.26762549174332106</v>
      </c>
      <c r="BM22" s="613">
        <v>1</v>
      </c>
      <c r="BN22" s="613">
        <v>0.544512690313257</v>
      </c>
      <c r="BO22" s="613">
        <v>0.53666862827077988</v>
      </c>
      <c r="BP22" s="613">
        <v>1</v>
      </c>
      <c r="BQ22" s="613">
        <v>1</v>
      </c>
      <c r="BR22" s="613">
        <v>0.24404909719843262</v>
      </c>
      <c r="BS22" s="613">
        <v>0.24850017154481913</v>
      </c>
      <c r="BT22" s="613">
        <v>1</v>
      </c>
      <c r="BU22" s="613">
        <v>1</v>
      </c>
      <c r="BV22" s="613">
        <v>1</v>
      </c>
      <c r="BW22" s="613">
        <v>0.6177687379379716</v>
      </c>
      <c r="BX22" s="613">
        <v>1</v>
      </c>
      <c r="BY22" s="613">
        <v>0.35063605169611556</v>
      </c>
      <c r="BZ22" s="613">
        <v>0.2420592878375743</v>
      </c>
      <c r="CA22" s="613">
        <v>0</v>
      </c>
      <c r="CB22" s="613">
        <v>0.32840721334009071</v>
      </c>
      <c r="CC22" s="613">
        <v>0.4955356313670316</v>
      </c>
      <c r="CD22" s="613">
        <v>0.55012733106534084</v>
      </c>
      <c r="CE22" s="613">
        <v>1</v>
      </c>
      <c r="CF22" s="613">
        <v>1</v>
      </c>
      <c r="CG22" s="613">
        <v>0.28641653112540383</v>
      </c>
      <c r="CH22" s="613">
        <v>0.313860060728329</v>
      </c>
      <c r="CI22" s="613">
        <v>0.53275054266136823</v>
      </c>
      <c r="CJ22" s="613">
        <v>1</v>
      </c>
      <c r="CK22" s="613">
        <v>1</v>
      </c>
      <c r="CL22" s="613">
        <v>1</v>
      </c>
      <c r="CM22" s="613">
        <v>1</v>
      </c>
      <c r="CN22" s="613">
        <v>1</v>
      </c>
      <c r="CO22" s="613">
        <v>0.43879803831343922</v>
      </c>
      <c r="CP22" s="613">
        <v>0.54153095453985145</v>
      </c>
      <c r="CQ22" s="613">
        <v>0.35644510222629161</v>
      </c>
      <c r="CR22" s="613">
        <v>1</v>
      </c>
      <c r="CS22" s="613">
        <v>1</v>
      </c>
      <c r="CT22" s="613">
        <v>1</v>
      </c>
      <c r="CU22" s="613">
        <v>1</v>
      </c>
      <c r="CV22" s="613">
        <v>1</v>
      </c>
      <c r="CW22" s="613">
        <v>0.57447592311671569</v>
      </c>
      <c r="CX22" s="613">
        <v>0.61658697349214064</v>
      </c>
      <c r="CY22" s="613">
        <v>0.53902458679461707</v>
      </c>
      <c r="CZ22" s="613">
        <v>0.59733993270844232</v>
      </c>
      <c r="DA22" s="613">
        <v>0.5338179360091142</v>
      </c>
      <c r="DB22" s="613">
        <v>0.17756104491825012</v>
      </c>
      <c r="DC22" s="613">
        <v>0.49943593172376122</v>
      </c>
      <c r="DD22" s="613">
        <v>1</v>
      </c>
      <c r="DE22" s="613">
        <v>0.25992727029488583</v>
      </c>
      <c r="DF22" s="613">
        <v>0.32228318645437065</v>
      </c>
      <c r="DG22" s="613">
        <v>1</v>
      </c>
      <c r="DH22" s="613">
        <v>0.27067405901545577</v>
      </c>
      <c r="DI22" s="613">
        <v>0.63473888476547047</v>
      </c>
      <c r="DJ22" s="613">
        <v>0.57459394236831629</v>
      </c>
      <c r="DK22" s="613">
        <v>0.65408194195510794</v>
      </c>
      <c r="DL22" s="613">
        <v>0.37374367162590455</v>
      </c>
      <c r="DM22" s="613">
        <v>1</v>
      </c>
      <c r="DN22" s="613">
        <v>1</v>
      </c>
      <c r="DO22" s="613">
        <v>0.62716100076169246</v>
      </c>
      <c r="DP22" s="613">
        <v>0.56191780380339762</v>
      </c>
      <c r="DQ22" s="613">
        <v>0.52672238488193368</v>
      </c>
      <c r="DR22" s="613">
        <v>0.5585143837342591</v>
      </c>
      <c r="DS22" s="613">
        <v>0.68283743463999869</v>
      </c>
      <c r="DT22" s="613">
        <v>1</v>
      </c>
      <c r="DU22" s="613">
        <v>0.50051200479414681</v>
      </c>
      <c r="DV22" s="613">
        <v>1</v>
      </c>
      <c r="DW22" s="613">
        <v>1</v>
      </c>
      <c r="DX22" s="613">
        <v>0.47503943455166769</v>
      </c>
      <c r="DY22" s="613">
        <v>1</v>
      </c>
      <c r="DZ22" s="613">
        <v>0.58215894560648263</v>
      </c>
      <c r="EA22" s="613">
        <v>0.54431581614273195</v>
      </c>
      <c r="EB22" s="613">
        <v>1</v>
      </c>
      <c r="EC22" s="613">
        <v>0.61107846606030825</v>
      </c>
      <c r="ED22" s="613">
        <v>0.54418600801342898</v>
      </c>
      <c r="EE22" s="613">
        <v>0.60384550539900483</v>
      </c>
      <c r="EF22" s="613">
        <v>0.45482108339295269</v>
      </c>
      <c r="EG22" s="613">
        <v>0.63590972428068104</v>
      </c>
      <c r="EH22" s="613">
        <v>1</v>
      </c>
      <c r="EI22" s="613">
        <v>1</v>
      </c>
      <c r="EJ22" s="613">
        <v>1</v>
      </c>
      <c r="EK22" s="613">
        <v>0.22957220445847995</v>
      </c>
      <c r="EL22" s="613">
        <v>0.34291341114672763</v>
      </c>
      <c r="EM22" s="613">
        <v>0.33818327249464286</v>
      </c>
      <c r="EN22" s="613">
        <v>0.47414508744343953</v>
      </c>
      <c r="EO22" s="613">
        <v>0.57997193501760502</v>
      </c>
      <c r="EP22" s="613">
        <v>0.55822374120815943</v>
      </c>
      <c r="EQ22" s="613">
        <v>1</v>
      </c>
      <c r="ER22" s="613">
        <v>1</v>
      </c>
      <c r="ES22" s="613">
        <v>1</v>
      </c>
      <c r="ET22" s="613">
        <v>0.48025212847394488</v>
      </c>
      <c r="EU22" s="613">
        <v>1</v>
      </c>
      <c r="EV22" s="613">
        <v>0.5816832970075424</v>
      </c>
      <c r="EW22" s="613">
        <v>1</v>
      </c>
      <c r="EX22" s="613">
        <v>1</v>
      </c>
      <c r="EY22" s="613">
        <v>1</v>
      </c>
      <c r="EZ22" s="613">
        <v>0.53389925972158125</v>
      </c>
      <c r="FA22" s="613">
        <v>0.28324792458382136</v>
      </c>
      <c r="FB22" s="613">
        <v>1</v>
      </c>
      <c r="FC22" s="613">
        <v>0.55786446171960113</v>
      </c>
      <c r="FD22" s="613">
        <v>0.53443150192025524</v>
      </c>
      <c r="FE22" s="613">
        <v>1</v>
      </c>
      <c r="FF22" s="613">
        <v>1</v>
      </c>
      <c r="FG22" s="613">
        <v>0.57839619167673784</v>
      </c>
      <c r="FH22" s="613">
        <v>1</v>
      </c>
      <c r="FI22" s="613">
        <v>0.54685786795113978</v>
      </c>
      <c r="FJ22" s="613">
        <v>0.34603835097415436</v>
      </c>
      <c r="FK22" s="613">
        <v>0.61797191335204016</v>
      </c>
      <c r="FL22" s="613">
        <v>1</v>
      </c>
      <c r="FM22" s="613">
        <v>1</v>
      </c>
      <c r="FN22" s="613">
        <v>0.41444188157900685</v>
      </c>
      <c r="FO22" s="613">
        <v>1</v>
      </c>
      <c r="FP22" s="613">
        <v>0.67397482698741995</v>
      </c>
      <c r="FQ22" s="613">
        <v>0.50719233813999143</v>
      </c>
      <c r="FR22" s="613">
        <v>1</v>
      </c>
      <c r="FS22" s="613">
        <v>0.4227942827493647</v>
      </c>
      <c r="FT22" s="613">
        <v>1</v>
      </c>
    </row>
    <row r="23" spans="1:176" s="613" customFormat="1" x14ac:dyDescent="0.2">
      <c r="A23" s="619" t="s">
        <v>315</v>
      </c>
      <c r="B23" s="613">
        <v>1</v>
      </c>
      <c r="C23" s="613">
        <v>1</v>
      </c>
      <c r="D23" s="613">
        <v>1</v>
      </c>
      <c r="E23" s="613">
        <v>1</v>
      </c>
      <c r="F23" s="613">
        <v>1</v>
      </c>
      <c r="G23" s="613">
        <v>1</v>
      </c>
      <c r="H23" s="613">
        <v>1</v>
      </c>
      <c r="I23" s="613">
        <v>1</v>
      </c>
      <c r="J23" s="613">
        <v>0.33457489671804036</v>
      </c>
      <c r="K23" s="613">
        <v>1</v>
      </c>
      <c r="L23" s="613">
        <v>1</v>
      </c>
      <c r="M23" s="613">
        <v>0.33559647933867559</v>
      </c>
      <c r="N23" s="613">
        <v>0.63727379178154009</v>
      </c>
      <c r="O23" s="613">
        <v>0.63517426073479832</v>
      </c>
      <c r="P23" s="613">
        <v>1</v>
      </c>
      <c r="Q23" s="613">
        <v>1</v>
      </c>
      <c r="R23" s="613">
        <v>1</v>
      </c>
      <c r="S23" s="613">
        <v>1</v>
      </c>
      <c r="T23" s="613">
        <v>1</v>
      </c>
      <c r="U23" s="613">
        <v>1</v>
      </c>
      <c r="V23" s="613">
        <v>1</v>
      </c>
      <c r="W23" s="613">
        <v>1</v>
      </c>
      <c r="X23" s="613">
        <v>0.34313695801776056</v>
      </c>
      <c r="Y23" s="613">
        <v>1</v>
      </c>
      <c r="Z23" s="613">
        <v>0.31638275188490678</v>
      </c>
      <c r="AA23" s="613">
        <v>0.28844728703821781</v>
      </c>
      <c r="AB23" s="613">
        <v>1</v>
      </c>
      <c r="AC23" s="613">
        <v>1</v>
      </c>
      <c r="AD23" s="613">
        <v>0.32031142977671295</v>
      </c>
      <c r="AE23" s="613">
        <v>1</v>
      </c>
      <c r="AF23" s="613">
        <v>0.28664802142495044</v>
      </c>
      <c r="AG23" s="613">
        <v>0.40107912011716418</v>
      </c>
      <c r="AH23" s="613">
        <v>1</v>
      </c>
      <c r="AI23" s="613">
        <v>1</v>
      </c>
      <c r="AJ23" s="613">
        <v>1</v>
      </c>
      <c r="AK23" s="613">
        <v>0.20352953630398257</v>
      </c>
      <c r="AL23" s="613">
        <v>0.3091057576123124</v>
      </c>
      <c r="AM23" s="613">
        <v>1</v>
      </c>
      <c r="AN23" s="613">
        <v>7.0026572565738604E-2</v>
      </c>
      <c r="AO23" s="613">
        <v>1</v>
      </c>
      <c r="AP23" s="613">
        <v>1</v>
      </c>
      <c r="AQ23" s="613">
        <v>0.41663275802991412</v>
      </c>
      <c r="AR23" s="613">
        <v>0.18847155852055072</v>
      </c>
      <c r="AS23" s="613">
        <v>1</v>
      </c>
      <c r="AT23" s="613">
        <v>7.982067533555029E-2</v>
      </c>
      <c r="AU23" s="613">
        <v>0.11569068670743182</v>
      </c>
      <c r="AV23" s="613">
        <v>1</v>
      </c>
      <c r="AW23" s="613">
        <v>0.70670159013126932</v>
      </c>
      <c r="AX23" s="613">
        <v>0.33084194584104465</v>
      </c>
      <c r="AY23" s="613">
        <v>0.34059747731859824</v>
      </c>
      <c r="AZ23" s="613">
        <v>0.41630803358838603</v>
      </c>
      <c r="BA23" s="613">
        <v>0.5281271805843798</v>
      </c>
      <c r="BB23" s="613">
        <v>1</v>
      </c>
      <c r="BC23" s="613">
        <v>0.15336012748698361</v>
      </c>
      <c r="BD23" s="613">
        <v>0.65656602420681798</v>
      </c>
      <c r="BE23" s="613">
        <v>1</v>
      </c>
      <c r="BF23" s="613">
        <v>1</v>
      </c>
      <c r="BG23" s="613">
        <v>1</v>
      </c>
      <c r="BH23" s="613">
        <v>1</v>
      </c>
      <c r="BI23" s="613">
        <v>1</v>
      </c>
      <c r="BJ23" s="613">
        <v>0.52348238012790138</v>
      </c>
      <c r="BK23" s="613">
        <v>2.6265684269282968E-2</v>
      </c>
      <c r="BL23" s="613">
        <v>0.31773654360485148</v>
      </c>
      <c r="BM23" s="613">
        <v>1</v>
      </c>
      <c r="BN23" s="613">
        <v>0.8234627030508902</v>
      </c>
      <c r="BO23" s="613">
        <v>0.45701767058108456</v>
      </c>
      <c r="BP23" s="613">
        <v>1</v>
      </c>
      <c r="BQ23" s="613">
        <v>1</v>
      </c>
      <c r="BR23" s="613">
        <v>0.30157473759452047</v>
      </c>
      <c r="BS23" s="613">
        <v>0.14126436387957772</v>
      </c>
      <c r="BT23" s="613">
        <v>1</v>
      </c>
      <c r="BU23" s="613">
        <v>1</v>
      </c>
      <c r="BV23" s="613">
        <v>1</v>
      </c>
      <c r="BW23" s="613">
        <v>0.16107813449050962</v>
      </c>
      <c r="BX23" s="613">
        <v>1</v>
      </c>
      <c r="BY23" s="613">
        <v>0.123196541363243</v>
      </c>
      <c r="BZ23" s="613">
        <v>0.35028556822461299</v>
      </c>
      <c r="CA23" s="613">
        <v>0.25362942544242562</v>
      </c>
      <c r="CB23" s="613">
        <v>0.19625220679381167</v>
      </c>
      <c r="CC23" s="613">
        <v>0.42551175988876766</v>
      </c>
      <c r="CD23" s="613">
        <v>0.46459612742043815</v>
      </c>
      <c r="CE23" s="613">
        <v>1</v>
      </c>
      <c r="CF23" s="613">
        <v>1</v>
      </c>
      <c r="CG23" s="613">
        <v>0</v>
      </c>
      <c r="CH23" s="613">
        <v>0.33826599357108511</v>
      </c>
      <c r="CI23" s="613">
        <v>0.17586697618058128</v>
      </c>
      <c r="CJ23" s="613">
        <v>1</v>
      </c>
      <c r="CK23" s="613">
        <v>1</v>
      </c>
      <c r="CL23" s="613">
        <v>1</v>
      </c>
      <c r="CM23" s="613">
        <v>1</v>
      </c>
      <c r="CN23" s="613">
        <v>1</v>
      </c>
      <c r="CO23" s="613">
        <v>0.11000447640592186</v>
      </c>
      <c r="CP23" s="613">
        <v>0.38459750121617647</v>
      </c>
      <c r="CQ23" s="613">
        <v>0.18806611257422515</v>
      </c>
      <c r="CR23" s="613">
        <v>1</v>
      </c>
      <c r="CS23" s="613">
        <v>1</v>
      </c>
      <c r="CT23" s="613">
        <v>1</v>
      </c>
      <c r="CU23" s="613">
        <v>1</v>
      </c>
      <c r="CV23" s="613">
        <v>1</v>
      </c>
      <c r="CW23" s="613">
        <v>0.50573111618504329</v>
      </c>
      <c r="CX23" s="613">
        <v>0.23914997648425143</v>
      </c>
      <c r="CY23" s="613">
        <v>0.34790731712427364</v>
      </c>
      <c r="CZ23" s="613">
        <v>0.3504402509787688</v>
      </c>
      <c r="DA23" s="613">
        <v>0.37935045596422112</v>
      </c>
      <c r="DB23" s="613">
        <v>0.2573534396867409</v>
      </c>
      <c r="DC23" s="613">
        <v>0.3954177489978134</v>
      </c>
      <c r="DD23" s="613">
        <v>1</v>
      </c>
      <c r="DE23" s="613">
        <v>0.36234754887161691</v>
      </c>
      <c r="DF23" s="613">
        <v>0.21703065538412694</v>
      </c>
      <c r="DG23" s="613">
        <v>1</v>
      </c>
      <c r="DH23" s="613">
        <v>0.20831023675001287</v>
      </c>
      <c r="DI23" s="613">
        <v>0.27972337648859125</v>
      </c>
      <c r="DJ23" s="613">
        <v>0.5646431694547166</v>
      </c>
      <c r="DK23" s="613">
        <v>0.12312764500919332</v>
      </c>
      <c r="DL23" s="613">
        <v>0.16399078112552692</v>
      </c>
      <c r="DM23" s="613">
        <v>1</v>
      </c>
      <c r="DN23" s="613">
        <v>1</v>
      </c>
      <c r="DO23" s="613">
        <v>0.38416569262362288</v>
      </c>
      <c r="DP23" s="613">
        <v>0.65449427032570884</v>
      </c>
      <c r="DQ23" s="613">
        <v>0.35054415208372713</v>
      </c>
      <c r="DR23" s="613">
        <v>3.7172790788575404E-2</v>
      </c>
      <c r="DS23" s="613">
        <v>0.28353781264041389</v>
      </c>
      <c r="DT23" s="613">
        <v>1</v>
      </c>
      <c r="DU23" s="613">
        <v>0.38573643545633046</v>
      </c>
      <c r="DV23" s="613">
        <v>1</v>
      </c>
      <c r="DW23" s="613">
        <v>1</v>
      </c>
      <c r="DX23" s="613">
        <v>0.46404050686525872</v>
      </c>
      <c r="DY23" s="613">
        <v>1</v>
      </c>
      <c r="DZ23" s="613">
        <v>0.16695727150123227</v>
      </c>
      <c r="EA23" s="613">
        <v>5.8571620416544758E-4</v>
      </c>
      <c r="EB23" s="613">
        <v>1</v>
      </c>
      <c r="EC23" s="613">
        <v>0.44396404812514173</v>
      </c>
      <c r="ED23" s="613">
        <v>0.4505854851156752</v>
      </c>
      <c r="EE23" s="613">
        <v>0.39083968230605898</v>
      </c>
      <c r="EF23" s="613">
        <v>9.5260955897450109E-2</v>
      </c>
      <c r="EG23" s="613">
        <v>0.26183341119384557</v>
      </c>
      <c r="EH23" s="613">
        <v>1</v>
      </c>
      <c r="EI23" s="613">
        <v>1</v>
      </c>
      <c r="EJ23" s="613">
        <v>1</v>
      </c>
      <c r="EK23" s="613">
        <v>0.2772511909840002</v>
      </c>
      <c r="EL23" s="613">
        <v>0.34267631773560936</v>
      </c>
      <c r="EM23" s="613">
        <v>0.28173808316944909</v>
      </c>
      <c r="EN23" s="613">
        <v>0.20850988027098785</v>
      </c>
      <c r="EO23" s="613">
        <v>0.17496962182705561</v>
      </c>
      <c r="EP23" s="613">
        <v>0.23583090678920202</v>
      </c>
      <c r="EQ23" s="613">
        <v>1</v>
      </c>
      <c r="ER23" s="613">
        <v>1</v>
      </c>
      <c r="ES23" s="613">
        <v>1</v>
      </c>
      <c r="ET23" s="613">
        <v>0.10946572591941685</v>
      </c>
      <c r="EU23" s="613">
        <v>1</v>
      </c>
      <c r="EV23" s="613">
        <v>0.28541424891723799</v>
      </c>
      <c r="EW23" s="613">
        <v>1</v>
      </c>
      <c r="EX23" s="613">
        <v>1</v>
      </c>
      <c r="EY23" s="613">
        <v>1</v>
      </c>
      <c r="EZ23" s="613">
        <v>0.36712564687367527</v>
      </c>
      <c r="FA23" s="613">
        <v>0.22573074715801517</v>
      </c>
      <c r="FB23" s="613">
        <v>1</v>
      </c>
      <c r="FC23" s="613">
        <v>0.52120464555140467</v>
      </c>
      <c r="FD23" s="613">
        <v>0.44907270114625869</v>
      </c>
      <c r="FE23" s="613">
        <v>1</v>
      </c>
      <c r="FF23" s="613">
        <v>1</v>
      </c>
      <c r="FG23" s="613">
        <v>0.67255520160140347</v>
      </c>
      <c r="FH23" s="613">
        <v>1</v>
      </c>
      <c r="FI23" s="613">
        <v>0.63314903573595482</v>
      </c>
      <c r="FJ23" s="613">
        <v>6.435229087466672E-2</v>
      </c>
      <c r="FK23" s="613">
        <v>0.35002271247663969</v>
      </c>
      <c r="FL23" s="613">
        <v>1</v>
      </c>
      <c r="FM23" s="613">
        <v>1</v>
      </c>
      <c r="FN23" s="613">
        <v>1.3237707135692924E-3</v>
      </c>
      <c r="FO23" s="613">
        <v>1</v>
      </c>
      <c r="FP23" s="613">
        <v>0.16636506828390338</v>
      </c>
      <c r="FQ23" s="613">
        <v>0.26511081254892133</v>
      </c>
      <c r="FR23" s="613">
        <v>1</v>
      </c>
      <c r="FS23" s="613">
        <v>0.3136887911743379</v>
      </c>
      <c r="FT23" s="613">
        <v>1</v>
      </c>
    </row>
    <row r="24" spans="1:176" s="613" customFormat="1" ht="13.5" thickBot="1" x14ac:dyDescent="0.25">
      <c r="A24" s="617" t="s">
        <v>70</v>
      </c>
      <c r="B24" s="613">
        <v>0.13881362824140389</v>
      </c>
      <c r="C24" s="613">
        <v>0.25880012494848698</v>
      </c>
      <c r="D24" s="613">
        <v>0.84630628924638673</v>
      </c>
      <c r="E24" s="613">
        <v>0.59589840465027843</v>
      </c>
      <c r="F24" s="613">
        <v>0.33978240282479644</v>
      </c>
      <c r="G24" s="613">
        <v>5.6689899989820304E-2</v>
      </c>
      <c r="H24" s="613">
        <v>0.53998775283421629</v>
      </c>
      <c r="I24" s="613">
        <v>0.80882233414317761</v>
      </c>
      <c r="J24" s="613">
        <v>0.54126975475118677</v>
      </c>
      <c r="K24" s="613">
        <v>0.53242118391711446</v>
      </c>
      <c r="L24" s="613">
        <v>0.22712797557150574</v>
      </c>
      <c r="M24" s="613">
        <v>0.28150350721358036</v>
      </c>
      <c r="N24" s="613">
        <v>0.62888140048784824</v>
      </c>
      <c r="O24" s="613">
        <v>0.63599299447317292</v>
      </c>
      <c r="P24" s="613">
        <v>0.15734717855059049</v>
      </c>
      <c r="Q24" s="613">
        <v>0.45002660833711644</v>
      </c>
      <c r="R24" s="613">
        <v>0.72111609471249694</v>
      </c>
      <c r="S24" s="613">
        <v>0.21407335375415859</v>
      </c>
      <c r="T24" s="613">
        <v>0.17384675881162409</v>
      </c>
      <c r="U24" s="613">
        <v>0.11399302016903913</v>
      </c>
      <c r="V24" s="613">
        <v>0.36362723796201946</v>
      </c>
      <c r="W24" s="613">
        <v>0.49032425177016647</v>
      </c>
      <c r="X24" s="613">
        <v>0.32882570015875884</v>
      </c>
      <c r="Y24" s="613">
        <v>0.20050821865194701</v>
      </c>
      <c r="Z24" s="613">
        <v>0.35611562711454858</v>
      </c>
      <c r="AA24" s="613">
        <v>0</v>
      </c>
      <c r="AB24" s="613">
        <v>0.42312199360585617</v>
      </c>
      <c r="AC24" s="613">
        <v>0.17033574130784748</v>
      </c>
      <c r="AD24" s="613">
        <v>0.42168834001279476</v>
      </c>
      <c r="AE24" s="613">
        <v>0.14317432348894413</v>
      </c>
      <c r="AF24" s="613">
        <v>0.4620004791180678</v>
      </c>
      <c r="AG24" s="613">
        <v>0.36789987066141927</v>
      </c>
      <c r="AH24" s="613">
        <v>0.49977415673477715</v>
      </c>
      <c r="AI24" s="613">
        <v>0.11854006596314776</v>
      </c>
      <c r="AJ24" s="613">
        <v>0.4283604504131503</v>
      </c>
      <c r="AK24" s="613">
        <v>0.16464703426119351</v>
      </c>
      <c r="AL24" s="613">
        <v>0.33245523128811283</v>
      </c>
      <c r="AM24" s="613">
        <v>9.6605569322763402E-2</v>
      </c>
      <c r="AN24" s="613">
        <v>0.30389542001117831</v>
      </c>
      <c r="AO24" s="613">
        <v>0.65104399820703018</v>
      </c>
      <c r="AP24" s="613">
        <v>0.52202074875436222</v>
      </c>
      <c r="AQ24" s="613">
        <v>0.90418693865114608</v>
      </c>
      <c r="AR24" s="613">
        <v>0.72772138655216045</v>
      </c>
      <c r="AS24" s="613">
        <v>0.36144365482744839</v>
      </c>
      <c r="AT24" s="613">
        <v>0.48453434477820484</v>
      </c>
      <c r="AU24" s="613">
        <v>0.25084260219780652</v>
      </c>
      <c r="AV24" s="613">
        <v>6.7901103257616571E-2</v>
      </c>
      <c r="AW24" s="613">
        <v>0.97687162776760572</v>
      </c>
      <c r="AX24" s="613">
        <v>0.42451874998282663</v>
      </c>
      <c r="AY24" s="613">
        <v>0.10923704574968557</v>
      </c>
      <c r="AZ24" s="613">
        <v>3.6130601377732198E-2</v>
      </c>
      <c r="BA24" s="613">
        <v>0.7406699909771729</v>
      </c>
      <c r="BB24" s="613">
        <v>0.31940933419683137</v>
      </c>
      <c r="BC24" s="613">
        <v>0.59104492952666576</v>
      </c>
      <c r="BD24" s="613">
        <v>0.56563623094429116</v>
      </c>
      <c r="BE24" s="613">
        <v>0.37100469122930446</v>
      </c>
      <c r="BF24" s="613">
        <v>0.73335711522160518</v>
      </c>
      <c r="BG24" s="613">
        <v>0.21922122880038142</v>
      </c>
      <c r="BH24" s="613">
        <v>0.4605705629893439</v>
      </c>
      <c r="BI24" s="613">
        <v>0.73368196079990933</v>
      </c>
      <c r="BJ24" s="613">
        <v>0.55161839517458711</v>
      </c>
      <c r="BK24" s="613">
        <v>0.22468023542536233</v>
      </c>
      <c r="BL24" s="613">
        <v>0.34337884207405972</v>
      </c>
      <c r="BM24" s="613">
        <v>0.27835075798013381</v>
      </c>
      <c r="BN24" s="613">
        <v>0.90950538202061237</v>
      </c>
      <c r="BO24" s="613">
        <v>0.51908763635986799</v>
      </c>
      <c r="BP24" s="613">
        <v>0.33702045551624771</v>
      </c>
      <c r="BQ24" s="613">
        <v>0.77541227790302658</v>
      </c>
      <c r="BR24" s="613">
        <v>0.35539237160741444</v>
      </c>
      <c r="BS24" s="613">
        <v>0.1265412334318832</v>
      </c>
      <c r="BT24" s="613">
        <v>0.46941809570229009</v>
      </c>
      <c r="BU24" s="613">
        <v>4.210418917862143E-2</v>
      </c>
      <c r="BV24" s="613">
        <v>0.45557184274956969</v>
      </c>
      <c r="BW24" s="613">
        <v>0.72619904041867833</v>
      </c>
      <c r="BX24" s="613">
        <v>0.55292095103378713</v>
      </c>
      <c r="BY24" s="613">
        <v>0.34048866784462073</v>
      </c>
      <c r="BZ24" s="613">
        <v>0.24766172683023804</v>
      </c>
      <c r="CA24" s="613">
        <v>6.9310829257340792E-2</v>
      </c>
      <c r="CB24" s="613">
        <v>0.38044759097367359</v>
      </c>
      <c r="CC24" s="613">
        <v>0.4649299810596908</v>
      </c>
      <c r="CD24" s="613">
        <v>0.63421337995234772</v>
      </c>
      <c r="CE24" s="613">
        <v>0.82921977479046849</v>
      </c>
      <c r="CF24" s="613">
        <v>0.67551480317631318</v>
      </c>
      <c r="CG24" s="613">
        <v>4.8922857769978075E-2</v>
      </c>
      <c r="CH24" s="613">
        <v>0.32468864602133996</v>
      </c>
      <c r="CI24" s="613">
        <v>0.22391159650423217</v>
      </c>
      <c r="CJ24" s="613">
        <v>0.57110948946280415</v>
      </c>
      <c r="CK24" s="613">
        <v>0.65706116456644093</v>
      </c>
      <c r="CL24" s="613">
        <v>0.78298778395011348</v>
      </c>
      <c r="CM24" s="613">
        <v>0.70182497692413959</v>
      </c>
      <c r="CN24" s="613">
        <v>0.47948188771643291</v>
      </c>
      <c r="CO24" s="613">
        <v>0.78125652407264412</v>
      </c>
      <c r="CP24" s="613">
        <v>0.69930533847205323</v>
      </c>
      <c r="CQ24" s="613">
        <v>0.35824165651998008</v>
      </c>
      <c r="CR24" s="613">
        <v>0.53574558850476028</v>
      </c>
      <c r="CS24" s="613">
        <v>0.22563997794975488</v>
      </c>
      <c r="CT24" s="613">
        <v>0.15383298454740627</v>
      </c>
      <c r="CU24" s="613">
        <v>9.3203654268751046E-2</v>
      </c>
      <c r="CV24" s="613">
        <v>0.1881864324333801</v>
      </c>
      <c r="CW24" s="613">
        <v>0.62251435550618184</v>
      </c>
      <c r="CX24" s="613">
        <v>0.4721394853048943</v>
      </c>
      <c r="CY24" s="613">
        <v>0.31851771484719771</v>
      </c>
      <c r="CZ24" s="613">
        <v>0.70325125853030646</v>
      </c>
      <c r="DA24" s="613">
        <v>0.44451010926296075</v>
      </c>
      <c r="DB24" s="613">
        <v>0.34826355569768797</v>
      </c>
      <c r="DC24" s="613">
        <v>0.31953805759244464</v>
      </c>
      <c r="DD24" s="613">
        <v>0.42786354123765946</v>
      </c>
      <c r="DE24" s="613">
        <v>0.32950851662478409</v>
      </c>
      <c r="DF24" s="613">
        <v>0.19902666227501367</v>
      </c>
      <c r="DG24" s="613">
        <v>0.45023944805088773</v>
      </c>
      <c r="DH24" s="613">
        <v>0.62719176932460152</v>
      </c>
      <c r="DI24" s="613">
        <v>0.93904271697060626</v>
      </c>
      <c r="DJ24" s="613">
        <v>0.80567792083974543</v>
      </c>
      <c r="DK24" s="613">
        <v>0.52692536207277296</v>
      </c>
      <c r="DL24" s="613">
        <v>0.38257087847521015</v>
      </c>
      <c r="DM24" s="613">
        <v>0.85329117923565412</v>
      </c>
      <c r="DN24" s="613">
        <v>0.41287731155370699</v>
      </c>
      <c r="DO24" s="613">
        <v>0.66897753614957456</v>
      </c>
      <c r="DP24" s="613">
        <v>0.79268965097075761</v>
      </c>
      <c r="DQ24" s="613">
        <v>0.52648484186479105</v>
      </c>
      <c r="DR24" s="613">
        <v>0.37629472900232719</v>
      </c>
      <c r="DS24" s="613">
        <v>0.88734579413930847</v>
      </c>
      <c r="DT24" s="613">
        <v>0.1969861845228871</v>
      </c>
      <c r="DU24" s="613">
        <v>0.49796010251706246</v>
      </c>
      <c r="DV24" s="613">
        <v>0.86758719134621909</v>
      </c>
      <c r="DW24" s="613">
        <v>0.28613803621404355</v>
      </c>
      <c r="DX24" s="613">
        <v>0.75430411035535705</v>
      </c>
      <c r="DY24" s="613">
        <v>0.6064177675028356</v>
      </c>
      <c r="DZ24" s="613">
        <v>0.38419200804029768</v>
      </c>
      <c r="EA24" s="613">
        <v>0.31225522083330287</v>
      </c>
      <c r="EB24" s="613">
        <v>8.4160873201156325E-2</v>
      </c>
      <c r="EC24" s="613">
        <v>0.7215456929759515</v>
      </c>
      <c r="ED24" s="613">
        <v>0.2424038133987145</v>
      </c>
      <c r="EE24" s="613">
        <v>0.18106632265884764</v>
      </c>
      <c r="EF24" s="613">
        <v>0.72366254220036141</v>
      </c>
      <c r="EG24" s="613">
        <v>0.547396250945414</v>
      </c>
      <c r="EH24" s="613">
        <v>0.41169864835982212</v>
      </c>
      <c r="EI24" s="613">
        <v>0.51990831847886165</v>
      </c>
      <c r="EJ24" s="613">
        <v>0.92803005746425282</v>
      </c>
      <c r="EK24" s="613">
        <v>0.35122553121240446</v>
      </c>
      <c r="EL24" s="613">
        <v>0.14861822399623228</v>
      </c>
      <c r="EM24" s="613">
        <v>0.23803646912518642</v>
      </c>
      <c r="EN24" s="613">
        <v>0.86874289836903829</v>
      </c>
      <c r="EO24" s="613">
        <v>0.73041671226623694</v>
      </c>
      <c r="EP24" s="613">
        <v>0.47872958231002682</v>
      </c>
      <c r="EQ24" s="613">
        <v>0.23759378043398111</v>
      </c>
      <c r="ER24" s="613">
        <v>0.23382917890265187</v>
      </c>
      <c r="ES24" s="613">
        <v>0.54736010078845099</v>
      </c>
      <c r="ET24" s="613">
        <v>0.8824476013346817</v>
      </c>
      <c r="EU24" s="613">
        <v>2.4437997145727596E-2</v>
      </c>
      <c r="EV24" s="613">
        <v>0.13845337852371964</v>
      </c>
      <c r="EW24" s="613">
        <v>0.35115127870000118</v>
      </c>
      <c r="EX24" s="613">
        <v>0.4423152372745322</v>
      </c>
      <c r="EY24" s="613">
        <v>0.29457272228025855</v>
      </c>
      <c r="EZ24" s="613">
        <v>0.59608448662081481</v>
      </c>
      <c r="FA24" s="613">
        <v>0.52210369979725091</v>
      </c>
      <c r="FB24" s="613">
        <v>1</v>
      </c>
      <c r="FC24" s="613">
        <v>0.51391367830633894</v>
      </c>
      <c r="FD24" s="613">
        <v>0.53607469170658117</v>
      </c>
      <c r="FE24" s="613">
        <v>0.68064015593074234</v>
      </c>
      <c r="FF24" s="613">
        <v>0.26216248684567706</v>
      </c>
      <c r="FG24" s="613">
        <v>0.60087542138134076</v>
      </c>
      <c r="FH24" s="613">
        <v>0.56821153543151504</v>
      </c>
      <c r="FI24" s="613">
        <v>0.65460375295801265</v>
      </c>
      <c r="FJ24" s="613">
        <v>0.36971575578751054</v>
      </c>
      <c r="FK24" s="613">
        <v>9.3515166539481276E-2</v>
      </c>
      <c r="FL24" s="613">
        <v>0.41774548546516044</v>
      </c>
      <c r="FM24" s="613">
        <v>0.68998465377727503</v>
      </c>
      <c r="FN24" s="613">
        <v>0.40423090630534159</v>
      </c>
      <c r="FO24" s="613">
        <v>0.33198424015626082</v>
      </c>
      <c r="FP24" s="613">
        <v>0.32141948791152247</v>
      </c>
      <c r="FQ24" s="613">
        <v>0.16971400104891732</v>
      </c>
      <c r="FR24" s="613">
        <v>0.35661263473747978</v>
      </c>
      <c r="FS24" s="613">
        <v>0.31733671362647586</v>
      </c>
      <c r="FT24" s="613">
        <v>0.1148265238258613</v>
      </c>
    </row>
    <row r="25" spans="1:176" s="613" customFormat="1" x14ac:dyDescent="0.2">
      <c r="A25" s="618" t="s">
        <v>280</v>
      </c>
      <c r="B25" s="613">
        <v>0</v>
      </c>
      <c r="C25" s="613">
        <v>0</v>
      </c>
      <c r="D25" s="613">
        <v>0</v>
      </c>
      <c r="E25" s="613">
        <v>0</v>
      </c>
      <c r="F25" s="613">
        <v>0</v>
      </c>
      <c r="G25" s="613">
        <v>0</v>
      </c>
      <c r="H25" s="613">
        <v>0</v>
      </c>
      <c r="I25" s="613">
        <v>0</v>
      </c>
      <c r="J25" s="613">
        <v>0.68304799420320084</v>
      </c>
      <c r="K25" s="613">
        <v>0</v>
      </c>
      <c r="L25" s="613">
        <v>0</v>
      </c>
      <c r="M25" s="613">
        <v>0.67436180725596306</v>
      </c>
      <c r="N25" s="613">
        <v>0.67719836825307544</v>
      </c>
      <c r="O25" s="613">
        <v>0.68238212518807362</v>
      </c>
      <c r="P25" s="613">
        <v>0</v>
      </c>
      <c r="Q25" s="613">
        <v>0</v>
      </c>
      <c r="R25" s="613">
        <v>0</v>
      </c>
      <c r="S25" s="613">
        <v>0</v>
      </c>
      <c r="T25" s="613">
        <v>0</v>
      </c>
      <c r="U25" s="613">
        <v>0</v>
      </c>
      <c r="V25" s="613">
        <v>0</v>
      </c>
      <c r="W25" s="613">
        <v>0</v>
      </c>
      <c r="X25" s="613">
        <v>0.46373620909597524</v>
      </c>
      <c r="Y25" s="613">
        <v>0</v>
      </c>
      <c r="Z25" s="613">
        <v>0.38891119753560033</v>
      </c>
      <c r="AA25" s="613">
        <v>0.42458743308937358</v>
      </c>
      <c r="AB25" s="613">
        <v>0</v>
      </c>
      <c r="AC25" s="613">
        <v>0</v>
      </c>
      <c r="AD25" s="613">
        <v>0.8310423037968514</v>
      </c>
      <c r="AE25" s="613">
        <v>0</v>
      </c>
      <c r="AF25" s="613">
        <v>0.65090643152898986</v>
      </c>
      <c r="AG25" s="613">
        <v>0.73142801627803722</v>
      </c>
      <c r="AH25" s="613">
        <v>0</v>
      </c>
      <c r="AI25" s="613">
        <v>0</v>
      </c>
      <c r="AJ25" s="613">
        <v>0</v>
      </c>
      <c r="AK25" s="613">
        <v>0.31550376232938887</v>
      </c>
      <c r="AL25" s="613">
        <v>0.74836452842572809</v>
      </c>
      <c r="AM25" s="613">
        <v>0</v>
      </c>
      <c r="AN25" s="613">
        <v>0.23482998444855882</v>
      </c>
      <c r="AO25" s="613">
        <v>0</v>
      </c>
      <c r="AP25" s="613">
        <v>0</v>
      </c>
      <c r="AQ25" s="613">
        <v>0.5631753293862124</v>
      </c>
      <c r="AR25" s="613">
        <v>0.59997209336217683</v>
      </c>
      <c r="AS25" s="613">
        <v>0</v>
      </c>
      <c r="AT25" s="613">
        <v>0.47785484715543458</v>
      </c>
      <c r="AU25" s="613">
        <v>0.33235545636599678</v>
      </c>
      <c r="AV25" s="613">
        <v>0</v>
      </c>
      <c r="AW25" s="613">
        <v>0.90769871788071188</v>
      </c>
      <c r="AX25" s="613">
        <v>0.48774699002353261</v>
      </c>
      <c r="AY25" s="613">
        <v>0.43447118841887145</v>
      </c>
      <c r="AZ25" s="613">
        <v>0.57635352519449701</v>
      </c>
      <c r="BA25" s="613">
        <v>1</v>
      </c>
      <c r="BB25" s="613">
        <v>0</v>
      </c>
      <c r="BC25" s="613">
        <v>0.65390930040747453</v>
      </c>
      <c r="BD25" s="613">
        <v>0.70916288264546723</v>
      </c>
      <c r="BE25" s="613">
        <v>0</v>
      </c>
      <c r="BF25" s="613">
        <v>0</v>
      </c>
      <c r="BG25" s="613">
        <v>0</v>
      </c>
      <c r="BH25" s="613">
        <v>0</v>
      </c>
      <c r="BI25" s="613">
        <v>0</v>
      </c>
      <c r="BJ25" s="613">
        <v>0.65825414124248616</v>
      </c>
      <c r="BK25" s="613">
        <v>0.54671348275783394</v>
      </c>
      <c r="BL25" s="613">
        <v>0.57459445321142522</v>
      </c>
      <c r="BM25" s="613">
        <v>0</v>
      </c>
      <c r="BN25" s="613">
        <v>0.93815062917980407</v>
      </c>
      <c r="BO25" s="613">
        <v>0.88849331281819111</v>
      </c>
      <c r="BP25" s="613">
        <v>0</v>
      </c>
      <c r="BQ25" s="613">
        <v>0</v>
      </c>
      <c r="BR25" s="613">
        <v>0.65977894330283915</v>
      </c>
      <c r="BS25" s="613">
        <v>0.37662056267088223</v>
      </c>
      <c r="BT25" s="613">
        <v>0</v>
      </c>
      <c r="BU25" s="613">
        <v>0</v>
      </c>
      <c r="BV25" s="613">
        <v>0</v>
      </c>
      <c r="BW25" s="613">
        <v>0.8554831402430958</v>
      </c>
      <c r="BX25" s="613">
        <v>0</v>
      </c>
      <c r="BY25" s="613">
        <v>0.65060979760843096</v>
      </c>
      <c r="BZ25" s="613">
        <v>0.61177951917391682</v>
      </c>
      <c r="CA25" s="613">
        <v>0.15220276256652204</v>
      </c>
      <c r="CB25" s="613">
        <v>0.26514057428667248</v>
      </c>
      <c r="CC25" s="613">
        <v>0.9174433231266228</v>
      </c>
      <c r="CD25" s="613">
        <v>0.83248359618022238</v>
      </c>
      <c r="CE25" s="613">
        <v>0</v>
      </c>
      <c r="CF25" s="613">
        <v>0</v>
      </c>
      <c r="CG25" s="613">
        <v>0.22973749004333774</v>
      </c>
      <c r="CH25" s="613">
        <v>0.41968626682308363</v>
      </c>
      <c r="CI25" s="613">
        <v>0.73562608684894093</v>
      </c>
      <c r="CJ25" s="613">
        <v>0</v>
      </c>
      <c r="CK25" s="613">
        <v>0</v>
      </c>
      <c r="CL25" s="613">
        <v>0</v>
      </c>
      <c r="CM25" s="613">
        <v>0</v>
      </c>
      <c r="CN25" s="613">
        <v>0</v>
      </c>
      <c r="CO25" s="613">
        <v>0.5662818274817123</v>
      </c>
      <c r="CP25" s="613">
        <v>0.60006668831105003</v>
      </c>
      <c r="CQ25" s="613">
        <v>0.44224806521837412</v>
      </c>
      <c r="CR25" s="613">
        <v>0</v>
      </c>
      <c r="CS25" s="613">
        <v>0</v>
      </c>
      <c r="CT25" s="613">
        <v>0</v>
      </c>
      <c r="CU25" s="613">
        <v>0</v>
      </c>
      <c r="CV25" s="613">
        <v>0</v>
      </c>
      <c r="CW25" s="613">
        <v>0.65150669563409047</v>
      </c>
      <c r="CX25" s="613">
        <v>0.74088692446330795</v>
      </c>
      <c r="CY25" s="613">
        <v>0.90402681503329474</v>
      </c>
      <c r="CZ25" s="613">
        <v>0.9201641823033162</v>
      </c>
      <c r="DA25" s="613">
        <v>0.81367562098215507</v>
      </c>
      <c r="DB25" s="613">
        <v>0.28479327155792966</v>
      </c>
      <c r="DC25" s="613">
        <v>0.82101889637023517</v>
      </c>
      <c r="DD25" s="613">
        <v>0</v>
      </c>
      <c r="DE25" s="613">
        <v>0.51721535288109832</v>
      </c>
      <c r="DF25" s="613">
        <v>0.50954191374584679</v>
      </c>
      <c r="DG25" s="613">
        <v>0</v>
      </c>
      <c r="DH25" s="613">
        <v>0.33700497576415156</v>
      </c>
      <c r="DI25" s="613">
        <v>0.9022087202015947</v>
      </c>
      <c r="DJ25" s="613">
        <v>0.88792669209493447</v>
      </c>
      <c r="DK25" s="613">
        <v>0.70367236319854121</v>
      </c>
      <c r="DL25" s="613">
        <v>0.64171392703917218</v>
      </c>
      <c r="DM25" s="613">
        <v>0</v>
      </c>
      <c r="DN25" s="613">
        <v>0</v>
      </c>
      <c r="DO25" s="613">
        <v>0.90217221538085446</v>
      </c>
      <c r="DP25" s="613">
        <v>0.81378334360399818</v>
      </c>
      <c r="DQ25" s="613">
        <v>0.9300319209924065</v>
      </c>
      <c r="DR25" s="613">
        <v>0.81800571123474941</v>
      </c>
      <c r="DS25" s="613">
        <v>0.8825833059447501</v>
      </c>
      <c r="DT25" s="613">
        <v>0</v>
      </c>
      <c r="DU25" s="613">
        <v>0.54882947176924679</v>
      </c>
      <c r="DV25" s="613">
        <v>0</v>
      </c>
      <c r="DW25" s="613">
        <v>0</v>
      </c>
      <c r="DX25" s="613">
        <v>0.79437630217470323</v>
      </c>
      <c r="DY25" s="613">
        <v>0</v>
      </c>
      <c r="DZ25" s="613">
        <v>0.37677067159898653</v>
      </c>
      <c r="EA25" s="613">
        <v>0.16447202062705618</v>
      </c>
      <c r="EB25" s="613">
        <v>0</v>
      </c>
      <c r="EC25" s="613">
        <v>0.8446889155721391</v>
      </c>
      <c r="ED25" s="613">
        <v>0.37625053058681901</v>
      </c>
      <c r="EE25" s="613">
        <v>0.46971318934105666</v>
      </c>
      <c r="EF25" s="613">
        <v>0.39917924855678705</v>
      </c>
      <c r="EG25" s="613">
        <v>0.79093080411644789</v>
      </c>
      <c r="EH25" s="613">
        <v>0</v>
      </c>
      <c r="EI25" s="613">
        <v>0</v>
      </c>
      <c r="EJ25" s="613">
        <v>0</v>
      </c>
      <c r="EK25" s="613">
        <v>0.52435969231208035</v>
      </c>
      <c r="EL25" s="613">
        <v>0.42859248716789106</v>
      </c>
      <c r="EM25" s="613">
        <v>0.43544141706115241</v>
      </c>
      <c r="EN25" s="613">
        <v>0.65618022635603301</v>
      </c>
      <c r="EO25" s="613">
        <v>0.36780430215686366</v>
      </c>
      <c r="EP25" s="613">
        <v>0.76339064177919924</v>
      </c>
      <c r="EQ25" s="613">
        <v>0</v>
      </c>
      <c r="ER25" s="613">
        <v>0</v>
      </c>
      <c r="ES25" s="613">
        <v>0</v>
      </c>
      <c r="ET25" s="613">
        <v>0.32187679951666687</v>
      </c>
      <c r="EU25" s="613">
        <v>0</v>
      </c>
      <c r="EV25" s="613">
        <v>0.39884864288732041</v>
      </c>
      <c r="EW25" s="613">
        <v>0</v>
      </c>
      <c r="EX25" s="613">
        <v>0</v>
      </c>
      <c r="EY25" s="613">
        <v>0</v>
      </c>
      <c r="EZ25" s="613">
        <v>0.72847487018942625</v>
      </c>
      <c r="FA25" s="613">
        <v>0.44551299573848668</v>
      </c>
      <c r="FB25" s="613">
        <v>0</v>
      </c>
      <c r="FC25" s="613">
        <v>0.61705522334742469</v>
      </c>
      <c r="FD25" s="613">
        <v>0.85996505906547582</v>
      </c>
      <c r="FE25" s="613">
        <v>0</v>
      </c>
      <c r="FF25" s="613">
        <v>0</v>
      </c>
      <c r="FG25" s="613">
        <v>0.43015564247580773</v>
      </c>
      <c r="FH25" s="613">
        <v>0</v>
      </c>
      <c r="FI25" s="613">
        <v>0.79457131773620637</v>
      </c>
      <c r="FJ25" s="613">
        <v>0.50716570380908854</v>
      </c>
      <c r="FK25" s="613">
        <v>0.56611266740134747</v>
      </c>
      <c r="FL25" s="613">
        <v>0</v>
      </c>
      <c r="FM25" s="613">
        <v>0</v>
      </c>
      <c r="FN25" s="613">
        <v>0.45067750359611258</v>
      </c>
      <c r="FO25" s="613">
        <v>0</v>
      </c>
      <c r="FP25" s="613">
        <v>0.49605810193838651</v>
      </c>
      <c r="FQ25" s="613">
        <v>0.33696717391581243</v>
      </c>
      <c r="FR25" s="613">
        <v>0</v>
      </c>
      <c r="FS25" s="613">
        <v>0.51358076057403224</v>
      </c>
      <c r="FT25" s="613">
        <v>0</v>
      </c>
    </row>
    <row r="26" spans="1:176" s="613" customFormat="1" x14ac:dyDescent="0.2">
      <c r="A26" s="619" t="s">
        <v>1105</v>
      </c>
      <c r="B26" s="613">
        <v>0.42127937370556084</v>
      </c>
      <c r="C26" s="613">
        <v>0.35863660088228871</v>
      </c>
      <c r="D26" s="613">
        <v>0.19547247506669396</v>
      </c>
      <c r="E26" s="613">
        <v>0.19091381741476565</v>
      </c>
      <c r="F26" s="613">
        <v>0.13256168973009083</v>
      </c>
      <c r="G26" s="613">
        <v>0</v>
      </c>
      <c r="H26" s="613">
        <v>0.4912138605616026</v>
      </c>
      <c r="I26" s="613">
        <v>0.63562414425524305</v>
      </c>
      <c r="J26" s="613">
        <v>0.588067660785212</v>
      </c>
      <c r="K26" s="613">
        <v>0.61780885622897685</v>
      </c>
      <c r="L26" s="613">
        <v>0.38236742267982782</v>
      </c>
      <c r="M26" s="613">
        <v>0.59266297653150657</v>
      </c>
      <c r="N26" s="613">
        <v>0.72391119276093874</v>
      </c>
      <c r="O26" s="613">
        <v>0.87806031700996678</v>
      </c>
      <c r="P26" s="613">
        <v>0.19518218496551054</v>
      </c>
      <c r="Q26" s="613">
        <v>0.52475630889159697</v>
      </c>
      <c r="R26" s="613">
        <v>0.43787904890724932</v>
      </c>
      <c r="S26" s="613">
        <v>0.33800142993592031</v>
      </c>
      <c r="T26" s="613">
        <v>0.22162887948598331</v>
      </c>
      <c r="U26" s="613">
        <v>0.23889663564012217</v>
      </c>
      <c r="V26" s="613">
        <v>0.62949666744143018</v>
      </c>
      <c r="W26" s="613">
        <v>0.2390244893757176</v>
      </c>
      <c r="X26" s="613">
        <v>0.21619749734000482</v>
      </c>
      <c r="Y26" s="613">
        <v>0.10238682350678392</v>
      </c>
      <c r="Z26" s="613">
        <v>0.38304015537688901</v>
      </c>
      <c r="AA26" s="613">
        <v>0.39000998433886486</v>
      </c>
      <c r="AB26" s="613">
        <v>0.1840394344047358</v>
      </c>
      <c r="AC26" s="613">
        <v>0.25072610646717236</v>
      </c>
      <c r="AD26" s="613">
        <v>0.65280679968553279</v>
      </c>
      <c r="AE26" s="613">
        <v>0.30590324214046372</v>
      </c>
      <c r="AF26" s="613">
        <v>0.63819702359956698</v>
      </c>
      <c r="AG26" s="613">
        <v>0.38478887688276603</v>
      </c>
      <c r="AH26" s="613">
        <v>0.21493036491064829</v>
      </c>
      <c r="AI26" s="613">
        <v>0.27157316645639668</v>
      </c>
      <c r="AJ26" s="613">
        <v>0.51557964954549351</v>
      </c>
      <c r="AK26" s="613">
        <v>0.35697390506129512</v>
      </c>
      <c r="AL26" s="613">
        <v>0.57429851099172924</v>
      </c>
      <c r="AM26" s="613">
        <v>0.13681514801231315</v>
      </c>
      <c r="AN26" s="613">
        <v>0.32466350720472559</v>
      </c>
      <c r="AO26" s="613">
        <v>0.77368813644143741</v>
      </c>
      <c r="AP26" s="613">
        <v>0.23461068468884061</v>
      </c>
      <c r="AQ26" s="613">
        <v>0.82159638347868857</v>
      </c>
      <c r="AR26" s="613">
        <v>0.46358967095338982</v>
      </c>
      <c r="AS26" s="613">
        <v>0.28327106087163323</v>
      </c>
      <c r="AT26" s="613">
        <v>0.54276386382042618</v>
      </c>
      <c r="AU26" s="613">
        <v>0.3735383127510899</v>
      </c>
      <c r="AV26" s="613">
        <v>0.29011060595115007</v>
      </c>
      <c r="AW26" s="613">
        <v>0.75964360754682725</v>
      </c>
      <c r="AX26" s="613">
        <v>0.39771874236249577</v>
      </c>
      <c r="AY26" s="613">
        <v>0.3636246626944129</v>
      </c>
      <c r="AZ26" s="613">
        <v>0.29056155179746118</v>
      </c>
      <c r="BA26" s="613">
        <v>0.52561021024739341</v>
      </c>
      <c r="BB26" s="613">
        <v>8.6369260511926671E-2</v>
      </c>
      <c r="BC26" s="613">
        <v>0.56528708677337125</v>
      </c>
      <c r="BD26" s="613">
        <v>0.81199986374208544</v>
      </c>
      <c r="BE26" s="613">
        <v>9.5894790032773389E-2</v>
      </c>
      <c r="BF26" s="613">
        <v>2.352297145589902E-2</v>
      </c>
      <c r="BG26" s="613">
        <v>0.3253106338233307</v>
      </c>
      <c r="BH26" s="613">
        <v>0.54046845752471673</v>
      </c>
      <c r="BI26" s="613">
        <v>0.41894277853660983</v>
      </c>
      <c r="BJ26" s="613">
        <v>0.83193897155063623</v>
      </c>
      <c r="BK26" s="613">
        <v>0.69558402451172285</v>
      </c>
      <c r="BL26" s="613">
        <v>0.91496710716358276</v>
      </c>
      <c r="BM26" s="613">
        <v>0.24156220566391284</v>
      </c>
      <c r="BN26" s="613">
        <v>0.78674124422064085</v>
      </c>
      <c r="BO26" s="613">
        <v>0.51054081832554599</v>
      </c>
      <c r="BP26" s="613">
        <v>0.36814688388826278</v>
      </c>
      <c r="BQ26" s="613">
        <v>0.10286180956151295</v>
      </c>
      <c r="BR26" s="613">
        <v>0.64824138099931428</v>
      </c>
      <c r="BS26" s="613">
        <v>0.31004894850243087</v>
      </c>
      <c r="BT26" s="613">
        <v>0.3173396525679521</v>
      </c>
      <c r="BU26" s="613">
        <v>0.27930878116862051</v>
      </c>
      <c r="BV26" s="613">
        <v>0.45429625313567029</v>
      </c>
      <c r="BW26" s="613">
        <v>0.64863418577620968</v>
      </c>
      <c r="BX26" s="613">
        <v>0.55693545505928621</v>
      </c>
      <c r="BY26" s="613">
        <v>0.78439983067718067</v>
      </c>
      <c r="BZ26" s="613">
        <v>0.60197037970368816</v>
      </c>
      <c r="CA26" s="613">
        <v>0.50149257715469031</v>
      </c>
      <c r="CB26" s="613">
        <v>0.41606383824372539</v>
      </c>
      <c r="CC26" s="613">
        <v>0.64390655232042282</v>
      </c>
      <c r="CD26" s="613">
        <v>0.36559086005611435</v>
      </c>
      <c r="CE26" s="613">
        <v>0.11368839938043675</v>
      </c>
      <c r="CF26" s="613">
        <v>0.38006969395474582</v>
      </c>
      <c r="CG26" s="613">
        <v>0.44036814494283921</v>
      </c>
      <c r="CH26" s="613">
        <v>0.36611154200471002</v>
      </c>
      <c r="CI26" s="613">
        <v>0.57065697914468361</v>
      </c>
      <c r="CJ26" s="613">
        <v>0.10035930030234357</v>
      </c>
      <c r="CK26" s="613">
        <v>2.7361126622986291E-2</v>
      </c>
      <c r="CL26" s="613">
        <v>0.1642265174958662</v>
      </c>
      <c r="CM26" s="613">
        <v>0.35005804066966706</v>
      </c>
      <c r="CN26" s="613">
        <v>0.35490011556363898</v>
      </c>
      <c r="CO26" s="613">
        <v>0.58742924305527866</v>
      </c>
      <c r="CP26" s="613">
        <v>0.8610343975759136</v>
      </c>
      <c r="CQ26" s="613">
        <v>0.45979470804380251</v>
      </c>
      <c r="CR26" s="613">
        <v>0.30651043379795806</v>
      </c>
      <c r="CS26" s="613">
        <v>0.21170250853724873</v>
      </c>
      <c r="CT26" s="613">
        <v>2.0524125891007551E-3</v>
      </c>
      <c r="CU26" s="613">
        <v>0.14022371314109691</v>
      </c>
      <c r="CV26" s="613">
        <v>0.13784430387350852</v>
      </c>
      <c r="CW26" s="613">
        <v>0.28824109576903573</v>
      </c>
      <c r="CX26" s="613">
        <v>0.54380285491270053</v>
      </c>
      <c r="CY26" s="613">
        <v>0.5968682367734196</v>
      </c>
      <c r="CZ26" s="613">
        <v>0.59300904589041281</v>
      </c>
      <c r="DA26" s="613">
        <v>0.53214039302852689</v>
      </c>
      <c r="DB26" s="613">
        <v>0.36204868319855943</v>
      </c>
      <c r="DC26" s="613">
        <v>0.50002195152600071</v>
      </c>
      <c r="DD26" s="613">
        <v>0.2992934618516232</v>
      </c>
      <c r="DE26" s="613">
        <v>0.34469452070404494</v>
      </c>
      <c r="DF26" s="613">
        <v>0.37597083032557677</v>
      </c>
      <c r="DG26" s="613">
        <v>0.11422535722043617</v>
      </c>
      <c r="DH26" s="613">
        <v>0.41929882692441195</v>
      </c>
      <c r="DI26" s="613">
        <v>0.62027391604270277</v>
      </c>
      <c r="DJ26" s="613">
        <v>0.8865937210034186</v>
      </c>
      <c r="DK26" s="613">
        <v>0.73701205132132175</v>
      </c>
      <c r="DL26" s="613">
        <v>1</v>
      </c>
      <c r="DM26" s="613">
        <v>8.1632339029914638E-2</v>
      </c>
      <c r="DN26" s="613">
        <v>0.33903988010518332</v>
      </c>
      <c r="DO26" s="613">
        <v>0.49905792089472312</v>
      </c>
      <c r="DP26" s="613">
        <v>0.82817012093131004</v>
      </c>
      <c r="DQ26" s="613">
        <v>0.57422009833615406</v>
      </c>
      <c r="DR26" s="613">
        <v>0.66594346462714149</v>
      </c>
      <c r="DS26" s="613">
        <v>0.63097385002506656</v>
      </c>
      <c r="DT26" s="613">
        <v>0.17303711100938901</v>
      </c>
      <c r="DU26" s="613">
        <v>0.25542353030095266</v>
      </c>
      <c r="DV26" s="613">
        <v>0.16400405691751205</v>
      </c>
      <c r="DW26" s="613">
        <v>0.44136636800504864</v>
      </c>
      <c r="DX26" s="613">
        <v>0.32059582639992601</v>
      </c>
      <c r="DY26" s="613">
        <v>9.0084879241184565E-2</v>
      </c>
      <c r="DZ26" s="613">
        <v>0.18534826932849163</v>
      </c>
      <c r="EA26" s="613">
        <v>0.32505924157522859</v>
      </c>
      <c r="EB26" s="613">
        <v>5.9491148500749165E-2</v>
      </c>
      <c r="EC26" s="613">
        <v>0.47896004805482079</v>
      </c>
      <c r="ED26" s="613">
        <v>0.2747456626434483</v>
      </c>
      <c r="EE26" s="613">
        <v>0.24567923618013945</v>
      </c>
      <c r="EF26" s="613">
        <v>0.31743540612883753</v>
      </c>
      <c r="EG26" s="613">
        <v>0.55367708846161101</v>
      </c>
      <c r="EH26" s="613">
        <v>0.11920446631981069</v>
      </c>
      <c r="EI26" s="613">
        <v>0.12055381973146642</v>
      </c>
      <c r="EJ26" s="613">
        <v>0.18475103326378853</v>
      </c>
      <c r="EK26" s="613">
        <v>0.37833612848104908</v>
      </c>
      <c r="EL26" s="613">
        <v>0.33110572305058206</v>
      </c>
      <c r="EM26" s="613">
        <v>0.42197488094058866</v>
      </c>
      <c r="EN26" s="613">
        <v>0.1138468206419863</v>
      </c>
      <c r="EO26" s="613">
        <v>0.32321044492299839</v>
      </c>
      <c r="EP26" s="613">
        <v>0.64348968434195508</v>
      </c>
      <c r="EQ26" s="613">
        <v>0.42423266592608777</v>
      </c>
      <c r="ER26" s="613">
        <v>0.43202624609801571</v>
      </c>
      <c r="ES26" s="613">
        <v>0.11576559818701598</v>
      </c>
      <c r="ET26" s="613">
        <v>0.42687849642772158</v>
      </c>
      <c r="EU26" s="613">
        <v>0.26959128381728742</v>
      </c>
      <c r="EV26" s="613">
        <v>0.29664043086860431</v>
      </c>
      <c r="EW26" s="613">
        <v>6.4886023276312252E-2</v>
      </c>
      <c r="EX26" s="613">
        <v>0.20692673615490101</v>
      </c>
      <c r="EY26" s="613">
        <v>0.24016932335243033</v>
      </c>
      <c r="EZ26" s="613">
        <v>0.49459891545202384</v>
      </c>
      <c r="FA26" s="613">
        <v>0.3934405272585963</v>
      </c>
      <c r="FB26" s="613">
        <v>0.26018662435475254</v>
      </c>
      <c r="FC26" s="613">
        <v>0.24165223666765698</v>
      </c>
      <c r="FD26" s="613">
        <v>0.48908796326126475</v>
      </c>
      <c r="FE26" s="613">
        <v>0.2526631370329841</v>
      </c>
      <c r="FF26" s="613">
        <v>0.1739830280687335</v>
      </c>
      <c r="FG26" s="613">
        <v>0.49754095254373426</v>
      </c>
      <c r="FH26" s="613">
        <v>0.18099919455840782</v>
      </c>
      <c r="FI26" s="613">
        <v>0.85251967630542913</v>
      </c>
      <c r="FJ26" s="613">
        <v>0.45688604279721828</v>
      </c>
      <c r="FK26" s="613">
        <v>0.33587854369180092</v>
      </c>
      <c r="FL26" s="613">
        <v>0.31337248079958596</v>
      </c>
      <c r="FM26" s="613">
        <v>0.62172310121958452</v>
      </c>
      <c r="FN26" s="613">
        <v>0.4788780417826754</v>
      </c>
      <c r="FO26" s="613">
        <v>0.11553444539103327</v>
      </c>
      <c r="FP26" s="613">
        <v>0.32004060748550034</v>
      </c>
      <c r="FQ26" s="613">
        <v>0.21121171164879923</v>
      </c>
      <c r="FR26" s="613">
        <v>0.15831279084154304</v>
      </c>
      <c r="FS26" s="613">
        <v>0.24599387727986977</v>
      </c>
      <c r="FT26" s="613">
        <v>0.23938073898381962</v>
      </c>
    </row>
    <row r="27" spans="1:176" s="613" customFormat="1" x14ac:dyDescent="0.2">
      <c r="A27" s="619" t="s">
        <v>18</v>
      </c>
      <c r="B27" s="613">
        <v>0.44579770287743908</v>
      </c>
      <c r="C27" s="613">
        <v>0.39840477107361616</v>
      </c>
      <c r="D27" s="613">
        <v>0.55998495045256691</v>
      </c>
      <c r="E27" s="613">
        <v>0.50845384554585193</v>
      </c>
      <c r="F27" s="613">
        <v>0.32101933341088634</v>
      </c>
      <c r="G27" s="613">
        <v>0.20673763181910088</v>
      </c>
      <c r="H27" s="613">
        <v>0.38590211858738505</v>
      </c>
      <c r="I27" s="613">
        <v>0.39274587470791023</v>
      </c>
      <c r="J27" s="613">
        <v>0.41866934806512318</v>
      </c>
      <c r="K27" s="613">
        <v>0.66071545476265192</v>
      </c>
      <c r="L27" s="613">
        <v>0.51942170044478886</v>
      </c>
      <c r="M27" s="613">
        <v>0.55260899839946986</v>
      </c>
      <c r="N27" s="613">
        <v>0.43430852478979143</v>
      </c>
      <c r="O27" s="613">
        <v>0.6658367757532877</v>
      </c>
      <c r="P27" s="613">
        <v>0.3466851791158499</v>
      </c>
      <c r="Q27" s="613">
        <v>0.42548298517170241</v>
      </c>
      <c r="R27" s="613">
        <v>0.63546889860467226</v>
      </c>
      <c r="S27" s="613">
        <v>0.36188427927346939</v>
      </c>
      <c r="T27" s="613">
        <v>0.30604730041626543</v>
      </c>
      <c r="U27" s="613">
        <v>0.20244177515442396</v>
      </c>
      <c r="V27" s="613">
        <v>0.41807904837508059</v>
      </c>
      <c r="W27" s="613">
        <v>0.64419772884397997</v>
      </c>
      <c r="X27" s="613">
        <v>0.61310637069235774</v>
      </c>
      <c r="Y27" s="613">
        <v>0.15236195476864339</v>
      </c>
      <c r="Z27" s="613">
        <v>0.44752506524192376</v>
      </c>
      <c r="AA27" s="613">
        <v>0.46108537893227802</v>
      </c>
      <c r="AB27" s="613">
        <v>0.62994336888367575</v>
      </c>
      <c r="AC27" s="613">
        <v>0.42565274854463686</v>
      </c>
      <c r="AD27" s="613">
        <v>0.43438290169329546</v>
      </c>
      <c r="AE27" s="613">
        <v>0.23980084896500564</v>
      </c>
      <c r="AF27" s="613">
        <v>0.61373407574151118</v>
      </c>
      <c r="AG27" s="613">
        <v>0.46042104655958926</v>
      </c>
      <c r="AH27" s="613">
        <v>0.52013183172921917</v>
      </c>
      <c r="AI27" s="613">
        <v>0.25577932506778944</v>
      </c>
      <c r="AJ27" s="613">
        <v>0.392173277621507</v>
      </c>
      <c r="AK27" s="613">
        <v>0.34519277054617398</v>
      </c>
      <c r="AL27" s="613">
        <v>0.5163843615099204</v>
      </c>
      <c r="AM27" s="613">
        <v>0.30294299951980214</v>
      </c>
      <c r="AN27" s="613">
        <v>0.41423821824193141</v>
      </c>
      <c r="AO27" s="613">
        <v>0.20737960305736527</v>
      </c>
      <c r="AP27" s="613">
        <v>0.429926433839664</v>
      </c>
      <c r="AQ27" s="613">
        <v>0.28562330892047089</v>
      </c>
      <c r="AR27" s="613">
        <v>0.25007933961205769</v>
      </c>
      <c r="AS27" s="613">
        <v>0.35115539247204869</v>
      </c>
      <c r="AT27" s="613">
        <v>0.10801139739353255</v>
      </c>
      <c r="AU27" s="613">
        <v>0.34905829724260684</v>
      </c>
      <c r="AV27" s="613">
        <v>0.43049255034235578</v>
      </c>
      <c r="AW27" s="613">
        <v>0.82341046548383723</v>
      </c>
      <c r="AX27" s="613">
        <v>0.43082534887703672</v>
      </c>
      <c r="AY27" s="613">
        <v>0.38653552058505808</v>
      </c>
      <c r="AZ27" s="613">
        <v>0.25612524280350901</v>
      </c>
      <c r="BA27" s="613">
        <v>0.44777123919012102</v>
      </c>
      <c r="BB27" s="613">
        <v>0</v>
      </c>
      <c r="BC27" s="613">
        <v>0.37816328040573066</v>
      </c>
      <c r="BD27" s="613">
        <v>0.77151346967112633</v>
      </c>
      <c r="BE27" s="613">
        <v>0.11278063173782517</v>
      </c>
      <c r="BF27" s="613">
        <v>0.54574680842763501</v>
      </c>
      <c r="BG27" s="613">
        <v>0.33999933291382162</v>
      </c>
      <c r="BH27" s="613">
        <v>0.43822585765855476</v>
      </c>
      <c r="BI27" s="613">
        <v>0.49256676198617266</v>
      </c>
      <c r="BJ27" s="613">
        <v>0.42256955839605553</v>
      </c>
      <c r="BK27" s="613">
        <v>0.44915551582482965</v>
      </c>
      <c r="BL27" s="613">
        <v>0.30473121174803158</v>
      </c>
      <c r="BM27" s="613">
        <v>0.29357377522860184</v>
      </c>
      <c r="BN27" s="613">
        <v>0.39759735676082381</v>
      </c>
      <c r="BO27" s="613">
        <v>0.46448179656770966</v>
      </c>
      <c r="BP27" s="613">
        <v>0.44374081534286325</v>
      </c>
      <c r="BQ27" s="613">
        <v>0.27657743731120554</v>
      </c>
      <c r="BR27" s="613">
        <v>0.33778167242359802</v>
      </c>
      <c r="BS27" s="613">
        <v>0.25313320457007621</v>
      </c>
      <c r="BT27" s="613">
        <v>0.39438415907624741</v>
      </c>
      <c r="BU27" s="613">
        <v>0.36987487546513137</v>
      </c>
      <c r="BV27" s="613">
        <v>0.44344046755679595</v>
      </c>
      <c r="BW27" s="613">
        <v>0.84539590104104112</v>
      </c>
      <c r="BX27" s="613">
        <v>0.44960114577245763</v>
      </c>
      <c r="BY27" s="613">
        <v>0.58317386798854809</v>
      </c>
      <c r="BZ27" s="613">
        <v>0.56531649943228734</v>
      </c>
      <c r="CA27" s="613">
        <v>0.23532744472189909</v>
      </c>
      <c r="CB27" s="613">
        <v>0.64812310182848099</v>
      </c>
      <c r="CC27" s="613">
        <v>0.53963921868865949</v>
      </c>
      <c r="CD27" s="613">
        <v>0.41586790354394304</v>
      </c>
      <c r="CE27" s="613">
        <v>0.27890079864742523</v>
      </c>
      <c r="CF27" s="613">
        <v>0.37387982972985251</v>
      </c>
      <c r="CG27" s="613">
        <v>0.51302773645891009</v>
      </c>
      <c r="CH27" s="613">
        <v>0.34015525271313091</v>
      </c>
      <c r="CI27" s="613">
        <v>0.42302336304464327</v>
      </c>
      <c r="CJ27" s="613">
        <v>0.42889794546987658</v>
      </c>
      <c r="CK27" s="613">
        <v>0.36049840982012699</v>
      </c>
      <c r="CL27" s="613">
        <v>0.2859410367878325</v>
      </c>
      <c r="CM27" s="613">
        <v>0.43254730014563675</v>
      </c>
      <c r="CN27" s="613">
        <v>0.27506056992862116</v>
      </c>
      <c r="CO27" s="613">
        <v>0.18713441722601518</v>
      </c>
      <c r="CP27" s="613">
        <v>0.69306585171948809</v>
      </c>
      <c r="CQ27" s="613">
        <v>0.46750061628822881</v>
      </c>
      <c r="CR27" s="613">
        <v>0.49037918543452075</v>
      </c>
      <c r="CS27" s="613">
        <v>0.36432632311614876</v>
      </c>
      <c r="CT27" s="613">
        <v>0.24610945943841459</v>
      </c>
      <c r="CU27" s="613">
        <v>0.33753440907782678</v>
      </c>
      <c r="CV27" s="613">
        <v>0.33810841835635208</v>
      </c>
      <c r="CW27" s="613">
        <v>0.50537662641589898</v>
      </c>
      <c r="CX27" s="613">
        <v>0.44683181174542891</v>
      </c>
      <c r="CY27" s="613">
        <v>0.44326728429597889</v>
      </c>
      <c r="CZ27" s="613">
        <v>1</v>
      </c>
      <c r="DA27" s="613">
        <v>0.62457246961144952</v>
      </c>
      <c r="DB27" s="613">
        <v>0.34125588432281201</v>
      </c>
      <c r="DC27" s="613">
        <v>0.52922068832637625</v>
      </c>
      <c r="DD27" s="613">
        <v>0.27073716680705356</v>
      </c>
      <c r="DE27" s="613">
        <v>0.5374231588332008</v>
      </c>
      <c r="DF27" s="613">
        <v>0.29132966106216307</v>
      </c>
      <c r="DG27" s="613">
        <v>0.15636475275334047</v>
      </c>
      <c r="DH27" s="613">
        <v>0.35008673770456594</v>
      </c>
      <c r="DI27" s="613">
        <v>0.6447440297044903</v>
      </c>
      <c r="DJ27" s="613">
        <v>0.58393335436881832</v>
      </c>
      <c r="DK27" s="613">
        <v>0.42040041877550205</v>
      </c>
      <c r="DL27" s="613">
        <v>0.58376601998499866</v>
      </c>
      <c r="DM27" s="613">
        <v>0.54522419790269105</v>
      </c>
      <c r="DN27" s="613">
        <v>0.7522087915048935</v>
      </c>
      <c r="DO27" s="613">
        <v>0.67108401006602059</v>
      </c>
      <c r="DP27" s="613">
        <v>0.58227106802293582</v>
      </c>
      <c r="DQ27" s="613">
        <v>0.78740714596238814</v>
      </c>
      <c r="DR27" s="613">
        <v>0.58425583677705328</v>
      </c>
      <c r="DS27" s="613">
        <v>0.69555568082113262</v>
      </c>
      <c r="DT27" s="613">
        <v>0.36858995107255271</v>
      </c>
      <c r="DU27" s="613">
        <v>0.63266976065877312</v>
      </c>
      <c r="DV27" s="613">
        <v>0.53824745941112517</v>
      </c>
      <c r="DW27" s="613">
        <v>0.33352521652574635</v>
      </c>
      <c r="DX27" s="613">
        <v>0.34103787177825662</v>
      </c>
      <c r="DY27" s="613">
        <v>0.32997095815041089</v>
      </c>
      <c r="DZ27" s="613">
        <v>0.29440197313947108</v>
      </c>
      <c r="EA27" s="613">
        <v>0.50546345550503646</v>
      </c>
      <c r="EB27" s="613">
        <v>0.2434972588497557</v>
      </c>
      <c r="EC27" s="613">
        <v>0.33924717666460519</v>
      </c>
      <c r="ED27" s="613">
        <v>0.40450021492596994</v>
      </c>
      <c r="EE27" s="613">
        <v>0.25280408039472985</v>
      </c>
      <c r="EF27" s="613">
        <v>0.54782323892641027</v>
      </c>
      <c r="EG27" s="613">
        <v>0.274885874965834</v>
      </c>
      <c r="EH27" s="613">
        <v>0.36823983004707539</v>
      </c>
      <c r="EI27" s="613">
        <v>0.27659233423487456</v>
      </c>
      <c r="EJ27" s="613">
        <v>0.51234522547631078</v>
      </c>
      <c r="EK27" s="613">
        <v>0.57700955274432708</v>
      </c>
      <c r="EL27" s="613">
        <v>0.40153873352648251</v>
      </c>
      <c r="EM27" s="613">
        <v>0.26353406234888566</v>
      </c>
      <c r="EN27" s="613">
        <v>0.41713432929298505</v>
      </c>
      <c r="EO27" s="613">
        <v>9.2470786631538723E-2</v>
      </c>
      <c r="EP27" s="613">
        <v>0.13987768800035372</v>
      </c>
      <c r="EQ27" s="613">
        <v>0.75293399065683497</v>
      </c>
      <c r="ER27" s="613">
        <v>0.72155708609936153</v>
      </c>
      <c r="ES27" s="613">
        <v>0.31199505734406124</v>
      </c>
      <c r="ET27" s="613">
        <v>0.36749176614521883</v>
      </c>
      <c r="EU27" s="613">
        <v>0.42348774956813373</v>
      </c>
      <c r="EV27" s="613">
        <v>0.46781503909872801</v>
      </c>
      <c r="EW27" s="613">
        <v>0.52939224851507727</v>
      </c>
      <c r="EX27" s="613">
        <v>0.38563317045528889</v>
      </c>
      <c r="EY27" s="613">
        <v>0.44966773267641919</v>
      </c>
      <c r="EZ27" s="613">
        <v>0.48807750227396796</v>
      </c>
      <c r="FA27" s="613">
        <v>0.28341679462203717</v>
      </c>
      <c r="FB27" s="613">
        <v>0.65628814065022034</v>
      </c>
      <c r="FC27" s="613">
        <v>0.31783982033482094</v>
      </c>
      <c r="FD27" s="613">
        <v>0.80338294105443708</v>
      </c>
      <c r="FE27" s="613">
        <v>0.62110943890162729</v>
      </c>
      <c r="FF27" s="613">
        <v>6.2053552598316609E-2</v>
      </c>
      <c r="FG27" s="613">
        <v>0.18822199632453221</v>
      </c>
      <c r="FH27" s="613">
        <v>0.50436080185057763</v>
      </c>
      <c r="FI27" s="613">
        <v>0.36083862022470564</v>
      </c>
      <c r="FJ27" s="613">
        <v>0.36311075732094139</v>
      </c>
      <c r="FK27" s="613">
        <v>0.39829913357327934</v>
      </c>
      <c r="FL27" s="613">
        <v>0.2982061778933961</v>
      </c>
      <c r="FM27" s="613">
        <v>0.62731360474851605</v>
      </c>
      <c r="FN27" s="613">
        <v>0.45916023913112097</v>
      </c>
      <c r="FO27" s="613">
        <v>0.18324967688503932</v>
      </c>
      <c r="FP27" s="613">
        <v>0.50156912885427218</v>
      </c>
      <c r="FQ27" s="613">
        <v>0.25126782515731771</v>
      </c>
      <c r="FR27" s="613">
        <v>0.36326953467444384</v>
      </c>
      <c r="FS27" s="613">
        <v>0.22170639895417341</v>
      </c>
      <c r="FT27" s="613">
        <v>0.30064387413953947</v>
      </c>
    </row>
    <row r="28" spans="1:176" s="613" customFormat="1" x14ac:dyDescent="0.2">
      <c r="A28" s="619" t="s">
        <v>90</v>
      </c>
      <c r="B28" s="613">
        <v>0.49944497772005553</v>
      </c>
      <c r="C28" s="613">
        <v>0.47700750430221073</v>
      </c>
      <c r="D28" s="613">
        <v>0.78277200681179659</v>
      </c>
      <c r="E28" s="613">
        <v>0.7362977642208931</v>
      </c>
      <c r="F28" s="613">
        <v>0.58697667463182446</v>
      </c>
      <c r="G28" s="613">
        <v>0.49226659637448905</v>
      </c>
      <c r="H28" s="613">
        <v>0.6616708598562393</v>
      </c>
      <c r="I28" s="613">
        <v>0.66704733085824675</v>
      </c>
      <c r="J28" s="613">
        <v>0.49719798850906466</v>
      </c>
      <c r="K28" s="613">
        <v>0.49672057809899522</v>
      </c>
      <c r="L28" s="613">
        <v>0.39981836120816983</v>
      </c>
      <c r="M28" s="613">
        <v>0.59053947420823372</v>
      </c>
      <c r="N28" s="613">
        <v>0.49409153439621256</v>
      </c>
      <c r="O28" s="613">
        <v>0.50084513048291546</v>
      </c>
      <c r="P28" s="613">
        <v>0.49273138312452647</v>
      </c>
      <c r="Q28" s="613">
        <v>0.6712621540057534</v>
      </c>
      <c r="R28" s="613">
        <v>0.66299961809545516</v>
      </c>
      <c r="S28" s="613">
        <v>0.24979999541236089</v>
      </c>
      <c r="T28" s="613">
        <v>0.38509295420326445</v>
      </c>
      <c r="U28" s="613">
        <v>0.51079346762213362</v>
      </c>
      <c r="V28" s="613">
        <v>0.47722366038393843</v>
      </c>
      <c r="W28" s="613">
        <v>0.67017325959236629</v>
      </c>
      <c r="X28" s="613">
        <v>0.64462135275983135</v>
      </c>
      <c r="Y28" s="613">
        <v>7.7607616778552407E-2</v>
      </c>
      <c r="Z28" s="613">
        <v>0.50983737909261639</v>
      </c>
      <c r="AA28" s="613">
        <v>0.55934771153427232</v>
      </c>
      <c r="AB28" s="613">
        <v>0.65977264079901543</v>
      </c>
      <c r="AC28" s="613">
        <v>0.51105321209543886</v>
      </c>
      <c r="AD28" s="613">
        <v>0.65667671754554124</v>
      </c>
      <c r="AE28" s="613">
        <v>0.3906733527555033</v>
      </c>
      <c r="AF28" s="613">
        <v>0.66431844401640827</v>
      </c>
      <c r="AG28" s="613">
        <v>0.51305712081346222</v>
      </c>
      <c r="AH28" s="613">
        <v>0.75357078540566624</v>
      </c>
      <c r="AI28" s="613">
        <v>0.34451635673752501</v>
      </c>
      <c r="AJ28" s="613">
        <v>0.64266129097349023</v>
      </c>
      <c r="AK28" s="613">
        <v>0.48827934553212493</v>
      </c>
      <c r="AL28" s="613">
        <v>0.62887442293002171</v>
      </c>
      <c r="AM28" s="613">
        <v>0.45705009524606433</v>
      </c>
      <c r="AN28" s="613">
        <v>0.53546798457426847</v>
      </c>
      <c r="AO28" s="613">
        <v>0.2799098288839697</v>
      </c>
      <c r="AP28" s="613">
        <v>0.49535494823785531</v>
      </c>
      <c r="AQ28" s="613">
        <v>0.43177711598735619</v>
      </c>
      <c r="AR28" s="613">
        <v>0.40362565318135712</v>
      </c>
      <c r="AS28" s="613">
        <v>0.42802958464855739</v>
      </c>
      <c r="AT28" s="613">
        <v>0.22951759188922605</v>
      </c>
      <c r="AU28" s="613">
        <v>0.25843397045815863</v>
      </c>
      <c r="AV28" s="613">
        <v>0.3253593340281411</v>
      </c>
      <c r="AW28" s="613">
        <v>0.65002360998941644</v>
      </c>
      <c r="AX28" s="613">
        <v>0.51698136447358234</v>
      </c>
      <c r="AY28" s="613">
        <v>0.45005642584893618</v>
      </c>
      <c r="AZ28" s="613">
        <v>0.33976556365449678</v>
      </c>
      <c r="BA28" s="613">
        <v>0.5174534525687482</v>
      </c>
      <c r="BB28" s="613">
        <v>0.32655385415439819</v>
      </c>
      <c r="BC28" s="613">
        <v>0.46882699773426184</v>
      </c>
      <c r="BD28" s="613">
        <v>1</v>
      </c>
      <c r="BE28" s="613">
        <v>0.41929376988854455</v>
      </c>
      <c r="BF28" s="613">
        <v>0.58926303580001937</v>
      </c>
      <c r="BG28" s="613">
        <v>0.47266607217993356</v>
      </c>
      <c r="BH28" s="613">
        <v>0.49729020576964666</v>
      </c>
      <c r="BI28" s="613">
        <v>0.55695751935616211</v>
      </c>
      <c r="BJ28" s="613">
        <v>0.54437223581561489</v>
      </c>
      <c r="BK28" s="613">
        <v>0.5007118120888282</v>
      </c>
      <c r="BL28" s="613">
        <v>0.27050510778815173</v>
      </c>
      <c r="BM28" s="613">
        <v>0.37421369560809081</v>
      </c>
      <c r="BN28" s="613">
        <v>0.52358843779760689</v>
      </c>
      <c r="BO28" s="613">
        <v>0.51577199302393895</v>
      </c>
      <c r="BP28" s="613">
        <v>0.51906375775417624</v>
      </c>
      <c r="BQ28" s="613">
        <v>0.54997552440297348</v>
      </c>
      <c r="BR28" s="613">
        <v>0.4102836770900925</v>
      </c>
      <c r="BS28" s="613">
        <v>0.33989009440145446</v>
      </c>
      <c r="BT28" s="613">
        <v>0.45484663754143623</v>
      </c>
      <c r="BU28" s="613">
        <v>0.45249744093960415</v>
      </c>
      <c r="BV28" s="613">
        <v>0.31930670126882549</v>
      </c>
      <c r="BW28" s="613">
        <v>0.64933519291981978</v>
      </c>
      <c r="BX28" s="613">
        <v>0.32138815399394116</v>
      </c>
      <c r="BY28" s="613">
        <v>0.43216499494988148</v>
      </c>
      <c r="BZ28" s="613">
        <v>0.42071146448565222</v>
      </c>
      <c r="CA28" s="613">
        <v>0.21306199554718783</v>
      </c>
      <c r="CB28" s="613">
        <v>0.6761141389826677</v>
      </c>
      <c r="CC28" s="613">
        <v>0.74518095543725726</v>
      </c>
      <c r="CD28" s="613">
        <v>0.54916750064090447</v>
      </c>
      <c r="CE28" s="613">
        <v>0.43831700793682926</v>
      </c>
      <c r="CF28" s="613">
        <v>0.50056877996910076</v>
      </c>
      <c r="CG28" s="613">
        <v>0.56238128002778165</v>
      </c>
      <c r="CH28" s="613">
        <v>0.45082618462090296</v>
      </c>
      <c r="CI28" s="613">
        <v>0.68765648295829129</v>
      </c>
      <c r="CJ28" s="613">
        <v>0.67149125671491716</v>
      </c>
      <c r="CK28" s="613">
        <v>0.61545344263230728</v>
      </c>
      <c r="CL28" s="613">
        <v>0.18399814215522386</v>
      </c>
      <c r="CM28" s="613">
        <v>0.61834122566582761</v>
      </c>
      <c r="CN28" s="613">
        <v>0.24557724483082702</v>
      </c>
      <c r="CO28" s="613">
        <v>0.17755200461348913</v>
      </c>
      <c r="CP28" s="613">
        <v>0.52323074615666609</v>
      </c>
      <c r="CQ28" s="613">
        <v>0.5261367592076992</v>
      </c>
      <c r="CR28" s="613">
        <v>0.53760982680301606</v>
      </c>
      <c r="CS28" s="613">
        <v>0.45230914611746825</v>
      </c>
      <c r="CT28" s="613">
        <v>0.52517030941983434</v>
      </c>
      <c r="CU28" s="613">
        <v>0.60152938426107316</v>
      </c>
      <c r="CV28" s="613">
        <v>0.60192619436208383</v>
      </c>
      <c r="CW28" s="613">
        <v>0.73418038851470224</v>
      </c>
      <c r="CX28" s="613">
        <v>0.56207119568687314</v>
      </c>
      <c r="CY28" s="613">
        <v>0.59086039975251936</v>
      </c>
      <c r="CZ28" s="613">
        <v>0.96628693217443762</v>
      </c>
      <c r="DA28" s="613">
        <v>0.69710870691544446</v>
      </c>
      <c r="DB28" s="613">
        <v>0.32089472633729166</v>
      </c>
      <c r="DC28" s="613">
        <v>0.59053169403660477</v>
      </c>
      <c r="DD28" s="613">
        <v>0.21111214120540872</v>
      </c>
      <c r="DE28" s="613">
        <v>0.63700331722316483</v>
      </c>
      <c r="DF28" s="613">
        <v>0.24627399999456762</v>
      </c>
      <c r="DG28" s="613">
        <v>0.28743269165357482</v>
      </c>
      <c r="DH28" s="613">
        <v>0.44945293316365936</v>
      </c>
      <c r="DI28" s="613">
        <v>0.67364501393536269</v>
      </c>
      <c r="DJ28" s="613">
        <v>0.49537351256785689</v>
      </c>
      <c r="DK28" s="613">
        <v>0.36512246851459607</v>
      </c>
      <c r="DL28" s="613">
        <v>0.50276173372297517</v>
      </c>
      <c r="DM28" s="613">
        <v>0.63599809479259428</v>
      </c>
      <c r="DN28" s="613">
        <v>0.77844016250069592</v>
      </c>
      <c r="DO28" s="613">
        <v>0.56720492255371269</v>
      </c>
      <c r="DP28" s="613">
        <v>0.4938041957681602</v>
      </c>
      <c r="DQ28" s="613">
        <v>0.82946191390669122</v>
      </c>
      <c r="DR28" s="613">
        <v>0.46222219361897293</v>
      </c>
      <c r="DS28" s="613">
        <v>0.73622081907449555</v>
      </c>
      <c r="DT28" s="613">
        <v>0.27448572980923924</v>
      </c>
      <c r="DU28" s="613">
        <v>0.6620132797664916</v>
      </c>
      <c r="DV28" s="613">
        <v>0.66350905497723023</v>
      </c>
      <c r="DW28" s="613">
        <v>0.46666672511143092</v>
      </c>
      <c r="DX28" s="613">
        <v>0.42895231776548992</v>
      </c>
      <c r="DY28" s="613">
        <v>0.59774080081231939</v>
      </c>
      <c r="DZ28" s="613">
        <v>0.38670457196708291</v>
      </c>
      <c r="EA28" s="613">
        <v>0.55753166745193894</v>
      </c>
      <c r="EB28" s="613">
        <v>0.52183733806278121</v>
      </c>
      <c r="EC28" s="613">
        <v>0.41417127034146589</v>
      </c>
      <c r="ED28" s="613">
        <v>0.47650899631652577</v>
      </c>
      <c r="EE28" s="613">
        <v>0.35201464736343069</v>
      </c>
      <c r="EF28" s="613">
        <v>0.59479774915888661</v>
      </c>
      <c r="EG28" s="613">
        <v>0.355289206489388</v>
      </c>
      <c r="EH28" s="613">
        <v>0.50786528694624844</v>
      </c>
      <c r="EI28" s="613">
        <v>0.43642841794854159</v>
      </c>
      <c r="EJ28" s="613">
        <v>0.3700960362421154</v>
      </c>
      <c r="EK28" s="613">
        <v>0.65236020849760501</v>
      </c>
      <c r="EL28" s="613">
        <v>0.34433614073439478</v>
      </c>
      <c r="EM28" s="613">
        <v>0.40102680351133563</v>
      </c>
      <c r="EN28" s="613">
        <v>0.49806796650166335</v>
      </c>
      <c r="EO28" s="613">
        <v>0.29104077572773884</v>
      </c>
      <c r="EP28" s="613">
        <v>0.29405594674389013</v>
      </c>
      <c r="EQ28" s="613">
        <v>0.62840283005580266</v>
      </c>
      <c r="ER28" s="613">
        <v>0.54522379574991253</v>
      </c>
      <c r="ES28" s="613">
        <v>0.27696683015296159</v>
      </c>
      <c r="ET28" s="613">
        <v>0.44697767799944543</v>
      </c>
      <c r="EU28" s="613">
        <v>0.50927394430435802</v>
      </c>
      <c r="EV28" s="613">
        <v>0.34586363603562981</v>
      </c>
      <c r="EW28" s="613">
        <v>0.5760766558095326</v>
      </c>
      <c r="EX28" s="613">
        <v>0.46603701211325615</v>
      </c>
      <c r="EY28" s="613">
        <v>0.3212543459715545</v>
      </c>
      <c r="EZ28" s="613">
        <v>0.69947302472585215</v>
      </c>
      <c r="FA28" s="613">
        <v>0.55342024094779663</v>
      </c>
      <c r="FB28" s="613">
        <v>0.85763563254158304</v>
      </c>
      <c r="FC28" s="613">
        <v>0.57951082244801855</v>
      </c>
      <c r="FD28" s="613">
        <v>0.64780861612305296</v>
      </c>
      <c r="FE28" s="613">
        <v>0.73414310578524944</v>
      </c>
      <c r="FF28" s="613">
        <v>0</v>
      </c>
      <c r="FG28" s="613">
        <v>0.10368940152361884</v>
      </c>
      <c r="FH28" s="613">
        <v>0.71385986451547645</v>
      </c>
      <c r="FI28" s="613">
        <v>0.44632489843023743</v>
      </c>
      <c r="FJ28" s="613">
        <v>0.25006449510611267</v>
      </c>
      <c r="FK28" s="613">
        <v>0.2963046136852166</v>
      </c>
      <c r="FL28" s="613">
        <v>0.3975070993106577</v>
      </c>
      <c r="FM28" s="613">
        <v>0.8436921097436787</v>
      </c>
      <c r="FN28" s="613">
        <v>0.36967803508838099</v>
      </c>
      <c r="FO28" s="613">
        <v>0.33654670039476309</v>
      </c>
      <c r="FP28" s="613">
        <v>0.36326971886403253</v>
      </c>
      <c r="FQ28" s="613">
        <v>0.15826650070269802</v>
      </c>
      <c r="FR28" s="613">
        <v>0.55586793931614897</v>
      </c>
      <c r="FS28" s="613">
        <v>0.15191032524236539</v>
      </c>
      <c r="FT28" s="613">
        <v>0.418443747005529</v>
      </c>
    </row>
    <row r="29" spans="1:176" s="613" customFormat="1" x14ac:dyDescent="0.2">
      <c r="A29" s="619" t="s">
        <v>923</v>
      </c>
      <c r="B29" s="613">
        <v>0.32121778404006007</v>
      </c>
      <c r="C29" s="613">
        <v>1</v>
      </c>
      <c r="D29" s="613">
        <v>0.5978026731460756</v>
      </c>
      <c r="E29" s="613">
        <v>0.57649458609598758</v>
      </c>
      <c r="F29" s="613">
        <v>1</v>
      </c>
      <c r="G29" s="613">
        <v>1</v>
      </c>
      <c r="H29" s="613">
        <v>1</v>
      </c>
      <c r="I29" s="613">
        <v>1</v>
      </c>
      <c r="J29" s="613">
        <v>1</v>
      </c>
      <c r="K29" s="613">
        <v>1</v>
      </c>
      <c r="L29" s="613">
        <v>1</v>
      </c>
      <c r="M29" s="613">
        <v>1</v>
      </c>
      <c r="N29" s="613">
        <v>1</v>
      </c>
      <c r="O29" s="613">
        <v>1</v>
      </c>
      <c r="P29" s="613">
        <v>1</v>
      </c>
      <c r="Q29" s="613">
        <v>1</v>
      </c>
      <c r="R29" s="613">
        <v>0.54961171152472232</v>
      </c>
      <c r="S29" s="613">
        <v>0.20145040759148852</v>
      </c>
      <c r="T29" s="613">
        <v>1</v>
      </c>
      <c r="U29" s="613">
        <v>1</v>
      </c>
      <c r="V29" s="613">
        <v>0.33113132473971052</v>
      </c>
      <c r="W29" s="613">
        <v>0.64112781585669421</v>
      </c>
      <c r="X29" s="613">
        <v>0.61309493127980363</v>
      </c>
      <c r="Y29" s="613">
        <v>2.1646920970659907E-2</v>
      </c>
      <c r="Z29" s="613">
        <v>0.52472414826466696</v>
      </c>
      <c r="AA29" s="613">
        <v>0.42421453536347808</v>
      </c>
      <c r="AB29" s="613">
        <v>0.46919814727706172</v>
      </c>
      <c r="AC29" s="613">
        <v>1</v>
      </c>
      <c r="AD29" s="613">
        <v>0.60509202835571885</v>
      </c>
      <c r="AE29" s="613">
        <v>0.13100096356506602</v>
      </c>
      <c r="AF29" s="613">
        <v>1</v>
      </c>
      <c r="AG29" s="613">
        <v>0.33959712531172648</v>
      </c>
      <c r="AH29" s="613">
        <v>1</v>
      </c>
      <c r="AI29" s="613">
        <v>1</v>
      </c>
      <c r="AJ29" s="613">
        <v>0.58516754634001489</v>
      </c>
      <c r="AK29" s="613">
        <v>0.45909810351759706</v>
      </c>
      <c r="AL29" s="613">
        <v>0.61017584904204536</v>
      </c>
      <c r="AM29" s="613">
        <v>0.36207634379694115</v>
      </c>
      <c r="AN29" s="613">
        <v>0.30274473396957985</v>
      </c>
      <c r="AO29" s="613">
        <v>0.14299673139564828</v>
      </c>
      <c r="AP29" s="613">
        <v>0.37909859695225157</v>
      </c>
      <c r="AQ29" s="613">
        <v>0.19146494088756427</v>
      </c>
      <c r="AR29" s="613">
        <v>0.1283085058811069</v>
      </c>
      <c r="AS29" s="613">
        <v>0.12272434021139965</v>
      </c>
      <c r="AT29" s="613">
        <v>1</v>
      </c>
      <c r="AU29" s="613">
        <v>0.32125628506429543</v>
      </c>
      <c r="AV29" s="613">
        <v>0.22677496181995874</v>
      </c>
      <c r="AW29" s="613">
        <v>0.70143251306580701</v>
      </c>
      <c r="AX29" s="613">
        <v>0.53645559358955242</v>
      </c>
      <c r="AY29" s="613">
        <v>0.34989982131280667</v>
      </c>
      <c r="AZ29" s="613">
        <v>0.28755680785883081</v>
      </c>
      <c r="BA29" s="613">
        <v>0.46547492917351035</v>
      </c>
      <c r="BB29" s="613">
        <v>9.1237139140653359E-2</v>
      </c>
      <c r="BC29" s="613">
        <v>0.34790310532437857</v>
      </c>
      <c r="BD29" s="613">
        <v>1</v>
      </c>
      <c r="BE29" s="613">
        <v>9.0741814782243357E-2</v>
      </c>
      <c r="BF29" s="613">
        <v>0.26972511638018692</v>
      </c>
      <c r="BG29" s="613">
        <v>0.17897012258762349</v>
      </c>
      <c r="BH29" s="613">
        <v>0.23209909078569288</v>
      </c>
      <c r="BI29" s="613">
        <v>0.33483972574865717</v>
      </c>
      <c r="BJ29" s="613">
        <v>0.38776272600512457</v>
      </c>
      <c r="BK29" s="613">
        <v>0.40637913070986159</v>
      </c>
      <c r="BL29" s="613">
        <v>1</v>
      </c>
      <c r="BM29" s="613">
        <v>0.19836979393677587</v>
      </c>
      <c r="BN29" s="613">
        <v>0.45051228728159382</v>
      </c>
      <c r="BO29" s="613">
        <v>0.4140493361506849</v>
      </c>
      <c r="BP29" s="613">
        <v>0.34345318600145008</v>
      </c>
      <c r="BQ29" s="613">
        <v>0.29780815608990335</v>
      </c>
      <c r="BR29" s="613">
        <v>0.24063225890152495</v>
      </c>
      <c r="BS29" s="613">
        <v>0.28727143482551482</v>
      </c>
      <c r="BT29" s="613">
        <v>1</v>
      </c>
      <c r="BU29" s="613">
        <v>0.32523115873880293</v>
      </c>
      <c r="BV29" s="613">
        <v>9.9258487695796704E-2</v>
      </c>
      <c r="BW29" s="613">
        <v>0.80648114252421765</v>
      </c>
      <c r="BX29" s="613">
        <v>0.26402172047535488</v>
      </c>
      <c r="BY29" s="613">
        <v>1</v>
      </c>
      <c r="BZ29" s="613">
        <v>0.33773837343698349</v>
      </c>
      <c r="CA29" s="613">
        <v>0.17086191252263505</v>
      </c>
      <c r="CB29" s="613">
        <v>0.60224629266796958</v>
      </c>
      <c r="CC29" s="613">
        <v>1</v>
      </c>
      <c r="CD29" s="613">
        <v>1</v>
      </c>
      <c r="CE29" s="613">
        <v>0.11619863073201106</v>
      </c>
      <c r="CF29" s="613">
        <v>0.2913892490576413</v>
      </c>
      <c r="CG29" s="613">
        <v>0.37259388060372062</v>
      </c>
      <c r="CH29" s="613">
        <v>1</v>
      </c>
      <c r="CI29" s="613">
        <v>0.6484545945266631</v>
      </c>
      <c r="CJ29" s="613">
        <v>0.4395699008990272</v>
      </c>
      <c r="CK29" s="613">
        <v>0.39001877146331038</v>
      </c>
      <c r="CL29" s="613">
        <v>0.14689277356019756</v>
      </c>
      <c r="CM29" s="613">
        <v>0.32981473023163849</v>
      </c>
      <c r="CN29" s="613">
        <v>1.8189124593139875E-2</v>
      </c>
      <c r="CO29" s="613">
        <v>7.8082528955709829E-2</v>
      </c>
      <c r="CP29" s="613">
        <v>1</v>
      </c>
      <c r="CQ29" s="613">
        <v>0.54139368582731795</v>
      </c>
      <c r="CR29" s="613">
        <v>1</v>
      </c>
      <c r="CS29" s="613">
        <v>0.23345061377956361</v>
      </c>
      <c r="CT29" s="613">
        <v>1</v>
      </c>
      <c r="CU29" s="613">
        <v>0.4292139090625553</v>
      </c>
      <c r="CV29" s="613">
        <v>0.41125398382264955</v>
      </c>
      <c r="CW29" s="613">
        <v>0.70381799169428949</v>
      </c>
      <c r="CX29" s="613">
        <v>0.42196713014369069</v>
      </c>
      <c r="CY29" s="613">
        <v>0.69236753477245494</v>
      </c>
      <c r="CZ29" s="613">
        <v>0.89530011114322428</v>
      </c>
      <c r="DA29" s="613">
        <v>1</v>
      </c>
      <c r="DB29" s="613">
        <v>0.12019439870883437</v>
      </c>
      <c r="DC29" s="613">
        <v>1</v>
      </c>
      <c r="DD29" s="613">
        <v>4.9782301694109868E-2</v>
      </c>
      <c r="DE29" s="613">
        <v>0.56739147276716284</v>
      </c>
      <c r="DF29" s="613">
        <v>0.32023034597268279</v>
      </c>
      <c r="DG29" s="613">
        <v>0.11776356525575034</v>
      </c>
      <c r="DH29" s="613">
        <v>0.22551408779871426</v>
      </c>
      <c r="DI29" s="613">
        <v>0.46560333759456468</v>
      </c>
      <c r="DJ29" s="613">
        <v>0.47702250180194045</v>
      </c>
      <c r="DK29" s="613">
        <v>0.33519703451314919</v>
      </c>
      <c r="DL29" s="613">
        <v>0.28670373589990356</v>
      </c>
      <c r="DM29" s="613">
        <v>0.40276587288821214</v>
      </c>
      <c r="DN29" s="613">
        <v>0.55662693931833462</v>
      </c>
      <c r="DO29" s="613">
        <v>0.6569083642551089</v>
      </c>
      <c r="DP29" s="613">
        <v>0.44791247689398578</v>
      </c>
      <c r="DQ29" s="613">
        <v>1</v>
      </c>
      <c r="DR29" s="613">
        <v>1</v>
      </c>
      <c r="DS29" s="613">
        <v>0.53409377950120596</v>
      </c>
      <c r="DT29" s="613">
        <v>0.1570952849125386</v>
      </c>
      <c r="DU29" s="613">
        <v>0.62298240917109915</v>
      </c>
      <c r="DV29" s="613">
        <v>0.44008916081640009</v>
      </c>
      <c r="DW29" s="613">
        <v>0.1718306719956269</v>
      </c>
      <c r="DX29" s="613">
        <v>0.34518630311747162</v>
      </c>
      <c r="DY29" s="613">
        <v>0.27871441425544285</v>
      </c>
      <c r="DZ29" s="613">
        <v>0.42470209336124415</v>
      </c>
      <c r="EA29" s="613">
        <v>0.45985529037579193</v>
      </c>
      <c r="EB29" s="613">
        <v>0.33002374878700647</v>
      </c>
      <c r="EC29" s="613">
        <v>0.35460368136952652</v>
      </c>
      <c r="ED29" s="613">
        <v>0.54284289782014472</v>
      </c>
      <c r="EE29" s="613">
        <v>0.39535936370136004</v>
      </c>
      <c r="EF29" s="613">
        <v>0.65571128630036013</v>
      </c>
      <c r="EG29" s="613">
        <v>0.31578936617126707</v>
      </c>
      <c r="EH29" s="613">
        <v>0.43342236864986528</v>
      </c>
      <c r="EI29" s="613">
        <v>0.11980241012961156</v>
      </c>
      <c r="EJ29" s="613">
        <v>0.24881032854266968</v>
      </c>
      <c r="EK29" s="613">
        <v>1</v>
      </c>
      <c r="EL29" s="613">
        <v>0.20342456240811643</v>
      </c>
      <c r="EM29" s="613">
        <v>1</v>
      </c>
      <c r="EN29" s="613">
        <v>0.41716708213391385</v>
      </c>
      <c r="EO29" s="613">
        <v>0.22256281080092011</v>
      </c>
      <c r="EP29" s="613">
        <v>0.23082258294768782</v>
      </c>
      <c r="EQ29" s="613">
        <v>0.34616059226200768</v>
      </c>
      <c r="ER29" s="613">
        <v>0.3833805680932017</v>
      </c>
      <c r="ES29" s="613">
        <v>0.10705646546650392</v>
      </c>
      <c r="ET29" s="613">
        <v>0.2733006574488816</v>
      </c>
      <c r="EU29" s="613">
        <v>1</v>
      </c>
      <c r="EV29" s="613">
        <v>0.29498310508570852</v>
      </c>
      <c r="EW29" s="613">
        <v>0.44444548058729227</v>
      </c>
      <c r="EX29" s="613">
        <v>0.38691410538211096</v>
      </c>
      <c r="EY29" s="613">
        <v>0.22398619126057884</v>
      </c>
      <c r="EZ29" s="613">
        <v>0.74125526423732591</v>
      </c>
      <c r="FA29" s="613">
        <v>0.5829097440585963</v>
      </c>
      <c r="FB29" s="613">
        <v>0.72384746589219662</v>
      </c>
      <c r="FC29" s="613">
        <v>0.55290657190453463</v>
      </c>
      <c r="FD29" s="613">
        <v>0.47167338850817991</v>
      </c>
      <c r="FE29" s="613">
        <v>0.48084722299160948</v>
      </c>
      <c r="FF29" s="613">
        <v>7.2057897353645983E-2</v>
      </c>
      <c r="FG29" s="613">
        <v>0.25912177055618052</v>
      </c>
      <c r="FH29" s="613">
        <v>0.51888626218756106</v>
      </c>
      <c r="FI29" s="613">
        <v>1</v>
      </c>
      <c r="FJ29" s="613">
        <v>0.37610036896932336</v>
      </c>
      <c r="FK29" s="613">
        <v>0.36187682093288315</v>
      </c>
      <c r="FL29" s="613">
        <v>0.26064733403653578</v>
      </c>
      <c r="FM29" s="613">
        <v>0.56859525939046573</v>
      </c>
      <c r="FN29" s="613">
        <v>0.28777943615104079</v>
      </c>
      <c r="FO29" s="613">
        <v>0</v>
      </c>
      <c r="FP29" s="613">
        <v>0.33911782829963871</v>
      </c>
      <c r="FQ29" s="613">
        <v>0.26515833518615711</v>
      </c>
      <c r="FR29" s="613">
        <v>0.25897596271680473</v>
      </c>
      <c r="FS29" s="613">
        <v>1</v>
      </c>
      <c r="FT29" s="613">
        <v>0.17321991377786689</v>
      </c>
    </row>
    <row r="30" spans="1:176" s="613" customFormat="1" x14ac:dyDescent="0.2">
      <c r="A30" s="619" t="s">
        <v>194</v>
      </c>
      <c r="B30" s="613">
        <v>0.48188137522626684</v>
      </c>
      <c r="C30" s="613">
        <v>0.44912084148650955</v>
      </c>
      <c r="D30" s="613">
        <v>0.48093304192447389</v>
      </c>
      <c r="E30" s="613">
        <v>0.37908146092692507</v>
      </c>
      <c r="F30" s="613">
        <v>0.31596487519305538</v>
      </c>
      <c r="G30" s="613">
        <v>0.17757455671207117</v>
      </c>
      <c r="H30" s="613">
        <v>0.23757960785641458</v>
      </c>
      <c r="I30" s="613">
        <v>0.25487832658360926</v>
      </c>
      <c r="J30" s="613">
        <v>0.42157992290812041</v>
      </c>
      <c r="K30" s="613">
        <v>0.69965509209560717</v>
      </c>
      <c r="L30" s="613">
        <v>0.62198998122664084</v>
      </c>
      <c r="M30" s="613">
        <v>0.51972923092402079</v>
      </c>
      <c r="N30" s="613">
        <v>0.39509520508042972</v>
      </c>
      <c r="O30" s="613">
        <v>0.81614374712100113</v>
      </c>
      <c r="P30" s="613">
        <v>0.51328513157295563</v>
      </c>
      <c r="Q30" s="613">
        <v>0.2806443054515978</v>
      </c>
      <c r="R30" s="613">
        <v>0.7444791438473225</v>
      </c>
      <c r="S30" s="613">
        <v>0.46291283033252828</v>
      </c>
      <c r="T30" s="613">
        <v>0.18557813506857726</v>
      </c>
      <c r="U30" s="613">
        <v>0.1602780434725383</v>
      </c>
      <c r="V30" s="613">
        <v>0.42399573470542379</v>
      </c>
      <c r="W30" s="613">
        <v>0.72728795171316363</v>
      </c>
      <c r="X30" s="613">
        <v>0.88166272716723026</v>
      </c>
      <c r="Y30" s="613">
        <v>0.49222988291590497</v>
      </c>
      <c r="Z30" s="613">
        <v>0.74241156780777151</v>
      </c>
      <c r="AA30" s="613">
        <v>0.71916759939265829</v>
      </c>
      <c r="AB30" s="613">
        <v>0.75142726748327726</v>
      </c>
      <c r="AC30" s="613">
        <v>0.54945455108742103</v>
      </c>
      <c r="AD30" s="613">
        <v>0.3157529276671811</v>
      </c>
      <c r="AE30" s="613">
        <v>0.22594965394878061</v>
      </c>
      <c r="AF30" s="613">
        <v>0.96527942606543848</v>
      </c>
      <c r="AG30" s="613">
        <v>0.47102447390911867</v>
      </c>
      <c r="AH30" s="613">
        <v>0.58800054370383081</v>
      </c>
      <c r="AI30" s="613">
        <v>0.1573674262140754</v>
      </c>
      <c r="AJ30" s="613">
        <v>0.17444038096622769</v>
      </c>
      <c r="AK30" s="613">
        <v>0.36404870243901755</v>
      </c>
      <c r="AL30" s="613">
        <v>0.60636695212836111</v>
      </c>
      <c r="AM30" s="613">
        <v>0.59977882691438911</v>
      </c>
      <c r="AN30" s="613">
        <v>0.49491932058087462</v>
      </c>
      <c r="AO30" s="613">
        <v>0.11279962311248955</v>
      </c>
      <c r="AP30" s="613">
        <v>0.81120431985726815</v>
      </c>
      <c r="AQ30" s="613">
        <v>0.4139779787177425</v>
      </c>
      <c r="AR30" s="613">
        <v>0.44211138584595544</v>
      </c>
      <c r="AS30" s="613">
        <v>0.17710573436628002</v>
      </c>
      <c r="AT30" s="613">
        <v>0.36912267854946745</v>
      </c>
      <c r="AU30" s="613">
        <v>0.47622827631105641</v>
      </c>
      <c r="AV30" s="613">
        <v>0.52288446673400579</v>
      </c>
      <c r="AW30" s="613">
        <v>0.55718095614683238</v>
      </c>
      <c r="AX30" s="613">
        <v>0.58304175010455384</v>
      </c>
      <c r="AY30" s="613">
        <v>0.44902113636021906</v>
      </c>
      <c r="AZ30" s="613">
        <v>0.35905430378582204</v>
      </c>
      <c r="BA30" s="613">
        <v>0.59083752582874649</v>
      </c>
      <c r="BB30" s="613">
        <v>9.6592900388628111E-2</v>
      </c>
      <c r="BC30" s="613">
        <v>0.59111766033893631</v>
      </c>
      <c r="BD30" s="613">
        <v>0.58463549741831378</v>
      </c>
      <c r="BE30" s="613">
        <v>0.2093863675642596</v>
      </c>
      <c r="BF30" s="613">
        <v>0.59515214619098933</v>
      </c>
      <c r="BG30" s="613">
        <v>0.2899596520675034</v>
      </c>
      <c r="BH30" s="613">
        <v>0.27534927014664234</v>
      </c>
      <c r="BI30" s="613">
        <v>0.44150516195786071</v>
      </c>
      <c r="BJ30" s="613">
        <v>0.61967530673326665</v>
      </c>
      <c r="BK30" s="613">
        <v>0.46725227801154406</v>
      </c>
      <c r="BL30" s="613">
        <v>0.18200643865421171</v>
      </c>
      <c r="BM30" s="613">
        <v>0.14886168351524753</v>
      </c>
      <c r="BN30" s="613">
        <v>0.44648954699558951</v>
      </c>
      <c r="BO30" s="613">
        <v>0.38026494960993312</v>
      </c>
      <c r="BP30" s="613">
        <v>0.3544713130033974</v>
      </c>
      <c r="BQ30" s="613">
        <v>0.22621558296265354</v>
      </c>
      <c r="BR30" s="613">
        <v>0.24806392858213724</v>
      </c>
      <c r="BS30" s="613">
        <v>0.38129629595408621</v>
      </c>
      <c r="BT30" s="613">
        <v>0.13231962895352878</v>
      </c>
      <c r="BU30" s="613">
        <v>0.2438940523894971</v>
      </c>
      <c r="BV30" s="613">
        <v>0.45227643250519078</v>
      </c>
      <c r="BW30" s="613">
        <v>0.70739155759935435</v>
      </c>
      <c r="BX30" s="613">
        <v>0.32186575937494433</v>
      </c>
      <c r="BY30" s="613">
        <v>0.68206595038454099</v>
      </c>
      <c r="BZ30" s="613">
        <v>0.69804707303440294</v>
      </c>
      <c r="CA30" s="613">
        <v>0.16984590671848745</v>
      </c>
      <c r="CB30" s="613">
        <v>0.72413457679626492</v>
      </c>
      <c r="CC30" s="613">
        <v>0.63350586602857994</v>
      </c>
      <c r="CD30" s="613">
        <v>0.54634649580684291</v>
      </c>
      <c r="CE30" s="613">
        <v>0.35671724404734684</v>
      </c>
      <c r="CF30" s="613">
        <v>0.40431500166583612</v>
      </c>
      <c r="CG30" s="613">
        <v>0.72123434946347187</v>
      </c>
      <c r="CH30" s="613">
        <v>0.40740057474844343</v>
      </c>
      <c r="CI30" s="613">
        <v>0.41473191435700846</v>
      </c>
      <c r="CJ30" s="613">
        <v>0.26455421883489466</v>
      </c>
      <c r="CK30" s="613">
        <v>0.24544082692547109</v>
      </c>
      <c r="CL30" s="613">
        <v>0.35334757583480703</v>
      </c>
      <c r="CM30" s="613">
        <v>0.41952204053956871</v>
      </c>
      <c r="CN30" s="613">
        <v>0.21750796316272944</v>
      </c>
      <c r="CO30" s="613">
        <v>0.2457484681685308</v>
      </c>
      <c r="CP30" s="613">
        <v>1</v>
      </c>
      <c r="CQ30" s="613">
        <v>0.87561302102877092</v>
      </c>
      <c r="CR30" s="613">
        <v>0.20127136377866628</v>
      </c>
      <c r="CS30" s="613">
        <v>0.14418918102838155</v>
      </c>
      <c r="CT30" s="613">
        <v>0.17763477420225432</v>
      </c>
      <c r="CU30" s="613">
        <v>0.47326539039861071</v>
      </c>
      <c r="CV30" s="613">
        <v>0.43613024290696334</v>
      </c>
      <c r="CW30" s="613">
        <v>0.66593718914173572</v>
      </c>
      <c r="CX30" s="613">
        <v>0.49006873430417114</v>
      </c>
      <c r="CY30" s="613">
        <v>0.34156951881592529</v>
      </c>
      <c r="CZ30" s="613">
        <v>0.82497368031559903</v>
      </c>
      <c r="DA30" s="613">
        <v>0.81511050759782289</v>
      </c>
      <c r="DB30" s="613">
        <v>0.33747776192206635</v>
      </c>
      <c r="DC30" s="613">
        <v>0.52412901047225824</v>
      </c>
      <c r="DD30" s="613">
        <v>0.10404717268623689</v>
      </c>
      <c r="DE30" s="613">
        <v>0.37921340037906182</v>
      </c>
      <c r="DF30" s="613">
        <v>0.41501732681028242</v>
      </c>
      <c r="DG30" s="613">
        <v>0.25291067321230815</v>
      </c>
      <c r="DH30" s="613">
        <v>0.43462226393470638</v>
      </c>
      <c r="DI30" s="613">
        <v>0.77574756960934255</v>
      </c>
      <c r="DJ30" s="613">
        <v>0.65159182174107066</v>
      </c>
      <c r="DK30" s="613">
        <v>0.37357087832479097</v>
      </c>
      <c r="DL30" s="613">
        <v>0.58054404649630276</v>
      </c>
      <c r="DM30" s="613">
        <v>0.33795889579305038</v>
      </c>
      <c r="DN30" s="613">
        <v>0.77582097620660151</v>
      </c>
      <c r="DO30" s="613">
        <v>0.29669335001789898</v>
      </c>
      <c r="DP30" s="613">
        <v>0.70151936376743373</v>
      </c>
      <c r="DQ30" s="613">
        <v>0.77261770845626476</v>
      </c>
      <c r="DR30" s="613">
        <v>0.76107762215881558</v>
      </c>
      <c r="DS30" s="613">
        <v>0.77062556555071804</v>
      </c>
      <c r="DT30" s="613">
        <v>0.44982857113111896</v>
      </c>
      <c r="DU30" s="613">
        <v>0.94329494223755206</v>
      </c>
      <c r="DV30" s="613">
        <v>0.5688687212124669</v>
      </c>
      <c r="DW30" s="613">
        <v>0.33029295082778143</v>
      </c>
      <c r="DX30" s="613">
        <v>0.28011926736112569</v>
      </c>
      <c r="DY30" s="613">
        <v>0.27881929544598927</v>
      </c>
      <c r="DZ30" s="613">
        <v>0.65850360268920505</v>
      </c>
      <c r="EA30" s="613">
        <v>0.78007177636075054</v>
      </c>
      <c r="EB30" s="613">
        <v>0.21740742690321885</v>
      </c>
      <c r="EC30" s="613">
        <v>0.38989486478305874</v>
      </c>
      <c r="ED30" s="613">
        <v>0.71591307928252845</v>
      </c>
      <c r="EE30" s="613">
        <v>0.63238595475960224</v>
      </c>
      <c r="EF30" s="613">
        <v>0.66931845421642655</v>
      </c>
      <c r="EG30" s="613">
        <v>0.53213472404143813</v>
      </c>
      <c r="EH30" s="613">
        <v>0.51034243996088013</v>
      </c>
      <c r="EI30" s="613">
        <v>0.28567470954871277</v>
      </c>
      <c r="EJ30" s="613">
        <v>0.77571181301111991</v>
      </c>
      <c r="EK30" s="613">
        <v>0.37602986618118056</v>
      </c>
      <c r="EL30" s="613">
        <v>0.48022823338108672</v>
      </c>
      <c r="EM30" s="613">
        <v>0.34629967182319538</v>
      </c>
      <c r="EN30" s="613">
        <v>0.46422067833752917</v>
      </c>
      <c r="EO30" s="613">
        <v>0.33004150299222235</v>
      </c>
      <c r="EP30" s="613">
        <v>3.6324650372502806E-2</v>
      </c>
      <c r="EQ30" s="613">
        <v>0.8481514070138263</v>
      </c>
      <c r="ER30" s="613">
        <v>0.76208934302444575</v>
      </c>
      <c r="ES30" s="613">
        <v>0.46893930491605645</v>
      </c>
      <c r="ET30" s="613">
        <v>0.63909213488774741</v>
      </c>
      <c r="EU30" s="613">
        <v>0.58479108335831276</v>
      </c>
      <c r="EV30" s="613">
        <v>0.75190878580723841</v>
      </c>
      <c r="EW30" s="613">
        <v>0.52168860946302131</v>
      </c>
      <c r="EX30" s="613">
        <v>0.19875474843610041</v>
      </c>
      <c r="EY30" s="613">
        <v>0.55408093718182461</v>
      </c>
      <c r="EZ30" s="613">
        <v>0.43065816225343673</v>
      </c>
      <c r="FA30" s="613">
        <v>0.34628671112567255</v>
      </c>
      <c r="FB30" s="613">
        <v>0.49494639013868452</v>
      </c>
      <c r="FC30" s="613">
        <v>0.5530074667805801</v>
      </c>
      <c r="FD30" s="613">
        <v>0.89403594267853348</v>
      </c>
      <c r="FE30" s="613">
        <v>0.53879987583832878</v>
      </c>
      <c r="FF30" s="613">
        <v>0</v>
      </c>
      <c r="FG30" s="613">
        <v>0.21749835589384539</v>
      </c>
      <c r="FH30" s="613">
        <v>0.37360393732033342</v>
      </c>
      <c r="FI30" s="613">
        <v>0.4867683669883674</v>
      </c>
      <c r="FJ30" s="613">
        <v>0.51518566089289675</v>
      </c>
      <c r="FK30" s="613">
        <v>0.74858993455373279</v>
      </c>
      <c r="FL30" s="613">
        <v>0.16796081730132362</v>
      </c>
      <c r="FM30" s="613">
        <v>0.41777009931700698</v>
      </c>
      <c r="FN30" s="613">
        <v>0.79362876700959994</v>
      </c>
      <c r="FO30" s="613">
        <v>8.0107413104949843E-2</v>
      </c>
      <c r="FP30" s="613">
        <v>0.89768978757547713</v>
      </c>
      <c r="FQ30" s="613">
        <v>0.66254126004068981</v>
      </c>
      <c r="FR30" s="613">
        <v>0.2942843486526861</v>
      </c>
      <c r="FS30" s="613">
        <v>0.24539868746998261</v>
      </c>
      <c r="FT30" s="613">
        <v>0.27212717652547941</v>
      </c>
    </row>
    <row r="31" spans="1:176" s="613" customFormat="1" ht="13.5" thickBot="1" x14ac:dyDescent="0.25">
      <c r="A31" s="617" t="s">
        <v>1281</v>
      </c>
      <c r="B31" s="613">
        <v>0.32637413890767969</v>
      </c>
      <c r="C31" s="613">
        <v>0.27614007560460135</v>
      </c>
      <c r="D31" s="613">
        <v>0.44347905616620242</v>
      </c>
      <c r="E31" s="613">
        <v>0.42048857126510292</v>
      </c>
      <c r="F31" s="613">
        <v>0.34418449032856563</v>
      </c>
      <c r="G31" s="613">
        <v>0.24264143904598795</v>
      </c>
      <c r="H31" s="613">
        <v>0.29824857199664501</v>
      </c>
      <c r="I31" s="613">
        <v>0.28900815763353688</v>
      </c>
      <c r="J31" s="613">
        <v>0.3440934471878509</v>
      </c>
      <c r="K31" s="613">
        <v>0.60083890347885049</v>
      </c>
      <c r="L31" s="613">
        <v>0.50079093840588373</v>
      </c>
      <c r="M31" s="613">
        <v>0.5096148376954629</v>
      </c>
      <c r="N31" s="613">
        <v>0.38026980998806326</v>
      </c>
      <c r="O31" s="613">
        <v>0.64769004628638793</v>
      </c>
      <c r="P31" s="613">
        <v>0.48885916254885664</v>
      </c>
      <c r="Q31" s="613">
        <v>0.19955033838284192</v>
      </c>
      <c r="R31" s="613">
        <v>0.66310947585517976</v>
      </c>
      <c r="S31" s="613">
        <v>0.33536857266640108</v>
      </c>
      <c r="T31" s="613">
        <v>0.12676050998552282</v>
      </c>
      <c r="U31" s="613">
        <v>8.8102640158950696E-2</v>
      </c>
      <c r="V31" s="613">
        <v>0.25440133855854158</v>
      </c>
      <c r="W31" s="613">
        <v>0.58085771040875467</v>
      </c>
      <c r="X31" s="613">
        <v>0.68165348170003526</v>
      </c>
      <c r="Y31" s="613">
        <v>0.31276858847433681</v>
      </c>
      <c r="Z31" s="613">
        <v>0.47995356124382982</v>
      </c>
      <c r="AA31" s="613">
        <v>0.52078131753182011</v>
      </c>
      <c r="AB31" s="613">
        <v>0.57834972670197038</v>
      </c>
      <c r="AC31" s="613">
        <v>0.35362859919769873</v>
      </c>
      <c r="AD31" s="613">
        <v>0.23410809548614767</v>
      </c>
      <c r="AE31" s="613">
        <v>0.57702475526391628</v>
      </c>
      <c r="AF31" s="613">
        <v>0.65189857073146829</v>
      </c>
      <c r="AG31" s="613">
        <v>0.35559161497975894</v>
      </c>
      <c r="AH31" s="613">
        <v>0.38865024355618688</v>
      </c>
      <c r="AI31" s="613">
        <v>0.11516143228127704</v>
      </c>
      <c r="AJ31" s="613">
        <v>0.12529927946690914</v>
      </c>
      <c r="AK31" s="613">
        <v>0.32916623508570275</v>
      </c>
      <c r="AL31" s="613">
        <v>0.52530307107216767</v>
      </c>
      <c r="AM31" s="613">
        <v>0.45937867549361494</v>
      </c>
      <c r="AN31" s="613">
        <v>0.45247051929472576</v>
      </c>
      <c r="AO31" s="613">
        <v>6.5028361957965672E-2</v>
      </c>
      <c r="AP31" s="613">
        <v>0.66490321437096445</v>
      </c>
      <c r="AQ31" s="613">
        <v>0.66460396656926735</v>
      </c>
      <c r="AR31" s="613">
        <v>0.23913038848118387</v>
      </c>
      <c r="AS31" s="613">
        <v>0.17266759296354386</v>
      </c>
      <c r="AT31" s="613">
        <v>0.45826612407086881</v>
      </c>
      <c r="AU31" s="613">
        <v>0.36714692057484555</v>
      </c>
      <c r="AV31" s="613">
        <v>0.43016719747170068</v>
      </c>
      <c r="AW31" s="613">
        <v>0.54604967536941673</v>
      </c>
      <c r="AX31" s="613">
        <v>0.90765462498119154</v>
      </c>
      <c r="AY31" s="613">
        <v>0.31151715482277986</v>
      </c>
      <c r="AZ31" s="613">
        <v>0.2785410571995881</v>
      </c>
      <c r="BA31" s="613">
        <v>0.44951688024760977</v>
      </c>
      <c r="BB31" s="613">
        <v>4.9400757500776687E-2</v>
      </c>
      <c r="BC31" s="613">
        <v>0.74488280733667755</v>
      </c>
      <c r="BD31" s="613">
        <v>0.51530613249719215</v>
      </c>
      <c r="BE31" s="613">
        <v>0.17166593932002275</v>
      </c>
      <c r="BF31" s="613">
        <v>0.58806610820562988</v>
      </c>
      <c r="BG31" s="613">
        <v>0.25479872222908612</v>
      </c>
      <c r="BH31" s="613">
        <v>0.23919500270908078</v>
      </c>
      <c r="BI31" s="613">
        <v>0.33058214454834761</v>
      </c>
      <c r="BJ31" s="613">
        <v>0.46920501712906043</v>
      </c>
      <c r="BK31" s="613">
        <v>0.3763021599271828</v>
      </c>
      <c r="BL31" s="613">
        <v>0.16673925192399686</v>
      </c>
      <c r="BM31" s="613">
        <v>0.17169521819505318</v>
      </c>
      <c r="BN31" s="613">
        <v>0.41477659278299395</v>
      </c>
      <c r="BO31" s="613">
        <v>0.43584731890438699</v>
      </c>
      <c r="BP31" s="613">
        <v>0.32691293046992703</v>
      </c>
      <c r="BQ31" s="613">
        <v>0.3161896954188893</v>
      </c>
      <c r="BR31" s="613">
        <v>0.25551694824203669</v>
      </c>
      <c r="BS31" s="613">
        <v>0.25038681166389531</v>
      </c>
      <c r="BT31" s="613">
        <v>0.2045182105107016</v>
      </c>
      <c r="BU31" s="613">
        <v>0.23778522410369399</v>
      </c>
      <c r="BV31" s="613">
        <v>0.42687733027855002</v>
      </c>
      <c r="BW31" s="613">
        <v>0.6591691334557831</v>
      </c>
      <c r="BX31" s="613">
        <v>0.43062738435884845</v>
      </c>
      <c r="BY31" s="613">
        <v>0.60245678462004859</v>
      </c>
      <c r="BZ31" s="613">
        <v>0.59106270598693356</v>
      </c>
      <c r="CA31" s="613">
        <v>0.16442652078481654</v>
      </c>
      <c r="CB31" s="613">
        <v>0.55374712673565896</v>
      </c>
      <c r="CC31" s="613">
        <v>0.38630321169296788</v>
      </c>
      <c r="CD31" s="613">
        <v>0.34678060350545059</v>
      </c>
      <c r="CE31" s="613">
        <v>0.69356210680579922</v>
      </c>
      <c r="CF31" s="613">
        <v>0.33262946576805669</v>
      </c>
      <c r="CG31" s="613">
        <v>0.58065230480899876</v>
      </c>
      <c r="CH31" s="613">
        <v>0.30410769940131771</v>
      </c>
      <c r="CI31" s="613">
        <v>0.39740801678407922</v>
      </c>
      <c r="CJ31" s="613">
        <v>0.37359006393406663</v>
      </c>
      <c r="CK31" s="613">
        <v>0.30425743852782211</v>
      </c>
      <c r="CL31" s="613">
        <v>0.46721039323144686</v>
      </c>
      <c r="CM31" s="613">
        <v>0.32316932618330685</v>
      </c>
      <c r="CN31" s="613">
        <v>0.17486336910614175</v>
      </c>
      <c r="CO31" s="613">
        <v>0.15987565368808448</v>
      </c>
      <c r="CP31" s="613">
        <v>0.78561965556986735</v>
      </c>
      <c r="CQ31" s="613">
        <v>1</v>
      </c>
      <c r="CR31" s="613">
        <v>0.30626938438929446</v>
      </c>
      <c r="CS31" s="613">
        <v>0.23022616856384473</v>
      </c>
      <c r="CT31" s="613">
        <v>0.23815492963442936</v>
      </c>
      <c r="CU31" s="613">
        <v>0.33673392715123401</v>
      </c>
      <c r="CV31" s="613">
        <v>0.32650592536262524</v>
      </c>
      <c r="CW31" s="613">
        <v>0.48742780285109455</v>
      </c>
      <c r="CX31" s="613">
        <v>0.49051400354143176</v>
      </c>
      <c r="CY31" s="613">
        <v>0.38006509176526049</v>
      </c>
      <c r="CZ31" s="613">
        <v>0.80847487171368382</v>
      </c>
      <c r="DA31" s="613">
        <v>0.67458132325767017</v>
      </c>
      <c r="DB31" s="613">
        <v>0.38003875074045623</v>
      </c>
      <c r="DC31" s="613">
        <v>0.51035211373665124</v>
      </c>
      <c r="DD31" s="613">
        <v>0.14601067926276157</v>
      </c>
      <c r="DE31" s="613">
        <v>0.32927178197818419</v>
      </c>
      <c r="DF31" s="613">
        <v>0.39873040093793261</v>
      </c>
      <c r="DG31" s="613">
        <v>0.29140734803640489</v>
      </c>
      <c r="DH31" s="613">
        <v>0.30011648442430527</v>
      </c>
      <c r="DI31" s="613">
        <v>0.64326256940312754</v>
      </c>
      <c r="DJ31" s="613">
        <v>0.63638180748833184</v>
      </c>
      <c r="DK31" s="613">
        <v>0.30241067845635694</v>
      </c>
      <c r="DL31" s="613">
        <v>0.54981259327162435</v>
      </c>
      <c r="DM31" s="613">
        <v>0.7161330888298405</v>
      </c>
      <c r="DN31" s="613">
        <v>0.77730278498075367</v>
      </c>
      <c r="DO31" s="613">
        <v>0.36289540073722631</v>
      </c>
      <c r="DP31" s="613">
        <v>0.6481252912027643</v>
      </c>
      <c r="DQ31" s="613">
        <v>0.65222022818535197</v>
      </c>
      <c r="DR31" s="613">
        <v>0.60010419404813031</v>
      </c>
      <c r="DS31" s="613">
        <v>0.75083206085357934</v>
      </c>
      <c r="DT31" s="613">
        <v>0.35032912346285344</v>
      </c>
      <c r="DU31" s="613">
        <v>0.65948435568182173</v>
      </c>
      <c r="DV31" s="613">
        <v>0.78793292754572075</v>
      </c>
      <c r="DW31" s="613">
        <v>0.25432423121165604</v>
      </c>
      <c r="DX31" s="613">
        <v>0.30471432206586302</v>
      </c>
      <c r="DY31" s="613">
        <v>0.24862178080583244</v>
      </c>
      <c r="DZ31" s="613">
        <v>0.53722027762296198</v>
      </c>
      <c r="EA31" s="613">
        <v>0.66313209452899013</v>
      </c>
      <c r="EB31" s="613">
        <v>0.2785846740366365</v>
      </c>
      <c r="EC31" s="613">
        <v>0.33892892334522945</v>
      </c>
      <c r="ED31" s="613">
        <v>0.58978437063281308</v>
      </c>
      <c r="EE31" s="613">
        <v>0.53863555892514736</v>
      </c>
      <c r="EF31" s="613">
        <v>0.56274696047986894</v>
      </c>
      <c r="EG31" s="613">
        <v>0.34699457808245288</v>
      </c>
      <c r="EH31" s="613">
        <v>0.43375765912959563</v>
      </c>
      <c r="EI31" s="613">
        <v>0.62932743384616108</v>
      </c>
      <c r="EJ31" s="613">
        <v>0.72434628278712765</v>
      </c>
      <c r="EK31" s="613">
        <v>0.40321548033416094</v>
      </c>
      <c r="EL31" s="613">
        <v>0.47400159669614184</v>
      </c>
      <c r="EM31" s="613">
        <v>0.2927723765949703</v>
      </c>
      <c r="EN31" s="613">
        <v>0.35723219648175697</v>
      </c>
      <c r="EO31" s="613">
        <v>0.26005847609791133</v>
      </c>
      <c r="EP31" s="613">
        <v>0</v>
      </c>
      <c r="EQ31" s="613">
        <v>0.76527627913452445</v>
      </c>
      <c r="ER31" s="613">
        <v>0.6452778874439794</v>
      </c>
      <c r="ES31" s="613">
        <v>0.39351253684971732</v>
      </c>
      <c r="ET31" s="613">
        <v>0.62735457809602158</v>
      </c>
      <c r="EU31" s="613">
        <v>0.37194647903833189</v>
      </c>
      <c r="EV31" s="613">
        <v>0.9901702236380957</v>
      </c>
      <c r="EW31" s="613">
        <v>0.5660572476345791</v>
      </c>
      <c r="EX31" s="613">
        <v>0.60351386674239105</v>
      </c>
      <c r="EY31" s="613">
        <v>0.60795479170783651</v>
      </c>
      <c r="EZ31" s="613">
        <v>0.30957047621949563</v>
      </c>
      <c r="FA31" s="613">
        <v>0.14379674495477193</v>
      </c>
      <c r="FB31" s="613">
        <v>0.45435736477476718</v>
      </c>
      <c r="FC31" s="613">
        <v>0.4034953365692342</v>
      </c>
      <c r="FD31" s="613">
        <v>0.8564948700271191</v>
      </c>
      <c r="FE31" s="613">
        <v>0.49648554368154318</v>
      </c>
      <c r="FF31" s="613">
        <v>8.156409411444393E-2</v>
      </c>
      <c r="FG31" s="613">
        <v>0.34759702796171787</v>
      </c>
      <c r="FH31" s="613">
        <v>0.32997744396573619</v>
      </c>
      <c r="FI31" s="613">
        <v>0.30906964210660148</v>
      </c>
      <c r="FJ31" s="613">
        <v>0.49895677638875885</v>
      </c>
      <c r="FK31" s="613">
        <v>0.6587669461388761</v>
      </c>
      <c r="FL31" s="613">
        <v>0.13180993589586745</v>
      </c>
      <c r="FM31" s="613">
        <v>0.4067826006414697</v>
      </c>
      <c r="FN31" s="613">
        <v>0.59583895311344737</v>
      </c>
      <c r="FO31" s="613">
        <v>0.19737114919649165</v>
      </c>
      <c r="FP31" s="613">
        <v>0.75190763145540773</v>
      </c>
      <c r="FQ31" s="613">
        <v>0.44864685714052682</v>
      </c>
      <c r="FR31" s="613">
        <v>0.24943403833821107</v>
      </c>
      <c r="FS31" s="613">
        <v>0.29619696190322409</v>
      </c>
      <c r="FT31" s="613">
        <v>0.25953709538999914</v>
      </c>
    </row>
    <row r="32" spans="1:176" s="613" customFormat="1" ht="13.5" thickBot="1" x14ac:dyDescent="0.25">
      <c r="A32" s="620" t="s">
        <v>1006</v>
      </c>
      <c r="B32" s="613">
        <v>4.5691503386182983E-2</v>
      </c>
      <c r="C32" s="613">
        <v>0.71624256240972572</v>
      </c>
      <c r="D32" s="613">
        <v>8.4390050084087995E-2</v>
      </c>
      <c r="E32" s="613">
        <v>5.7614629783635747E-2</v>
      </c>
      <c r="F32" s="613">
        <v>8.5735228337711605E-2</v>
      </c>
      <c r="G32" s="613">
        <v>8.4687615310521325E-2</v>
      </c>
      <c r="H32" s="613">
        <v>0.69333111309642481</v>
      </c>
      <c r="I32" s="613">
        <v>0.67082568894494965</v>
      </c>
      <c r="J32" s="613">
        <v>0.57321619862310147</v>
      </c>
      <c r="K32" s="613">
        <v>0.4241547284456747</v>
      </c>
      <c r="L32" s="613">
        <v>0.43279138613367429</v>
      </c>
      <c r="M32" s="613">
        <v>0.57221015892291771</v>
      </c>
      <c r="N32" s="613">
        <v>0.66691195594371622</v>
      </c>
      <c r="O32" s="613">
        <v>0.5122189033668092</v>
      </c>
      <c r="P32" s="613">
        <v>6.1334000069965512E-2</v>
      </c>
      <c r="Q32" s="613">
        <v>0.42243235444336358</v>
      </c>
      <c r="R32" s="613">
        <v>0.4946931699364373</v>
      </c>
      <c r="S32" s="613">
        <v>0.83102119650495088</v>
      </c>
      <c r="T32" s="613">
        <v>0.1394871441045106</v>
      </c>
      <c r="U32" s="613">
        <v>0.11443597696468329</v>
      </c>
      <c r="V32" s="613">
        <v>0.16814929730501732</v>
      </c>
      <c r="W32" s="613">
        <v>0.32378078815037048</v>
      </c>
      <c r="X32" s="613">
        <v>1.3846367279958664E-2</v>
      </c>
      <c r="Y32" s="613">
        <v>4.496659027684155E-2</v>
      </c>
      <c r="Z32" s="613">
        <v>0.12687999206190595</v>
      </c>
      <c r="AA32" s="613">
        <v>7.9739193943585446E-2</v>
      </c>
      <c r="AB32" s="613">
        <v>8.9128103038146889E-2</v>
      </c>
      <c r="AC32" s="613">
        <v>0.1369776735465347</v>
      </c>
      <c r="AD32" s="613">
        <v>0.13545112123396602</v>
      </c>
      <c r="AE32" s="613">
        <v>0.64834748408399467</v>
      </c>
      <c r="AF32" s="613">
        <v>0.49560295950739924</v>
      </c>
      <c r="AG32" s="613">
        <v>0.299646260003678</v>
      </c>
      <c r="AH32" s="613">
        <v>6.6105632588172328E-2</v>
      </c>
      <c r="AI32" s="613">
        <v>0.21095479189415939</v>
      </c>
      <c r="AJ32" s="613">
        <v>0.53917616505845478</v>
      </c>
      <c r="AK32" s="613">
        <v>0.146148646626341</v>
      </c>
      <c r="AL32" s="613">
        <v>0.58202265723214164</v>
      </c>
      <c r="AM32" s="613">
        <v>9.3528423015621046E-2</v>
      </c>
      <c r="AN32" s="613">
        <v>0.53471725720011221</v>
      </c>
      <c r="AO32" s="613">
        <v>0.69276295572158542</v>
      </c>
      <c r="AP32" s="613">
        <v>0.36681553185470006</v>
      </c>
      <c r="AQ32" s="613">
        <v>0.93728464576516768</v>
      </c>
      <c r="AR32" s="613">
        <v>0.55378863173927151</v>
      </c>
      <c r="AS32" s="613">
        <v>0.83557744858379623</v>
      </c>
      <c r="AT32" s="613">
        <v>0.86308690823801892</v>
      </c>
      <c r="AU32" s="613">
        <v>0.56700616270743365</v>
      </c>
      <c r="AV32" s="613">
        <v>0.79272450577066278</v>
      </c>
      <c r="AW32" s="613">
        <v>0.60365062198225716</v>
      </c>
      <c r="AX32" s="613">
        <v>0.47444858105862453</v>
      </c>
      <c r="AY32" s="613">
        <v>0.14938652742206415</v>
      </c>
      <c r="AZ32" s="613">
        <v>0.55011020563950297</v>
      </c>
      <c r="BA32" s="613">
        <v>0.44223498420921875</v>
      </c>
      <c r="BB32" s="613">
        <v>0.13435607553388837</v>
      </c>
      <c r="BC32" s="613">
        <v>0.85861930395625119</v>
      </c>
      <c r="BD32" s="613">
        <v>0.90739553608828882</v>
      </c>
      <c r="BE32" s="613">
        <v>0.13151481920175334</v>
      </c>
      <c r="BF32" s="613">
        <v>0.35999852128277121</v>
      </c>
      <c r="BG32" s="613">
        <v>0.63607571830365572</v>
      </c>
      <c r="BH32" s="613">
        <v>0.61565718166629968</v>
      </c>
      <c r="BI32" s="613">
        <v>0.42026243722017187</v>
      </c>
      <c r="BJ32" s="613">
        <v>0.71959100501717432</v>
      </c>
      <c r="BK32" s="613">
        <v>0.51730205094709591</v>
      </c>
      <c r="BL32" s="613">
        <v>0.55697559839668387</v>
      </c>
      <c r="BM32" s="613">
        <v>0.45683710927809079</v>
      </c>
      <c r="BN32" s="613">
        <v>0.63174529868415952</v>
      </c>
      <c r="BO32" s="613">
        <v>0.67772901129202012</v>
      </c>
      <c r="BP32" s="613">
        <v>0.49645658330190118</v>
      </c>
      <c r="BQ32" s="613">
        <v>0.40458814800664689</v>
      </c>
      <c r="BR32" s="613">
        <v>0.46845811485471694</v>
      </c>
      <c r="BS32" s="613">
        <v>0.63694063904014631</v>
      </c>
      <c r="BT32" s="613">
        <v>0.48721801070827342</v>
      </c>
      <c r="BU32" s="613">
        <v>0.50690443482637315</v>
      </c>
      <c r="BV32" s="613">
        <v>0.41762301636386245</v>
      </c>
      <c r="BW32" s="613">
        <v>0.50192891260024286</v>
      </c>
      <c r="BX32" s="613">
        <v>0.42209736571717899</v>
      </c>
      <c r="BY32" s="613">
        <v>0.94887880380736456</v>
      </c>
      <c r="BZ32" s="613">
        <v>0.54088255984601885</v>
      </c>
      <c r="CA32" s="613">
        <v>0.3836927785952095</v>
      </c>
      <c r="CB32" s="613">
        <v>0.42476363973380515</v>
      </c>
      <c r="CC32" s="613">
        <v>0.5613440661013257</v>
      </c>
      <c r="CD32" s="613">
        <v>0.44090603964585717</v>
      </c>
      <c r="CE32" s="613">
        <v>0.37338090114430122</v>
      </c>
      <c r="CF32" s="613">
        <v>0.55619041761554977</v>
      </c>
      <c r="CG32" s="613">
        <v>1</v>
      </c>
      <c r="CH32" s="613">
        <v>9.9067472095604167E-2</v>
      </c>
      <c r="CI32" s="613">
        <v>0.19740049470704027</v>
      </c>
      <c r="CJ32" s="613">
        <v>0.49371752067335539</v>
      </c>
      <c r="CK32" s="613">
        <v>0.49221524521623217</v>
      </c>
      <c r="CL32" s="613">
        <v>0.37113523956058048</v>
      </c>
      <c r="CM32" s="613">
        <v>0.55668333424268968</v>
      </c>
      <c r="CN32" s="613">
        <v>0.52778599939662874</v>
      </c>
      <c r="CO32" s="613">
        <v>0.54989841303000109</v>
      </c>
      <c r="CP32" s="613">
        <v>0.61727068082401293</v>
      </c>
      <c r="CQ32" s="613">
        <v>0.62887429480043422</v>
      </c>
      <c r="CR32" s="613">
        <v>0.22650513548533188</v>
      </c>
      <c r="CS32" s="613">
        <v>0.14197106323984518</v>
      </c>
      <c r="CT32" s="613">
        <v>7.0943509324715326E-2</v>
      </c>
      <c r="CU32" s="613">
        <v>0.12714778306173113</v>
      </c>
      <c r="CV32" s="613">
        <v>5.3324198461264814E-2</v>
      </c>
      <c r="CW32" s="613">
        <v>0.38515256143612447</v>
      </c>
      <c r="CX32" s="613">
        <v>0.66338545559417816</v>
      </c>
      <c r="CY32" s="613">
        <v>0.5796341965741505</v>
      </c>
      <c r="CZ32" s="613">
        <v>0.43890876735771422</v>
      </c>
      <c r="DA32" s="613">
        <v>0.45154712082828746</v>
      </c>
      <c r="DB32" s="613">
        <v>0.46641087289011496</v>
      </c>
      <c r="DC32" s="613">
        <v>0.69308867843519784</v>
      </c>
      <c r="DD32" s="613">
        <v>0.54481632724008999</v>
      </c>
      <c r="DE32" s="613">
        <v>0.15262749323394889</v>
      </c>
      <c r="DF32" s="613">
        <v>0.4664729106387373</v>
      </c>
      <c r="DG32" s="613">
        <v>3.1160554888696079E-2</v>
      </c>
      <c r="DH32" s="613">
        <v>0.45690602771092031</v>
      </c>
      <c r="DI32" s="613">
        <v>0.50591865655235757</v>
      </c>
      <c r="DJ32" s="613">
        <v>0.6126105219108775</v>
      </c>
      <c r="DK32" s="613">
        <v>0.65784187777062852</v>
      </c>
      <c r="DL32" s="613">
        <v>0.72735148961824669</v>
      </c>
      <c r="DM32" s="613">
        <v>0.4519250105270054</v>
      </c>
      <c r="DN32" s="613">
        <v>0.46523753327956802</v>
      </c>
      <c r="DO32" s="613">
        <v>0.92271533734534295</v>
      </c>
      <c r="DP32" s="613">
        <v>0.60235391162875729</v>
      </c>
      <c r="DQ32" s="613">
        <v>0.54552694917264832</v>
      </c>
      <c r="DR32" s="613">
        <v>0.4843967378802661</v>
      </c>
      <c r="DS32" s="613">
        <v>0.42660516530316084</v>
      </c>
      <c r="DT32" s="613">
        <v>0.16453819226960278</v>
      </c>
      <c r="DU32" s="613">
        <v>0.10527167110501069</v>
      </c>
      <c r="DV32" s="613">
        <v>0.80298850530443699</v>
      </c>
      <c r="DW32" s="613">
        <v>0.80117216504350219</v>
      </c>
      <c r="DX32" s="613">
        <v>0.55843860710872284</v>
      </c>
      <c r="DY32" s="613">
        <v>0.13518337781444534</v>
      </c>
      <c r="DZ32" s="613">
        <v>4.4033014069815725E-2</v>
      </c>
      <c r="EA32" s="613">
        <v>0.71909414970937047</v>
      </c>
      <c r="EB32" s="613">
        <v>0.50082351363687949</v>
      </c>
      <c r="EC32" s="613">
        <v>0.50608278218354252</v>
      </c>
      <c r="ED32" s="613">
        <v>0.31045376903595634</v>
      </c>
      <c r="EE32" s="613">
        <v>0.39289889490026192</v>
      </c>
      <c r="EF32" s="613">
        <v>0.65413921705751887</v>
      </c>
      <c r="EG32" s="613">
        <v>0.48135484357123509</v>
      </c>
      <c r="EH32" s="613">
        <v>0.70787786466403801</v>
      </c>
      <c r="EI32" s="613">
        <v>0.371006391408776</v>
      </c>
      <c r="EJ32" s="613">
        <v>9.777494562835462E-2</v>
      </c>
      <c r="EK32" s="613">
        <v>0.47387126849480421</v>
      </c>
      <c r="EL32" s="613">
        <v>0.47812511133019098</v>
      </c>
      <c r="EM32" s="613">
        <v>0.77436138971592416</v>
      </c>
      <c r="EN32" s="613">
        <v>0.23100325173615804</v>
      </c>
      <c r="EO32" s="613">
        <v>0.74593955940706047</v>
      </c>
      <c r="EP32" s="613">
        <v>0.35113091915353839</v>
      </c>
      <c r="EQ32" s="613">
        <v>0.51362139555742792</v>
      </c>
      <c r="ER32" s="613">
        <v>0.50299894074563711</v>
      </c>
      <c r="ES32" s="613">
        <v>0.39623144442338371</v>
      </c>
      <c r="ET32" s="613">
        <v>0</v>
      </c>
      <c r="EU32" s="613">
        <v>0.12003021480264685</v>
      </c>
      <c r="EV32" s="613">
        <v>0.33882685400213491</v>
      </c>
      <c r="EW32" s="613">
        <v>7.8695219698895313E-2</v>
      </c>
      <c r="EX32" s="613">
        <v>0.47129184961496257</v>
      </c>
      <c r="EY32" s="613">
        <v>0.37490358337367574</v>
      </c>
      <c r="EZ32" s="613">
        <v>0.20904963382885799</v>
      </c>
      <c r="FA32" s="613">
        <v>0.16675751033129013</v>
      </c>
      <c r="FB32" s="613">
        <v>0.36365088040804017</v>
      </c>
      <c r="FC32" s="613">
        <v>0.47448121624083378</v>
      </c>
      <c r="FD32" s="613">
        <v>0.47490617778847061</v>
      </c>
      <c r="FE32" s="613">
        <v>0.31908044123708496</v>
      </c>
      <c r="FF32" s="613">
        <v>4.7606267158981634E-2</v>
      </c>
      <c r="FG32" s="613">
        <v>0.83119907880565547</v>
      </c>
      <c r="FH32" s="613">
        <v>0.73026856904137116</v>
      </c>
      <c r="FI32" s="613">
        <v>0.57816945377817608</v>
      </c>
      <c r="FJ32" s="613">
        <v>0.42436636888450863</v>
      </c>
      <c r="FK32" s="613">
        <v>0.45958628966579523</v>
      </c>
      <c r="FL32" s="613">
        <v>0.40891142030363575</v>
      </c>
      <c r="FM32" s="613">
        <v>0.55897547548673621</v>
      </c>
      <c r="FN32" s="613">
        <v>0.52320943880677251</v>
      </c>
      <c r="FO32" s="613">
        <v>7.1758320552672852E-2</v>
      </c>
      <c r="FP32" s="613">
        <v>0.69777217477645681</v>
      </c>
      <c r="FQ32" s="613">
        <v>0.34674302380483257</v>
      </c>
      <c r="FR32" s="613">
        <v>0.30677998398973072</v>
      </c>
      <c r="FS32" s="613">
        <v>0.70019257816899449</v>
      </c>
      <c r="FT32" s="613">
        <v>0.62572430846028648</v>
      </c>
    </row>
    <row r="35" spans="1:176" x14ac:dyDescent="0.2">
      <c r="A35" s="1492" t="s">
        <v>2314</v>
      </c>
      <c r="B35" t="s">
        <v>1858</v>
      </c>
      <c r="C35" t="s">
        <v>1861</v>
      </c>
      <c r="D35" t="s">
        <v>1862</v>
      </c>
      <c r="E35" t="s">
        <v>1864</v>
      </c>
      <c r="F35" t="s">
        <v>1880</v>
      </c>
      <c r="G35" t="s">
        <v>1881</v>
      </c>
      <c r="H35" t="s">
        <v>1868</v>
      </c>
      <c r="I35" t="s">
        <v>1869</v>
      </c>
      <c r="J35" t="s">
        <v>1871</v>
      </c>
      <c r="K35" t="s">
        <v>1872</v>
      </c>
      <c r="L35" t="s">
        <v>1876</v>
      </c>
      <c r="M35" t="s">
        <v>1870</v>
      </c>
      <c r="N35" t="s">
        <v>1877</v>
      </c>
      <c r="O35" t="s">
        <v>1878</v>
      </c>
      <c r="P35" t="s">
        <v>1867</v>
      </c>
      <c r="Q35" t="s">
        <v>1879</v>
      </c>
      <c r="R35" t="s">
        <v>1888</v>
      </c>
      <c r="S35" t="s">
        <v>1889</v>
      </c>
      <c r="T35" t="s">
        <v>1890</v>
      </c>
      <c r="U35" t="s">
        <v>1891</v>
      </c>
      <c r="V35" t="s">
        <v>1892</v>
      </c>
      <c r="W35" t="s">
        <v>1893</v>
      </c>
      <c r="X35" t="s">
        <v>1894</v>
      </c>
      <c r="Y35" t="s">
        <v>1895</v>
      </c>
      <c r="Z35" t="s">
        <v>1863</v>
      </c>
      <c r="AA35" t="s">
        <v>1873</v>
      </c>
      <c r="AB35" t="s">
        <v>1874</v>
      </c>
      <c r="AC35" t="s">
        <v>1866</v>
      </c>
      <c r="AD35" t="s">
        <v>1859</v>
      </c>
      <c r="AE35">
        <v>189590</v>
      </c>
      <c r="AF35">
        <v>5257</v>
      </c>
      <c r="AG35">
        <v>3042</v>
      </c>
      <c r="AH35">
        <v>3185</v>
      </c>
      <c r="AI35">
        <v>5321</v>
      </c>
      <c r="AJ35">
        <v>11912</v>
      </c>
      <c r="AK35">
        <v>6919</v>
      </c>
      <c r="AL35">
        <v>7111</v>
      </c>
      <c r="AM35">
        <v>305377</v>
      </c>
      <c r="AN35">
        <v>209695</v>
      </c>
      <c r="AO35">
        <v>753655</v>
      </c>
      <c r="AP35">
        <v>2803</v>
      </c>
      <c r="AQ35">
        <v>1039</v>
      </c>
      <c r="AR35">
        <v>1232</v>
      </c>
      <c r="AS35">
        <v>37882</v>
      </c>
      <c r="AT35">
        <v>92831</v>
      </c>
      <c r="AU35">
        <v>148287</v>
      </c>
      <c r="AV35">
        <v>196557</v>
      </c>
      <c r="AW35" t="s">
        <v>1896</v>
      </c>
      <c r="AX35">
        <v>20031</v>
      </c>
      <c r="AY35">
        <v>23420</v>
      </c>
      <c r="AZ35">
        <v>23467</v>
      </c>
      <c r="BA35">
        <v>23669</v>
      </c>
      <c r="BB35">
        <v>12</v>
      </c>
      <c r="BC35">
        <v>52</v>
      </c>
      <c r="BD35">
        <v>19555</v>
      </c>
      <c r="BE35">
        <v>25411</v>
      </c>
      <c r="BF35">
        <v>644242</v>
      </c>
      <c r="BG35">
        <v>5062</v>
      </c>
      <c r="BH35">
        <v>282535</v>
      </c>
      <c r="BI35">
        <v>4507</v>
      </c>
      <c r="BJ35">
        <v>4647</v>
      </c>
      <c r="BK35">
        <v>272004</v>
      </c>
      <c r="BL35">
        <v>6926</v>
      </c>
      <c r="BM35">
        <v>436864</v>
      </c>
      <c r="BN35">
        <v>15082</v>
      </c>
      <c r="BO35">
        <v>15434</v>
      </c>
      <c r="BP35">
        <v>15186</v>
      </c>
      <c r="BQ35">
        <v>17152</v>
      </c>
      <c r="BR35">
        <v>6174</v>
      </c>
      <c r="BS35">
        <v>228332</v>
      </c>
      <c r="BT35">
        <v>17902</v>
      </c>
      <c r="BU35">
        <v>588706</v>
      </c>
      <c r="BV35">
        <v>11568</v>
      </c>
      <c r="BW35">
        <v>11491</v>
      </c>
      <c r="BX35">
        <v>421060</v>
      </c>
      <c r="BY35">
        <v>11488</v>
      </c>
      <c r="BZ35">
        <v>11698</v>
      </c>
      <c r="CA35">
        <v>421953</v>
      </c>
      <c r="CB35">
        <v>423143</v>
      </c>
      <c r="CC35">
        <v>10763</v>
      </c>
      <c r="CD35">
        <v>11808</v>
      </c>
      <c r="CE35">
        <v>368499</v>
      </c>
      <c r="CF35">
        <v>3410</v>
      </c>
      <c r="CG35">
        <v>286841</v>
      </c>
      <c r="CH35">
        <v>495717</v>
      </c>
      <c r="CI35">
        <v>22720</v>
      </c>
      <c r="CJ35">
        <v>715354</v>
      </c>
      <c r="CK35">
        <v>715420</v>
      </c>
      <c r="CL35">
        <v>728347</v>
      </c>
      <c r="CM35">
        <v>8245</v>
      </c>
      <c r="CN35">
        <v>321809</v>
      </c>
      <c r="CO35">
        <v>359454</v>
      </c>
      <c r="CP35">
        <v>2882</v>
      </c>
      <c r="CQ35">
        <v>205184</v>
      </c>
      <c r="CR35">
        <v>18237</v>
      </c>
      <c r="CS35">
        <v>488834</v>
      </c>
      <c r="CT35">
        <v>586891</v>
      </c>
      <c r="CU35">
        <v>692585</v>
      </c>
      <c r="CV35">
        <v>693500</v>
      </c>
      <c r="CW35">
        <v>708592</v>
      </c>
      <c r="CX35">
        <v>22645</v>
      </c>
      <c r="CY35">
        <v>2939</v>
      </c>
      <c r="CZ35">
        <v>2966</v>
      </c>
      <c r="DA35">
        <v>872</v>
      </c>
      <c r="DB35">
        <v>3350</v>
      </c>
      <c r="DC35">
        <v>2137</v>
      </c>
      <c r="DD35">
        <v>5824</v>
      </c>
      <c r="DE35">
        <v>16930</v>
      </c>
      <c r="DF35">
        <v>6846</v>
      </c>
      <c r="DG35">
        <v>6786</v>
      </c>
      <c r="DH35">
        <v>25368</v>
      </c>
      <c r="DI35">
        <v>40430</v>
      </c>
      <c r="DJ35">
        <v>2658</v>
      </c>
      <c r="DK35">
        <v>57</v>
      </c>
      <c r="DL35">
        <v>4104</v>
      </c>
      <c r="DM35">
        <v>14076</v>
      </c>
      <c r="DN35">
        <v>841</v>
      </c>
      <c r="DO35">
        <v>3014</v>
      </c>
      <c r="DP35">
        <v>2944</v>
      </c>
      <c r="DQ35">
        <v>2953</v>
      </c>
      <c r="DR35">
        <v>1828</v>
      </c>
      <c r="DS35">
        <v>177552</v>
      </c>
      <c r="DT35" t="s">
        <v>1897</v>
      </c>
      <c r="DU35" t="s">
        <v>1875</v>
      </c>
      <c r="DV35">
        <v>6497</v>
      </c>
      <c r="DW35">
        <v>1340</v>
      </c>
      <c r="DX35">
        <v>23929</v>
      </c>
      <c r="DY35">
        <v>25577</v>
      </c>
      <c r="DZ35">
        <v>662856</v>
      </c>
      <c r="EA35">
        <v>444845</v>
      </c>
      <c r="EB35">
        <v>505036</v>
      </c>
      <c r="EC35">
        <v>13871</v>
      </c>
      <c r="ED35">
        <v>421244</v>
      </c>
      <c r="EE35">
        <v>636534</v>
      </c>
      <c r="EF35">
        <v>421050</v>
      </c>
      <c r="EG35">
        <v>20957</v>
      </c>
      <c r="EH35">
        <v>309237</v>
      </c>
      <c r="EI35">
        <v>368504</v>
      </c>
      <c r="EJ35">
        <v>206100</v>
      </c>
      <c r="EK35">
        <v>1094</v>
      </c>
      <c r="EL35">
        <v>10576</v>
      </c>
      <c r="EM35">
        <v>7544</v>
      </c>
      <c r="EN35">
        <v>34259</v>
      </c>
      <c r="EO35">
        <v>99916</v>
      </c>
      <c r="EP35">
        <v>166</v>
      </c>
      <c r="EQ35">
        <v>840</v>
      </c>
      <c r="ER35">
        <v>842</v>
      </c>
      <c r="ES35">
        <v>107527</v>
      </c>
      <c r="ET35">
        <v>25701</v>
      </c>
      <c r="EU35" t="s">
        <v>1865</v>
      </c>
      <c r="EV35">
        <v>25256</v>
      </c>
      <c r="EW35">
        <v>752362</v>
      </c>
      <c r="EX35">
        <v>753469</v>
      </c>
      <c r="EY35">
        <v>421057</v>
      </c>
      <c r="EZ35" t="s">
        <v>1860</v>
      </c>
      <c r="FA35">
        <v>148810</v>
      </c>
      <c r="FB35">
        <v>23981</v>
      </c>
      <c r="FC35">
        <v>738519</v>
      </c>
      <c r="FD35">
        <v>752536</v>
      </c>
      <c r="FE35">
        <v>2778</v>
      </c>
      <c r="FF35">
        <v>11537</v>
      </c>
      <c r="FG35">
        <v>191518</v>
      </c>
      <c r="FH35">
        <v>186633</v>
      </c>
      <c r="FI35">
        <v>21071</v>
      </c>
      <c r="FJ35">
        <v>421059</v>
      </c>
      <c r="FK35">
        <v>6920</v>
      </c>
      <c r="FL35" t="s">
        <v>1898</v>
      </c>
      <c r="FM35">
        <v>15949</v>
      </c>
      <c r="FN35">
        <v>212872</v>
      </c>
      <c r="FO35">
        <v>208930</v>
      </c>
      <c r="FP35">
        <v>842121</v>
      </c>
      <c r="FQ35">
        <v>735360</v>
      </c>
      <c r="FR35" t="s">
        <v>1882</v>
      </c>
      <c r="FS35">
        <v>7374</v>
      </c>
      <c r="FT35">
        <v>3934</v>
      </c>
    </row>
    <row r="36" spans="1:176" x14ac:dyDescent="0.2">
      <c r="A36" s="1486" t="s">
        <v>2368</v>
      </c>
      <c r="B36">
        <v>1</v>
      </c>
      <c r="C36">
        <v>1</v>
      </c>
      <c r="D36">
        <v>1</v>
      </c>
      <c r="E36">
        <v>1</v>
      </c>
      <c r="F36">
        <v>1</v>
      </c>
      <c r="G36">
        <v>1</v>
      </c>
      <c r="H36">
        <v>1</v>
      </c>
      <c r="I36">
        <v>1</v>
      </c>
      <c r="J36">
        <v>0.49081948525627456</v>
      </c>
      <c r="K36">
        <v>1</v>
      </c>
      <c r="L36">
        <v>1</v>
      </c>
      <c r="M36">
        <v>0.50026780881871691</v>
      </c>
      <c r="N36">
        <v>0.80305700356716969</v>
      </c>
      <c r="O36">
        <v>1</v>
      </c>
      <c r="P36">
        <v>1</v>
      </c>
      <c r="Q36">
        <v>1</v>
      </c>
      <c r="R36">
        <v>1</v>
      </c>
      <c r="S36">
        <v>1</v>
      </c>
      <c r="T36">
        <v>1</v>
      </c>
      <c r="U36">
        <v>1</v>
      </c>
      <c r="V36">
        <v>1</v>
      </c>
      <c r="W36">
        <v>1</v>
      </c>
      <c r="X36">
        <v>0.65606801301953133</v>
      </c>
      <c r="Y36">
        <v>1</v>
      </c>
      <c r="Z36">
        <v>0.4804125063438322</v>
      </c>
      <c r="AA36">
        <v>0.26784623562044485</v>
      </c>
      <c r="AB36">
        <v>1</v>
      </c>
      <c r="AC36">
        <v>1</v>
      </c>
      <c r="AD36">
        <v>0.42332176534437421</v>
      </c>
      <c r="AE36">
        <v>1</v>
      </c>
      <c r="AF36">
        <v>0.40106716317207952</v>
      </c>
      <c r="AG36">
        <v>0.31808583650341676</v>
      </c>
      <c r="AH36">
        <v>1</v>
      </c>
      <c r="AI36">
        <v>1</v>
      </c>
      <c r="AJ36">
        <v>1</v>
      </c>
      <c r="AK36">
        <v>0.47498805248273868</v>
      </c>
      <c r="AL36">
        <v>0.53659806287130662</v>
      </c>
      <c r="AM36">
        <v>1</v>
      </c>
      <c r="AN36">
        <v>0.3577202625043559</v>
      </c>
      <c r="AO36">
        <v>1</v>
      </c>
      <c r="AP36">
        <v>1</v>
      </c>
      <c r="AQ36">
        <v>0.91591479556416189</v>
      </c>
      <c r="AR36">
        <v>0.40253042674188</v>
      </c>
      <c r="AS36">
        <v>1</v>
      </c>
      <c r="AT36">
        <v>0.2363975455846066</v>
      </c>
      <c r="AU36">
        <v>0.5490754587144353</v>
      </c>
      <c r="AV36">
        <v>1</v>
      </c>
      <c r="AW36">
        <v>0.80771154230381403</v>
      </c>
      <c r="AX36">
        <v>0.42412827349263105</v>
      </c>
      <c r="AY36">
        <v>0.37135890450064046</v>
      </c>
      <c r="AZ36">
        <v>0.39044736578694095</v>
      </c>
      <c r="BA36">
        <v>0.3983343889439106</v>
      </c>
      <c r="BB36">
        <v>1</v>
      </c>
      <c r="BC36">
        <v>0.41425695219498432</v>
      </c>
      <c r="BD36">
        <v>0.93935752659834049</v>
      </c>
      <c r="BE36">
        <v>1</v>
      </c>
      <c r="BF36">
        <v>1</v>
      </c>
      <c r="BG36">
        <v>1</v>
      </c>
      <c r="BH36">
        <v>1</v>
      </c>
      <c r="BI36">
        <v>1</v>
      </c>
      <c r="BJ36">
        <v>0.71804494223461979</v>
      </c>
      <c r="BK36">
        <v>0.26179516571756772</v>
      </c>
      <c r="BL36">
        <v>0.47979268424618876</v>
      </c>
      <c r="BM36">
        <v>1</v>
      </c>
      <c r="BN36">
        <v>0.80024773084654366</v>
      </c>
      <c r="BO36">
        <v>0.46521249446217566</v>
      </c>
      <c r="BP36">
        <v>1</v>
      </c>
      <c r="BQ36">
        <v>1</v>
      </c>
      <c r="BR36">
        <v>0.39093555024417731</v>
      </c>
      <c r="BS36">
        <v>0.55768401846908766</v>
      </c>
      <c r="BT36">
        <v>1</v>
      </c>
      <c r="BU36">
        <v>1</v>
      </c>
      <c r="BV36">
        <v>1</v>
      </c>
      <c r="BW36">
        <v>0.53839206654846317</v>
      </c>
      <c r="BX36">
        <v>1</v>
      </c>
      <c r="BY36">
        <v>0.28329446839701872</v>
      </c>
      <c r="BZ36">
        <v>0.36166212422858435</v>
      </c>
      <c r="CA36">
        <v>0.5667261400612037</v>
      </c>
      <c r="CB36">
        <v>0.46367694420547761</v>
      </c>
      <c r="CC36">
        <v>0.40541076059951003</v>
      </c>
      <c r="CD36">
        <v>0.69164186077916234</v>
      </c>
      <c r="CE36">
        <v>1</v>
      </c>
      <c r="CF36">
        <v>1</v>
      </c>
      <c r="CG36">
        <v>0.41694061913523306</v>
      </c>
      <c r="CH36">
        <v>0.53799938773351075</v>
      </c>
      <c r="CI36">
        <v>0.45824228564805591</v>
      </c>
      <c r="CJ36">
        <v>1</v>
      </c>
      <c r="CK36">
        <v>1</v>
      </c>
      <c r="CL36">
        <v>1</v>
      </c>
      <c r="CM36">
        <v>1</v>
      </c>
      <c r="CN36">
        <v>1</v>
      </c>
      <c r="CO36">
        <v>0.51332240707101984</v>
      </c>
      <c r="CP36">
        <v>0.88712139062052386</v>
      </c>
      <c r="CQ36">
        <v>0.74049962776522815</v>
      </c>
      <c r="CR36">
        <v>1</v>
      </c>
      <c r="CS36">
        <v>1</v>
      </c>
      <c r="CT36">
        <v>1</v>
      </c>
      <c r="CU36">
        <v>1</v>
      </c>
      <c r="CV36">
        <v>1</v>
      </c>
      <c r="CW36">
        <v>0.39009903104071103</v>
      </c>
      <c r="CX36">
        <v>0.45924550069426134</v>
      </c>
      <c r="CY36">
        <v>0.31301054673468293</v>
      </c>
      <c r="CZ36">
        <v>0.32957711607951129</v>
      </c>
      <c r="DA36">
        <v>0.3605659664198258</v>
      </c>
      <c r="DB36">
        <v>0.40250439925056242</v>
      </c>
      <c r="DC36">
        <v>0.32872147546290609</v>
      </c>
      <c r="DD36">
        <v>1</v>
      </c>
      <c r="DE36">
        <v>0.45254242959830371</v>
      </c>
      <c r="DF36">
        <v>0.31872035238071722</v>
      </c>
      <c r="DG36">
        <v>1</v>
      </c>
      <c r="DH36">
        <v>0.23534846023031269</v>
      </c>
      <c r="DI36">
        <v>0.27829185914349808</v>
      </c>
      <c r="DJ36">
        <v>0.61713709154166996</v>
      </c>
      <c r="DK36">
        <v>0.40054817421689409</v>
      </c>
      <c r="DL36">
        <v>0.42718967280982473</v>
      </c>
      <c r="DM36">
        <v>1</v>
      </c>
      <c r="DN36">
        <v>1</v>
      </c>
      <c r="DO36">
        <v>0.32433345406969677</v>
      </c>
      <c r="DP36">
        <v>0.60459717487187525</v>
      </c>
      <c r="DQ36">
        <v>0.3207990989368022</v>
      </c>
      <c r="DR36">
        <v>0.57227674465259915</v>
      </c>
      <c r="DS36">
        <v>0.42117221154636264</v>
      </c>
      <c r="DT36">
        <v>1</v>
      </c>
      <c r="DU36">
        <v>0.24709889899780341</v>
      </c>
      <c r="DV36">
        <v>1</v>
      </c>
      <c r="DW36">
        <v>1</v>
      </c>
      <c r="DX36">
        <v>0.2968450916991941</v>
      </c>
      <c r="DY36">
        <v>1</v>
      </c>
      <c r="DZ36">
        <v>0.45528817657010773</v>
      </c>
      <c r="EA36">
        <v>0.33733856233341308</v>
      </c>
      <c r="EB36">
        <v>1</v>
      </c>
      <c r="EC36">
        <v>0.47493618168822482</v>
      </c>
      <c r="ED36">
        <v>0.8452543303262412</v>
      </c>
      <c r="EE36">
        <v>0.64348890679454307</v>
      </c>
      <c r="EF36">
        <v>0.38323768181295154</v>
      </c>
      <c r="EG36">
        <v>0.42729449902286376</v>
      </c>
      <c r="EH36">
        <v>1</v>
      </c>
      <c r="EI36">
        <v>1</v>
      </c>
      <c r="EJ36">
        <v>1</v>
      </c>
      <c r="EK36">
        <v>0.28940014523385033</v>
      </c>
      <c r="EL36">
        <v>0.56846026170218922</v>
      </c>
      <c r="EM36">
        <v>0.36384197784210631</v>
      </c>
      <c r="EN36">
        <v>0.3755839727893735</v>
      </c>
      <c r="EO36">
        <v>0.36601793762984086</v>
      </c>
      <c r="EP36">
        <v>0.52000865035942634</v>
      </c>
      <c r="EQ36">
        <v>1</v>
      </c>
      <c r="ER36">
        <v>1</v>
      </c>
      <c r="ES36">
        <v>1</v>
      </c>
      <c r="ET36">
        <v>0.51532426432029954</v>
      </c>
      <c r="EU36">
        <v>1</v>
      </c>
      <c r="EV36">
        <v>0.55585381724478944</v>
      </c>
      <c r="EW36">
        <v>1</v>
      </c>
      <c r="EX36">
        <v>1</v>
      </c>
      <c r="EY36">
        <v>1</v>
      </c>
      <c r="EZ36">
        <v>0.58571060767616834</v>
      </c>
      <c r="FA36">
        <v>0.39316781082623375</v>
      </c>
      <c r="FB36">
        <v>1</v>
      </c>
      <c r="FC36">
        <v>0.32393238465714363</v>
      </c>
      <c r="FD36">
        <v>0.40021826830344104</v>
      </c>
      <c r="FE36">
        <v>1</v>
      </c>
      <c r="FF36">
        <v>1</v>
      </c>
      <c r="FG36">
        <v>0.56132771348202792</v>
      </c>
      <c r="FH36">
        <v>1</v>
      </c>
      <c r="FI36">
        <v>0.83482395894165307</v>
      </c>
      <c r="FJ36">
        <v>0.52287537952194629</v>
      </c>
      <c r="FK36">
        <v>0.28713439028729754</v>
      </c>
      <c r="FL36">
        <v>1</v>
      </c>
      <c r="FM36">
        <v>1</v>
      </c>
      <c r="FN36">
        <v>0.51900799810943277</v>
      </c>
      <c r="FO36">
        <v>1</v>
      </c>
      <c r="FP36">
        <v>0.50170283647824909</v>
      </c>
      <c r="FQ36">
        <v>0.44684921948068385</v>
      </c>
      <c r="FR36">
        <v>1</v>
      </c>
      <c r="FS36">
        <v>0.33347337794345588</v>
      </c>
      <c r="FT36">
        <v>1</v>
      </c>
    </row>
    <row r="37" spans="1:176" x14ac:dyDescent="0.2">
      <c r="A37" s="1486" t="s">
        <v>2276</v>
      </c>
      <c r="B37">
        <v>1</v>
      </c>
      <c r="C37">
        <v>1</v>
      </c>
      <c r="D37">
        <v>1</v>
      </c>
      <c r="E37">
        <v>1</v>
      </c>
      <c r="F37">
        <v>1</v>
      </c>
      <c r="G37">
        <v>1</v>
      </c>
      <c r="H37">
        <v>1</v>
      </c>
      <c r="I37">
        <v>1</v>
      </c>
      <c r="J37">
        <v>0.63694844265400541</v>
      </c>
      <c r="K37">
        <v>1</v>
      </c>
      <c r="L37">
        <v>1</v>
      </c>
      <c r="M37">
        <v>0.5672861847491375</v>
      </c>
      <c r="N37">
        <v>0.63727379178154009</v>
      </c>
      <c r="O37">
        <v>0.99310277827707771</v>
      </c>
      <c r="P37">
        <v>1</v>
      </c>
      <c r="Q37">
        <v>1</v>
      </c>
      <c r="R37">
        <v>1</v>
      </c>
      <c r="S37">
        <v>1</v>
      </c>
      <c r="T37">
        <v>1</v>
      </c>
      <c r="U37">
        <v>1</v>
      </c>
      <c r="V37">
        <v>1</v>
      </c>
      <c r="W37">
        <v>1</v>
      </c>
      <c r="X37">
        <v>0.53005735613607008</v>
      </c>
      <c r="Y37">
        <v>1</v>
      </c>
      <c r="Z37">
        <v>0.35611562711454858</v>
      </c>
      <c r="AA37">
        <v>0.5585709499778384</v>
      </c>
      <c r="AB37">
        <v>1</v>
      </c>
      <c r="AC37">
        <v>1</v>
      </c>
      <c r="AD37">
        <v>0.57340355284696287</v>
      </c>
      <c r="AE37">
        <v>1</v>
      </c>
      <c r="AF37">
        <v>0.58404443481276169</v>
      </c>
      <c r="AG37">
        <v>0.43387125072680804</v>
      </c>
      <c r="AH37">
        <v>1</v>
      </c>
      <c r="AI37">
        <v>1</v>
      </c>
      <c r="AJ37">
        <v>1</v>
      </c>
      <c r="AK37">
        <v>0.41299635630293047</v>
      </c>
      <c r="AL37">
        <v>0.56534401016164104</v>
      </c>
      <c r="AM37">
        <v>1</v>
      </c>
      <c r="AN37">
        <v>0.40036049054759826</v>
      </c>
      <c r="AO37">
        <v>1</v>
      </c>
      <c r="AP37">
        <v>1</v>
      </c>
      <c r="AQ37">
        <v>0.90418693865114608</v>
      </c>
      <c r="AR37">
        <v>0.72772138655216045</v>
      </c>
      <c r="AS37">
        <v>1</v>
      </c>
      <c r="AT37">
        <v>0.56721447180492257</v>
      </c>
      <c r="AU37">
        <v>0.42407024147603867</v>
      </c>
      <c r="AV37">
        <v>1</v>
      </c>
      <c r="AW37">
        <v>0.97687162776760572</v>
      </c>
      <c r="AX37">
        <v>0.42451874998282663</v>
      </c>
      <c r="AY37">
        <v>0.36125427413096745</v>
      </c>
      <c r="AZ37">
        <v>0.56801106003396484</v>
      </c>
      <c r="BA37">
        <v>0.7406699909771729</v>
      </c>
      <c r="BB37">
        <v>1</v>
      </c>
      <c r="BC37">
        <v>0.70451264222746146</v>
      </c>
      <c r="BD37">
        <v>1</v>
      </c>
      <c r="BE37">
        <v>1</v>
      </c>
      <c r="BF37">
        <v>1</v>
      </c>
      <c r="BG37">
        <v>1</v>
      </c>
      <c r="BH37">
        <v>1</v>
      </c>
      <c r="BI37">
        <v>1</v>
      </c>
      <c r="BJ37">
        <v>0.57003508107624723</v>
      </c>
      <c r="BK37">
        <v>0.56777969380359805</v>
      </c>
      <c r="BL37">
        <v>0.57280778767563956</v>
      </c>
      <c r="BM37">
        <v>1</v>
      </c>
      <c r="BN37">
        <v>0.99290390294551145</v>
      </c>
      <c r="BO37">
        <v>0.53666862827077988</v>
      </c>
      <c r="BP37">
        <v>1</v>
      </c>
      <c r="BQ37">
        <v>1</v>
      </c>
      <c r="BR37">
        <v>0.427091793820709</v>
      </c>
      <c r="BS37">
        <v>0.42735407420097266</v>
      </c>
      <c r="BT37">
        <v>1</v>
      </c>
      <c r="BU37">
        <v>1</v>
      </c>
      <c r="BV37">
        <v>1</v>
      </c>
      <c r="BW37">
        <v>0.72619904041867833</v>
      </c>
      <c r="BX37">
        <v>1</v>
      </c>
      <c r="BY37">
        <v>0.40921516927802432</v>
      </c>
      <c r="BZ37">
        <v>0.40288253058669032</v>
      </c>
      <c r="CA37">
        <v>0.4296058407567297</v>
      </c>
      <c r="CB37">
        <v>0.38044759097367359</v>
      </c>
      <c r="CC37">
        <v>0.4955356313670316</v>
      </c>
      <c r="CD37">
        <v>0.63421337995234772</v>
      </c>
      <c r="CE37">
        <v>1</v>
      </c>
      <c r="CF37">
        <v>1</v>
      </c>
      <c r="CG37">
        <v>0.42427285227812433</v>
      </c>
      <c r="CH37">
        <v>0.33826599357108511</v>
      </c>
      <c r="CI37">
        <v>0.53275054266136823</v>
      </c>
      <c r="CJ37">
        <v>1</v>
      </c>
      <c r="CK37">
        <v>1</v>
      </c>
      <c r="CL37">
        <v>1</v>
      </c>
      <c r="CM37">
        <v>1</v>
      </c>
      <c r="CN37">
        <v>1</v>
      </c>
      <c r="CO37">
        <v>0.78125652407264412</v>
      </c>
      <c r="CP37">
        <v>0.99605424429528122</v>
      </c>
      <c r="CQ37">
        <v>0.49517860195651597</v>
      </c>
      <c r="CR37">
        <v>1</v>
      </c>
      <c r="CS37">
        <v>1</v>
      </c>
      <c r="CT37">
        <v>1</v>
      </c>
      <c r="CU37">
        <v>1</v>
      </c>
      <c r="CV37">
        <v>1</v>
      </c>
      <c r="CW37">
        <v>0.62251435550618184</v>
      </c>
      <c r="CX37">
        <v>0.61658697349214064</v>
      </c>
      <c r="CY37">
        <v>0.53902458679461707</v>
      </c>
      <c r="CZ37">
        <v>0.70325125853030646</v>
      </c>
      <c r="DA37">
        <v>0.5338179360091142</v>
      </c>
      <c r="DB37">
        <v>0.55344531534073649</v>
      </c>
      <c r="DC37">
        <v>0.49943593172376122</v>
      </c>
      <c r="DD37">
        <v>1</v>
      </c>
      <c r="DE37">
        <v>0.36234754887161691</v>
      </c>
      <c r="DF37">
        <v>0.32228318645437065</v>
      </c>
      <c r="DG37">
        <v>1</v>
      </c>
      <c r="DH37">
        <v>0.62719176932460152</v>
      </c>
      <c r="DI37">
        <v>0.93904271697060626</v>
      </c>
      <c r="DJ37">
        <v>0.80567792083974543</v>
      </c>
      <c r="DK37">
        <v>0.65408194195510794</v>
      </c>
      <c r="DL37">
        <v>0.51064522112382238</v>
      </c>
      <c r="DM37">
        <v>1</v>
      </c>
      <c r="DN37">
        <v>1</v>
      </c>
      <c r="DO37">
        <v>0.66897753614957456</v>
      </c>
      <c r="DP37">
        <v>0.79268965097075761</v>
      </c>
      <c r="DQ37">
        <v>0.52672238488193368</v>
      </c>
      <c r="DR37">
        <v>0.5585143837342591</v>
      </c>
      <c r="DS37">
        <v>0.88734579413930847</v>
      </c>
      <c r="DT37">
        <v>1</v>
      </c>
      <c r="DU37">
        <v>0.50051200479414681</v>
      </c>
      <c r="DV37">
        <v>1</v>
      </c>
      <c r="DW37">
        <v>1</v>
      </c>
      <c r="DX37">
        <v>0.75430411035535705</v>
      </c>
      <c r="DY37">
        <v>1</v>
      </c>
      <c r="DZ37">
        <v>0.58215894560648263</v>
      </c>
      <c r="EA37">
        <v>0.54431581614273195</v>
      </c>
      <c r="EB37">
        <v>1</v>
      </c>
      <c r="EC37">
        <v>0.7215456929759515</v>
      </c>
      <c r="ED37">
        <v>0.54418600801342898</v>
      </c>
      <c r="EE37">
        <v>0.60384550539900483</v>
      </c>
      <c r="EF37">
        <v>0.72366254220036141</v>
      </c>
      <c r="EG37">
        <v>0.63590972428068104</v>
      </c>
      <c r="EH37">
        <v>1</v>
      </c>
      <c r="EI37">
        <v>1</v>
      </c>
      <c r="EJ37">
        <v>1</v>
      </c>
      <c r="EK37">
        <v>0.35122553121240446</v>
      </c>
      <c r="EL37">
        <v>0.51523029332844406</v>
      </c>
      <c r="EM37">
        <v>0.37298180540226467</v>
      </c>
      <c r="EN37">
        <v>0.86874289836903829</v>
      </c>
      <c r="EO37">
        <v>0.73041671226623694</v>
      </c>
      <c r="EP37">
        <v>0.55822374120815943</v>
      </c>
      <c r="EQ37">
        <v>1</v>
      </c>
      <c r="ER37">
        <v>1</v>
      </c>
      <c r="ES37">
        <v>1</v>
      </c>
      <c r="ET37">
        <v>0.8824476013346817</v>
      </c>
      <c r="EU37">
        <v>1</v>
      </c>
      <c r="EV37">
        <v>0.5816832970075424</v>
      </c>
      <c r="EW37">
        <v>1</v>
      </c>
      <c r="EX37">
        <v>1</v>
      </c>
      <c r="EY37">
        <v>1</v>
      </c>
      <c r="EZ37">
        <v>0.59608448662081481</v>
      </c>
      <c r="FA37">
        <v>0.52210369979725091</v>
      </c>
      <c r="FB37">
        <v>1</v>
      </c>
      <c r="FC37">
        <v>0.55786446171960113</v>
      </c>
      <c r="FD37">
        <v>0.53607469170658117</v>
      </c>
      <c r="FE37">
        <v>1</v>
      </c>
      <c r="FF37">
        <v>1</v>
      </c>
      <c r="FG37">
        <v>0.67255520160140347</v>
      </c>
      <c r="FH37">
        <v>1</v>
      </c>
      <c r="FI37">
        <v>0.99335717118957312</v>
      </c>
      <c r="FJ37">
        <v>0.36971575578751054</v>
      </c>
      <c r="FK37">
        <v>0.61797191335204016</v>
      </c>
      <c r="FL37">
        <v>1</v>
      </c>
      <c r="FM37">
        <v>1</v>
      </c>
      <c r="FN37">
        <v>0.57042567025888224</v>
      </c>
      <c r="FO37">
        <v>1</v>
      </c>
      <c r="FP37">
        <v>0.67397482698741995</v>
      </c>
      <c r="FQ37">
        <v>0.50719233813999143</v>
      </c>
      <c r="FR37">
        <v>1</v>
      </c>
      <c r="FS37">
        <v>0.53060462313701962</v>
      </c>
      <c r="FT37">
        <v>1</v>
      </c>
    </row>
    <row r="38" spans="1:176" x14ac:dyDescent="0.2">
      <c r="A38" s="1486" t="s">
        <v>2277</v>
      </c>
      <c r="B38">
        <v>0.49944497772005553</v>
      </c>
      <c r="C38">
        <v>1</v>
      </c>
      <c r="D38">
        <v>0.78277200681179659</v>
      </c>
      <c r="E38">
        <v>0.7362977642208931</v>
      </c>
      <c r="F38">
        <v>1</v>
      </c>
      <c r="G38">
        <v>1</v>
      </c>
      <c r="H38">
        <v>1</v>
      </c>
      <c r="I38">
        <v>1</v>
      </c>
      <c r="J38">
        <v>1</v>
      </c>
      <c r="K38">
        <v>1</v>
      </c>
      <c r="L38">
        <v>1</v>
      </c>
      <c r="M38">
        <v>1</v>
      </c>
      <c r="N38">
        <v>1</v>
      </c>
      <c r="O38">
        <v>1</v>
      </c>
      <c r="P38">
        <v>1</v>
      </c>
      <c r="Q38">
        <v>1</v>
      </c>
      <c r="R38">
        <v>0.7444791438473225</v>
      </c>
      <c r="S38">
        <v>0.46291283033252828</v>
      </c>
      <c r="T38">
        <v>1</v>
      </c>
      <c r="U38">
        <v>1</v>
      </c>
      <c r="V38">
        <v>0.62949666744143018</v>
      </c>
      <c r="W38">
        <v>0.72728795171316363</v>
      </c>
      <c r="X38">
        <v>0.88166272716723026</v>
      </c>
      <c r="Y38">
        <v>0.49222988291590497</v>
      </c>
      <c r="Z38">
        <v>0.74241156780777151</v>
      </c>
      <c r="AA38">
        <v>0.71916759939265829</v>
      </c>
      <c r="AB38">
        <v>0.75142726748327726</v>
      </c>
      <c r="AC38">
        <v>1</v>
      </c>
      <c r="AD38">
        <v>0.8310423037968514</v>
      </c>
      <c r="AE38">
        <v>0.57702475526391628</v>
      </c>
      <c r="AF38">
        <v>1</v>
      </c>
      <c r="AG38">
        <v>0.73142801627803722</v>
      </c>
      <c r="AH38">
        <v>1</v>
      </c>
      <c r="AI38">
        <v>1</v>
      </c>
      <c r="AJ38">
        <v>0.64266129097349023</v>
      </c>
      <c r="AK38">
        <v>0.48827934553212493</v>
      </c>
      <c r="AL38">
        <v>0.74836452842572809</v>
      </c>
      <c r="AM38">
        <v>0.59977882691438911</v>
      </c>
      <c r="AN38">
        <v>0.53546798457426847</v>
      </c>
      <c r="AO38">
        <v>0.77368813644143741</v>
      </c>
      <c r="AP38">
        <v>0.81120431985726815</v>
      </c>
      <c r="AQ38">
        <v>0.82159638347868857</v>
      </c>
      <c r="AR38">
        <v>0.59997209336217683</v>
      </c>
      <c r="AS38">
        <v>0.42802958464855739</v>
      </c>
      <c r="AT38">
        <v>1</v>
      </c>
      <c r="AU38">
        <v>0.47622827631105641</v>
      </c>
      <c r="AV38">
        <v>0.52288446673400579</v>
      </c>
      <c r="AW38">
        <v>0.90769871788071188</v>
      </c>
      <c r="AX38">
        <v>0.90765462498119154</v>
      </c>
      <c r="AY38">
        <v>0.45005642584893618</v>
      </c>
      <c r="AZ38">
        <v>0.57635352519449701</v>
      </c>
      <c r="BA38">
        <v>1</v>
      </c>
      <c r="BB38">
        <v>0.32655385415439819</v>
      </c>
      <c r="BC38">
        <v>0.74488280733667755</v>
      </c>
      <c r="BD38">
        <v>1</v>
      </c>
      <c r="BE38">
        <v>0.41929376988854455</v>
      </c>
      <c r="BF38">
        <v>0.59515214619098933</v>
      </c>
      <c r="BG38">
        <v>0.47266607217993356</v>
      </c>
      <c r="BH38">
        <v>0.54046845752471673</v>
      </c>
      <c r="BI38">
        <v>0.55695751935616211</v>
      </c>
      <c r="BJ38">
        <v>0.83193897155063623</v>
      </c>
      <c r="BK38">
        <v>0.69558402451172285</v>
      </c>
      <c r="BL38">
        <v>1</v>
      </c>
      <c r="BM38">
        <v>0.37421369560809081</v>
      </c>
      <c r="BN38">
        <v>0.93815062917980407</v>
      </c>
      <c r="BO38">
        <v>0.88849331281819111</v>
      </c>
      <c r="BP38">
        <v>0.51906375775417624</v>
      </c>
      <c r="BQ38">
        <v>0.54997552440297348</v>
      </c>
      <c r="BR38">
        <v>0.65977894330283915</v>
      </c>
      <c r="BS38">
        <v>0.38129629595408621</v>
      </c>
      <c r="BT38">
        <v>1</v>
      </c>
      <c r="BU38">
        <v>0.45249744093960415</v>
      </c>
      <c r="BV38">
        <v>0.45429625313567029</v>
      </c>
      <c r="BW38">
        <v>0.8554831402430958</v>
      </c>
      <c r="BX38">
        <v>0.55693545505928621</v>
      </c>
      <c r="BY38">
        <v>1</v>
      </c>
      <c r="BZ38">
        <v>0.69804707303440294</v>
      </c>
      <c r="CA38">
        <v>0.50149257715469031</v>
      </c>
      <c r="CB38">
        <v>0.72413457679626492</v>
      </c>
      <c r="CC38">
        <v>1</v>
      </c>
      <c r="CD38">
        <v>1</v>
      </c>
      <c r="CE38">
        <v>0.69356210680579922</v>
      </c>
      <c r="CF38">
        <v>0.50056877996910076</v>
      </c>
      <c r="CG38">
        <v>0.72123434946347187</v>
      </c>
      <c r="CH38">
        <v>1</v>
      </c>
      <c r="CI38">
        <v>0.73562608684894093</v>
      </c>
      <c r="CJ38">
        <v>0.67149125671491716</v>
      </c>
      <c r="CK38">
        <v>0.61545344263230728</v>
      </c>
      <c r="CL38">
        <v>0.46721039323144686</v>
      </c>
      <c r="CM38">
        <v>0.61834122566582761</v>
      </c>
      <c r="CN38">
        <v>0.35490011556363898</v>
      </c>
      <c r="CO38">
        <v>0.58742924305527866</v>
      </c>
      <c r="CP38">
        <v>1</v>
      </c>
      <c r="CQ38">
        <v>1</v>
      </c>
      <c r="CR38">
        <v>1</v>
      </c>
      <c r="CS38">
        <v>0.45230914611746825</v>
      </c>
      <c r="CT38">
        <v>1</v>
      </c>
      <c r="CU38">
        <v>0.60152938426107316</v>
      </c>
      <c r="CV38">
        <v>0.60192619436208383</v>
      </c>
      <c r="CW38">
        <v>0.73418038851470224</v>
      </c>
      <c r="CX38">
        <v>0.74088692446330795</v>
      </c>
      <c r="CY38">
        <v>0.90402681503329474</v>
      </c>
      <c r="CZ38">
        <v>1</v>
      </c>
      <c r="DA38">
        <v>1</v>
      </c>
      <c r="DB38">
        <v>0.38003875074045623</v>
      </c>
      <c r="DC38">
        <v>1</v>
      </c>
      <c r="DD38">
        <v>0.2992934618516232</v>
      </c>
      <c r="DE38">
        <v>0.63700331722316483</v>
      </c>
      <c r="DF38">
        <v>0.50954191374584679</v>
      </c>
      <c r="DG38">
        <v>0.29140734803640489</v>
      </c>
      <c r="DH38">
        <v>0.44945293316365936</v>
      </c>
      <c r="DI38">
        <v>0.9022087202015947</v>
      </c>
      <c r="DJ38">
        <v>0.88792669209493447</v>
      </c>
      <c r="DK38">
        <v>0.73701205132132175</v>
      </c>
      <c r="DL38">
        <v>1</v>
      </c>
      <c r="DM38">
        <v>0.7161330888298405</v>
      </c>
      <c r="DN38">
        <v>0.77844016250069592</v>
      </c>
      <c r="DO38">
        <v>0.90217221538085446</v>
      </c>
      <c r="DP38">
        <v>0.82817012093131004</v>
      </c>
      <c r="DQ38">
        <v>1</v>
      </c>
      <c r="DR38">
        <v>1</v>
      </c>
      <c r="DS38">
        <v>0.8825833059447501</v>
      </c>
      <c r="DT38">
        <v>0.44982857113111896</v>
      </c>
      <c r="DU38">
        <v>0.94329494223755206</v>
      </c>
      <c r="DV38">
        <v>0.78793292754572075</v>
      </c>
      <c r="DW38">
        <v>0.46666672511143092</v>
      </c>
      <c r="DX38">
        <v>0.79437630217470323</v>
      </c>
      <c r="DY38">
        <v>0.59774080081231939</v>
      </c>
      <c r="DZ38">
        <v>0.65850360268920505</v>
      </c>
      <c r="EA38">
        <v>0.78007177636075054</v>
      </c>
      <c r="EB38">
        <v>0.52183733806278121</v>
      </c>
      <c r="EC38">
        <v>0.8446889155721391</v>
      </c>
      <c r="ED38">
        <v>0.71591307928252845</v>
      </c>
      <c r="EE38">
        <v>0.63238595475960224</v>
      </c>
      <c r="EF38">
        <v>0.66931845421642655</v>
      </c>
      <c r="EG38">
        <v>0.79093080411644789</v>
      </c>
      <c r="EH38">
        <v>0.51034243996088013</v>
      </c>
      <c r="EI38">
        <v>0.62932743384616108</v>
      </c>
      <c r="EJ38">
        <v>0.77571181301111991</v>
      </c>
      <c r="EK38">
        <v>1</v>
      </c>
      <c r="EL38">
        <v>0.48022823338108672</v>
      </c>
      <c r="EM38">
        <v>1</v>
      </c>
      <c r="EN38">
        <v>0.65618022635603301</v>
      </c>
      <c r="EO38">
        <v>0.36780430215686366</v>
      </c>
      <c r="EP38">
        <v>0.76339064177919924</v>
      </c>
      <c r="EQ38">
        <v>0.8481514070138263</v>
      </c>
      <c r="ER38">
        <v>0.76208934302444575</v>
      </c>
      <c r="ES38">
        <v>0.46893930491605645</v>
      </c>
      <c r="ET38">
        <v>0.63909213488774741</v>
      </c>
      <c r="EU38">
        <v>1</v>
      </c>
      <c r="EV38">
        <v>0.9901702236380957</v>
      </c>
      <c r="EW38">
        <v>0.5760766558095326</v>
      </c>
      <c r="EX38">
        <v>0.60351386674239105</v>
      </c>
      <c r="EY38">
        <v>0.60795479170783651</v>
      </c>
      <c r="EZ38">
        <v>0.74125526423732591</v>
      </c>
      <c r="FA38">
        <v>0.5829097440585963</v>
      </c>
      <c r="FB38">
        <v>0.85763563254158304</v>
      </c>
      <c r="FC38">
        <v>0.61705522334742469</v>
      </c>
      <c r="FD38">
        <v>0.89403594267853348</v>
      </c>
      <c r="FE38">
        <v>0.73414310578524944</v>
      </c>
      <c r="FF38">
        <v>0.1739830280687335</v>
      </c>
      <c r="FG38">
        <v>0.49754095254373426</v>
      </c>
      <c r="FH38">
        <v>0.71385986451547645</v>
      </c>
      <c r="FI38">
        <v>1</v>
      </c>
      <c r="FJ38">
        <v>0.51518566089289675</v>
      </c>
      <c r="FK38">
        <v>0.74858993455373279</v>
      </c>
      <c r="FL38">
        <v>0.3975070993106577</v>
      </c>
      <c r="FM38">
        <v>0.8436921097436787</v>
      </c>
      <c r="FN38">
        <v>0.79362876700959994</v>
      </c>
      <c r="FO38">
        <v>0.33654670039476309</v>
      </c>
      <c r="FP38">
        <v>0.89768978757547713</v>
      </c>
      <c r="FQ38">
        <v>0.66254126004068981</v>
      </c>
      <c r="FR38">
        <v>0.55586793931614897</v>
      </c>
      <c r="FS38">
        <v>1</v>
      </c>
      <c r="FT38">
        <v>0.418443747005529</v>
      </c>
    </row>
    <row r="39" spans="1:176" x14ac:dyDescent="0.2">
      <c r="A39" s="1486" t="s">
        <v>2278</v>
      </c>
      <c r="B39">
        <v>4.5691503386182983E-2</v>
      </c>
      <c r="C39">
        <v>0.71624256240972572</v>
      </c>
      <c r="D39">
        <v>8.4390050084087995E-2</v>
      </c>
      <c r="E39">
        <v>5.7614629783635747E-2</v>
      </c>
      <c r="F39">
        <v>8.5735228337711605E-2</v>
      </c>
      <c r="G39">
        <v>8.4687615310521325E-2</v>
      </c>
      <c r="H39">
        <v>0.69333111309642481</v>
      </c>
      <c r="I39">
        <v>0.67082568894494965</v>
      </c>
      <c r="J39">
        <v>0.57321619862310147</v>
      </c>
      <c r="K39">
        <v>0.4241547284456747</v>
      </c>
      <c r="L39">
        <v>0.43279138613367429</v>
      </c>
      <c r="M39">
        <v>0.57221015892291771</v>
      </c>
      <c r="N39">
        <v>0.66691195594371622</v>
      </c>
      <c r="O39">
        <v>0.5122189033668092</v>
      </c>
      <c r="P39">
        <v>6.1334000069965512E-2</v>
      </c>
      <c r="Q39">
        <v>0.42243235444336358</v>
      </c>
      <c r="R39">
        <v>0.4946931699364373</v>
      </c>
      <c r="S39">
        <v>0.83102119650495088</v>
      </c>
      <c r="T39">
        <v>0.1394871441045106</v>
      </c>
      <c r="U39">
        <v>0.11443597696468329</v>
      </c>
      <c r="V39">
        <v>0.16814929730501732</v>
      </c>
      <c r="W39">
        <v>0.32378078815037048</v>
      </c>
      <c r="X39">
        <v>1.3846367279958664E-2</v>
      </c>
      <c r="Y39">
        <v>4.496659027684155E-2</v>
      </c>
      <c r="Z39">
        <v>0.12687999206190595</v>
      </c>
      <c r="AA39">
        <v>7.9739193943585446E-2</v>
      </c>
      <c r="AB39">
        <v>8.9128103038146889E-2</v>
      </c>
      <c r="AC39">
        <v>0.1369776735465347</v>
      </c>
      <c r="AD39">
        <v>0.13545112123396602</v>
      </c>
      <c r="AE39">
        <v>0.64834748408399467</v>
      </c>
      <c r="AF39">
        <v>0.49560295950739924</v>
      </c>
      <c r="AG39">
        <v>0.299646260003678</v>
      </c>
      <c r="AH39">
        <v>6.6105632588172328E-2</v>
      </c>
      <c r="AI39">
        <v>0.21095479189415939</v>
      </c>
      <c r="AJ39">
        <v>0.53917616505845478</v>
      </c>
      <c r="AK39">
        <v>0.146148646626341</v>
      </c>
      <c r="AL39">
        <v>0.58202265723214164</v>
      </c>
      <c r="AM39">
        <v>9.3528423015621046E-2</v>
      </c>
      <c r="AN39">
        <v>0.53471725720011221</v>
      </c>
      <c r="AO39">
        <v>0.69276295572158542</v>
      </c>
      <c r="AP39">
        <v>0.36681553185470006</v>
      </c>
      <c r="AQ39">
        <v>0.93728464576516768</v>
      </c>
      <c r="AR39">
        <v>0.55378863173927151</v>
      </c>
      <c r="AS39">
        <v>0.83557744858379623</v>
      </c>
      <c r="AT39">
        <v>0.86308690823801892</v>
      </c>
      <c r="AU39">
        <v>0.56700616270743365</v>
      </c>
      <c r="AV39">
        <v>0.79272450577066278</v>
      </c>
      <c r="AW39">
        <v>0.60365062198225716</v>
      </c>
      <c r="AX39">
        <v>0.47444858105862453</v>
      </c>
      <c r="AY39">
        <v>0.14938652742206415</v>
      </c>
      <c r="AZ39">
        <v>0.55011020563950297</v>
      </c>
      <c r="BA39">
        <v>0.44223498420921875</v>
      </c>
      <c r="BB39">
        <v>0.13435607553388837</v>
      </c>
      <c r="BC39">
        <v>0.85861930395625119</v>
      </c>
      <c r="BD39">
        <v>0.90739553608828882</v>
      </c>
      <c r="BE39">
        <v>0.13151481920175334</v>
      </c>
      <c r="BF39">
        <v>0.35999852128277121</v>
      </c>
      <c r="BG39">
        <v>0.63607571830365572</v>
      </c>
      <c r="BH39">
        <v>0.61565718166629968</v>
      </c>
      <c r="BI39">
        <v>0.42026243722017187</v>
      </c>
      <c r="BJ39">
        <v>0.71959100501717432</v>
      </c>
      <c r="BK39">
        <v>0.51730205094709591</v>
      </c>
      <c r="BL39">
        <v>0.55697559839668387</v>
      </c>
      <c r="BM39">
        <v>0.45683710927809079</v>
      </c>
      <c r="BN39">
        <v>0.63174529868415952</v>
      </c>
      <c r="BO39">
        <v>0.67772901129202012</v>
      </c>
      <c r="BP39">
        <v>0.49645658330190118</v>
      </c>
      <c r="BQ39">
        <v>0.40458814800664689</v>
      </c>
      <c r="BR39">
        <v>0.46845811485471694</v>
      </c>
      <c r="BS39">
        <v>0.63694063904014631</v>
      </c>
      <c r="BT39">
        <v>0.48721801070827342</v>
      </c>
      <c r="BU39">
        <v>0.50690443482637315</v>
      </c>
      <c r="BV39">
        <v>0.41762301636386245</v>
      </c>
      <c r="BW39">
        <v>0.50192891260024286</v>
      </c>
      <c r="BX39">
        <v>0.42209736571717899</v>
      </c>
      <c r="BY39">
        <v>0.94887880380736456</v>
      </c>
      <c r="BZ39">
        <v>0.54088255984601885</v>
      </c>
      <c r="CA39">
        <v>0.3836927785952095</v>
      </c>
      <c r="CB39">
        <v>0.42476363973380515</v>
      </c>
      <c r="CC39">
        <v>0.5613440661013257</v>
      </c>
      <c r="CD39">
        <v>0.44090603964585717</v>
      </c>
      <c r="CE39">
        <v>0.37338090114430122</v>
      </c>
      <c r="CF39">
        <v>0.55619041761554977</v>
      </c>
      <c r="CG39">
        <v>1</v>
      </c>
      <c r="CH39">
        <v>9.9067472095604167E-2</v>
      </c>
      <c r="CI39">
        <v>0.19740049470704027</v>
      </c>
      <c r="CJ39">
        <v>0.49371752067335539</v>
      </c>
      <c r="CK39">
        <v>0.49221524521623217</v>
      </c>
      <c r="CL39">
        <v>0.37113523956058048</v>
      </c>
      <c r="CM39">
        <v>0.55668333424268968</v>
      </c>
      <c r="CN39">
        <v>0.52778599939662874</v>
      </c>
      <c r="CO39">
        <v>0.54989841303000109</v>
      </c>
      <c r="CP39">
        <v>0.61727068082401293</v>
      </c>
      <c r="CQ39">
        <v>0.62887429480043422</v>
      </c>
      <c r="CR39">
        <v>0.22650513548533188</v>
      </c>
      <c r="CS39">
        <v>0.14197106323984518</v>
      </c>
      <c r="CT39">
        <v>7.0943509324715326E-2</v>
      </c>
      <c r="CU39">
        <v>0.12714778306173113</v>
      </c>
      <c r="CV39">
        <v>5.3324198461264814E-2</v>
      </c>
      <c r="CW39">
        <v>0.38515256143612447</v>
      </c>
      <c r="CX39">
        <v>0.66338545559417816</v>
      </c>
      <c r="CY39">
        <v>0.5796341965741505</v>
      </c>
      <c r="CZ39">
        <v>0.43890876735771422</v>
      </c>
      <c r="DA39">
        <v>0.45154712082828746</v>
      </c>
      <c r="DB39">
        <v>0.46641087289011496</v>
      </c>
      <c r="DC39">
        <v>0.69308867843519784</v>
      </c>
      <c r="DD39">
        <v>0.54481632724008999</v>
      </c>
      <c r="DE39">
        <v>0.15262749323394889</v>
      </c>
      <c r="DF39">
        <v>0.4664729106387373</v>
      </c>
      <c r="DG39">
        <v>3.1160554888696079E-2</v>
      </c>
      <c r="DH39">
        <v>0.45690602771092031</v>
      </c>
      <c r="DI39">
        <v>0.50591865655235757</v>
      </c>
      <c r="DJ39">
        <v>0.6126105219108775</v>
      </c>
      <c r="DK39">
        <v>0.65784187777062852</v>
      </c>
      <c r="DL39">
        <v>0.72735148961824669</v>
      </c>
      <c r="DM39">
        <v>0.4519250105270054</v>
      </c>
      <c r="DN39">
        <v>0.46523753327956802</v>
      </c>
      <c r="DO39">
        <v>0.92271533734534295</v>
      </c>
      <c r="DP39">
        <v>0.60235391162875729</v>
      </c>
      <c r="DQ39">
        <v>0.54552694917264832</v>
      </c>
      <c r="DR39">
        <v>0.4843967378802661</v>
      </c>
      <c r="DS39">
        <v>0.42660516530316084</v>
      </c>
      <c r="DT39">
        <v>0.16453819226960278</v>
      </c>
      <c r="DU39">
        <v>0.10527167110501069</v>
      </c>
      <c r="DV39">
        <v>0.80298850530443699</v>
      </c>
      <c r="DW39">
        <v>0.80117216504350219</v>
      </c>
      <c r="DX39">
        <v>0.55843860710872284</v>
      </c>
      <c r="DY39">
        <v>0.13518337781444534</v>
      </c>
      <c r="DZ39">
        <v>4.4033014069815725E-2</v>
      </c>
      <c r="EA39">
        <v>0.71909414970937047</v>
      </c>
      <c r="EB39">
        <v>0.50082351363687949</v>
      </c>
      <c r="EC39">
        <v>0.50608278218354252</v>
      </c>
      <c r="ED39">
        <v>0.31045376903595634</v>
      </c>
      <c r="EE39">
        <v>0.39289889490026192</v>
      </c>
      <c r="EF39">
        <v>0.65413921705751887</v>
      </c>
      <c r="EG39">
        <v>0.48135484357123509</v>
      </c>
      <c r="EH39">
        <v>0.70787786466403801</v>
      </c>
      <c r="EI39">
        <v>0.371006391408776</v>
      </c>
      <c r="EJ39">
        <v>9.777494562835462E-2</v>
      </c>
      <c r="EK39">
        <v>0.47387126849480421</v>
      </c>
      <c r="EL39">
        <v>0.47812511133019098</v>
      </c>
      <c r="EM39">
        <v>0.77436138971592416</v>
      </c>
      <c r="EN39">
        <v>0.23100325173615804</v>
      </c>
      <c r="EO39">
        <v>0.74593955940706047</v>
      </c>
      <c r="EP39">
        <v>0.35113091915353839</v>
      </c>
      <c r="EQ39">
        <v>0.51362139555742792</v>
      </c>
      <c r="ER39">
        <v>0.50299894074563711</v>
      </c>
      <c r="ES39">
        <v>0.39623144442338371</v>
      </c>
      <c r="ET39">
        <v>0</v>
      </c>
      <c r="EU39">
        <v>0.12003021480264685</v>
      </c>
      <c r="EV39">
        <v>0.33882685400213491</v>
      </c>
      <c r="EW39">
        <v>7.8695219698895313E-2</v>
      </c>
      <c r="EX39">
        <v>0.47129184961496257</v>
      </c>
      <c r="EY39">
        <v>0.37490358337367574</v>
      </c>
      <c r="EZ39">
        <v>0.20904963382885799</v>
      </c>
      <c r="FA39">
        <v>0.16675751033129013</v>
      </c>
      <c r="FB39">
        <v>0.36365088040804017</v>
      </c>
      <c r="FC39">
        <v>0.47448121624083378</v>
      </c>
      <c r="FD39">
        <v>0.47490617778847061</v>
      </c>
      <c r="FE39">
        <v>0.31908044123708496</v>
      </c>
      <c r="FF39">
        <v>4.7606267158981634E-2</v>
      </c>
      <c r="FG39">
        <v>0.83119907880565547</v>
      </c>
      <c r="FH39">
        <v>0.73026856904137116</v>
      </c>
      <c r="FI39">
        <v>0.57816945377817608</v>
      </c>
      <c r="FJ39">
        <v>0.42436636888450863</v>
      </c>
      <c r="FK39">
        <v>0.45958628966579523</v>
      </c>
      <c r="FL39">
        <v>0.40891142030363575</v>
      </c>
      <c r="FM39">
        <v>0.55897547548673621</v>
      </c>
      <c r="FN39">
        <v>0.52320943880677251</v>
      </c>
      <c r="FO39">
        <v>7.1758320552672852E-2</v>
      </c>
      <c r="FP39">
        <v>0.69777217477645681</v>
      </c>
      <c r="FQ39">
        <v>0.34674302380483257</v>
      </c>
      <c r="FR39">
        <v>0.30677998398973072</v>
      </c>
      <c r="FS39">
        <v>0.70019257816899449</v>
      </c>
      <c r="FT39">
        <v>0.62572430846028648</v>
      </c>
    </row>
    <row r="40" spans="1:176" x14ac:dyDescent="0.2">
      <c r="A40" s="1486" t="s">
        <v>2369</v>
      </c>
      <c r="B40" s="615">
        <v>16</v>
      </c>
      <c r="C40" s="615">
        <v>16</v>
      </c>
      <c r="D40" s="615">
        <v>16</v>
      </c>
      <c r="E40" s="615">
        <v>17</v>
      </c>
      <c r="F40" s="615">
        <v>16</v>
      </c>
      <c r="G40" s="615">
        <v>16</v>
      </c>
      <c r="H40" s="615">
        <v>16</v>
      </c>
      <c r="I40" s="615">
        <v>16</v>
      </c>
      <c r="J40" s="615">
        <v>16</v>
      </c>
      <c r="K40" s="615">
        <v>16</v>
      </c>
      <c r="L40" s="615">
        <v>16</v>
      </c>
      <c r="M40" s="615">
        <v>16</v>
      </c>
      <c r="N40" s="615">
        <v>16</v>
      </c>
      <c r="O40" s="615">
        <v>16</v>
      </c>
      <c r="P40" s="615">
        <v>2</v>
      </c>
      <c r="Q40" s="615">
        <v>2</v>
      </c>
      <c r="R40" s="615">
        <v>16</v>
      </c>
      <c r="S40" s="615">
        <v>16</v>
      </c>
      <c r="T40" s="615">
        <v>16</v>
      </c>
      <c r="U40" s="615">
        <v>16</v>
      </c>
      <c r="V40" s="615">
        <v>16</v>
      </c>
      <c r="W40" s="615">
        <v>16</v>
      </c>
      <c r="X40" s="615">
        <v>16</v>
      </c>
      <c r="Y40" s="615">
        <v>16</v>
      </c>
      <c r="Z40" s="615">
        <v>16</v>
      </c>
      <c r="AA40" s="615">
        <v>16</v>
      </c>
      <c r="AB40" s="615">
        <v>16</v>
      </c>
      <c r="AC40" s="615">
        <v>16</v>
      </c>
      <c r="AD40" s="615">
        <v>2</v>
      </c>
      <c r="AE40" s="615">
        <v>16</v>
      </c>
      <c r="AF40" s="615">
        <v>16</v>
      </c>
      <c r="AG40" s="615">
        <v>16</v>
      </c>
      <c r="AH40" s="615">
        <v>16</v>
      </c>
      <c r="AI40" s="615">
        <v>16</v>
      </c>
      <c r="AJ40" s="615">
        <v>2</v>
      </c>
      <c r="AK40" s="615">
        <v>2</v>
      </c>
      <c r="AL40" s="615">
        <v>2</v>
      </c>
      <c r="AM40" s="615">
        <v>2</v>
      </c>
      <c r="AN40" s="615">
        <v>1</v>
      </c>
      <c r="AO40" s="615">
        <v>1</v>
      </c>
      <c r="AP40" s="615">
        <v>16</v>
      </c>
      <c r="AQ40" s="615">
        <v>13</v>
      </c>
      <c r="AR40" s="615">
        <v>13</v>
      </c>
      <c r="AS40" s="615">
        <v>13</v>
      </c>
      <c r="AT40" s="615">
        <v>13</v>
      </c>
      <c r="AU40" s="615">
        <v>16</v>
      </c>
      <c r="AV40" s="615">
        <v>16</v>
      </c>
      <c r="AW40" s="615">
        <v>3</v>
      </c>
      <c r="AX40" s="615">
        <v>17</v>
      </c>
      <c r="AY40" s="615">
        <v>17</v>
      </c>
      <c r="AZ40" s="615">
        <v>17</v>
      </c>
      <c r="BA40" s="615">
        <v>17</v>
      </c>
      <c r="BB40" s="615">
        <v>13</v>
      </c>
      <c r="BC40" s="615">
        <v>13</v>
      </c>
      <c r="BD40" s="615">
        <v>14</v>
      </c>
      <c r="BE40" s="615">
        <v>13</v>
      </c>
      <c r="BF40" s="615">
        <v>14</v>
      </c>
      <c r="BG40" s="615">
        <v>16</v>
      </c>
      <c r="BH40" s="615">
        <v>16</v>
      </c>
      <c r="BI40" s="615">
        <v>16</v>
      </c>
      <c r="BJ40" s="615">
        <v>16</v>
      </c>
      <c r="BK40" s="615">
        <v>16</v>
      </c>
      <c r="BL40" s="615">
        <v>2</v>
      </c>
      <c r="BM40" s="615">
        <v>16</v>
      </c>
      <c r="BN40" s="615">
        <v>16</v>
      </c>
      <c r="BO40" s="615">
        <v>16</v>
      </c>
      <c r="BP40" s="615">
        <v>16</v>
      </c>
      <c r="BQ40" s="615">
        <v>16</v>
      </c>
      <c r="BR40" s="615">
        <v>16</v>
      </c>
      <c r="BS40" s="615">
        <v>17</v>
      </c>
      <c r="BT40" s="615">
        <v>17</v>
      </c>
      <c r="BU40" s="615">
        <v>17</v>
      </c>
      <c r="BV40" s="615">
        <v>2</v>
      </c>
      <c r="BW40" s="615">
        <v>3</v>
      </c>
      <c r="BX40" s="615">
        <v>3</v>
      </c>
      <c r="BY40" s="615">
        <v>3</v>
      </c>
      <c r="BZ40" s="615">
        <v>2</v>
      </c>
      <c r="CA40" s="615">
        <v>2</v>
      </c>
      <c r="CB40" s="615">
        <v>2</v>
      </c>
      <c r="CC40" s="615">
        <v>2</v>
      </c>
      <c r="CD40" s="615">
        <v>2</v>
      </c>
      <c r="CE40" s="615">
        <v>2</v>
      </c>
      <c r="CF40" s="615">
        <v>16</v>
      </c>
      <c r="CG40" s="615">
        <v>16</v>
      </c>
      <c r="CH40" s="615">
        <v>16</v>
      </c>
      <c r="CI40" s="615">
        <v>17</v>
      </c>
      <c r="CJ40" s="615">
        <v>17</v>
      </c>
      <c r="CK40" s="615">
        <v>17</v>
      </c>
      <c r="CL40" s="615">
        <v>3</v>
      </c>
      <c r="CM40" s="615">
        <v>2</v>
      </c>
      <c r="CN40" s="615">
        <v>2</v>
      </c>
      <c r="CO40" s="615">
        <v>2</v>
      </c>
      <c r="CP40" s="615">
        <v>16</v>
      </c>
      <c r="CQ40" s="615">
        <v>16</v>
      </c>
      <c r="CR40" s="615">
        <v>16</v>
      </c>
      <c r="CS40" s="615">
        <v>16</v>
      </c>
      <c r="CT40" s="615">
        <v>16</v>
      </c>
      <c r="CU40" s="615">
        <v>17</v>
      </c>
      <c r="CV40" s="615">
        <v>17</v>
      </c>
      <c r="CW40" s="615">
        <v>17</v>
      </c>
      <c r="CX40" s="615">
        <v>17</v>
      </c>
      <c r="CY40" s="615">
        <v>3</v>
      </c>
      <c r="CZ40" s="615">
        <v>3</v>
      </c>
      <c r="DA40" s="615">
        <v>12</v>
      </c>
      <c r="DB40" s="615">
        <v>12</v>
      </c>
      <c r="DC40" s="615">
        <v>12</v>
      </c>
      <c r="DD40" s="615">
        <v>12</v>
      </c>
      <c r="DE40" s="615">
        <v>12</v>
      </c>
      <c r="DF40" s="615">
        <v>12</v>
      </c>
      <c r="DG40" s="615">
        <v>12</v>
      </c>
      <c r="DH40" s="615">
        <v>12</v>
      </c>
      <c r="DI40" s="615">
        <v>3</v>
      </c>
      <c r="DJ40" s="615">
        <v>3</v>
      </c>
      <c r="DK40" s="615">
        <v>2</v>
      </c>
      <c r="DL40" s="615">
        <v>2</v>
      </c>
      <c r="DM40" s="615">
        <v>1</v>
      </c>
      <c r="DN40" s="615">
        <v>17</v>
      </c>
      <c r="DO40" s="615">
        <v>3</v>
      </c>
      <c r="DP40" s="615">
        <v>3</v>
      </c>
      <c r="DQ40" s="615">
        <v>3</v>
      </c>
      <c r="DR40" s="615">
        <v>3</v>
      </c>
      <c r="DS40" s="615">
        <v>3</v>
      </c>
      <c r="DT40" s="615">
        <v>16</v>
      </c>
      <c r="DU40" s="615">
        <v>16</v>
      </c>
      <c r="DV40" s="615">
        <v>1</v>
      </c>
      <c r="DW40" s="615">
        <v>13</v>
      </c>
      <c r="DX40" s="615">
        <v>17</v>
      </c>
      <c r="DY40" s="615">
        <v>13</v>
      </c>
      <c r="DZ40" s="615">
        <v>17</v>
      </c>
      <c r="EA40" s="615">
        <v>16</v>
      </c>
      <c r="EB40" s="615">
        <v>16</v>
      </c>
      <c r="EC40" s="615">
        <v>16</v>
      </c>
      <c r="ED40" s="615">
        <v>2</v>
      </c>
      <c r="EE40" s="615">
        <v>17</v>
      </c>
      <c r="EF40" s="615">
        <v>3</v>
      </c>
      <c r="EG40" s="615">
        <v>17</v>
      </c>
      <c r="EH40" s="615">
        <v>2</v>
      </c>
      <c r="EI40" s="615">
        <v>2</v>
      </c>
      <c r="EJ40" s="615">
        <v>16</v>
      </c>
      <c r="EK40" s="615">
        <v>12</v>
      </c>
      <c r="EL40" s="615">
        <v>12</v>
      </c>
      <c r="EM40" s="615">
        <v>12</v>
      </c>
      <c r="EN40" s="615">
        <v>12</v>
      </c>
      <c r="EO40" s="615">
        <v>3</v>
      </c>
      <c r="EP40" s="615">
        <v>2</v>
      </c>
      <c r="EQ40" s="615">
        <v>17</v>
      </c>
      <c r="ER40" s="615">
        <v>17</v>
      </c>
      <c r="ES40" s="615">
        <v>2</v>
      </c>
      <c r="ET40" s="615">
        <v>3</v>
      </c>
      <c r="EU40" s="615">
        <v>16</v>
      </c>
      <c r="EV40" s="615">
        <v>1</v>
      </c>
      <c r="EW40" s="615">
        <v>17</v>
      </c>
      <c r="EX40" s="615">
        <v>17</v>
      </c>
      <c r="EY40" s="615">
        <v>3</v>
      </c>
      <c r="EZ40" s="615">
        <v>2</v>
      </c>
      <c r="FA40" s="615">
        <v>1</v>
      </c>
      <c r="FB40" s="615">
        <v>17</v>
      </c>
      <c r="FC40" s="615">
        <v>17</v>
      </c>
      <c r="FD40" s="615">
        <v>17</v>
      </c>
      <c r="FE40" s="615">
        <v>1</v>
      </c>
      <c r="FF40" s="615">
        <v>12</v>
      </c>
      <c r="FG40" s="615">
        <v>3</v>
      </c>
      <c r="FH40" s="615">
        <v>1</v>
      </c>
      <c r="FI40" s="615">
        <v>17</v>
      </c>
      <c r="FJ40" s="615">
        <v>3</v>
      </c>
      <c r="FK40" s="615">
        <v>12</v>
      </c>
      <c r="FL40" s="615">
        <v>16</v>
      </c>
      <c r="FM40" s="615">
        <v>16</v>
      </c>
      <c r="FN40" s="615">
        <v>3</v>
      </c>
      <c r="FO40" s="615">
        <v>1</v>
      </c>
      <c r="FP40" s="615">
        <v>3</v>
      </c>
      <c r="FQ40" s="615">
        <v>17</v>
      </c>
      <c r="FR40" s="615">
        <v>1</v>
      </c>
      <c r="FS40" s="615">
        <v>12</v>
      </c>
      <c r="FT40" s="615">
        <v>16</v>
      </c>
    </row>
    <row r="41" spans="1:176" x14ac:dyDescent="0.2">
      <c r="A41" s="1486" t="s">
        <v>2269</v>
      </c>
      <c r="B41">
        <v>0.75440264365463494</v>
      </c>
      <c r="C41">
        <v>0.97162425624097259</v>
      </c>
      <c r="D41">
        <v>0.84327060705194778</v>
      </c>
      <c r="E41">
        <v>0.82665079224463145</v>
      </c>
      <c r="F41">
        <v>0.90857352283377113</v>
      </c>
      <c r="G41">
        <v>0.90846876153105205</v>
      </c>
      <c r="H41">
        <v>0.9693331113096425</v>
      </c>
      <c r="I41">
        <v>0.96708256889449495</v>
      </c>
      <c r="J41">
        <v>0.69565199823539414</v>
      </c>
      <c r="K41">
        <v>0.94241547284456739</v>
      </c>
      <c r="L41">
        <v>0.94327913861336743</v>
      </c>
      <c r="M41">
        <v>0.6774872139626481</v>
      </c>
      <c r="N41">
        <v>0.79879043419898454</v>
      </c>
      <c r="O41">
        <v>0.9491527238198042</v>
      </c>
      <c r="P41">
        <v>0.90613340000699649</v>
      </c>
      <c r="Q41">
        <v>0.9422432354443363</v>
      </c>
      <c r="R41">
        <v>0.87281306014784044</v>
      </c>
      <c r="S41">
        <v>0.82197596875025358</v>
      </c>
      <c r="T41">
        <v>0.913948714410451</v>
      </c>
      <c r="U41">
        <v>0.91144359769646832</v>
      </c>
      <c r="V41">
        <v>0.80566392996293079</v>
      </c>
      <c r="W41">
        <v>0.85056446432898614</v>
      </c>
      <c r="X41">
        <v>0.6217210656248453</v>
      </c>
      <c r="Y41">
        <v>0.75216562390245567</v>
      </c>
      <c r="Z41">
        <v>0.48636990958603626</v>
      </c>
      <c r="AA41">
        <v>0.471649354891641</v>
      </c>
      <c r="AB41">
        <v>0.83434099054879785</v>
      </c>
      <c r="AC41">
        <v>0.91369776735465347</v>
      </c>
      <c r="AD41">
        <v>0.56187539871985315</v>
      </c>
      <c r="AE41">
        <v>0.83794217498757428</v>
      </c>
      <c r="AF41">
        <v>0.64509377534619228</v>
      </c>
      <c r="AG41">
        <v>0.47498015705284641</v>
      </c>
      <c r="AH41">
        <v>0.90661056325881717</v>
      </c>
      <c r="AI41">
        <v>0.92109547918941592</v>
      </c>
      <c r="AJ41">
        <v>0.84671600379789247</v>
      </c>
      <c r="AK41">
        <v>0.4274939909579723</v>
      </c>
      <c r="AL41">
        <v>0.61329424616081685</v>
      </c>
      <c r="AM41">
        <v>0.78928649037587884</v>
      </c>
      <c r="AN41">
        <v>0.44153634700787797</v>
      </c>
      <c r="AO41">
        <v>0.90138273650458978</v>
      </c>
      <c r="AP41">
        <v>0.88004284914265041</v>
      </c>
      <c r="AQ41">
        <v>0.88623789988471569</v>
      </c>
      <c r="AR41">
        <v>0.57444603517079229</v>
      </c>
      <c r="AS41">
        <v>0.81196662025294686</v>
      </c>
      <c r="AT41">
        <v>0.6273922960406606</v>
      </c>
      <c r="AU41">
        <v>0.49151280922120244</v>
      </c>
      <c r="AV41">
        <v>0.836137790597268</v>
      </c>
      <c r="AW41">
        <v>0.86804962858386514</v>
      </c>
      <c r="AX41">
        <v>0.57433535264285718</v>
      </c>
      <c r="AY41">
        <v>0.36973953408636961</v>
      </c>
      <c r="AZ41">
        <v>0.51545460586857117</v>
      </c>
      <c r="BA41">
        <v>0.6859248123972469</v>
      </c>
      <c r="BB41">
        <v>0.71140176379970832</v>
      </c>
      <c r="BC41">
        <v>0.6449576509233621</v>
      </c>
      <c r="BD41">
        <v>0.97254681158833101</v>
      </c>
      <c r="BE41">
        <v>0.73893961288673871</v>
      </c>
      <c r="BF41">
        <v>0.81454549598557391</v>
      </c>
      <c r="BG41">
        <v>0.80540739348434565</v>
      </c>
      <c r="BH41">
        <v>0.82370625542404496</v>
      </c>
      <c r="BI41">
        <v>0.8091134995288658</v>
      </c>
      <c r="BJ41">
        <v>0.7079647989601684</v>
      </c>
      <c r="BK41">
        <v>0.50927787030457616</v>
      </c>
      <c r="BL41">
        <v>0.67147770141621688</v>
      </c>
      <c r="BM41">
        <v>0.75794781961023627</v>
      </c>
      <c r="BN41">
        <v>0.88256520875997369</v>
      </c>
      <c r="BO41">
        <v>0.63488523179454603</v>
      </c>
      <c r="BP41">
        <v>0.80536478565644298</v>
      </c>
      <c r="BQ41">
        <v>0.80545147212155666</v>
      </c>
      <c r="BR41">
        <v>0.49018769769578929</v>
      </c>
      <c r="BS41">
        <v>0.47359438049125857</v>
      </c>
      <c r="BT41">
        <v>0.94872180107082726</v>
      </c>
      <c r="BU41">
        <v>0.78643967576451856</v>
      </c>
      <c r="BV41">
        <v>0.77805117757708731</v>
      </c>
      <c r="BW41">
        <v>0.68621516542309546</v>
      </c>
      <c r="BX41">
        <v>0.80929037308950369</v>
      </c>
      <c r="BY41">
        <v>0.60264077168324937</v>
      </c>
      <c r="BZ41">
        <v>0.49286577433950518</v>
      </c>
      <c r="CA41">
        <v>0.48771664525130803</v>
      </c>
      <c r="CB41">
        <v>0.5129540975660053</v>
      </c>
      <c r="CC41">
        <v>0.62641832420009502</v>
      </c>
      <c r="CD41">
        <v>0.74184717618403873</v>
      </c>
      <c r="CE41">
        <v>0.84540672215616985</v>
      </c>
      <c r="CF41">
        <v>0.80578967575228522</v>
      </c>
      <c r="CG41">
        <v>0.56873434626304875</v>
      </c>
      <c r="CH41">
        <v>0.57278636160093921</v>
      </c>
      <c r="CI41">
        <v>0.5377257240182135</v>
      </c>
      <c r="CJ41">
        <v>0.85081912908181068</v>
      </c>
      <c r="CK41">
        <v>0.83385755731131539</v>
      </c>
      <c r="CL41">
        <v>0.77727664192549206</v>
      </c>
      <c r="CM41">
        <v>0.84117070112401726</v>
      </c>
      <c r="CN41">
        <v>0.75924863460875458</v>
      </c>
      <c r="CO41">
        <v>0.61959229356268286</v>
      </c>
      <c r="CP41">
        <v>0.9266797585571428</v>
      </c>
      <c r="CQ41">
        <v>0.73359089839656666</v>
      </c>
      <c r="CR41">
        <v>0.92265051354853311</v>
      </c>
      <c r="CS41">
        <v>0.74988985015922494</v>
      </c>
      <c r="CT41">
        <v>0.90709435093247148</v>
      </c>
      <c r="CU41">
        <v>0.79317359358449502</v>
      </c>
      <c r="CV41">
        <v>0.78591027815475156</v>
      </c>
      <c r="CW41">
        <v>0.56255338866209093</v>
      </c>
      <c r="CX41">
        <v>0.61135436515433084</v>
      </c>
      <c r="CY41">
        <v>0.58478200422619342</v>
      </c>
      <c r="CZ41">
        <v>0.65373938911871676</v>
      </c>
      <c r="DA41">
        <v>0.61346988281151071</v>
      </c>
      <c r="DB41">
        <v>0.447437626888538</v>
      </c>
      <c r="DC41">
        <v>0.61775608999951992</v>
      </c>
      <c r="DD41">
        <v>0.74426967127949595</v>
      </c>
      <c r="DE41">
        <v>0.45083073803132051</v>
      </c>
      <c r="DF41">
        <v>0.39181092683815411</v>
      </c>
      <c r="DG41">
        <v>0.69053825989979101</v>
      </c>
      <c r="DH41">
        <v>0.43928855158666408</v>
      </c>
      <c r="DI41">
        <v>0.68645485454994548</v>
      </c>
      <c r="DJ41">
        <v>0.75448356353399271</v>
      </c>
      <c r="DK41">
        <v>0.60327683802505994</v>
      </c>
      <c r="DL41">
        <v>0.65408561714191882</v>
      </c>
      <c r="DM41">
        <v>0.86003242770165267</v>
      </c>
      <c r="DN41">
        <v>0.88005580207816558</v>
      </c>
      <c r="DO41">
        <v>0.66091649541457198</v>
      </c>
      <c r="DP41">
        <v>0.7278724751950586</v>
      </c>
      <c r="DQ41">
        <v>0.60880914006288556</v>
      </c>
      <c r="DR41">
        <v>0.68767701230408407</v>
      </c>
      <c r="DS41">
        <v>0.69999091001944247</v>
      </c>
      <c r="DT41">
        <v>0.75140239056629599</v>
      </c>
      <c r="DU41">
        <v>0.51779892091935176</v>
      </c>
      <c r="DV41">
        <v>0.9166787287941599</v>
      </c>
      <c r="DW41">
        <v>0.82011723403777947</v>
      </c>
      <c r="DX41">
        <v>0.60950151197964852</v>
      </c>
      <c r="DY41">
        <v>0.7928405780251403</v>
      </c>
      <c r="DZ41">
        <v>0.51318851886672012</v>
      </c>
      <c r="EA41">
        <v>0.57042726142200573</v>
      </c>
      <c r="EB41">
        <v>0.80663355278252225</v>
      </c>
      <c r="EC41">
        <v>0.6629595152892489</v>
      </c>
      <c r="ED41">
        <v>0.6626514021902552</v>
      </c>
      <c r="EE41">
        <v>0.60320599957597121</v>
      </c>
      <c r="EF41">
        <v>0.59827952517467375</v>
      </c>
      <c r="EG41">
        <v>0.60437599258312125</v>
      </c>
      <c r="EH41">
        <v>0.82389051845466776</v>
      </c>
      <c r="EI41">
        <v>0.82589886929472589</v>
      </c>
      <c r="EJ41">
        <v>0.84249103846617146</v>
      </c>
      <c r="EK41">
        <v>0.5395748297833568</v>
      </c>
      <c r="EL41">
        <v>0.51698814765653511</v>
      </c>
      <c r="EM41">
        <v>0.59848327394490375</v>
      </c>
      <c r="EN41">
        <v>0.59325245442794927</v>
      </c>
      <c r="EO41">
        <v>0.51386564155658843</v>
      </c>
      <c r="EP41">
        <v>0.58760000191938933</v>
      </c>
      <c r="EQ41">
        <v>0.90580756165989063</v>
      </c>
      <c r="ER41">
        <v>0.8789266969818974</v>
      </c>
      <c r="ES41">
        <v>0.78030493591715533</v>
      </c>
      <c r="ET41">
        <v>0.61105920016281856</v>
      </c>
      <c r="EU41">
        <v>0.91200302148026469</v>
      </c>
      <c r="EV41">
        <v>0.67219488676734174</v>
      </c>
      <c r="EW41">
        <v>0.78069251871274925</v>
      </c>
      <c r="EX41">
        <v>0.82818334498421353</v>
      </c>
      <c r="EY41">
        <v>0.81987679584971851</v>
      </c>
      <c r="EZ41">
        <v>0.59782007094317846</v>
      </c>
      <c r="FA41">
        <v>0.46613012743775328</v>
      </c>
      <c r="FB41">
        <v>0.89365577780327887</v>
      </c>
      <c r="FC41">
        <v>0.49710374254133421</v>
      </c>
      <c r="FD41">
        <v>0.59658928858541371</v>
      </c>
      <c r="FE41">
        <v>0.85215097585928334</v>
      </c>
      <c r="FF41">
        <v>0.65695553513651817</v>
      </c>
      <c r="FG41">
        <v>0.60254706816871528</v>
      </c>
      <c r="FH41">
        <v>0.88718481625877998</v>
      </c>
      <c r="FI41">
        <v>0.90627128441718541</v>
      </c>
      <c r="FJ41">
        <v>0.4647696757491569</v>
      </c>
      <c r="FK41">
        <v>0.54206750042450069</v>
      </c>
      <c r="FL41">
        <v>0.7601432718235609</v>
      </c>
      <c r="FM41">
        <v>0.90900518047177725</v>
      </c>
      <c r="FN41">
        <v>0.6172396744940517</v>
      </c>
      <c r="FO41">
        <v>0.70813984217369619</v>
      </c>
      <c r="FP41">
        <v>0.69178745278998954</v>
      </c>
      <c r="FQ41">
        <v>0.51964914767889281</v>
      </c>
      <c r="FR41">
        <v>0.79743838019381774</v>
      </c>
      <c r="FS41">
        <v>0.62924265814104208</v>
      </c>
      <c r="FT41">
        <v>0.7881055549476873</v>
      </c>
    </row>
    <row r="42" spans="1:176" x14ac:dyDescent="0.2">
      <c r="A42" s="1486" t="s">
        <v>2270</v>
      </c>
      <c r="B42" t="s">
        <v>1228</v>
      </c>
      <c r="C42" t="s">
        <v>1227</v>
      </c>
      <c r="D42" t="s">
        <v>1227</v>
      </c>
      <c r="E42" t="s">
        <v>1227</v>
      </c>
      <c r="F42" t="s">
        <v>1227</v>
      </c>
      <c r="G42" t="s">
        <v>1227</v>
      </c>
      <c r="H42" t="s">
        <v>1227</v>
      </c>
      <c r="I42" t="s">
        <v>1227</v>
      </c>
      <c r="J42" t="s">
        <v>1234</v>
      </c>
      <c r="K42" t="s">
        <v>1227</v>
      </c>
      <c r="L42" t="s">
        <v>1227</v>
      </c>
      <c r="M42" t="s">
        <v>1234</v>
      </c>
      <c r="N42" t="s">
        <v>1228</v>
      </c>
      <c r="O42" t="s">
        <v>1227</v>
      </c>
      <c r="P42" t="s">
        <v>1227</v>
      </c>
      <c r="Q42" t="s">
        <v>1227</v>
      </c>
      <c r="R42" t="s">
        <v>1227</v>
      </c>
      <c r="S42" t="s">
        <v>1227</v>
      </c>
      <c r="T42" t="s">
        <v>1227</v>
      </c>
      <c r="U42" t="s">
        <v>1227</v>
      </c>
      <c r="V42" t="s">
        <v>1228</v>
      </c>
      <c r="W42" t="s">
        <v>1227</v>
      </c>
      <c r="X42" t="s">
        <v>1234</v>
      </c>
      <c r="Y42" t="s">
        <v>1228</v>
      </c>
      <c r="Z42" t="s">
        <v>1234</v>
      </c>
      <c r="AA42" t="s">
        <v>1234</v>
      </c>
      <c r="AB42" t="s">
        <v>1227</v>
      </c>
      <c r="AC42" t="s">
        <v>1227</v>
      </c>
      <c r="AD42" t="s">
        <v>1234</v>
      </c>
      <c r="AE42" t="s">
        <v>1227</v>
      </c>
      <c r="AF42" t="s">
        <v>1234</v>
      </c>
      <c r="AG42" t="s">
        <v>1234</v>
      </c>
      <c r="AH42" t="s">
        <v>1227</v>
      </c>
      <c r="AI42" t="s">
        <v>1227</v>
      </c>
      <c r="AJ42" t="s">
        <v>1227</v>
      </c>
      <c r="AK42" t="s">
        <v>1234</v>
      </c>
      <c r="AL42" t="s">
        <v>1234</v>
      </c>
      <c r="AM42" t="s">
        <v>1228</v>
      </c>
      <c r="AN42" t="s">
        <v>1234</v>
      </c>
      <c r="AO42" t="s">
        <v>1227</v>
      </c>
      <c r="AP42" t="s">
        <v>1227</v>
      </c>
      <c r="AQ42" t="s">
        <v>1227</v>
      </c>
      <c r="AR42" t="s">
        <v>1234</v>
      </c>
      <c r="AS42" t="s">
        <v>1228</v>
      </c>
      <c r="AT42" t="s">
        <v>1234</v>
      </c>
      <c r="AU42" t="s">
        <v>1234</v>
      </c>
      <c r="AV42" t="s">
        <v>1227</v>
      </c>
      <c r="AW42" t="s">
        <v>1227</v>
      </c>
      <c r="AX42" t="s">
        <v>1234</v>
      </c>
      <c r="AY42" t="s">
        <v>1234</v>
      </c>
      <c r="AZ42" t="s">
        <v>1234</v>
      </c>
      <c r="BA42" t="s">
        <v>1234</v>
      </c>
      <c r="BB42" t="s">
        <v>1229</v>
      </c>
      <c r="BC42" t="s">
        <v>1234</v>
      </c>
      <c r="BD42" t="s">
        <v>1227</v>
      </c>
      <c r="BE42" t="s">
        <v>1229</v>
      </c>
      <c r="BF42" t="s">
        <v>1228</v>
      </c>
      <c r="BG42" t="s">
        <v>1228</v>
      </c>
      <c r="BH42" t="s">
        <v>1227</v>
      </c>
      <c r="BI42" t="s">
        <v>1228</v>
      </c>
      <c r="BJ42" t="s">
        <v>1229</v>
      </c>
      <c r="BK42" t="s">
        <v>1234</v>
      </c>
      <c r="BL42" t="s">
        <v>1234</v>
      </c>
      <c r="BM42" t="s">
        <v>1228</v>
      </c>
      <c r="BN42" t="s">
        <v>1227</v>
      </c>
      <c r="BO42" t="s">
        <v>1234</v>
      </c>
      <c r="BP42" t="s">
        <v>1228</v>
      </c>
      <c r="BQ42" t="s">
        <v>1228</v>
      </c>
      <c r="BR42" t="s">
        <v>1234</v>
      </c>
      <c r="BS42" t="s">
        <v>1234</v>
      </c>
      <c r="BT42" t="s">
        <v>1227</v>
      </c>
      <c r="BU42" t="s">
        <v>1228</v>
      </c>
      <c r="BV42" t="s">
        <v>1228</v>
      </c>
      <c r="BW42" t="s">
        <v>1234</v>
      </c>
      <c r="BX42" t="s">
        <v>1228</v>
      </c>
      <c r="BY42" t="s">
        <v>1234</v>
      </c>
      <c r="BZ42" t="s">
        <v>1234</v>
      </c>
      <c r="CA42" t="s">
        <v>1234</v>
      </c>
      <c r="CB42" t="s">
        <v>1234</v>
      </c>
      <c r="CC42" t="s">
        <v>1234</v>
      </c>
      <c r="CD42" t="s">
        <v>1229</v>
      </c>
      <c r="CE42" t="s">
        <v>1227</v>
      </c>
      <c r="CF42" t="s">
        <v>1228</v>
      </c>
      <c r="CG42" t="s">
        <v>1234</v>
      </c>
      <c r="CH42" t="s">
        <v>1234</v>
      </c>
      <c r="CI42" t="s">
        <v>1234</v>
      </c>
      <c r="CJ42" t="s">
        <v>1227</v>
      </c>
      <c r="CK42" t="s">
        <v>1227</v>
      </c>
      <c r="CL42" t="s">
        <v>1228</v>
      </c>
      <c r="CM42" t="s">
        <v>1227</v>
      </c>
      <c r="CN42" t="s">
        <v>1228</v>
      </c>
      <c r="CO42" t="s">
        <v>1234</v>
      </c>
      <c r="CP42" t="s">
        <v>1227</v>
      </c>
      <c r="CQ42" t="s">
        <v>1229</v>
      </c>
      <c r="CR42" t="s">
        <v>1227</v>
      </c>
      <c r="CS42" t="s">
        <v>1228</v>
      </c>
      <c r="CT42" t="s">
        <v>1227</v>
      </c>
      <c r="CU42" t="s">
        <v>1228</v>
      </c>
      <c r="CV42" t="s">
        <v>1228</v>
      </c>
      <c r="CW42" t="s">
        <v>1234</v>
      </c>
      <c r="CX42" t="s">
        <v>1234</v>
      </c>
      <c r="CY42" t="s">
        <v>1234</v>
      </c>
      <c r="CZ42" t="s">
        <v>1234</v>
      </c>
      <c r="DA42" t="s">
        <v>1234</v>
      </c>
      <c r="DB42" t="s">
        <v>1234</v>
      </c>
      <c r="DC42" t="s">
        <v>1234</v>
      </c>
      <c r="DD42" t="s">
        <v>1228</v>
      </c>
      <c r="DE42" t="s">
        <v>1234</v>
      </c>
      <c r="DF42" t="s">
        <v>1234</v>
      </c>
      <c r="DG42" t="s">
        <v>1234</v>
      </c>
      <c r="DH42" t="s">
        <v>1234</v>
      </c>
      <c r="DI42" t="s">
        <v>1234</v>
      </c>
      <c r="DJ42" t="s">
        <v>1228</v>
      </c>
      <c r="DK42" t="s">
        <v>1234</v>
      </c>
      <c r="DL42" t="s">
        <v>1234</v>
      </c>
      <c r="DM42" t="s">
        <v>1227</v>
      </c>
      <c r="DN42" t="s">
        <v>1227</v>
      </c>
      <c r="DO42" t="s">
        <v>1234</v>
      </c>
      <c r="DP42" t="s">
        <v>1229</v>
      </c>
      <c r="DQ42" t="s">
        <v>1234</v>
      </c>
      <c r="DR42" t="s">
        <v>1234</v>
      </c>
      <c r="DS42" t="s">
        <v>1234</v>
      </c>
      <c r="DT42" t="s">
        <v>1228</v>
      </c>
      <c r="DU42" t="s">
        <v>1234</v>
      </c>
      <c r="DV42" t="s">
        <v>1227</v>
      </c>
      <c r="DW42" t="s">
        <v>1227</v>
      </c>
      <c r="DX42" t="s">
        <v>1234</v>
      </c>
      <c r="DY42" t="s">
        <v>1228</v>
      </c>
      <c r="DZ42" t="s">
        <v>1234</v>
      </c>
      <c r="EA42" t="s">
        <v>1234</v>
      </c>
      <c r="EB42" t="s">
        <v>1228</v>
      </c>
      <c r="EC42" t="s">
        <v>1234</v>
      </c>
      <c r="ED42" t="s">
        <v>1234</v>
      </c>
      <c r="EE42" t="s">
        <v>1234</v>
      </c>
      <c r="EF42" t="s">
        <v>1234</v>
      </c>
      <c r="EG42" t="s">
        <v>1234</v>
      </c>
      <c r="EH42" t="s">
        <v>1227</v>
      </c>
      <c r="EI42" t="s">
        <v>1227</v>
      </c>
      <c r="EJ42" t="s">
        <v>1227</v>
      </c>
      <c r="EK42" t="s">
        <v>1234</v>
      </c>
      <c r="EL42" t="s">
        <v>1234</v>
      </c>
      <c r="EM42" t="s">
        <v>1234</v>
      </c>
      <c r="EN42" t="s">
        <v>1234</v>
      </c>
      <c r="EO42" t="s">
        <v>1234</v>
      </c>
      <c r="EP42" t="s">
        <v>1234</v>
      </c>
      <c r="EQ42" t="s">
        <v>1227</v>
      </c>
      <c r="ER42" t="s">
        <v>1227</v>
      </c>
      <c r="ES42" t="s">
        <v>1228</v>
      </c>
      <c r="ET42" t="s">
        <v>1234</v>
      </c>
      <c r="EU42" t="s">
        <v>1227</v>
      </c>
      <c r="EV42" t="s">
        <v>1234</v>
      </c>
      <c r="EW42" t="s">
        <v>1228</v>
      </c>
      <c r="EX42" t="s">
        <v>1227</v>
      </c>
      <c r="EY42" t="s">
        <v>1227</v>
      </c>
      <c r="EZ42" t="s">
        <v>1234</v>
      </c>
      <c r="FA42" t="s">
        <v>1234</v>
      </c>
      <c r="FB42" t="s">
        <v>1227</v>
      </c>
      <c r="FC42" t="s">
        <v>1234</v>
      </c>
      <c r="FD42" t="s">
        <v>1234</v>
      </c>
      <c r="FE42" t="s">
        <v>1227</v>
      </c>
      <c r="FF42" t="s">
        <v>1234</v>
      </c>
      <c r="FG42" t="s">
        <v>1234</v>
      </c>
      <c r="FH42" t="s">
        <v>1227</v>
      </c>
      <c r="FI42" t="s">
        <v>1227</v>
      </c>
      <c r="FJ42" t="s">
        <v>1234</v>
      </c>
      <c r="FK42" t="s">
        <v>1234</v>
      </c>
      <c r="FL42" t="s">
        <v>1228</v>
      </c>
      <c r="FM42" t="s">
        <v>1227</v>
      </c>
      <c r="FN42" t="s">
        <v>1234</v>
      </c>
      <c r="FO42" t="s">
        <v>1229</v>
      </c>
      <c r="FP42" t="s">
        <v>1234</v>
      </c>
      <c r="FQ42" t="s">
        <v>1234</v>
      </c>
      <c r="FR42" t="s">
        <v>1228</v>
      </c>
      <c r="FS42" t="s">
        <v>1234</v>
      </c>
      <c r="FT42" t="s">
        <v>1228</v>
      </c>
    </row>
    <row r="43" spans="1:176" x14ac:dyDescent="0.2">
      <c r="A43" s="1486" t="s">
        <v>2271</v>
      </c>
      <c r="B43" s="615">
        <v>0</v>
      </c>
      <c r="C43" s="615">
        <v>0</v>
      </c>
      <c r="D43" s="615">
        <v>0</v>
      </c>
      <c r="E43" s="615">
        <v>-1</v>
      </c>
      <c r="F43" s="615">
        <v>0</v>
      </c>
      <c r="G43" s="615">
        <v>0</v>
      </c>
      <c r="H43" s="615">
        <v>0</v>
      </c>
      <c r="I43" s="615">
        <v>0</v>
      </c>
      <c r="J43" s="615">
        <v>0</v>
      </c>
      <c r="K43" s="615">
        <v>0</v>
      </c>
      <c r="L43" s="615">
        <v>0</v>
      </c>
      <c r="M43" s="615">
        <v>0</v>
      </c>
      <c r="N43" s="615">
        <v>0</v>
      </c>
      <c r="O43" s="615">
        <v>0</v>
      </c>
      <c r="P43" s="615">
        <v>0</v>
      </c>
      <c r="Q43" s="615">
        <v>0</v>
      </c>
      <c r="R43" s="615">
        <v>0</v>
      </c>
      <c r="S43" s="615">
        <v>0</v>
      </c>
      <c r="T43" s="615">
        <v>0</v>
      </c>
      <c r="U43" s="615">
        <v>0</v>
      </c>
      <c r="V43" s="615">
        <v>0</v>
      </c>
      <c r="W43" s="615">
        <v>0</v>
      </c>
      <c r="X43" s="615">
        <v>0</v>
      </c>
      <c r="Y43" s="615">
        <v>0</v>
      </c>
      <c r="Z43" s="615">
        <v>0</v>
      </c>
      <c r="AA43" s="615">
        <v>0</v>
      </c>
      <c r="AB43" s="615">
        <v>0</v>
      </c>
      <c r="AC43" s="615">
        <v>0</v>
      </c>
      <c r="AD43" s="615">
        <v>0</v>
      </c>
      <c r="AE43" s="615">
        <v>0</v>
      </c>
      <c r="AF43" s="615">
        <v>0</v>
      </c>
      <c r="AG43" s="615">
        <v>0</v>
      </c>
      <c r="AH43" s="615">
        <v>0</v>
      </c>
      <c r="AI43" s="615">
        <v>0</v>
      </c>
      <c r="AJ43" s="615">
        <v>0</v>
      </c>
      <c r="AK43" s="615">
        <v>0</v>
      </c>
      <c r="AL43" s="615">
        <v>0</v>
      </c>
      <c r="AM43" s="615">
        <v>0</v>
      </c>
      <c r="AN43" s="615">
        <v>0</v>
      </c>
      <c r="AO43" s="615">
        <v>0</v>
      </c>
      <c r="AP43" s="615">
        <v>0</v>
      </c>
      <c r="AQ43" s="615">
        <v>1</v>
      </c>
      <c r="AR43" s="615">
        <v>1</v>
      </c>
      <c r="AS43" s="615">
        <v>1</v>
      </c>
      <c r="AT43" s="615">
        <v>1</v>
      </c>
      <c r="AU43" s="615">
        <v>0</v>
      </c>
      <c r="AV43" s="615">
        <v>0</v>
      </c>
      <c r="AW43" s="615">
        <v>-1</v>
      </c>
      <c r="AX43" s="615">
        <v>-1</v>
      </c>
      <c r="AY43" s="615">
        <v>-1</v>
      </c>
      <c r="AZ43" s="615">
        <v>-1</v>
      </c>
      <c r="BA43" s="615">
        <v>-1</v>
      </c>
      <c r="BB43" s="615">
        <v>1</v>
      </c>
      <c r="BC43" s="615">
        <v>1</v>
      </c>
      <c r="BD43" s="615">
        <v>1</v>
      </c>
      <c r="BE43" s="615">
        <v>1</v>
      </c>
      <c r="BF43" s="615">
        <v>1</v>
      </c>
      <c r="BG43" s="615">
        <v>0</v>
      </c>
      <c r="BH43" s="615">
        <v>0</v>
      </c>
      <c r="BI43" s="615">
        <v>0</v>
      </c>
      <c r="BJ43" s="615">
        <v>0</v>
      </c>
      <c r="BK43" s="615">
        <v>0</v>
      </c>
      <c r="BL43" s="615">
        <v>0</v>
      </c>
      <c r="BM43" s="615">
        <v>0</v>
      </c>
      <c r="BN43" s="615">
        <v>0</v>
      </c>
      <c r="BO43" s="615">
        <v>0</v>
      </c>
      <c r="BP43" s="615">
        <v>0</v>
      </c>
      <c r="BQ43" s="615">
        <v>0</v>
      </c>
      <c r="BR43" s="615">
        <v>0</v>
      </c>
      <c r="BS43" s="615">
        <v>-1</v>
      </c>
      <c r="BT43" s="615">
        <v>-1</v>
      </c>
      <c r="BU43" s="615">
        <v>-1</v>
      </c>
      <c r="BV43" s="615">
        <v>0</v>
      </c>
      <c r="BW43" s="615">
        <v>-1</v>
      </c>
      <c r="BX43" s="615">
        <v>-1</v>
      </c>
      <c r="BY43" s="615">
        <v>-1</v>
      </c>
      <c r="BZ43" s="615">
        <v>0</v>
      </c>
      <c r="CA43" s="615">
        <v>0</v>
      </c>
      <c r="CB43" s="615">
        <v>0</v>
      </c>
      <c r="CC43" s="615">
        <v>0</v>
      </c>
      <c r="CD43" s="615">
        <v>0</v>
      </c>
      <c r="CE43" s="615">
        <v>0</v>
      </c>
      <c r="CF43" s="615">
        <v>0</v>
      </c>
      <c r="CG43" s="615">
        <v>0</v>
      </c>
      <c r="CH43" s="615">
        <v>0</v>
      </c>
      <c r="CI43" s="615">
        <v>-1</v>
      </c>
      <c r="CJ43" s="615">
        <v>-1</v>
      </c>
      <c r="CK43" s="615">
        <v>-1</v>
      </c>
      <c r="CL43" s="615">
        <v>-1</v>
      </c>
      <c r="CM43" s="615">
        <v>0</v>
      </c>
      <c r="CN43" s="615">
        <v>0</v>
      </c>
      <c r="CO43" s="615">
        <v>0</v>
      </c>
      <c r="CP43" s="615">
        <v>0</v>
      </c>
      <c r="CQ43" s="615">
        <v>0</v>
      </c>
      <c r="CR43" s="615">
        <v>0</v>
      </c>
      <c r="CS43" s="615">
        <v>0</v>
      </c>
      <c r="CT43" s="615">
        <v>0</v>
      </c>
      <c r="CU43" s="615">
        <v>-1</v>
      </c>
      <c r="CV43" s="615">
        <v>-1</v>
      </c>
      <c r="CW43" s="615">
        <v>-1</v>
      </c>
      <c r="CX43" s="615">
        <v>-1</v>
      </c>
      <c r="CY43" s="615">
        <v>-1</v>
      </c>
      <c r="CZ43" s="615">
        <v>-1</v>
      </c>
      <c r="DA43" s="615">
        <v>0</v>
      </c>
      <c r="DB43" s="615">
        <v>0</v>
      </c>
      <c r="DC43" s="615">
        <v>0</v>
      </c>
      <c r="DD43" s="615">
        <v>0</v>
      </c>
      <c r="DE43" s="615">
        <v>0</v>
      </c>
      <c r="DF43" s="615">
        <v>0</v>
      </c>
      <c r="DG43" s="615">
        <v>0</v>
      </c>
      <c r="DH43" s="615">
        <v>0</v>
      </c>
      <c r="DI43" s="615">
        <v>-1</v>
      </c>
      <c r="DJ43" s="615">
        <v>-1</v>
      </c>
      <c r="DK43" s="615">
        <v>0</v>
      </c>
      <c r="DL43" s="615">
        <v>0</v>
      </c>
      <c r="DM43" s="615">
        <v>0</v>
      </c>
      <c r="DN43" s="615">
        <v>-1</v>
      </c>
      <c r="DO43" s="615">
        <v>-1</v>
      </c>
      <c r="DP43" s="615">
        <v>-1</v>
      </c>
      <c r="DQ43" s="615">
        <v>-1</v>
      </c>
      <c r="DR43" s="615">
        <v>-1</v>
      </c>
      <c r="DS43" s="615">
        <v>-1</v>
      </c>
      <c r="DT43" s="615">
        <v>0</v>
      </c>
      <c r="DU43" s="615">
        <v>0</v>
      </c>
      <c r="DV43" s="615">
        <v>0</v>
      </c>
      <c r="DW43" s="615">
        <v>1</v>
      </c>
      <c r="DX43" s="615">
        <v>-1</v>
      </c>
      <c r="DY43" s="615">
        <v>1</v>
      </c>
      <c r="DZ43" s="615">
        <v>-1</v>
      </c>
      <c r="EA43" s="615">
        <v>0</v>
      </c>
      <c r="EB43" s="615">
        <v>0</v>
      </c>
      <c r="EC43" s="615">
        <v>0</v>
      </c>
      <c r="ED43" s="615">
        <v>0</v>
      </c>
      <c r="EE43" s="615">
        <v>-1</v>
      </c>
      <c r="EF43" s="615">
        <v>-1</v>
      </c>
      <c r="EG43" s="615">
        <v>-1</v>
      </c>
      <c r="EH43" s="615">
        <v>0</v>
      </c>
      <c r="EI43" s="615">
        <v>0</v>
      </c>
      <c r="EJ43" s="615">
        <v>0</v>
      </c>
      <c r="EK43" s="615">
        <v>0</v>
      </c>
      <c r="EL43" s="615">
        <v>0</v>
      </c>
      <c r="EM43" s="615">
        <v>0</v>
      </c>
      <c r="EN43" s="615">
        <v>0</v>
      </c>
      <c r="EO43" s="615">
        <v>-1</v>
      </c>
      <c r="EP43" s="615">
        <v>0</v>
      </c>
      <c r="EQ43" s="615">
        <v>-1</v>
      </c>
      <c r="ER43" s="615">
        <v>-1</v>
      </c>
      <c r="ES43" s="615">
        <v>0</v>
      </c>
      <c r="ET43" s="615">
        <v>-1</v>
      </c>
      <c r="EU43" s="615">
        <v>0</v>
      </c>
      <c r="EV43" s="615">
        <v>0</v>
      </c>
      <c r="EW43" s="615">
        <v>-1</v>
      </c>
      <c r="EX43" s="615">
        <v>-1</v>
      </c>
      <c r="EY43" s="615">
        <v>-1</v>
      </c>
      <c r="EZ43" s="615">
        <v>0</v>
      </c>
      <c r="FA43" s="615">
        <v>0</v>
      </c>
      <c r="FB43" s="615">
        <v>-1</v>
      </c>
      <c r="FC43" s="615">
        <v>-1</v>
      </c>
      <c r="FD43" s="615">
        <v>-1</v>
      </c>
      <c r="FE43" s="615">
        <v>0</v>
      </c>
      <c r="FF43" s="615">
        <v>0</v>
      </c>
      <c r="FG43" s="615">
        <v>-1</v>
      </c>
      <c r="FH43" s="615">
        <v>0</v>
      </c>
      <c r="FI43" s="615">
        <v>-1</v>
      </c>
      <c r="FJ43" s="615">
        <v>-1</v>
      </c>
      <c r="FK43" s="615">
        <v>0</v>
      </c>
      <c r="FL43" s="615">
        <v>0</v>
      </c>
      <c r="FM43" s="615">
        <v>0</v>
      </c>
      <c r="FN43" s="615">
        <v>-1</v>
      </c>
      <c r="FO43" s="615">
        <v>0</v>
      </c>
      <c r="FP43" s="615">
        <v>-1</v>
      </c>
      <c r="FQ43" s="615">
        <v>-1</v>
      </c>
      <c r="FR43" s="615">
        <v>0</v>
      </c>
      <c r="FS43" s="615">
        <v>0</v>
      </c>
      <c r="FT43" s="615">
        <v>0</v>
      </c>
    </row>
    <row r="44" spans="1:176" x14ac:dyDescent="0.2">
      <c r="A44" s="1486" t="s">
        <v>2272</v>
      </c>
      <c r="B44" t="s">
        <v>2371</v>
      </c>
      <c r="C44" t="s">
        <v>2370</v>
      </c>
      <c r="D44" t="s">
        <v>2370</v>
      </c>
      <c r="E44" t="s">
        <v>2371</v>
      </c>
      <c r="F44" t="s">
        <v>2370</v>
      </c>
      <c r="G44" t="s">
        <v>2370</v>
      </c>
      <c r="H44" t="s">
        <v>2370</v>
      </c>
      <c r="I44" t="s">
        <v>2370</v>
      </c>
      <c r="J44" t="s">
        <v>2373</v>
      </c>
      <c r="K44" t="s">
        <v>2370</v>
      </c>
      <c r="L44" t="s">
        <v>2370</v>
      </c>
      <c r="M44" t="s">
        <v>2373</v>
      </c>
      <c r="N44" t="s">
        <v>2371</v>
      </c>
      <c r="O44" t="s">
        <v>2370</v>
      </c>
      <c r="P44" t="s">
        <v>2370</v>
      </c>
      <c r="Q44" t="s">
        <v>2370</v>
      </c>
      <c r="R44" t="s">
        <v>2370</v>
      </c>
      <c r="S44" t="s">
        <v>2370</v>
      </c>
      <c r="T44" t="s">
        <v>2370</v>
      </c>
      <c r="U44" t="s">
        <v>2370</v>
      </c>
      <c r="V44" t="s">
        <v>2371</v>
      </c>
      <c r="W44" t="s">
        <v>2370</v>
      </c>
      <c r="X44" t="s">
        <v>2373</v>
      </c>
      <c r="Y44" t="s">
        <v>2371</v>
      </c>
      <c r="Z44" t="s">
        <v>2373</v>
      </c>
      <c r="AA44" t="s">
        <v>2373</v>
      </c>
      <c r="AB44" t="s">
        <v>2370</v>
      </c>
      <c r="AC44" t="s">
        <v>2370</v>
      </c>
      <c r="AD44" t="s">
        <v>2373</v>
      </c>
      <c r="AE44" t="s">
        <v>2370</v>
      </c>
      <c r="AF44" t="s">
        <v>2373</v>
      </c>
      <c r="AG44" t="s">
        <v>2373</v>
      </c>
      <c r="AH44" t="s">
        <v>2370</v>
      </c>
      <c r="AI44" t="s">
        <v>2370</v>
      </c>
      <c r="AJ44" t="s">
        <v>2370</v>
      </c>
      <c r="AK44" t="s">
        <v>2373</v>
      </c>
      <c r="AL44" t="s">
        <v>2373</v>
      </c>
      <c r="AM44" t="s">
        <v>2371</v>
      </c>
      <c r="AN44" t="s">
        <v>2373</v>
      </c>
      <c r="AO44" t="s">
        <v>2370</v>
      </c>
      <c r="AP44" t="s">
        <v>2370</v>
      </c>
      <c r="AQ44" t="s">
        <v>2370</v>
      </c>
      <c r="AR44" t="s">
        <v>2373</v>
      </c>
      <c r="AS44" t="s">
        <v>2370</v>
      </c>
      <c r="AT44" t="s">
        <v>2307</v>
      </c>
      <c r="AU44" t="s">
        <v>2373</v>
      </c>
      <c r="AV44" t="s">
        <v>2370</v>
      </c>
      <c r="AW44" t="s">
        <v>2370</v>
      </c>
      <c r="AX44" t="s">
        <v>2373</v>
      </c>
      <c r="AY44" t="s">
        <v>2373</v>
      </c>
      <c r="AZ44" t="s">
        <v>2373</v>
      </c>
      <c r="BA44" t="s">
        <v>2373</v>
      </c>
      <c r="BB44" t="s">
        <v>2371</v>
      </c>
      <c r="BC44" t="s">
        <v>2307</v>
      </c>
      <c r="BD44" t="s">
        <v>2370</v>
      </c>
      <c r="BE44" t="s">
        <v>2371</v>
      </c>
      <c r="BF44" t="s">
        <v>2370</v>
      </c>
      <c r="BG44" t="s">
        <v>2371</v>
      </c>
      <c r="BH44" t="s">
        <v>2370</v>
      </c>
      <c r="BI44" t="s">
        <v>2371</v>
      </c>
      <c r="BJ44" t="s">
        <v>2307</v>
      </c>
      <c r="BK44" t="s">
        <v>2373</v>
      </c>
      <c r="BL44" t="s">
        <v>2373</v>
      </c>
      <c r="BM44" t="s">
        <v>2371</v>
      </c>
      <c r="BN44" t="s">
        <v>2370</v>
      </c>
      <c r="BO44" t="s">
        <v>2373</v>
      </c>
      <c r="BP44" t="s">
        <v>2371</v>
      </c>
      <c r="BQ44" t="s">
        <v>2371</v>
      </c>
      <c r="BR44" t="s">
        <v>2373</v>
      </c>
      <c r="BS44" t="s">
        <v>2373</v>
      </c>
      <c r="BT44" t="s">
        <v>2370</v>
      </c>
      <c r="BU44" t="s">
        <v>2307</v>
      </c>
      <c r="BV44" t="s">
        <v>2371</v>
      </c>
      <c r="BW44" t="s">
        <v>2373</v>
      </c>
      <c r="BX44" t="s">
        <v>2307</v>
      </c>
      <c r="BY44" t="s">
        <v>2373</v>
      </c>
      <c r="BZ44" t="s">
        <v>2373</v>
      </c>
      <c r="CA44" t="s">
        <v>2373</v>
      </c>
      <c r="CB44" t="s">
        <v>2373</v>
      </c>
      <c r="CC44" t="s">
        <v>2373</v>
      </c>
      <c r="CD44" t="s">
        <v>2307</v>
      </c>
      <c r="CE44" t="s">
        <v>2370</v>
      </c>
      <c r="CF44" t="s">
        <v>2371</v>
      </c>
      <c r="CG44" t="s">
        <v>2373</v>
      </c>
      <c r="CH44" t="s">
        <v>2373</v>
      </c>
      <c r="CI44" t="s">
        <v>2373</v>
      </c>
      <c r="CJ44" t="s">
        <v>2371</v>
      </c>
      <c r="CK44" t="s">
        <v>2371</v>
      </c>
      <c r="CL44" t="s">
        <v>2307</v>
      </c>
      <c r="CM44" t="s">
        <v>2370</v>
      </c>
      <c r="CN44" t="s">
        <v>2371</v>
      </c>
      <c r="CO44" t="s">
        <v>2373</v>
      </c>
      <c r="CP44" t="s">
        <v>2370</v>
      </c>
      <c r="CQ44" t="s">
        <v>2307</v>
      </c>
      <c r="CR44" t="s">
        <v>2370</v>
      </c>
      <c r="CS44" t="s">
        <v>2371</v>
      </c>
      <c r="CT44" t="s">
        <v>2370</v>
      </c>
      <c r="CU44" t="s">
        <v>2307</v>
      </c>
      <c r="CV44" t="s">
        <v>2307</v>
      </c>
      <c r="CW44" t="s">
        <v>2373</v>
      </c>
      <c r="CX44" t="s">
        <v>2373</v>
      </c>
      <c r="CY44" t="s">
        <v>2373</v>
      </c>
      <c r="CZ44" t="s">
        <v>2373</v>
      </c>
      <c r="DA44" t="s">
        <v>2373</v>
      </c>
      <c r="DB44" t="s">
        <v>2373</v>
      </c>
      <c r="DC44" t="s">
        <v>2373</v>
      </c>
      <c r="DD44" t="s">
        <v>2371</v>
      </c>
      <c r="DE44" t="s">
        <v>2373</v>
      </c>
      <c r="DF44" t="s">
        <v>2373</v>
      </c>
      <c r="DG44" t="s">
        <v>2373</v>
      </c>
      <c r="DH44" t="s">
        <v>2373</v>
      </c>
      <c r="DI44" t="s">
        <v>2373</v>
      </c>
      <c r="DJ44" t="s">
        <v>2307</v>
      </c>
      <c r="DK44" t="s">
        <v>2373</v>
      </c>
      <c r="DL44" t="s">
        <v>2373</v>
      </c>
      <c r="DM44" t="s">
        <v>2370</v>
      </c>
      <c r="DN44" t="s">
        <v>2371</v>
      </c>
      <c r="DO44" t="s">
        <v>2373</v>
      </c>
      <c r="DP44" t="s">
        <v>2373</v>
      </c>
      <c r="DQ44" t="s">
        <v>2373</v>
      </c>
      <c r="DR44" t="s">
        <v>2373</v>
      </c>
      <c r="DS44" t="s">
        <v>2373</v>
      </c>
      <c r="DT44" t="s">
        <v>2371</v>
      </c>
      <c r="DU44" t="s">
        <v>2373</v>
      </c>
      <c r="DV44" t="s">
        <v>2370</v>
      </c>
      <c r="DW44" t="s">
        <v>2370</v>
      </c>
      <c r="DX44" t="s">
        <v>2373</v>
      </c>
      <c r="DY44" t="s">
        <v>2370</v>
      </c>
      <c r="DZ44" t="s">
        <v>2373</v>
      </c>
      <c r="EA44" t="s">
        <v>2373</v>
      </c>
      <c r="EB44" t="s">
        <v>2371</v>
      </c>
      <c r="EC44" t="s">
        <v>2373</v>
      </c>
      <c r="ED44" t="s">
        <v>2373</v>
      </c>
      <c r="EE44" t="s">
        <v>2373</v>
      </c>
      <c r="EF44" t="s">
        <v>2373</v>
      </c>
      <c r="EG44" t="s">
        <v>2373</v>
      </c>
      <c r="EH44" t="s">
        <v>2370</v>
      </c>
      <c r="EI44" t="s">
        <v>2370</v>
      </c>
      <c r="EJ44" t="s">
        <v>2370</v>
      </c>
      <c r="EK44" t="s">
        <v>2373</v>
      </c>
      <c r="EL44" t="s">
        <v>2373</v>
      </c>
      <c r="EM44" t="s">
        <v>2373</v>
      </c>
      <c r="EN44" t="s">
        <v>2373</v>
      </c>
      <c r="EO44" t="s">
        <v>2373</v>
      </c>
      <c r="EP44" t="s">
        <v>2373</v>
      </c>
      <c r="EQ44" t="s">
        <v>2371</v>
      </c>
      <c r="ER44" t="s">
        <v>2371</v>
      </c>
      <c r="ES44" t="s">
        <v>2371</v>
      </c>
      <c r="ET44" t="s">
        <v>2373</v>
      </c>
      <c r="EU44" t="s">
        <v>2370</v>
      </c>
      <c r="EV44" t="s">
        <v>2373</v>
      </c>
      <c r="EW44" t="s">
        <v>2307</v>
      </c>
      <c r="EX44" t="s">
        <v>2371</v>
      </c>
      <c r="EY44" t="s">
        <v>2371</v>
      </c>
      <c r="EZ44" t="s">
        <v>2373</v>
      </c>
      <c r="FA44" t="s">
        <v>2373</v>
      </c>
      <c r="FB44" t="s">
        <v>2371</v>
      </c>
      <c r="FC44" t="s">
        <v>2373</v>
      </c>
      <c r="FD44" t="s">
        <v>2373</v>
      </c>
      <c r="FE44" t="s">
        <v>2370</v>
      </c>
      <c r="FF44" t="s">
        <v>2373</v>
      </c>
      <c r="FG44" t="s">
        <v>2373</v>
      </c>
      <c r="FH44" t="s">
        <v>2370</v>
      </c>
      <c r="FI44" t="s">
        <v>2371</v>
      </c>
      <c r="FJ44" t="s">
        <v>2373</v>
      </c>
      <c r="FK44" t="s">
        <v>2373</v>
      </c>
      <c r="FL44" t="s">
        <v>2371</v>
      </c>
      <c r="FM44" t="s">
        <v>2370</v>
      </c>
      <c r="FN44" t="s">
        <v>2373</v>
      </c>
      <c r="FO44" t="s">
        <v>2307</v>
      </c>
      <c r="FP44" t="s">
        <v>2373</v>
      </c>
      <c r="FQ44" t="s">
        <v>2373</v>
      </c>
      <c r="FR44" t="s">
        <v>2371</v>
      </c>
      <c r="FS44" t="s">
        <v>2373</v>
      </c>
      <c r="FT44" t="s">
        <v>2371</v>
      </c>
    </row>
    <row r="47" spans="1:176" x14ac:dyDescent="0.2">
      <c r="A47" s="1495" t="s">
        <v>2315</v>
      </c>
      <c r="B47" t="s">
        <v>1858</v>
      </c>
      <c r="C47" t="s">
        <v>1861</v>
      </c>
      <c r="D47" t="s">
        <v>1862</v>
      </c>
      <c r="E47" t="s">
        <v>1864</v>
      </c>
      <c r="F47" t="s">
        <v>1880</v>
      </c>
      <c r="G47" t="s">
        <v>1881</v>
      </c>
      <c r="H47" t="s">
        <v>1868</v>
      </c>
      <c r="I47" t="s">
        <v>1869</v>
      </c>
      <c r="J47" t="s">
        <v>1871</v>
      </c>
      <c r="K47" t="s">
        <v>1872</v>
      </c>
      <c r="L47" t="s">
        <v>1876</v>
      </c>
      <c r="M47" t="s">
        <v>1870</v>
      </c>
      <c r="N47" t="s">
        <v>1877</v>
      </c>
      <c r="O47" t="s">
        <v>1878</v>
      </c>
      <c r="P47" t="s">
        <v>1867</v>
      </c>
      <c r="Q47" t="s">
        <v>1879</v>
      </c>
      <c r="R47" t="s">
        <v>1888</v>
      </c>
      <c r="S47" t="s">
        <v>1889</v>
      </c>
      <c r="T47" t="s">
        <v>1890</v>
      </c>
      <c r="U47" t="s">
        <v>1891</v>
      </c>
      <c r="V47" t="s">
        <v>1892</v>
      </c>
      <c r="W47" t="s">
        <v>1893</v>
      </c>
      <c r="X47" t="s">
        <v>1894</v>
      </c>
      <c r="Y47" t="s">
        <v>1895</v>
      </c>
      <c r="Z47" t="s">
        <v>1863</v>
      </c>
      <c r="AA47" t="s">
        <v>1873</v>
      </c>
      <c r="AB47" t="s">
        <v>1874</v>
      </c>
      <c r="AC47" t="s">
        <v>1866</v>
      </c>
      <c r="AD47" t="s">
        <v>1859</v>
      </c>
      <c r="AE47">
        <v>189590</v>
      </c>
      <c r="AF47">
        <v>5257</v>
      </c>
      <c r="AG47">
        <v>3042</v>
      </c>
      <c r="AH47">
        <v>3185</v>
      </c>
      <c r="AI47">
        <v>5321</v>
      </c>
      <c r="AJ47">
        <v>11912</v>
      </c>
      <c r="AK47">
        <v>6919</v>
      </c>
      <c r="AL47">
        <v>7111</v>
      </c>
      <c r="AM47">
        <v>305377</v>
      </c>
      <c r="AN47">
        <v>209695</v>
      </c>
      <c r="AO47">
        <v>753655</v>
      </c>
      <c r="AP47">
        <v>2803</v>
      </c>
      <c r="AQ47">
        <v>1039</v>
      </c>
      <c r="AR47">
        <v>1232</v>
      </c>
      <c r="AS47">
        <v>37882</v>
      </c>
      <c r="AT47">
        <v>92831</v>
      </c>
      <c r="AU47">
        <v>148287</v>
      </c>
      <c r="AV47">
        <v>196557</v>
      </c>
      <c r="AW47" t="s">
        <v>1896</v>
      </c>
      <c r="AX47">
        <v>20031</v>
      </c>
      <c r="AY47">
        <v>23420</v>
      </c>
      <c r="AZ47">
        <v>23467</v>
      </c>
      <c r="BA47">
        <v>23669</v>
      </c>
      <c r="BB47">
        <v>12</v>
      </c>
      <c r="BC47">
        <v>52</v>
      </c>
      <c r="BD47">
        <v>19555</v>
      </c>
      <c r="BE47">
        <v>25411</v>
      </c>
      <c r="BF47">
        <v>644242</v>
      </c>
      <c r="BG47">
        <v>5062</v>
      </c>
      <c r="BH47">
        <v>282535</v>
      </c>
      <c r="BI47">
        <v>4507</v>
      </c>
      <c r="BJ47">
        <v>4647</v>
      </c>
      <c r="BK47">
        <v>272004</v>
      </c>
      <c r="BL47">
        <v>6926</v>
      </c>
      <c r="BM47">
        <v>436864</v>
      </c>
      <c r="BN47">
        <v>15082</v>
      </c>
      <c r="BO47">
        <v>15434</v>
      </c>
      <c r="BP47">
        <v>15186</v>
      </c>
      <c r="BQ47">
        <v>17152</v>
      </c>
      <c r="BR47">
        <v>6174</v>
      </c>
      <c r="BS47">
        <v>228332</v>
      </c>
      <c r="BT47">
        <v>17902</v>
      </c>
      <c r="BU47">
        <v>588706</v>
      </c>
      <c r="BV47">
        <v>11568</v>
      </c>
      <c r="BW47">
        <v>11491</v>
      </c>
      <c r="BX47">
        <v>421060</v>
      </c>
      <c r="BY47">
        <v>11488</v>
      </c>
      <c r="BZ47">
        <v>11698</v>
      </c>
      <c r="CA47">
        <v>421953</v>
      </c>
      <c r="CB47">
        <v>423143</v>
      </c>
      <c r="CC47">
        <v>10763</v>
      </c>
      <c r="CD47">
        <v>11808</v>
      </c>
      <c r="CE47">
        <v>368499</v>
      </c>
      <c r="CF47">
        <v>3410</v>
      </c>
      <c r="CG47">
        <v>286841</v>
      </c>
      <c r="CH47">
        <v>495717</v>
      </c>
      <c r="CI47">
        <v>22720</v>
      </c>
      <c r="CJ47">
        <v>715354</v>
      </c>
      <c r="CK47">
        <v>715420</v>
      </c>
      <c r="CL47">
        <v>728347</v>
      </c>
      <c r="CM47">
        <v>8245</v>
      </c>
      <c r="CN47">
        <v>321809</v>
      </c>
      <c r="CO47">
        <v>359454</v>
      </c>
      <c r="CP47">
        <v>2882</v>
      </c>
      <c r="CQ47">
        <v>205184</v>
      </c>
      <c r="CR47">
        <v>18237</v>
      </c>
      <c r="CS47">
        <v>488834</v>
      </c>
      <c r="CT47">
        <v>586891</v>
      </c>
      <c r="CU47">
        <v>692585</v>
      </c>
      <c r="CV47">
        <v>693500</v>
      </c>
      <c r="CW47">
        <v>708592</v>
      </c>
      <c r="CX47">
        <v>22645</v>
      </c>
      <c r="CY47">
        <v>2939</v>
      </c>
      <c r="CZ47">
        <v>2966</v>
      </c>
      <c r="DA47">
        <v>872</v>
      </c>
      <c r="DB47">
        <v>3350</v>
      </c>
      <c r="DC47">
        <v>2137</v>
      </c>
      <c r="DD47">
        <v>5824</v>
      </c>
      <c r="DE47">
        <v>16930</v>
      </c>
      <c r="DF47">
        <v>6846</v>
      </c>
      <c r="DG47">
        <v>6786</v>
      </c>
      <c r="DH47">
        <v>25368</v>
      </c>
      <c r="DI47">
        <v>40430</v>
      </c>
      <c r="DJ47">
        <v>2658</v>
      </c>
      <c r="DK47">
        <v>57</v>
      </c>
      <c r="DL47">
        <v>4104</v>
      </c>
      <c r="DM47">
        <v>14076</v>
      </c>
      <c r="DN47">
        <v>841</v>
      </c>
      <c r="DO47">
        <v>3014</v>
      </c>
      <c r="DP47">
        <v>2944</v>
      </c>
      <c r="DQ47">
        <v>2953</v>
      </c>
      <c r="DR47">
        <v>1828</v>
      </c>
      <c r="DS47">
        <v>177552</v>
      </c>
      <c r="DT47" t="s">
        <v>1897</v>
      </c>
      <c r="DU47" t="s">
        <v>1875</v>
      </c>
      <c r="DV47">
        <v>6497</v>
      </c>
      <c r="DW47">
        <v>1340</v>
      </c>
      <c r="DX47">
        <v>23929</v>
      </c>
      <c r="DY47">
        <v>25577</v>
      </c>
      <c r="DZ47">
        <v>662856</v>
      </c>
      <c r="EA47">
        <v>444845</v>
      </c>
      <c r="EB47">
        <v>505036</v>
      </c>
      <c r="EC47">
        <v>13871</v>
      </c>
      <c r="ED47">
        <v>421244</v>
      </c>
      <c r="EE47">
        <v>636534</v>
      </c>
      <c r="EF47">
        <v>421050</v>
      </c>
      <c r="EG47">
        <v>20957</v>
      </c>
      <c r="EH47">
        <v>309237</v>
      </c>
      <c r="EI47">
        <v>368504</v>
      </c>
      <c r="EJ47">
        <v>206100</v>
      </c>
      <c r="EK47">
        <v>1094</v>
      </c>
      <c r="EL47">
        <v>10576</v>
      </c>
      <c r="EM47">
        <v>7544</v>
      </c>
      <c r="EN47">
        <v>34259</v>
      </c>
      <c r="EO47">
        <v>99916</v>
      </c>
      <c r="EP47">
        <v>166</v>
      </c>
      <c r="EQ47">
        <v>840</v>
      </c>
      <c r="ER47">
        <v>842</v>
      </c>
      <c r="ES47">
        <v>107527</v>
      </c>
      <c r="ET47">
        <v>25701</v>
      </c>
      <c r="EU47" t="s">
        <v>1865</v>
      </c>
      <c r="EV47">
        <v>25256</v>
      </c>
      <c r="EW47">
        <v>752362</v>
      </c>
      <c r="EX47">
        <v>753469</v>
      </c>
      <c r="EY47">
        <v>421057</v>
      </c>
      <c r="EZ47" t="s">
        <v>1860</v>
      </c>
      <c r="FA47">
        <v>148810</v>
      </c>
      <c r="FB47">
        <v>23981</v>
      </c>
      <c r="FC47">
        <v>738519</v>
      </c>
      <c r="FD47">
        <v>752536</v>
      </c>
      <c r="FE47">
        <v>2778</v>
      </c>
      <c r="FF47">
        <v>11537</v>
      </c>
      <c r="FG47">
        <v>191518</v>
      </c>
      <c r="FH47">
        <v>186633</v>
      </c>
      <c r="FI47">
        <v>21071</v>
      </c>
      <c r="FJ47">
        <v>421059</v>
      </c>
      <c r="FK47">
        <v>6920</v>
      </c>
      <c r="FL47" t="s">
        <v>1898</v>
      </c>
      <c r="FM47">
        <v>15949</v>
      </c>
      <c r="FN47">
        <v>212872</v>
      </c>
      <c r="FO47">
        <v>208930</v>
      </c>
      <c r="FP47">
        <v>842121</v>
      </c>
      <c r="FQ47">
        <v>735360</v>
      </c>
      <c r="FR47" t="s">
        <v>1882</v>
      </c>
      <c r="FS47">
        <v>7374</v>
      </c>
      <c r="FT47">
        <v>3934</v>
      </c>
    </row>
    <row r="48" spans="1:176" x14ac:dyDescent="0.2">
      <c r="A48" s="1486" t="s">
        <v>2368</v>
      </c>
      <c r="B48">
        <v>1</v>
      </c>
      <c r="C48">
        <v>1</v>
      </c>
      <c r="D48">
        <v>1</v>
      </c>
      <c r="E48">
        <v>1</v>
      </c>
      <c r="F48">
        <v>1</v>
      </c>
      <c r="G48">
        <v>1</v>
      </c>
      <c r="H48">
        <v>1</v>
      </c>
      <c r="I48">
        <v>1</v>
      </c>
      <c r="J48">
        <v>0.43053002609286606</v>
      </c>
      <c r="K48">
        <v>1</v>
      </c>
      <c r="L48">
        <v>1</v>
      </c>
      <c r="M48">
        <v>0.44109707729921127</v>
      </c>
      <c r="N48">
        <v>0.69551829922154784</v>
      </c>
      <c r="O48">
        <v>0.55686039697515244</v>
      </c>
      <c r="P48">
        <v>1</v>
      </c>
      <c r="Q48">
        <v>1</v>
      </c>
      <c r="R48">
        <v>1</v>
      </c>
      <c r="S48">
        <v>1</v>
      </c>
      <c r="T48">
        <v>1</v>
      </c>
      <c r="U48">
        <v>1</v>
      </c>
      <c r="V48">
        <v>1</v>
      </c>
      <c r="W48">
        <v>1</v>
      </c>
      <c r="X48">
        <v>0.3088989696001278</v>
      </c>
      <c r="Y48">
        <v>1</v>
      </c>
      <c r="Z48">
        <v>0.17440296011218506</v>
      </c>
      <c r="AA48">
        <v>0.18115565497025321</v>
      </c>
      <c r="AB48">
        <v>1</v>
      </c>
      <c r="AC48">
        <v>1</v>
      </c>
      <c r="AD48">
        <v>0.34119173132705533</v>
      </c>
      <c r="AE48">
        <v>1</v>
      </c>
      <c r="AF48">
        <v>0.33015059083282677</v>
      </c>
      <c r="AG48">
        <v>3.8212829025526175E-2</v>
      </c>
      <c r="AH48">
        <v>1</v>
      </c>
      <c r="AI48">
        <v>1</v>
      </c>
      <c r="AJ48">
        <v>1</v>
      </c>
      <c r="AK48">
        <v>0.10911094603773572</v>
      </c>
      <c r="AL48">
        <v>0.27856293703826318</v>
      </c>
      <c r="AM48">
        <v>1</v>
      </c>
      <c r="AN48">
        <v>0.17693739886353566</v>
      </c>
      <c r="AO48">
        <v>1</v>
      </c>
      <c r="AP48">
        <v>1</v>
      </c>
      <c r="AQ48">
        <v>0.41862761953579514</v>
      </c>
      <c r="AR48">
        <v>0</v>
      </c>
      <c r="AS48">
        <v>1</v>
      </c>
      <c r="AT48">
        <v>0.1131476781479409</v>
      </c>
      <c r="AU48">
        <v>0.33411455019526171</v>
      </c>
      <c r="AV48">
        <v>1</v>
      </c>
      <c r="AW48">
        <v>0.3515987352522591</v>
      </c>
      <c r="AX48">
        <v>0.23615433709367775</v>
      </c>
      <c r="AY48">
        <v>0.29580698406370365</v>
      </c>
      <c r="AZ48">
        <v>0.31718955230338519</v>
      </c>
      <c r="BA48">
        <v>0.32602446090772019</v>
      </c>
      <c r="BB48">
        <v>1</v>
      </c>
      <c r="BC48">
        <v>0.31971462512875359</v>
      </c>
      <c r="BD48">
        <v>0.45650323097031975</v>
      </c>
      <c r="BE48">
        <v>1</v>
      </c>
      <c r="BF48">
        <v>1</v>
      </c>
      <c r="BG48">
        <v>1</v>
      </c>
      <c r="BH48">
        <v>1</v>
      </c>
      <c r="BI48">
        <v>1</v>
      </c>
      <c r="BJ48">
        <v>0.68466008666995215</v>
      </c>
      <c r="BK48">
        <v>0.17438810884481667</v>
      </c>
      <c r="BL48">
        <v>0.30959007008533612</v>
      </c>
      <c r="BM48">
        <v>1</v>
      </c>
      <c r="BN48">
        <v>0.53819590366416592</v>
      </c>
      <c r="BO48">
        <v>0.19519146349962033</v>
      </c>
      <c r="BP48">
        <v>1</v>
      </c>
      <c r="BQ48">
        <v>1</v>
      </c>
      <c r="BR48">
        <v>0</v>
      </c>
      <c r="BS48">
        <v>0.30678270358539733</v>
      </c>
      <c r="BT48">
        <v>1</v>
      </c>
      <c r="BU48">
        <v>1</v>
      </c>
      <c r="BV48">
        <v>1</v>
      </c>
      <c r="BW48">
        <v>0.46650242098165973</v>
      </c>
      <c r="BX48">
        <v>1</v>
      </c>
      <c r="BY48">
        <v>0.17167657167359704</v>
      </c>
      <c r="BZ48">
        <v>0</v>
      </c>
      <c r="CA48">
        <v>0.10300584370112588</v>
      </c>
      <c r="CB48">
        <v>0.19493420538839829</v>
      </c>
      <c r="CC48">
        <v>0.1852143912494032</v>
      </c>
      <c r="CD48">
        <v>0.21931361248034087</v>
      </c>
      <c r="CE48">
        <v>1</v>
      </c>
      <c r="CF48">
        <v>1</v>
      </c>
      <c r="CG48">
        <v>0.27340849314693033</v>
      </c>
      <c r="CH48">
        <v>0.24962209804874791</v>
      </c>
      <c r="CI48">
        <v>0.24288990531422175</v>
      </c>
      <c r="CJ48">
        <v>1</v>
      </c>
      <c r="CK48">
        <v>1</v>
      </c>
      <c r="CL48">
        <v>1</v>
      </c>
      <c r="CM48">
        <v>1</v>
      </c>
      <c r="CN48">
        <v>1</v>
      </c>
      <c r="CO48">
        <v>5.3282166065759411E-2</v>
      </c>
      <c r="CP48">
        <v>0.55780153270154664</v>
      </c>
      <c r="CQ48">
        <v>0.2802588023639454</v>
      </c>
      <c r="CR48">
        <v>1</v>
      </c>
      <c r="CS48">
        <v>1</v>
      </c>
      <c r="CT48">
        <v>1</v>
      </c>
      <c r="CU48">
        <v>1</v>
      </c>
      <c r="CV48">
        <v>1</v>
      </c>
      <c r="CW48">
        <v>0.31679935367135303</v>
      </c>
      <c r="CX48">
        <v>0.39425604772983236</v>
      </c>
      <c r="CY48">
        <v>0.1720859982031335</v>
      </c>
      <c r="CZ48">
        <v>0.22516716119735988</v>
      </c>
      <c r="DA48">
        <v>0.26349480446865287</v>
      </c>
      <c r="DB48">
        <v>0.32298852350161011</v>
      </c>
      <c r="DC48">
        <v>0.21987404262346089</v>
      </c>
      <c r="DD48">
        <v>1</v>
      </c>
      <c r="DE48">
        <v>9.8691680666758208E-2</v>
      </c>
      <c r="DF48">
        <v>0.22805433284444554</v>
      </c>
      <c r="DG48">
        <v>1</v>
      </c>
      <c r="DH48">
        <v>0.13358714725778587</v>
      </c>
      <c r="DI48">
        <v>0.16589486877786849</v>
      </c>
      <c r="DJ48">
        <v>0.55751099589824549</v>
      </c>
      <c r="DK48">
        <v>0.24591812146421277</v>
      </c>
      <c r="DL48">
        <v>0.34561050295318113</v>
      </c>
      <c r="DM48">
        <v>1</v>
      </c>
      <c r="DN48">
        <v>1</v>
      </c>
      <c r="DO48">
        <v>0.21910686460213213</v>
      </c>
      <c r="DP48">
        <v>0.53985975724327873</v>
      </c>
      <c r="DQ48">
        <v>0.21502207798962414</v>
      </c>
      <c r="DR48">
        <v>0.3178506084688425</v>
      </c>
      <c r="DS48">
        <v>0.33102704388208681</v>
      </c>
      <c r="DT48">
        <v>1</v>
      </c>
      <c r="DU48">
        <v>0.15795173238675703</v>
      </c>
      <c r="DV48">
        <v>1</v>
      </c>
      <c r="DW48">
        <v>1</v>
      </c>
      <c r="DX48">
        <v>0.21233788390269367</v>
      </c>
      <c r="DY48">
        <v>1</v>
      </c>
      <c r="DZ48">
        <v>0.23207213744867911</v>
      </c>
      <c r="EA48">
        <v>0.10184604886700602</v>
      </c>
      <c r="EB48">
        <v>1</v>
      </c>
      <c r="EC48">
        <v>0.18941521786573035</v>
      </c>
      <c r="ED48">
        <v>0.36234063491593493</v>
      </c>
      <c r="EE48">
        <v>0.27323350211515157</v>
      </c>
      <c r="EF48">
        <v>0.17870739449514897</v>
      </c>
      <c r="EG48">
        <v>0.25148870904073256</v>
      </c>
      <c r="EH48">
        <v>1</v>
      </c>
      <c r="EI48">
        <v>1</v>
      </c>
      <c r="EJ48">
        <v>1</v>
      </c>
      <c r="EK48">
        <v>0.19483213554819598</v>
      </c>
      <c r="EL48">
        <v>0.11193858569152489</v>
      </c>
      <c r="EM48">
        <v>0.19116092868267615</v>
      </c>
      <c r="EN48">
        <v>0</v>
      </c>
      <c r="EO48">
        <v>0.26728318361745818</v>
      </c>
      <c r="EP48">
        <v>0.31524615898020608</v>
      </c>
      <c r="EQ48">
        <v>1</v>
      </c>
      <c r="ER48">
        <v>1</v>
      </c>
      <c r="ES48">
        <v>1</v>
      </c>
      <c r="ET48">
        <v>0.17085485961390467</v>
      </c>
      <c r="EU48">
        <v>1</v>
      </c>
      <c r="EV48">
        <v>0.14626236150844207</v>
      </c>
      <c r="EW48">
        <v>1</v>
      </c>
      <c r="EX48">
        <v>1</v>
      </c>
      <c r="EY48">
        <v>1</v>
      </c>
      <c r="EZ48">
        <v>0.24251725057324636</v>
      </c>
      <c r="FA48">
        <v>0.16534510197566174</v>
      </c>
      <c r="FB48">
        <v>1</v>
      </c>
      <c r="FC48">
        <v>0.24268060673479955</v>
      </c>
      <c r="FD48">
        <v>0.22338925002636639</v>
      </c>
      <c r="FE48">
        <v>1</v>
      </c>
      <c r="FF48">
        <v>1</v>
      </c>
      <c r="FG48">
        <v>0.38968097838776178</v>
      </c>
      <c r="FH48">
        <v>1</v>
      </c>
      <c r="FI48">
        <v>0.47428351004417479</v>
      </c>
      <c r="FJ48">
        <v>0.34854812658067402</v>
      </c>
      <c r="FK48">
        <v>0.19226484952998057</v>
      </c>
      <c r="FL48">
        <v>1</v>
      </c>
      <c r="FM48">
        <v>1</v>
      </c>
      <c r="FN48">
        <v>0.29922861800891015</v>
      </c>
      <c r="FO48">
        <v>1</v>
      </c>
      <c r="FP48">
        <v>0.42409930353055741</v>
      </c>
      <c r="FQ48">
        <v>0.1029058815145199</v>
      </c>
      <c r="FR48">
        <v>1</v>
      </c>
      <c r="FS48">
        <v>0</v>
      </c>
      <c r="FT48">
        <v>1</v>
      </c>
    </row>
    <row r="49" spans="1:176" x14ac:dyDescent="0.2">
      <c r="A49" s="1486" t="s">
        <v>2276</v>
      </c>
      <c r="B49">
        <v>1</v>
      </c>
      <c r="C49">
        <v>1</v>
      </c>
      <c r="D49">
        <v>1</v>
      </c>
      <c r="E49">
        <v>1</v>
      </c>
      <c r="F49">
        <v>1</v>
      </c>
      <c r="G49">
        <v>1</v>
      </c>
      <c r="H49">
        <v>1</v>
      </c>
      <c r="I49">
        <v>1</v>
      </c>
      <c r="J49">
        <v>0.50027299335194497</v>
      </c>
      <c r="K49">
        <v>1</v>
      </c>
      <c r="L49">
        <v>1</v>
      </c>
      <c r="M49">
        <v>0.40438547843910327</v>
      </c>
      <c r="N49">
        <v>0.54513094883213875</v>
      </c>
      <c r="O49">
        <v>0.79837975638132608</v>
      </c>
      <c r="P49">
        <v>1</v>
      </c>
      <c r="Q49">
        <v>1</v>
      </c>
      <c r="R49">
        <v>1</v>
      </c>
      <c r="S49">
        <v>1</v>
      </c>
      <c r="T49">
        <v>1</v>
      </c>
      <c r="U49">
        <v>1</v>
      </c>
      <c r="V49">
        <v>1</v>
      </c>
      <c r="W49">
        <v>1</v>
      </c>
      <c r="X49">
        <v>0.35314137630709824</v>
      </c>
      <c r="Y49">
        <v>1</v>
      </c>
      <c r="Z49">
        <v>0.14272439662033895</v>
      </c>
      <c r="AA49">
        <v>0.22393344916990066</v>
      </c>
      <c r="AB49">
        <v>1</v>
      </c>
      <c r="AC49">
        <v>1</v>
      </c>
      <c r="AD49">
        <v>0.40600048478759093</v>
      </c>
      <c r="AE49">
        <v>1</v>
      </c>
      <c r="AF49">
        <v>0.42745258825175558</v>
      </c>
      <c r="AG49">
        <v>0.24893606752327987</v>
      </c>
      <c r="AH49">
        <v>1</v>
      </c>
      <c r="AI49">
        <v>1</v>
      </c>
      <c r="AJ49">
        <v>1</v>
      </c>
      <c r="AK49">
        <v>2.0260773820957763E-2</v>
      </c>
      <c r="AL49">
        <v>0.39477825244162523</v>
      </c>
      <c r="AM49">
        <v>1</v>
      </c>
      <c r="AN49">
        <v>0.1225214752164487</v>
      </c>
      <c r="AO49">
        <v>1</v>
      </c>
      <c r="AP49">
        <v>1</v>
      </c>
      <c r="AQ49">
        <v>0.6243281477702578</v>
      </c>
      <c r="AR49">
        <v>0.3207039003711829</v>
      </c>
      <c r="AS49">
        <v>1</v>
      </c>
      <c r="AT49">
        <v>0.25906944370974128</v>
      </c>
      <c r="AU49">
        <v>0.11324488361098675</v>
      </c>
      <c r="AV49">
        <v>1</v>
      </c>
      <c r="AW49">
        <v>0.65163896407482336</v>
      </c>
      <c r="AX49">
        <v>0.17616352109516406</v>
      </c>
      <c r="AY49">
        <v>0.18817408071162783</v>
      </c>
      <c r="AZ49">
        <v>0.28138541950605267</v>
      </c>
      <c r="BA49">
        <v>0.48525971678168722</v>
      </c>
      <c r="BB49">
        <v>1</v>
      </c>
      <c r="BC49">
        <v>0.60588409215827776</v>
      </c>
      <c r="BD49">
        <v>0.82125984448783895</v>
      </c>
      <c r="BE49">
        <v>1</v>
      </c>
      <c r="BF49">
        <v>1</v>
      </c>
      <c r="BG49">
        <v>1</v>
      </c>
      <c r="BH49">
        <v>1</v>
      </c>
      <c r="BI49">
        <v>1</v>
      </c>
      <c r="BJ49">
        <v>0.40816923230363561</v>
      </c>
      <c r="BK49">
        <v>0.23610730742435462</v>
      </c>
      <c r="BL49">
        <v>0.23397824674099341</v>
      </c>
      <c r="BM49">
        <v>1</v>
      </c>
      <c r="BN49">
        <v>0.79811684537602434</v>
      </c>
      <c r="BO49">
        <v>0.36224154725297197</v>
      </c>
      <c r="BP49">
        <v>1</v>
      </c>
      <c r="BQ49">
        <v>1</v>
      </c>
      <c r="BR49">
        <v>0.1241547226973248</v>
      </c>
      <c r="BS49">
        <v>6.7786702206572555E-2</v>
      </c>
      <c r="BT49">
        <v>1</v>
      </c>
      <c r="BU49">
        <v>1</v>
      </c>
      <c r="BV49">
        <v>1</v>
      </c>
      <c r="BW49">
        <v>0.50168594927521881</v>
      </c>
      <c r="BX49">
        <v>1</v>
      </c>
      <c r="BY49">
        <v>0.15342565721002074</v>
      </c>
      <c r="BZ49">
        <v>0.17579678099928431</v>
      </c>
      <c r="CA49">
        <v>5.3182444421314701E-2</v>
      </c>
      <c r="CB49">
        <v>6.4863778499715571E-2</v>
      </c>
      <c r="CC49">
        <v>0.29757598214965858</v>
      </c>
      <c r="CD49">
        <v>0.37359031225443806</v>
      </c>
      <c r="CE49">
        <v>1</v>
      </c>
      <c r="CF49">
        <v>1</v>
      </c>
      <c r="CG49">
        <v>4.6392838183879175E-2</v>
      </c>
      <c r="CH49">
        <v>0.17016660828504976</v>
      </c>
      <c r="CI49">
        <v>0.36858022667036855</v>
      </c>
      <c r="CJ49">
        <v>1</v>
      </c>
      <c r="CK49">
        <v>1</v>
      </c>
      <c r="CL49">
        <v>1</v>
      </c>
      <c r="CM49">
        <v>1</v>
      </c>
      <c r="CN49">
        <v>1</v>
      </c>
      <c r="CO49">
        <v>0.21857367682557666</v>
      </c>
      <c r="CP49">
        <v>0.80228156205952683</v>
      </c>
      <c r="CQ49">
        <v>0.14012946093538939</v>
      </c>
      <c r="CR49">
        <v>1</v>
      </c>
      <c r="CS49">
        <v>1</v>
      </c>
      <c r="CT49">
        <v>1</v>
      </c>
      <c r="CU49">
        <v>1</v>
      </c>
      <c r="CV49">
        <v>1</v>
      </c>
      <c r="CW49">
        <v>0.42496601771926884</v>
      </c>
      <c r="CX49">
        <v>0.48187298564636682</v>
      </c>
      <c r="CY49">
        <v>0.39902737363845786</v>
      </c>
      <c r="CZ49">
        <v>0.47505296109294309</v>
      </c>
      <c r="DA49">
        <v>0.34379410737637833</v>
      </c>
      <c r="DB49">
        <v>0.19943888687584974</v>
      </c>
      <c r="DC49">
        <v>0.29539740669872139</v>
      </c>
      <c r="DD49">
        <v>1</v>
      </c>
      <c r="DE49">
        <v>0.1822669789731598</v>
      </c>
      <c r="DF49">
        <v>4.6034155043251625E-2</v>
      </c>
      <c r="DG49">
        <v>1</v>
      </c>
      <c r="DH49">
        <v>7.8713005558440657E-2</v>
      </c>
      <c r="DI49">
        <v>0.52380989215049556</v>
      </c>
      <c r="DJ49">
        <v>0.48291108515135017</v>
      </c>
      <c r="DK49">
        <v>0.51833832617885878</v>
      </c>
      <c r="DL49">
        <v>0.15084760633834057</v>
      </c>
      <c r="DM49">
        <v>1</v>
      </c>
      <c r="DN49">
        <v>1</v>
      </c>
      <c r="DO49">
        <v>0.51393062153962554</v>
      </c>
      <c r="DP49">
        <v>0.58963045874920017</v>
      </c>
      <c r="DQ49">
        <v>0.38298902022154491</v>
      </c>
      <c r="DR49">
        <v>0.42443617879061285</v>
      </c>
      <c r="DS49">
        <v>0.58651586521157539</v>
      </c>
      <c r="DT49">
        <v>1</v>
      </c>
      <c r="DU49">
        <v>0.31247329573364557</v>
      </c>
      <c r="DV49">
        <v>1</v>
      </c>
      <c r="DW49">
        <v>1</v>
      </c>
      <c r="DX49">
        <v>0.34015143520209434</v>
      </c>
      <c r="DY49">
        <v>1</v>
      </c>
      <c r="DZ49">
        <v>0.43534850665057051</v>
      </c>
      <c r="EA49">
        <v>0.37276761779915607</v>
      </c>
      <c r="EB49">
        <v>1</v>
      </c>
      <c r="EC49">
        <v>0.46466392983564947</v>
      </c>
      <c r="ED49">
        <v>0.36531752180785027</v>
      </c>
      <c r="EE49">
        <v>0.46465474222436559</v>
      </c>
      <c r="EF49">
        <v>0.28925145254048107</v>
      </c>
      <c r="EG49">
        <v>0.50798487669595405</v>
      </c>
      <c r="EH49">
        <v>1</v>
      </c>
      <c r="EI49">
        <v>1</v>
      </c>
      <c r="EJ49">
        <v>1</v>
      </c>
      <c r="EK49">
        <v>7.3138406361726693E-2</v>
      </c>
      <c r="EL49">
        <v>0.15704036024739559</v>
      </c>
      <c r="EM49">
        <v>7.8892449799238915E-2</v>
      </c>
      <c r="EN49">
        <v>0.25979757923196145</v>
      </c>
      <c r="EO49">
        <v>0.45241034092731347</v>
      </c>
      <c r="EP49">
        <v>0.38486387942052808</v>
      </c>
      <c r="EQ49">
        <v>1</v>
      </c>
      <c r="ER49">
        <v>1</v>
      </c>
      <c r="ES49">
        <v>1</v>
      </c>
      <c r="ET49">
        <v>0.32240584975045405</v>
      </c>
      <c r="EU49">
        <v>1</v>
      </c>
      <c r="EV49">
        <v>0.48717000130382332</v>
      </c>
      <c r="EW49">
        <v>1</v>
      </c>
      <c r="EX49">
        <v>1</v>
      </c>
      <c r="EY49">
        <v>1</v>
      </c>
      <c r="EZ49">
        <v>0.35099409380171492</v>
      </c>
      <c r="FA49">
        <v>0.1384857841806319</v>
      </c>
      <c r="FB49">
        <v>1</v>
      </c>
      <c r="FC49">
        <v>0.41052928157504609</v>
      </c>
      <c r="FD49">
        <v>0.37085179894841508</v>
      </c>
      <c r="FE49">
        <v>1</v>
      </c>
      <c r="FF49">
        <v>1</v>
      </c>
      <c r="FG49">
        <v>0.61108207429594075</v>
      </c>
      <c r="FH49">
        <v>1</v>
      </c>
      <c r="FI49">
        <v>0.80238769747086003</v>
      </c>
      <c r="FJ49">
        <v>0.14743164495047689</v>
      </c>
      <c r="FK49">
        <v>0.46225069351655712</v>
      </c>
      <c r="FL49">
        <v>1</v>
      </c>
      <c r="FM49">
        <v>1</v>
      </c>
      <c r="FN49">
        <v>0.27980265430483853</v>
      </c>
      <c r="FO49">
        <v>1</v>
      </c>
      <c r="FP49">
        <v>0.57496170322200923</v>
      </c>
      <c r="FQ49">
        <v>0.33404202560424207</v>
      </c>
      <c r="FR49">
        <v>1</v>
      </c>
      <c r="FS49">
        <v>0.18751530319854581</v>
      </c>
      <c r="FT49">
        <v>1</v>
      </c>
    </row>
    <row r="50" spans="1:176" x14ac:dyDescent="0.2">
      <c r="A50" s="1486" t="s">
        <v>2277</v>
      </c>
      <c r="B50">
        <v>0.4563130139538471</v>
      </c>
      <c r="C50">
        <v>1</v>
      </c>
      <c r="D50">
        <v>0.72468338122757725</v>
      </c>
      <c r="E50">
        <v>0.67118626419846339</v>
      </c>
      <c r="F50">
        <v>1</v>
      </c>
      <c r="G50">
        <v>1</v>
      </c>
      <c r="H50">
        <v>1</v>
      </c>
      <c r="I50">
        <v>1</v>
      </c>
      <c r="J50">
        <v>1</v>
      </c>
      <c r="K50">
        <v>1</v>
      </c>
      <c r="L50">
        <v>1</v>
      </c>
      <c r="M50">
        <v>1</v>
      </c>
      <c r="N50">
        <v>1</v>
      </c>
      <c r="O50">
        <v>1</v>
      </c>
      <c r="P50">
        <v>1</v>
      </c>
      <c r="Q50">
        <v>1</v>
      </c>
      <c r="R50">
        <v>0.59856168992892211</v>
      </c>
      <c r="S50">
        <v>0.44603779185094405</v>
      </c>
      <c r="T50">
        <v>1</v>
      </c>
      <c r="U50">
        <v>1</v>
      </c>
      <c r="V50">
        <v>0.43382224356799071</v>
      </c>
      <c r="W50">
        <v>0.6168956679045341</v>
      </c>
      <c r="X50">
        <v>0.67287375737429866</v>
      </c>
      <c r="Y50">
        <v>0.46191877947462412</v>
      </c>
      <c r="Z50">
        <v>0.59744168820290466</v>
      </c>
      <c r="AA50">
        <v>0.5848504778936211</v>
      </c>
      <c r="AB50">
        <v>0.60232547433926098</v>
      </c>
      <c r="AC50">
        <v>1</v>
      </c>
      <c r="AD50">
        <v>0.65277004058136989</v>
      </c>
      <c r="AE50">
        <v>0.48252900077476496</v>
      </c>
      <c r="AF50">
        <v>1</v>
      </c>
      <c r="AG50">
        <v>0.55225906742382069</v>
      </c>
      <c r="AH50">
        <v>1</v>
      </c>
      <c r="AI50">
        <v>1</v>
      </c>
      <c r="AJ50">
        <v>0.56567333557354693</v>
      </c>
      <c r="AK50">
        <v>0.41102609129976508</v>
      </c>
      <c r="AL50">
        <v>0.57553069163083193</v>
      </c>
      <c r="AM50">
        <v>0.51058124990663489</v>
      </c>
      <c r="AN50">
        <v>0.45096188444498037</v>
      </c>
      <c r="AO50">
        <v>0.57163444291902399</v>
      </c>
      <c r="AP50">
        <v>0.63470658175896477</v>
      </c>
      <c r="AQ50">
        <v>0.57243478595640884</v>
      </c>
      <c r="AR50">
        <v>0.34625333568904271</v>
      </c>
      <c r="AS50">
        <v>0.24249664641297711</v>
      </c>
      <c r="AT50">
        <v>1</v>
      </c>
      <c r="AU50">
        <v>0.45325074179491925</v>
      </c>
      <c r="AV50">
        <v>0.47852430504169163</v>
      </c>
      <c r="AW50">
        <v>0.74769965035690777</v>
      </c>
      <c r="AX50">
        <v>0.6862963585931795</v>
      </c>
      <c r="AY50">
        <v>0.43233411433446572</v>
      </c>
      <c r="AZ50">
        <v>0.38306298893673113</v>
      </c>
      <c r="BA50">
        <v>0.83986223800365467</v>
      </c>
      <c r="BB50">
        <v>0.12977595049028723</v>
      </c>
      <c r="BC50">
        <v>0.52314845812015309</v>
      </c>
      <c r="BD50">
        <v>1</v>
      </c>
      <c r="BE50">
        <v>0.23001437844340825</v>
      </c>
      <c r="BF50">
        <v>0.46937551021214718</v>
      </c>
      <c r="BG50">
        <v>0.39159681787128614</v>
      </c>
      <c r="BH50">
        <v>0.42192171085998004</v>
      </c>
      <c r="BI50">
        <v>0.48213474483353103</v>
      </c>
      <c r="BJ50">
        <v>0.64090622679620624</v>
      </c>
      <c r="BK50">
        <v>0.50142487832045313</v>
      </c>
      <c r="BL50">
        <v>1</v>
      </c>
      <c r="BM50">
        <v>0.29423216334728919</v>
      </c>
      <c r="BN50">
        <v>0.77497176021498471</v>
      </c>
      <c r="BO50">
        <v>0.72147342982704188</v>
      </c>
      <c r="BP50">
        <v>0.44143283811371309</v>
      </c>
      <c r="BQ50">
        <v>0.47463534400107243</v>
      </c>
      <c r="BR50">
        <v>0.4750679089225508</v>
      </c>
      <c r="BS50">
        <v>0.39524401114079433</v>
      </c>
      <c r="BT50">
        <v>1</v>
      </c>
      <c r="BU50">
        <v>0.36300035937956387</v>
      </c>
      <c r="BV50">
        <v>0.42908144699181022</v>
      </c>
      <c r="BW50">
        <v>0.781058479870399</v>
      </c>
      <c r="BX50">
        <v>0.39798940541092076</v>
      </c>
      <c r="BY50">
        <v>1</v>
      </c>
      <c r="BZ50">
        <v>0.56487760708541157</v>
      </c>
      <c r="CA50">
        <v>0.28894069961141206</v>
      </c>
      <c r="CB50">
        <v>0.60232387916403318</v>
      </c>
      <c r="CC50">
        <v>1</v>
      </c>
      <c r="CD50">
        <v>1</v>
      </c>
      <c r="CE50">
        <v>0.54666547811338662</v>
      </c>
      <c r="CF50">
        <v>0.42156727637560903</v>
      </c>
      <c r="CG50">
        <v>0.58597003219405708</v>
      </c>
      <c r="CH50">
        <v>1</v>
      </c>
      <c r="CI50">
        <v>0.62058758168486949</v>
      </c>
      <c r="CJ50">
        <v>0.60081124868417068</v>
      </c>
      <c r="CK50">
        <v>0.53995837777321998</v>
      </c>
      <c r="CL50">
        <v>0.37865130552097881</v>
      </c>
      <c r="CM50">
        <v>0.53902856041307534</v>
      </c>
      <c r="CN50">
        <v>0.29936433928882855</v>
      </c>
      <c r="CO50">
        <v>0.37860592108958946</v>
      </c>
      <c r="CP50">
        <v>1</v>
      </c>
      <c r="CQ50">
        <v>0.74757691412261829</v>
      </c>
      <c r="CR50">
        <v>1</v>
      </c>
      <c r="CS50">
        <v>0.36973132680709808</v>
      </c>
      <c r="CT50">
        <v>1</v>
      </c>
      <c r="CU50">
        <v>0.52483789278477699</v>
      </c>
      <c r="CV50">
        <v>0.52526879884791078</v>
      </c>
      <c r="CW50">
        <v>0.68033963669246456</v>
      </c>
      <c r="CX50">
        <v>0.55763484604613234</v>
      </c>
      <c r="CY50">
        <v>0.722550983888675</v>
      </c>
      <c r="CZ50">
        <v>0.91712062668922811</v>
      </c>
      <c r="DA50">
        <v>1</v>
      </c>
      <c r="DB50">
        <v>0.37017841882445973</v>
      </c>
      <c r="DC50">
        <v>1</v>
      </c>
      <c r="DD50">
        <v>0.26483880832177892</v>
      </c>
      <c r="DE50">
        <v>0.5626182606548028</v>
      </c>
      <c r="DF50">
        <v>0.41271577254706165</v>
      </c>
      <c r="DG50">
        <v>0.32378584271285049</v>
      </c>
      <c r="DH50">
        <v>0.42347082574310718</v>
      </c>
      <c r="DI50">
        <v>0.7204751094166385</v>
      </c>
      <c r="DJ50">
        <v>0.70416809559173232</v>
      </c>
      <c r="DK50">
        <v>0.53467871600134409</v>
      </c>
      <c r="DL50">
        <v>0.80907698846450449</v>
      </c>
      <c r="DM50">
        <v>0.55974391072208829</v>
      </c>
      <c r="DN50">
        <v>0.71694975380600245</v>
      </c>
      <c r="DO50">
        <v>0.72043342873851335</v>
      </c>
      <c r="DP50">
        <v>0.61951228901880495</v>
      </c>
      <c r="DQ50">
        <v>1</v>
      </c>
      <c r="DR50">
        <v>1</v>
      </c>
      <c r="DS50">
        <v>0.69806709430731151</v>
      </c>
      <c r="DT50">
        <v>0.43895007531287622</v>
      </c>
      <c r="DU50">
        <v>0.70625980264498722</v>
      </c>
      <c r="DV50">
        <v>0.60577645943994118</v>
      </c>
      <c r="DW50">
        <v>0.28886642348370917</v>
      </c>
      <c r="DX50">
        <v>0.61589577146508201</v>
      </c>
      <c r="DY50">
        <v>0.45170147083236573</v>
      </c>
      <c r="DZ50">
        <v>0.54705902541307905</v>
      </c>
      <c r="EA50">
        <v>0.61784214640838586</v>
      </c>
      <c r="EB50">
        <v>0.4444119566342361</v>
      </c>
      <c r="EC50">
        <v>0.67428074427697104</v>
      </c>
      <c r="ED50">
        <v>0.57474914845210856</v>
      </c>
      <c r="EE50">
        <v>0.53275546631901838</v>
      </c>
      <c r="EF50">
        <v>0.61048191724521028</v>
      </c>
      <c r="EG50">
        <v>0.61214291596382264</v>
      </c>
      <c r="EH50">
        <v>0.46116477813124224</v>
      </c>
      <c r="EI50">
        <v>0.5056092315039481</v>
      </c>
      <c r="EJ50">
        <v>0.61548036314936738</v>
      </c>
      <c r="EK50">
        <v>1</v>
      </c>
      <c r="EL50">
        <v>0.44848975971571281</v>
      </c>
      <c r="EM50">
        <v>1</v>
      </c>
      <c r="EN50">
        <v>0.46446373483508818</v>
      </c>
      <c r="EO50">
        <v>0.33662496546917675</v>
      </c>
      <c r="EP50">
        <v>0.57842778379980964</v>
      </c>
      <c r="EQ50">
        <v>0.69642159307046458</v>
      </c>
      <c r="ER50">
        <v>0.66841929949025436</v>
      </c>
      <c r="ES50">
        <v>0.43828821833216575</v>
      </c>
      <c r="ET50">
        <v>0.51404980043100279</v>
      </c>
      <c r="EU50">
        <v>1</v>
      </c>
      <c r="EV50">
        <v>0.73543549978650502</v>
      </c>
      <c r="EW50">
        <v>0.49719813516486411</v>
      </c>
      <c r="EX50">
        <v>0.49361623622021622</v>
      </c>
      <c r="EY50">
        <v>0.47212042061301934</v>
      </c>
      <c r="EZ50">
        <v>0.71825963382860969</v>
      </c>
      <c r="FA50">
        <v>0.54444646320297319</v>
      </c>
      <c r="FB50">
        <v>0.80295010542617284</v>
      </c>
      <c r="FC50">
        <v>0.51746546498566504</v>
      </c>
      <c r="FD50">
        <v>0.74144471883035201</v>
      </c>
      <c r="FE50">
        <v>0.66487358774048799</v>
      </c>
      <c r="FF50">
        <v>0.18504182496961652</v>
      </c>
      <c r="FG50">
        <v>0.29921542369568477</v>
      </c>
      <c r="FH50">
        <v>0.64258325731471866</v>
      </c>
      <c r="FI50">
        <v>1</v>
      </c>
      <c r="FJ50">
        <v>0.44291554788344639</v>
      </c>
      <c r="FK50">
        <v>0.5957100417077108</v>
      </c>
      <c r="FL50">
        <v>0.31086813395191826</v>
      </c>
      <c r="FM50">
        <v>0.79011801326382336</v>
      </c>
      <c r="FN50">
        <v>0.60276871448598213</v>
      </c>
      <c r="FO50">
        <v>0.22793379422437787</v>
      </c>
      <c r="FP50">
        <v>0.6625097649624665</v>
      </c>
      <c r="FQ50">
        <v>0.54927028389562682</v>
      </c>
      <c r="FR50">
        <v>0.46895754481359986</v>
      </c>
      <c r="FS50">
        <v>1</v>
      </c>
      <c r="FT50">
        <v>0.34268959208670707</v>
      </c>
    </row>
    <row r="51" spans="1:176" x14ac:dyDescent="0.2">
      <c r="A51" s="1486" t="s">
        <v>2278</v>
      </c>
      <c r="B51">
        <v>0</v>
      </c>
      <c r="C51">
        <v>0.57337506781584824</v>
      </c>
      <c r="D51">
        <v>0</v>
      </c>
      <c r="E51">
        <v>0</v>
      </c>
      <c r="F51">
        <v>0</v>
      </c>
      <c r="G51">
        <v>0</v>
      </c>
      <c r="H51">
        <v>0.54577350358548127</v>
      </c>
      <c r="I51">
        <v>0.51866108037059677</v>
      </c>
      <c r="J51">
        <v>0.40107032564484435</v>
      </c>
      <c r="K51">
        <v>0.22149505360010907</v>
      </c>
      <c r="L51">
        <v>0.2318996883594048</v>
      </c>
      <c r="M51">
        <v>0.39985834341608151</v>
      </c>
      <c r="N51">
        <v>0.51394618209694887</v>
      </c>
      <c r="O51">
        <v>0.32758650801844003</v>
      </c>
      <c r="P51">
        <v>0</v>
      </c>
      <c r="Q51">
        <v>0.11194412059777763</v>
      </c>
      <c r="R51">
        <v>0.30647314891365951</v>
      </c>
      <c r="S51">
        <v>0.71164959588832444</v>
      </c>
      <c r="T51">
        <v>0</v>
      </c>
      <c r="U51">
        <v>0</v>
      </c>
      <c r="V51">
        <v>0</v>
      </c>
      <c r="W51">
        <v>0.10057394894927855</v>
      </c>
      <c r="X51">
        <v>0</v>
      </c>
      <c r="Y51">
        <v>0</v>
      </c>
      <c r="Z51">
        <v>0</v>
      </c>
      <c r="AA51">
        <v>0</v>
      </c>
      <c r="AB51">
        <v>0</v>
      </c>
      <c r="AC51">
        <v>0</v>
      </c>
      <c r="AD51">
        <v>0</v>
      </c>
      <c r="AE51">
        <v>0.49158144840280077</v>
      </c>
      <c r="AF51">
        <v>0.3075691780183939</v>
      </c>
      <c r="AG51">
        <v>7.1498934108388271E-2</v>
      </c>
      <c r="AH51">
        <v>0</v>
      </c>
      <c r="AI51">
        <v>0</v>
      </c>
      <c r="AJ51">
        <v>0.27041724266473266</v>
      </c>
      <c r="AK51">
        <v>0</v>
      </c>
      <c r="AL51">
        <v>0.32857893319553494</v>
      </c>
      <c r="AM51">
        <v>0</v>
      </c>
      <c r="AN51">
        <v>0.23190590214841414</v>
      </c>
      <c r="AO51">
        <v>0.43316874669617222</v>
      </c>
      <c r="AP51">
        <v>0.15241816998696114</v>
      </c>
      <c r="AQ51">
        <v>0.82574779743598326</v>
      </c>
      <c r="AR51">
        <v>0.38716209530511492</v>
      </c>
      <c r="AS51">
        <v>0.70943023256934479</v>
      </c>
      <c r="AT51">
        <v>0.74089146094308556</v>
      </c>
      <c r="AU51">
        <v>0.39358905709411651</v>
      </c>
      <c r="AV51">
        <v>0.66551333647241318</v>
      </c>
      <c r="AW51">
        <v>0.49694822637870467</v>
      </c>
      <c r="AX51">
        <v>0.32173170946504293</v>
      </c>
      <c r="AY51">
        <v>0</v>
      </c>
      <c r="AZ51">
        <v>0.40824131733062069</v>
      </c>
      <c r="BA51">
        <v>0.28489948907830021</v>
      </c>
      <c r="BB51">
        <v>0</v>
      </c>
      <c r="BC51">
        <v>0.73578207964810927</v>
      </c>
      <c r="BD51">
        <v>0.80961331180583396</v>
      </c>
      <c r="BE51">
        <v>0</v>
      </c>
      <c r="BF51">
        <v>0.16044854311701265</v>
      </c>
      <c r="BG51">
        <v>0.47679757651524601</v>
      </c>
      <c r="BH51">
        <v>0.45219923955369462</v>
      </c>
      <c r="BI51">
        <v>0.21680598636586637</v>
      </c>
      <c r="BJ51">
        <v>0.57740895726724739</v>
      </c>
      <c r="BK51">
        <v>0.33371020724458489</v>
      </c>
      <c r="BL51">
        <v>0.29457896701885589</v>
      </c>
      <c r="BM51">
        <v>0.26086771926659547</v>
      </c>
      <c r="BN51">
        <v>0.47158069330382157</v>
      </c>
      <c r="BO51">
        <v>0.52697755535915058</v>
      </c>
      <c r="BP51">
        <v>0.30859754386598065</v>
      </c>
      <c r="BQ51">
        <v>0.19792307352275365</v>
      </c>
      <c r="BR51">
        <v>0.27486761632498397</v>
      </c>
      <c r="BS51">
        <v>0.50752106166466193</v>
      </c>
      <c r="BT51">
        <v>0.33633195572961205</v>
      </c>
      <c r="BU51">
        <v>0.35884092034894532</v>
      </c>
      <c r="BV51">
        <v>0.10541571608092595</v>
      </c>
      <c r="BW51">
        <v>0.39267416529995347</v>
      </c>
      <c r="BX51">
        <v>0.31083952403931764</v>
      </c>
      <c r="BY51">
        <v>0.85083870596695299</v>
      </c>
      <c r="BZ51">
        <v>0.27273357710712665</v>
      </c>
      <c r="CA51">
        <v>5.935733676863144E-2</v>
      </c>
      <c r="CB51">
        <v>0.11510870856572682</v>
      </c>
      <c r="CC51">
        <v>0.30050891492920606</v>
      </c>
      <c r="CD51">
        <v>0.13702110373458495</v>
      </c>
      <c r="CE51">
        <v>4.5359546175645443E-2</v>
      </c>
      <c r="CF51">
        <v>0.38055926230590115</v>
      </c>
      <c r="CG51">
        <v>0.91521940216555064</v>
      </c>
      <c r="CH51">
        <v>0</v>
      </c>
      <c r="CI51">
        <v>4.9618615672562391E-3</v>
      </c>
      <c r="CJ51">
        <v>0.34376333275214244</v>
      </c>
      <c r="CK51">
        <v>0.34204566859383606</v>
      </c>
      <c r="CL51">
        <v>0.25859868097995237</v>
      </c>
      <c r="CM51">
        <v>0.29418223495479462</v>
      </c>
      <c r="CN51">
        <v>0.2549557367932081</v>
      </c>
      <c r="CO51">
        <v>0.28497208803661545</v>
      </c>
      <c r="CP51">
        <v>0.45414303193575967</v>
      </c>
      <c r="CQ51">
        <v>0.46812197722616711</v>
      </c>
      <c r="CR51">
        <v>0</v>
      </c>
      <c r="CS51">
        <v>0</v>
      </c>
      <c r="CT51">
        <v>0</v>
      </c>
      <c r="CU51">
        <v>0</v>
      </c>
      <c r="CV51">
        <v>0</v>
      </c>
      <c r="CW51">
        <v>0.21963287555430877</v>
      </c>
      <c r="CX51">
        <v>0.53775740304431319</v>
      </c>
      <c r="CY51">
        <v>0.47232919249584532</v>
      </c>
      <c r="CZ51">
        <v>0.32807274919975271</v>
      </c>
      <c r="DA51">
        <v>0.15450523897285232</v>
      </c>
      <c r="DB51">
        <v>0.17348906438185058</v>
      </c>
      <c r="DC51">
        <v>0.46299953701776436</v>
      </c>
      <c r="DD51">
        <v>0.27362767341554484</v>
      </c>
      <c r="DE51">
        <v>0</v>
      </c>
      <c r="DF51">
        <v>0.17356829833191345</v>
      </c>
      <c r="DG51">
        <v>0</v>
      </c>
      <c r="DH51">
        <v>0.16134957761761798</v>
      </c>
      <c r="DI51">
        <v>0.39676401796836486</v>
      </c>
      <c r="DJ51">
        <v>0.50613294376196993</v>
      </c>
      <c r="DK51">
        <v>0.43149923816169666</v>
      </c>
      <c r="DL51">
        <v>0.52585460608327717</v>
      </c>
      <c r="DM51">
        <v>0.12647435147786423</v>
      </c>
      <c r="DN51">
        <v>0.31120002797113716</v>
      </c>
      <c r="DO51">
        <v>0.82401875851948048</v>
      </c>
      <c r="DP51">
        <v>0.4956189795991946</v>
      </c>
      <c r="DQ51">
        <v>0.43736614261810547</v>
      </c>
      <c r="DR51">
        <v>0.37470208177225145</v>
      </c>
      <c r="DS51">
        <v>0.31546043114179456</v>
      </c>
      <c r="DT51">
        <v>0</v>
      </c>
      <c r="DU51">
        <v>0</v>
      </c>
      <c r="DV51">
        <v>0.57353515880621475</v>
      </c>
      <c r="DW51">
        <v>0.67008258647487318</v>
      </c>
      <c r="DX51">
        <v>0.41776380312497674</v>
      </c>
      <c r="DY51">
        <v>0</v>
      </c>
      <c r="DZ51">
        <v>0</v>
      </c>
      <c r="EA51">
        <v>0.57681039261496303</v>
      </c>
      <c r="EB51">
        <v>0.31385841176142493</v>
      </c>
      <c r="EC51">
        <v>0.32019428500149949</v>
      </c>
      <c r="ED51">
        <v>0</v>
      </c>
      <c r="EE51">
        <v>0.22848983935981368</v>
      </c>
      <c r="EF51">
        <v>0.54870365674496868</v>
      </c>
      <c r="EG51">
        <v>0.32962815717010152</v>
      </c>
      <c r="EH51">
        <v>0.49942026127137767</v>
      </c>
      <c r="EI51">
        <v>4.2136283467460192E-2</v>
      </c>
      <c r="EJ51">
        <v>0</v>
      </c>
      <c r="EK51">
        <v>0.18301740198142616</v>
      </c>
      <c r="EL51">
        <v>0.18845036462560866</v>
      </c>
      <c r="EM51">
        <v>0.5668001759850656</v>
      </c>
      <c r="EN51">
        <v>0</v>
      </c>
      <c r="EO51">
        <v>0.64280740867128927</v>
      </c>
      <c r="EP51">
        <v>1.5156453665369734E-2</v>
      </c>
      <c r="EQ51">
        <v>0.36652092513487061</v>
      </c>
      <c r="ER51">
        <v>0.35437547616482451</v>
      </c>
      <c r="ES51">
        <v>7.6377866678318598E-2</v>
      </c>
      <c r="ET51">
        <v>0</v>
      </c>
      <c r="EU51">
        <v>0</v>
      </c>
      <c r="EV51">
        <v>0</v>
      </c>
      <c r="EW51">
        <v>0</v>
      </c>
      <c r="EX51">
        <v>0.31812238173991297</v>
      </c>
      <c r="EY51">
        <v>0.26246157824465272</v>
      </c>
      <c r="EZ51">
        <v>0</v>
      </c>
      <c r="FA51">
        <v>0</v>
      </c>
      <c r="FB51">
        <v>0.19504839161685444</v>
      </c>
      <c r="FC51">
        <v>0.32176902371557853</v>
      </c>
      <c r="FD51">
        <v>0.32225491411309065</v>
      </c>
      <c r="FE51">
        <v>0</v>
      </c>
      <c r="FF51">
        <v>0</v>
      </c>
      <c r="FG51">
        <v>0.73020621849591061</v>
      </c>
      <c r="FH51">
        <v>0.48093016313372716</v>
      </c>
      <c r="FI51">
        <v>0.44032355937770756</v>
      </c>
      <c r="FJ51">
        <v>0.3131654599314237</v>
      </c>
      <c r="FK51">
        <v>0.16477277956488395</v>
      </c>
      <c r="FL51">
        <v>0.20313134631069241</v>
      </c>
      <c r="FM51">
        <v>0.38391443869241709</v>
      </c>
      <c r="FN51">
        <v>0.4144886521280719</v>
      </c>
      <c r="FO51">
        <v>0</v>
      </c>
      <c r="FP51">
        <v>0.59343143143409083</v>
      </c>
      <c r="FQ51">
        <v>0.17571637155128783</v>
      </c>
      <c r="FR51">
        <v>0</v>
      </c>
      <c r="FS51">
        <v>0.47207256189791996</v>
      </c>
      <c r="FT51">
        <v>0.46432716926341233</v>
      </c>
    </row>
    <row r="52" spans="1:176" x14ac:dyDescent="0.2">
      <c r="A52" s="1486" t="s">
        <v>2369</v>
      </c>
      <c r="B52" s="615">
        <v>16</v>
      </c>
      <c r="C52" s="615">
        <v>16</v>
      </c>
      <c r="D52" s="615">
        <v>16</v>
      </c>
      <c r="E52" s="615">
        <v>17</v>
      </c>
      <c r="F52" s="615">
        <v>16</v>
      </c>
      <c r="G52" s="615">
        <v>16</v>
      </c>
      <c r="H52" s="615">
        <v>16</v>
      </c>
      <c r="I52" s="615">
        <v>16</v>
      </c>
      <c r="J52" s="615">
        <v>16</v>
      </c>
      <c r="K52" s="615">
        <v>16</v>
      </c>
      <c r="L52" s="615">
        <v>16</v>
      </c>
      <c r="M52" s="615">
        <v>16</v>
      </c>
      <c r="N52" s="615">
        <v>16</v>
      </c>
      <c r="O52" s="615">
        <v>16</v>
      </c>
      <c r="P52" s="615">
        <v>2</v>
      </c>
      <c r="Q52" s="615">
        <v>2</v>
      </c>
      <c r="R52" s="615">
        <v>16</v>
      </c>
      <c r="S52" s="615">
        <v>16</v>
      </c>
      <c r="T52" s="615">
        <v>16</v>
      </c>
      <c r="U52" s="615">
        <v>16</v>
      </c>
      <c r="V52" s="615">
        <v>16</v>
      </c>
      <c r="W52" s="615">
        <v>16</v>
      </c>
      <c r="X52" s="615">
        <v>16</v>
      </c>
      <c r="Y52" s="615">
        <v>16</v>
      </c>
      <c r="Z52" s="615">
        <v>16</v>
      </c>
      <c r="AA52" s="615">
        <v>16</v>
      </c>
      <c r="AB52" s="615">
        <v>16</v>
      </c>
      <c r="AC52" s="615">
        <v>16</v>
      </c>
      <c r="AD52" s="615">
        <v>2</v>
      </c>
      <c r="AE52" s="615">
        <v>16</v>
      </c>
      <c r="AF52" s="615">
        <v>16</v>
      </c>
      <c r="AG52" s="615">
        <v>16</v>
      </c>
      <c r="AH52" s="615">
        <v>16</v>
      </c>
      <c r="AI52" s="615">
        <v>16</v>
      </c>
      <c r="AJ52" s="615">
        <v>2</v>
      </c>
      <c r="AK52" s="615">
        <v>2</v>
      </c>
      <c r="AL52" s="615">
        <v>2</v>
      </c>
      <c r="AM52" s="615">
        <v>2</v>
      </c>
      <c r="AN52" s="615">
        <v>1</v>
      </c>
      <c r="AO52" s="615">
        <v>1</v>
      </c>
      <c r="AP52" s="615">
        <v>16</v>
      </c>
      <c r="AQ52" s="615">
        <v>13</v>
      </c>
      <c r="AR52" s="615">
        <v>13</v>
      </c>
      <c r="AS52" s="615">
        <v>13</v>
      </c>
      <c r="AT52" s="615">
        <v>13</v>
      </c>
      <c r="AU52" s="615">
        <v>16</v>
      </c>
      <c r="AV52" s="615">
        <v>16</v>
      </c>
      <c r="AW52" s="615">
        <v>3</v>
      </c>
      <c r="AX52" s="615">
        <v>17</v>
      </c>
      <c r="AY52" s="615">
        <v>17</v>
      </c>
      <c r="AZ52" s="615">
        <v>17</v>
      </c>
      <c r="BA52" s="615">
        <v>17</v>
      </c>
      <c r="BB52" s="615">
        <v>13</v>
      </c>
      <c r="BC52" s="615">
        <v>13</v>
      </c>
      <c r="BD52" s="615">
        <v>14</v>
      </c>
      <c r="BE52" s="615">
        <v>13</v>
      </c>
      <c r="BF52" s="615">
        <v>14</v>
      </c>
      <c r="BG52" s="615">
        <v>16</v>
      </c>
      <c r="BH52" s="615">
        <v>16</v>
      </c>
      <c r="BI52" s="615">
        <v>16</v>
      </c>
      <c r="BJ52" s="615">
        <v>16</v>
      </c>
      <c r="BK52" s="615">
        <v>16</v>
      </c>
      <c r="BL52" s="615">
        <v>2</v>
      </c>
      <c r="BM52" s="615">
        <v>16</v>
      </c>
      <c r="BN52" s="615">
        <v>16</v>
      </c>
      <c r="BO52" s="615">
        <v>16</v>
      </c>
      <c r="BP52" s="615">
        <v>16</v>
      </c>
      <c r="BQ52" s="615">
        <v>16</v>
      </c>
      <c r="BR52" s="615">
        <v>16</v>
      </c>
      <c r="BS52" s="615">
        <v>17</v>
      </c>
      <c r="BT52" s="615">
        <v>17</v>
      </c>
      <c r="BU52" s="615">
        <v>17</v>
      </c>
      <c r="BV52" s="615">
        <v>2</v>
      </c>
      <c r="BW52" s="615">
        <v>3</v>
      </c>
      <c r="BX52" s="615">
        <v>3</v>
      </c>
      <c r="BY52" s="615">
        <v>3</v>
      </c>
      <c r="BZ52" s="615">
        <v>2</v>
      </c>
      <c r="CA52" s="615">
        <v>2</v>
      </c>
      <c r="CB52" s="615">
        <v>2</v>
      </c>
      <c r="CC52" s="615">
        <v>2</v>
      </c>
      <c r="CD52" s="615">
        <v>2</v>
      </c>
      <c r="CE52" s="615">
        <v>2</v>
      </c>
      <c r="CF52" s="615">
        <v>16</v>
      </c>
      <c r="CG52" s="615">
        <v>16</v>
      </c>
      <c r="CH52" s="615">
        <v>16</v>
      </c>
      <c r="CI52" s="615">
        <v>17</v>
      </c>
      <c r="CJ52" s="615">
        <v>17</v>
      </c>
      <c r="CK52" s="615">
        <v>17</v>
      </c>
      <c r="CL52" s="615">
        <v>3</v>
      </c>
      <c r="CM52" s="615">
        <v>2</v>
      </c>
      <c r="CN52" s="615">
        <v>2</v>
      </c>
      <c r="CO52" s="615">
        <v>2</v>
      </c>
      <c r="CP52" s="615">
        <v>16</v>
      </c>
      <c r="CQ52" s="615">
        <v>16</v>
      </c>
      <c r="CR52" s="615">
        <v>16</v>
      </c>
      <c r="CS52" s="615">
        <v>16</v>
      </c>
      <c r="CT52" s="615">
        <v>16</v>
      </c>
      <c r="CU52" s="615">
        <v>17</v>
      </c>
      <c r="CV52" s="615">
        <v>17</v>
      </c>
      <c r="CW52" s="615">
        <v>17</v>
      </c>
      <c r="CX52" s="615">
        <v>17</v>
      </c>
      <c r="CY52" s="615">
        <v>3</v>
      </c>
      <c r="CZ52" s="615">
        <v>3</v>
      </c>
      <c r="DA52" s="615">
        <v>12</v>
      </c>
      <c r="DB52" s="615">
        <v>12</v>
      </c>
      <c r="DC52" s="615">
        <v>12</v>
      </c>
      <c r="DD52" s="615">
        <v>12</v>
      </c>
      <c r="DE52" s="615">
        <v>12</v>
      </c>
      <c r="DF52" s="615">
        <v>12</v>
      </c>
      <c r="DG52" s="615">
        <v>12</v>
      </c>
      <c r="DH52" s="615">
        <v>12</v>
      </c>
      <c r="DI52" s="615">
        <v>3</v>
      </c>
      <c r="DJ52" s="615">
        <v>3</v>
      </c>
      <c r="DK52" s="615">
        <v>2</v>
      </c>
      <c r="DL52" s="615">
        <v>2</v>
      </c>
      <c r="DM52" s="615">
        <v>1</v>
      </c>
      <c r="DN52" s="615">
        <v>17</v>
      </c>
      <c r="DO52" s="615">
        <v>3</v>
      </c>
      <c r="DP52" s="615">
        <v>3</v>
      </c>
      <c r="DQ52" s="615">
        <v>3</v>
      </c>
      <c r="DR52" s="615">
        <v>3</v>
      </c>
      <c r="DS52" s="615">
        <v>3</v>
      </c>
      <c r="DT52" s="615">
        <v>16</v>
      </c>
      <c r="DU52" s="615">
        <v>16</v>
      </c>
      <c r="DV52" s="615">
        <v>1</v>
      </c>
      <c r="DW52" s="615">
        <v>13</v>
      </c>
      <c r="DX52" s="615">
        <v>17</v>
      </c>
      <c r="DY52" s="615">
        <v>13</v>
      </c>
      <c r="DZ52" s="615">
        <v>17</v>
      </c>
      <c r="EA52" s="615">
        <v>16</v>
      </c>
      <c r="EB52" s="615">
        <v>16</v>
      </c>
      <c r="EC52" s="615">
        <v>16</v>
      </c>
      <c r="ED52" s="615">
        <v>2</v>
      </c>
      <c r="EE52" s="615">
        <v>17</v>
      </c>
      <c r="EF52" s="615">
        <v>3</v>
      </c>
      <c r="EG52" s="615">
        <v>17</v>
      </c>
      <c r="EH52" s="615">
        <v>2</v>
      </c>
      <c r="EI52" s="615">
        <v>2</v>
      </c>
      <c r="EJ52" s="615">
        <v>16</v>
      </c>
      <c r="EK52" s="615">
        <v>12</v>
      </c>
      <c r="EL52" s="615">
        <v>12</v>
      </c>
      <c r="EM52" s="615">
        <v>12</v>
      </c>
      <c r="EN52" s="615">
        <v>12</v>
      </c>
      <c r="EO52" s="615">
        <v>3</v>
      </c>
      <c r="EP52" s="615">
        <v>2</v>
      </c>
      <c r="EQ52" s="615">
        <v>17</v>
      </c>
      <c r="ER52" s="615">
        <v>17</v>
      </c>
      <c r="ES52" s="615">
        <v>2</v>
      </c>
      <c r="ET52" s="615">
        <v>3</v>
      </c>
      <c r="EU52" s="615">
        <v>16</v>
      </c>
      <c r="EV52" s="615">
        <v>1</v>
      </c>
      <c r="EW52" s="615">
        <v>17</v>
      </c>
      <c r="EX52" s="615">
        <v>17</v>
      </c>
      <c r="EY52" s="615">
        <v>3</v>
      </c>
      <c r="EZ52" s="615">
        <v>2</v>
      </c>
      <c r="FA52" s="615">
        <v>1</v>
      </c>
      <c r="FB52" s="615">
        <v>17</v>
      </c>
      <c r="FC52" s="615">
        <v>17</v>
      </c>
      <c r="FD52" s="615">
        <v>17</v>
      </c>
      <c r="FE52" s="615">
        <v>1</v>
      </c>
      <c r="FF52" s="615">
        <v>12</v>
      </c>
      <c r="FG52" s="615">
        <v>3</v>
      </c>
      <c r="FH52" s="615">
        <v>1</v>
      </c>
      <c r="FI52" s="615">
        <v>17</v>
      </c>
      <c r="FJ52" s="615">
        <v>3</v>
      </c>
      <c r="FK52" s="615">
        <v>12</v>
      </c>
      <c r="FL52" s="615">
        <v>16</v>
      </c>
      <c r="FM52" s="615">
        <v>16</v>
      </c>
      <c r="FN52" s="615">
        <v>3</v>
      </c>
      <c r="FO52" s="615">
        <v>1</v>
      </c>
      <c r="FP52" s="615">
        <v>3</v>
      </c>
      <c r="FQ52" s="615">
        <v>17</v>
      </c>
      <c r="FR52" s="615">
        <v>1</v>
      </c>
      <c r="FS52" s="615">
        <v>12</v>
      </c>
      <c r="FT52" s="615">
        <v>16</v>
      </c>
    </row>
    <row r="53" spans="1:176" x14ac:dyDescent="0.2">
      <c r="A53" s="1486" t="s">
        <v>2269</v>
      </c>
      <c r="B53">
        <v>0.73689390418615408</v>
      </c>
      <c r="C53">
        <v>0.9573375067815848</v>
      </c>
      <c r="D53">
        <v>0.81740501436827318</v>
      </c>
      <c r="E53">
        <v>0.80135587925953899</v>
      </c>
      <c r="F53">
        <v>0.89999999999999991</v>
      </c>
      <c r="G53">
        <v>0.89999999999999991</v>
      </c>
      <c r="H53">
        <v>0.95457735035854807</v>
      </c>
      <c r="I53">
        <v>0.95186610803705962</v>
      </c>
      <c r="J53">
        <v>0.61934793839792768</v>
      </c>
      <c r="K53">
        <v>0.92214950536001083</v>
      </c>
      <c r="L53">
        <v>0.9231899688359404</v>
      </c>
      <c r="M53">
        <v>0.5936306010631025</v>
      </c>
      <c r="N53">
        <v>0.7235893926258008</v>
      </c>
      <c r="O53">
        <v>0.73933069680878749</v>
      </c>
      <c r="P53">
        <v>0.89999999999999991</v>
      </c>
      <c r="Q53">
        <v>0.91119441205977769</v>
      </c>
      <c r="R53">
        <v>0.8102158218700426</v>
      </c>
      <c r="S53">
        <v>0.80497629714411567</v>
      </c>
      <c r="T53">
        <v>0.89999999999999991</v>
      </c>
      <c r="U53">
        <v>0.89999999999999991</v>
      </c>
      <c r="V53">
        <v>0.73014667307039716</v>
      </c>
      <c r="W53">
        <v>0.79512609526628808</v>
      </c>
      <c r="X53">
        <v>0.40047423098445739</v>
      </c>
      <c r="Y53">
        <v>0.73857563384238722</v>
      </c>
      <c r="Z53">
        <v>0.27437071348062858</v>
      </c>
      <c r="AA53">
        <v>0.29698187461013248</v>
      </c>
      <c r="AB53">
        <v>0.78069764230177829</v>
      </c>
      <c r="AC53">
        <v>0.89999999999999991</v>
      </c>
      <c r="AD53">
        <v>0.41998867700880482</v>
      </c>
      <c r="AE53">
        <v>0.79391684507270954</v>
      </c>
      <c r="AF53">
        <v>0.55803787152721407</v>
      </c>
      <c r="AG53">
        <v>0.25897228260262684</v>
      </c>
      <c r="AH53">
        <v>0.89999999999999991</v>
      </c>
      <c r="AI53">
        <v>0.89999999999999991</v>
      </c>
      <c r="AJ53">
        <v>0.79674372493853729</v>
      </c>
      <c r="AK53">
        <v>0.16211934334753755</v>
      </c>
      <c r="AL53">
        <v>0.40751945765276959</v>
      </c>
      <c r="AM53">
        <v>0.75317437497199047</v>
      </c>
      <c r="AN53">
        <v>0.24831681777233083</v>
      </c>
      <c r="AO53">
        <v>0.81480720754532443</v>
      </c>
      <c r="AP53">
        <v>0.8056537915263855</v>
      </c>
      <c r="AQ53">
        <v>0.56719194572233689</v>
      </c>
      <c r="AR53">
        <v>0.23880338034857918</v>
      </c>
      <c r="AS53">
        <v>0.74369201718082756</v>
      </c>
      <c r="AT53">
        <v>0.48575428265161319</v>
      </c>
      <c r="AU53">
        <v>0.30954195838976195</v>
      </c>
      <c r="AV53">
        <v>0.8101086251597488</v>
      </c>
      <c r="AW53">
        <v>0.57497602754306754</v>
      </c>
      <c r="AX53">
        <v>0.36175743598111065</v>
      </c>
      <c r="AY53">
        <v>0.27489455373293914</v>
      </c>
      <c r="AZ53">
        <v>0.33531551995691278</v>
      </c>
      <c r="BA53">
        <v>0.52383387361574862</v>
      </c>
      <c r="BB53">
        <v>0.63893278514708618</v>
      </c>
      <c r="BC53">
        <v>0.50820236058696622</v>
      </c>
      <c r="BD53">
        <v>0.76429025381803095</v>
      </c>
      <c r="BE53">
        <v>0.66900431353302248</v>
      </c>
      <c r="BF53">
        <v>0.75685750737534541</v>
      </c>
      <c r="BG53">
        <v>0.76515880301291039</v>
      </c>
      <c r="BH53">
        <v>0.77179643721336344</v>
      </c>
      <c r="BI53">
        <v>0.76632102208664588</v>
      </c>
      <c r="BJ53">
        <v>0.57786155945766293</v>
      </c>
      <c r="BK53">
        <v>0.30694710910134582</v>
      </c>
      <c r="BL53">
        <v>0.49252839174978441</v>
      </c>
      <c r="BM53">
        <v>0.71435642093084628</v>
      </c>
      <c r="BN53">
        <v>0.68054342210693464</v>
      </c>
      <c r="BO53">
        <v>0.43636968770980528</v>
      </c>
      <c r="BP53">
        <v>0.76328960582071192</v>
      </c>
      <c r="BQ53">
        <v>0.76218291055259701</v>
      </c>
      <c r="BR53">
        <v>0.20725355111846108</v>
      </c>
      <c r="BS53">
        <v>0.28169613124629544</v>
      </c>
      <c r="BT53">
        <v>0.93363319557296121</v>
      </c>
      <c r="BU53">
        <v>0.74478419984876365</v>
      </c>
      <c r="BV53">
        <v>0.73926600570563561</v>
      </c>
      <c r="BW53">
        <v>0.56404147156817863</v>
      </c>
      <c r="BX53">
        <v>0.75048077402720792</v>
      </c>
      <c r="BY53">
        <v>0.48261453926178061</v>
      </c>
      <c r="BZ53">
        <v>0.24947567413612143</v>
      </c>
      <c r="CA53">
        <v>0.13947442999701892</v>
      </c>
      <c r="CB53">
        <v>0.27014742977221678</v>
      </c>
      <c r="CC53">
        <v>0.4748880035126391</v>
      </c>
      <c r="CD53">
        <v>0.49157328779389214</v>
      </c>
      <c r="CE53">
        <v>0.76853559805158045</v>
      </c>
      <c r="CF53">
        <v>0.76452610914327279</v>
      </c>
      <c r="CG53">
        <v>0.36325334927401504</v>
      </c>
      <c r="CH53">
        <v>0.42593661190013926</v>
      </c>
      <c r="CI53">
        <v>0.37011350025756357</v>
      </c>
      <c r="CJ53">
        <v>0.81461970788046545</v>
      </c>
      <c r="CK53">
        <v>0.79619208019134957</v>
      </c>
      <c r="CL53">
        <v>0.73945525975428883</v>
      </c>
      <c r="CM53">
        <v>0.79112679161940203</v>
      </c>
      <c r="CN53">
        <v>0.71530487546596933</v>
      </c>
      <c r="CO53">
        <v>0.2236357379979392</v>
      </c>
      <c r="CP53">
        <v>0.75343923162189796</v>
      </c>
      <c r="CQ53">
        <v>0.39720175094920263</v>
      </c>
      <c r="CR53">
        <v>0.89999999999999991</v>
      </c>
      <c r="CS53">
        <v>0.71091939804212945</v>
      </c>
      <c r="CT53">
        <v>0.89999999999999991</v>
      </c>
      <c r="CU53">
        <v>0.7574513678354331</v>
      </c>
      <c r="CV53">
        <v>0.75758063965437317</v>
      </c>
      <c r="CW53">
        <v>0.44859478998035679</v>
      </c>
      <c r="CX53">
        <v>0.48390490413113074</v>
      </c>
      <c r="CY53">
        <v>0.43533222596866444</v>
      </c>
      <c r="CZ53">
        <v>0.51800949961383458</v>
      </c>
      <c r="DA53">
        <v>0.4976371974507946</v>
      </c>
      <c r="DB53">
        <v>0.28513065519876091</v>
      </c>
      <c r="DC53">
        <v>0.50088138849843111</v>
      </c>
      <c r="DD53">
        <v>0.70681440983808819</v>
      </c>
      <c r="DE53">
        <v>0.25307307608841623</v>
      </c>
      <c r="DF53">
        <v>0.22339810796361897</v>
      </c>
      <c r="DG53">
        <v>0.69713575281385509</v>
      </c>
      <c r="DH53">
        <v>0.20686625132956191</v>
      </c>
      <c r="DI53">
        <v>0.46273036290033726</v>
      </c>
      <c r="DJ53">
        <v>0.57399034736859533</v>
      </c>
      <c r="DK53">
        <v>0.43283047290949433</v>
      </c>
      <c r="DL53">
        <v>0.44424598993513559</v>
      </c>
      <c r="DM53">
        <v>0.78057060836441283</v>
      </c>
      <c r="DN53">
        <v>0.84620492893891441</v>
      </c>
      <c r="DO53">
        <v>0.51844315031602939</v>
      </c>
      <c r="DP53">
        <v>0.57426264946330463</v>
      </c>
      <c r="DQ53">
        <v>0.52313994372516126</v>
      </c>
      <c r="DR53">
        <v>0.56015624435506173</v>
      </c>
      <c r="DS53">
        <v>0.51622904413447157</v>
      </c>
      <c r="DT53">
        <v>0.73168502259386281</v>
      </c>
      <c r="DU53">
        <v>0.35300544922961691</v>
      </c>
      <c r="DV53">
        <v>0.83908645371260382</v>
      </c>
      <c r="DW53">
        <v>0.75366818569260008</v>
      </c>
      <c r="DX53">
        <v>0.39229190748345866</v>
      </c>
      <c r="DY53">
        <v>0.73551044124970966</v>
      </c>
      <c r="DZ53">
        <v>0.36434390085369861</v>
      </c>
      <c r="EA53">
        <v>0.38541778318386066</v>
      </c>
      <c r="EB53">
        <v>0.7647094281664133</v>
      </c>
      <c r="EC53">
        <v>0.4305273960936552</v>
      </c>
      <c r="ED53">
        <v>0.39072219155276811</v>
      </c>
      <c r="EE53">
        <v>0.404042097133542</v>
      </c>
      <c r="EF53">
        <v>0.37840259495874895</v>
      </c>
      <c r="EG53">
        <v>0.44444776622716292</v>
      </c>
      <c r="EH53">
        <v>0.78829145956651037</v>
      </c>
      <c r="EI53">
        <v>0.75589639779793039</v>
      </c>
      <c r="EJ53">
        <v>0.78464410894481018</v>
      </c>
      <c r="EK53">
        <v>0.39869290277111941</v>
      </c>
      <c r="EL53">
        <v>0.23408564815895086</v>
      </c>
      <c r="EM53">
        <v>0.43769603114308109</v>
      </c>
      <c r="EN53">
        <v>0.21727839422011488</v>
      </c>
      <c r="EO53">
        <v>0.38117628787131341</v>
      </c>
      <c r="EP53">
        <v>0.38507699202670009</v>
      </c>
      <c r="EQ53">
        <v>0.84557857043462636</v>
      </c>
      <c r="ER53">
        <v>0.83596333746355878</v>
      </c>
      <c r="ES53">
        <v>0.73912425216748157</v>
      </c>
      <c r="ET53">
        <v>0.30219315293860843</v>
      </c>
      <c r="EU53">
        <v>0.89999999999999991</v>
      </c>
      <c r="EV53">
        <v>0.41066035877963109</v>
      </c>
      <c r="EW53">
        <v>0.74915944054945915</v>
      </c>
      <c r="EX53">
        <v>0.77989710904005616</v>
      </c>
      <c r="EY53">
        <v>0.767882284008371</v>
      </c>
      <c r="EZ53">
        <v>0.3935312934610713</v>
      </c>
      <c r="FA53">
        <v>0.25448320480778003</v>
      </c>
      <c r="FB53">
        <v>0.86038987078953721</v>
      </c>
      <c r="FC53">
        <v>0.38337950836021106</v>
      </c>
      <c r="FD53">
        <v>0.43293122175284909</v>
      </c>
      <c r="FE53">
        <v>0.79946207632214639</v>
      </c>
      <c r="FF53">
        <v>0.65551254749088494</v>
      </c>
      <c r="FG53">
        <v>0.46301416476340723</v>
      </c>
      <c r="FH53">
        <v>0.84086799350778829</v>
      </c>
      <c r="FI53">
        <v>0.72703371819228113</v>
      </c>
      <c r="FJ53">
        <v>0.31298514181752157</v>
      </c>
      <c r="FK53">
        <v>0.39154495338276291</v>
      </c>
      <c r="FL53">
        <v>0.71357357481664474</v>
      </c>
      <c r="FM53">
        <v>0.87542684784838865</v>
      </c>
      <c r="FN53">
        <v>0.39598886125272642</v>
      </c>
      <c r="FO53">
        <v>0.66838013826731335</v>
      </c>
      <c r="FP53">
        <v>0.55781437465791905</v>
      </c>
      <c r="FQ53">
        <v>0.3134370944594454</v>
      </c>
      <c r="FR53">
        <v>0.74068726344407998</v>
      </c>
      <c r="FS53">
        <v>0.40346184714935573</v>
      </c>
      <c r="FT53">
        <v>0.74923959455235334</v>
      </c>
    </row>
    <row r="54" spans="1:176" x14ac:dyDescent="0.2">
      <c r="A54" s="1486" t="s">
        <v>2270</v>
      </c>
      <c r="B54" t="s">
        <v>1229</v>
      </c>
      <c r="C54" t="s">
        <v>1227</v>
      </c>
      <c r="D54" t="s">
        <v>1228</v>
      </c>
      <c r="E54" t="s">
        <v>1228</v>
      </c>
      <c r="F54" t="s">
        <v>1227</v>
      </c>
      <c r="G54" t="s">
        <v>1227</v>
      </c>
      <c r="H54" t="s">
        <v>1227</v>
      </c>
      <c r="I54" t="s">
        <v>1227</v>
      </c>
      <c r="J54" t="s">
        <v>1234</v>
      </c>
      <c r="K54" t="s">
        <v>1227</v>
      </c>
      <c r="L54" t="s">
        <v>1227</v>
      </c>
      <c r="M54" t="s">
        <v>1234</v>
      </c>
      <c r="N54" t="s">
        <v>1229</v>
      </c>
      <c r="O54" t="s">
        <v>1229</v>
      </c>
      <c r="P54" t="s">
        <v>1227</v>
      </c>
      <c r="Q54" t="s">
        <v>1227</v>
      </c>
      <c r="R54" t="s">
        <v>1228</v>
      </c>
      <c r="S54" t="s">
        <v>1228</v>
      </c>
      <c r="T54" t="s">
        <v>1227</v>
      </c>
      <c r="U54" t="s">
        <v>1227</v>
      </c>
      <c r="V54" t="s">
        <v>1229</v>
      </c>
      <c r="W54" t="s">
        <v>1228</v>
      </c>
      <c r="X54" t="s">
        <v>1234</v>
      </c>
      <c r="Y54" t="s">
        <v>1229</v>
      </c>
      <c r="Z54" t="s">
        <v>1234</v>
      </c>
      <c r="AA54" t="s">
        <v>1234</v>
      </c>
      <c r="AB54" t="s">
        <v>1228</v>
      </c>
      <c r="AC54" t="s">
        <v>1227</v>
      </c>
      <c r="AD54" t="s">
        <v>1234</v>
      </c>
      <c r="AE54" t="s">
        <v>1228</v>
      </c>
      <c r="AF54" t="s">
        <v>1234</v>
      </c>
      <c r="AG54" t="s">
        <v>1234</v>
      </c>
      <c r="AH54" t="s">
        <v>1227</v>
      </c>
      <c r="AI54" t="s">
        <v>1227</v>
      </c>
      <c r="AJ54" t="s">
        <v>1228</v>
      </c>
      <c r="AK54" t="s">
        <v>1234</v>
      </c>
      <c r="AL54" t="s">
        <v>1234</v>
      </c>
      <c r="AM54" t="s">
        <v>1228</v>
      </c>
      <c r="AN54" t="s">
        <v>1234</v>
      </c>
      <c r="AO54" t="s">
        <v>1228</v>
      </c>
      <c r="AP54" t="s">
        <v>1228</v>
      </c>
      <c r="AQ54" t="s">
        <v>1234</v>
      </c>
      <c r="AR54" t="s">
        <v>1234</v>
      </c>
      <c r="AS54" t="s">
        <v>1229</v>
      </c>
      <c r="AT54" t="s">
        <v>1234</v>
      </c>
      <c r="AU54" t="s">
        <v>1234</v>
      </c>
      <c r="AV54" t="s">
        <v>1228</v>
      </c>
      <c r="AW54" t="s">
        <v>1234</v>
      </c>
      <c r="AX54" t="s">
        <v>1234</v>
      </c>
      <c r="AY54" t="s">
        <v>1234</v>
      </c>
      <c r="AZ54" t="s">
        <v>1234</v>
      </c>
      <c r="BA54" t="s">
        <v>1234</v>
      </c>
      <c r="BB54" t="s">
        <v>1234</v>
      </c>
      <c r="BC54" t="s">
        <v>1234</v>
      </c>
      <c r="BD54" t="s">
        <v>1228</v>
      </c>
      <c r="BE54" t="s">
        <v>1234</v>
      </c>
      <c r="BF54" t="s">
        <v>1228</v>
      </c>
      <c r="BG54" t="s">
        <v>1228</v>
      </c>
      <c r="BH54" t="s">
        <v>1228</v>
      </c>
      <c r="BI54" t="s">
        <v>1228</v>
      </c>
      <c r="BJ54" t="s">
        <v>1234</v>
      </c>
      <c r="BK54" t="s">
        <v>1234</v>
      </c>
      <c r="BL54" t="s">
        <v>1234</v>
      </c>
      <c r="BM54" t="s">
        <v>1229</v>
      </c>
      <c r="BN54" t="s">
        <v>1234</v>
      </c>
      <c r="BO54" t="s">
        <v>1234</v>
      </c>
      <c r="BP54" t="s">
        <v>1228</v>
      </c>
      <c r="BQ54" t="s">
        <v>1228</v>
      </c>
      <c r="BR54" t="s">
        <v>1234</v>
      </c>
      <c r="BS54" t="s">
        <v>1234</v>
      </c>
      <c r="BT54" t="s">
        <v>1227</v>
      </c>
      <c r="BU54" t="s">
        <v>1228</v>
      </c>
      <c r="BV54" t="s">
        <v>1229</v>
      </c>
      <c r="BW54" t="s">
        <v>1234</v>
      </c>
      <c r="BX54" t="s">
        <v>1228</v>
      </c>
      <c r="BY54" t="s">
        <v>1234</v>
      </c>
      <c r="BZ54" t="s">
        <v>1234</v>
      </c>
      <c r="CA54" t="s">
        <v>1234</v>
      </c>
      <c r="CB54" t="s">
        <v>1234</v>
      </c>
      <c r="CC54" t="s">
        <v>1234</v>
      </c>
      <c r="CD54" t="s">
        <v>1234</v>
      </c>
      <c r="CE54" t="s">
        <v>1228</v>
      </c>
      <c r="CF54" t="s">
        <v>1228</v>
      </c>
      <c r="CG54" t="s">
        <v>1234</v>
      </c>
      <c r="CH54" t="s">
        <v>1234</v>
      </c>
      <c r="CI54" t="s">
        <v>1234</v>
      </c>
      <c r="CJ54" t="s">
        <v>1228</v>
      </c>
      <c r="CK54" t="s">
        <v>1228</v>
      </c>
      <c r="CL54" t="s">
        <v>1229</v>
      </c>
      <c r="CM54" t="s">
        <v>1228</v>
      </c>
      <c r="CN54" t="s">
        <v>1229</v>
      </c>
      <c r="CO54" t="s">
        <v>1234</v>
      </c>
      <c r="CP54" t="s">
        <v>1228</v>
      </c>
      <c r="CQ54" t="s">
        <v>1234</v>
      </c>
      <c r="CR54" t="s">
        <v>1227</v>
      </c>
      <c r="CS54" t="s">
        <v>1229</v>
      </c>
      <c r="CT54" t="s">
        <v>1227</v>
      </c>
      <c r="CU54" t="s">
        <v>1228</v>
      </c>
      <c r="CV54" t="s">
        <v>1228</v>
      </c>
      <c r="CW54" t="s">
        <v>1234</v>
      </c>
      <c r="CX54" t="s">
        <v>1234</v>
      </c>
      <c r="CY54" t="s">
        <v>1234</v>
      </c>
      <c r="CZ54" t="s">
        <v>1234</v>
      </c>
      <c r="DA54" t="s">
        <v>1234</v>
      </c>
      <c r="DB54" t="s">
        <v>1234</v>
      </c>
      <c r="DC54" t="s">
        <v>1234</v>
      </c>
      <c r="DD54" t="s">
        <v>1234</v>
      </c>
      <c r="DE54" t="s">
        <v>1234</v>
      </c>
      <c r="DF54" t="s">
        <v>1234</v>
      </c>
      <c r="DG54" t="s">
        <v>1234</v>
      </c>
      <c r="DH54" t="s">
        <v>1234</v>
      </c>
      <c r="DI54" t="s">
        <v>1234</v>
      </c>
      <c r="DJ54" t="s">
        <v>1234</v>
      </c>
      <c r="DK54" t="s">
        <v>1234</v>
      </c>
      <c r="DL54" t="s">
        <v>1234</v>
      </c>
      <c r="DM54" t="s">
        <v>1228</v>
      </c>
      <c r="DN54" t="s">
        <v>1227</v>
      </c>
      <c r="DO54" t="s">
        <v>1234</v>
      </c>
      <c r="DP54" t="s">
        <v>1234</v>
      </c>
      <c r="DQ54" t="s">
        <v>1234</v>
      </c>
      <c r="DR54" t="s">
        <v>1234</v>
      </c>
      <c r="DS54" t="s">
        <v>1234</v>
      </c>
      <c r="DT54" t="s">
        <v>1229</v>
      </c>
      <c r="DU54" t="s">
        <v>1234</v>
      </c>
      <c r="DV54" t="s">
        <v>1227</v>
      </c>
      <c r="DW54" t="s">
        <v>1228</v>
      </c>
      <c r="DX54" t="s">
        <v>1234</v>
      </c>
      <c r="DY54" t="s">
        <v>1229</v>
      </c>
      <c r="DZ54" t="s">
        <v>1234</v>
      </c>
      <c r="EA54" t="s">
        <v>1234</v>
      </c>
      <c r="EB54" t="s">
        <v>1228</v>
      </c>
      <c r="EC54" t="s">
        <v>1234</v>
      </c>
      <c r="ED54" t="s">
        <v>1234</v>
      </c>
      <c r="EE54" t="s">
        <v>1234</v>
      </c>
      <c r="EF54" t="s">
        <v>1234</v>
      </c>
      <c r="EG54" t="s">
        <v>1234</v>
      </c>
      <c r="EH54" t="s">
        <v>1228</v>
      </c>
      <c r="EI54" t="s">
        <v>1228</v>
      </c>
      <c r="EJ54" t="s">
        <v>1228</v>
      </c>
      <c r="EK54" t="s">
        <v>1234</v>
      </c>
      <c r="EL54" t="s">
        <v>1234</v>
      </c>
      <c r="EM54" t="s">
        <v>1234</v>
      </c>
      <c r="EN54" t="s">
        <v>1234</v>
      </c>
      <c r="EO54" t="s">
        <v>1234</v>
      </c>
      <c r="EP54" t="s">
        <v>1234</v>
      </c>
      <c r="EQ54" t="s">
        <v>1227</v>
      </c>
      <c r="ER54" t="s">
        <v>1227</v>
      </c>
      <c r="ES54" t="s">
        <v>1229</v>
      </c>
      <c r="ET54" t="s">
        <v>1234</v>
      </c>
      <c r="EU54" t="s">
        <v>1227</v>
      </c>
      <c r="EV54" t="s">
        <v>1234</v>
      </c>
      <c r="EW54" t="s">
        <v>1228</v>
      </c>
      <c r="EX54" t="s">
        <v>1228</v>
      </c>
      <c r="EY54" t="s">
        <v>1228</v>
      </c>
      <c r="EZ54" t="s">
        <v>1234</v>
      </c>
      <c r="FA54" t="s">
        <v>1234</v>
      </c>
      <c r="FB54" t="s">
        <v>1227</v>
      </c>
      <c r="FC54" t="s">
        <v>1234</v>
      </c>
      <c r="FD54" t="s">
        <v>1234</v>
      </c>
      <c r="FE54" t="s">
        <v>1228</v>
      </c>
      <c r="FF54" t="s">
        <v>1234</v>
      </c>
      <c r="FG54" t="s">
        <v>1234</v>
      </c>
      <c r="FH54" t="s">
        <v>1227</v>
      </c>
      <c r="FI54" t="s">
        <v>1229</v>
      </c>
      <c r="FJ54" t="s">
        <v>1234</v>
      </c>
      <c r="FK54" t="s">
        <v>1234</v>
      </c>
      <c r="FL54" t="s">
        <v>1229</v>
      </c>
      <c r="FM54" t="s">
        <v>1227</v>
      </c>
      <c r="FN54" t="s">
        <v>1234</v>
      </c>
      <c r="FO54" t="s">
        <v>1234</v>
      </c>
      <c r="FP54" t="s">
        <v>1234</v>
      </c>
      <c r="FQ54" t="s">
        <v>1234</v>
      </c>
      <c r="FR54" t="s">
        <v>1229</v>
      </c>
      <c r="FS54" t="s">
        <v>1234</v>
      </c>
      <c r="FT54" t="s">
        <v>1228</v>
      </c>
    </row>
    <row r="55" spans="1:176" x14ac:dyDescent="0.2">
      <c r="A55" s="1486" t="s">
        <v>2271</v>
      </c>
      <c r="B55" s="615">
        <v>0</v>
      </c>
      <c r="C55" s="615">
        <v>0</v>
      </c>
      <c r="D55" s="615">
        <v>0</v>
      </c>
      <c r="E55" s="615">
        <v>-1</v>
      </c>
      <c r="F55" s="615">
        <v>0</v>
      </c>
      <c r="G55" s="615">
        <v>0</v>
      </c>
      <c r="H55" s="615">
        <v>0</v>
      </c>
      <c r="I55" s="615">
        <v>0</v>
      </c>
      <c r="J55" s="615">
        <v>0</v>
      </c>
      <c r="K55" s="615">
        <v>0</v>
      </c>
      <c r="L55" s="615">
        <v>0</v>
      </c>
      <c r="M55" s="615">
        <v>0</v>
      </c>
      <c r="N55" s="615">
        <v>0</v>
      </c>
      <c r="O55" s="615">
        <v>0</v>
      </c>
      <c r="P55" s="615">
        <v>0</v>
      </c>
      <c r="Q55" s="615">
        <v>0</v>
      </c>
      <c r="R55" s="615">
        <v>0</v>
      </c>
      <c r="S55" s="615">
        <v>0</v>
      </c>
      <c r="T55" s="615">
        <v>0</v>
      </c>
      <c r="U55" s="615">
        <v>0</v>
      </c>
      <c r="V55" s="615">
        <v>0</v>
      </c>
      <c r="W55" s="615">
        <v>0</v>
      </c>
      <c r="X55" s="615">
        <v>0</v>
      </c>
      <c r="Y55" s="615">
        <v>0</v>
      </c>
      <c r="Z55" s="615">
        <v>0</v>
      </c>
      <c r="AA55" s="615">
        <v>0</v>
      </c>
      <c r="AB55" s="615">
        <v>0</v>
      </c>
      <c r="AC55" s="615">
        <v>0</v>
      </c>
      <c r="AD55" s="615">
        <v>0</v>
      </c>
      <c r="AE55" s="615">
        <v>0</v>
      </c>
      <c r="AF55" s="615">
        <v>0</v>
      </c>
      <c r="AG55" s="615">
        <v>0</v>
      </c>
      <c r="AH55" s="615">
        <v>0</v>
      </c>
      <c r="AI55" s="615">
        <v>0</v>
      </c>
      <c r="AJ55" s="615">
        <v>0</v>
      </c>
      <c r="AK55" s="615">
        <v>0</v>
      </c>
      <c r="AL55" s="615">
        <v>0</v>
      </c>
      <c r="AM55" s="615">
        <v>0</v>
      </c>
      <c r="AN55" s="615">
        <v>0</v>
      </c>
      <c r="AO55" s="615">
        <v>0</v>
      </c>
      <c r="AP55" s="615">
        <v>0</v>
      </c>
      <c r="AQ55" s="615">
        <v>1</v>
      </c>
      <c r="AR55" s="615">
        <v>1</v>
      </c>
      <c r="AS55" s="615">
        <v>1</v>
      </c>
      <c r="AT55" s="615">
        <v>1</v>
      </c>
      <c r="AU55" s="615">
        <v>0</v>
      </c>
      <c r="AV55" s="615">
        <v>0</v>
      </c>
      <c r="AW55" s="615">
        <v>-1</v>
      </c>
      <c r="AX55" s="615">
        <v>-1</v>
      </c>
      <c r="AY55" s="615">
        <v>-1</v>
      </c>
      <c r="AZ55" s="615">
        <v>-1</v>
      </c>
      <c r="BA55" s="615">
        <v>-1</v>
      </c>
      <c r="BB55" s="615">
        <v>1</v>
      </c>
      <c r="BC55" s="615">
        <v>1</v>
      </c>
      <c r="BD55" s="615">
        <v>1</v>
      </c>
      <c r="BE55" s="615">
        <v>1</v>
      </c>
      <c r="BF55" s="615">
        <v>1</v>
      </c>
      <c r="BG55" s="615">
        <v>0</v>
      </c>
      <c r="BH55" s="615">
        <v>0</v>
      </c>
      <c r="BI55" s="615">
        <v>0</v>
      </c>
      <c r="BJ55" s="615">
        <v>0</v>
      </c>
      <c r="BK55" s="615">
        <v>0</v>
      </c>
      <c r="BL55" s="615">
        <v>0</v>
      </c>
      <c r="BM55" s="615">
        <v>0</v>
      </c>
      <c r="BN55" s="615">
        <v>0</v>
      </c>
      <c r="BO55" s="615">
        <v>0</v>
      </c>
      <c r="BP55" s="615">
        <v>0</v>
      </c>
      <c r="BQ55" s="615">
        <v>0</v>
      </c>
      <c r="BR55" s="615">
        <v>0</v>
      </c>
      <c r="BS55" s="615">
        <v>-1</v>
      </c>
      <c r="BT55" s="615">
        <v>-1</v>
      </c>
      <c r="BU55" s="615">
        <v>-1</v>
      </c>
      <c r="BV55" s="615">
        <v>0</v>
      </c>
      <c r="BW55" s="615">
        <v>-1</v>
      </c>
      <c r="BX55" s="615">
        <v>-1</v>
      </c>
      <c r="BY55" s="615">
        <v>-1</v>
      </c>
      <c r="BZ55" s="615">
        <v>0</v>
      </c>
      <c r="CA55" s="615">
        <v>0</v>
      </c>
      <c r="CB55" s="615">
        <v>0</v>
      </c>
      <c r="CC55" s="615">
        <v>0</v>
      </c>
      <c r="CD55" s="615">
        <v>0</v>
      </c>
      <c r="CE55" s="615">
        <v>0</v>
      </c>
      <c r="CF55" s="615">
        <v>0</v>
      </c>
      <c r="CG55" s="615">
        <v>0</v>
      </c>
      <c r="CH55" s="615">
        <v>0</v>
      </c>
      <c r="CI55" s="615">
        <v>-1</v>
      </c>
      <c r="CJ55" s="615">
        <v>-1</v>
      </c>
      <c r="CK55" s="615">
        <v>-1</v>
      </c>
      <c r="CL55" s="615">
        <v>-1</v>
      </c>
      <c r="CM55" s="615">
        <v>0</v>
      </c>
      <c r="CN55" s="615">
        <v>0</v>
      </c>
      <c r="CO55" s="615">
        <v>0</v>
      </c>
      <c r="CP55" s="615">
        <v>0</v>
      </c>
      <c r="CQ55" s="615">
        <v>0</v>
      </c>
      <c r="CR55" s="615">
        <v>0</v>
      </c>
      <c r="CS55" s="615">
        <v>0</v>
      </c>
      <c r="CT55" s="615">
        <v>0</v>
      </c>
      <c r="CU55" s="615">
        <v>-1</v>
      </c>
      <c r="CV55" s="615">
        <v>-1</v>
      </c>
      <c r="CW55" s="615">
        <v>-1</v>
      </c>
      <c r="CX55" s="615">
        <v>-1</v>
      </c>
      <c r="CY55" s="615">
        <v>-1</v>
      </c>
      <c r="CZ55" s="615">
        <v>-1</v>
      </c>
      <c r="DA55" s="615">
        <v>0</v>
      </c>
      <c r="DB55" s="615">
        <v>0</v>
      </c>
      <c r="DC55" s="615">
        <v>0</v>
      </c>
      <c r="DD55" s="615">
        <v>0</v>
      </c>
      <c r="DE55" s="615">
        <v>0</v>
      </c>
      <c r="DF55" s="615">
        <v>0</v>
      </c>
      <c r="DG55" s="615">
        <v>0</v>
      </c>
      <c r="DH55" s="615">
        <v>0</v>
      </c>
      <c r="DI55" s="615">
        <v>-1</v>
      </c>
      <c r="DJ55" s="615">
        <v>-1</v>
      </c>
      <c r="DK55" s="615">
        <v>0</v>
      </c>
      <c r="DL55" s="615">
        <v>0</v>
      </c>
      <c r="DM55" s="615">
        <v>0</v>
      </c>
      <c r="DN55" s="615">
        <v>-1</v>
      </c>
      <c r="DO55" s="615">
        <v>-1</v>
      </c>
      <c r="DP55" s="615">
        <v>-1</v>
      </c>
      <c r="DQ55" s="615">
        <v>-1</v>
      </c>
      <c r="DR55" s="615">
        <v>-1</v>
      </c>
      <c r="DS55" s="615">
        <v>-1</v>
      </c>
      <c r="DT55" s="615">
        <v>0</v>
      </c>
      <c r="DU55" s="615">
        <v>0</v>
      </c>
      <c r="DV55" s="615">
        <v>0</v>
      </c>
      <c r="DW55" s="615">
        <v>1</v>
      </c>
      <c r="DX55" s="615">
        <v>-1</v>
      </c>
      <c r="DY55" s="615">
        <v>1</v>
      </c>
      <c r="DZ55" s="615">
        <v>-1</v>
      </c>
      <c r="EA55" s="615">
        <v>0</v>
      </c>
      <c r="EB55" s="615">
        <v>0</v>
      </c>
      <c r="EC55" s="615">
        <v>0</v>
      </c>
      <c r="ED55" s="615">
        <v>0</v>
      </c>
      <c r="EE55" s="615">
        <v>-1</v>
      </c>
      <c r="EF55" s="615">
        <v>-1</v>
      </c>
      <c r="EG55" s="615">
        <v>-1</v>
      </c>
      <c r="EH55" s="615">
        <v>0</v>
      </c>
      <c r="EI55" s="615">
        <v>0</v>
      </c>
      <c r="EJ55" s="615">
        <v>0</v>
      </c>
      <c r="EK55" s="615">
        <v>0</v>
      </c>
      <c r="EL55" s="615">
        <v>0</v>
      </c>
      <c r="EM55" s="615">
        <v>0</v>
      </c>
      <c r="EN55" s="615">
        <v>0</v>
      </c>
      <c r="EO55" s="615">
        <v>-1</v>
      </c>
      <c r="EP55" s="615">
        <v>0</v>
      </c>
      <c r="EQ55" s="615">
        <v>-1</v>
      </c>
      <c r="ER55" s="615">
        <v>-1</v>
      </c>
      <c r="ES55" s="615">
        <v>0</v>
      </c>
      <c r="ET55" s="615">
        <v>-1</v>
      </c>
      <c r="EU55" s="615">
        <v>0</v>
      </c>
      <c r="EV55" s="615">
        <v>0</v>
      </c>
      <c r="EW55" s="615">
        <v>-1</v>
      </c>
      <c r="EX55" s="615">
        <v>-1</v>
      </c>
      <c r="EY55" s="615">
        <v>-1</v>
      </c>
      <c r="EZ55" s="615">
        <v>0</v>
      </c>
      <c r="FA55" s="615">
        <v>0</v>
      </c>
      <c r="FB55" s="615">
        <v>-1</v>
      </c>
      <c r="FC55" s="615">
        <v>-1</v>
      </c>
      <c r="FD55" s="615">
        <v>-1</v>
      </c>
      <c r="FE55" s="615">
        <v>0</v>
      </c>
      <c r="FF55" s="615">
        <v>0</v>
      </c>
      <c r="FG55" s="615">
        <v>-1</v>
      </c>
      <c r="FH55" s="615">
        <v>0</v>
      </c>
      <c r="FI55" s="615">
        <v>-1</v>
      </c>
      <c r="FJ55" s="615">
        <v>-1</v>
      </c>
      <c r="FK55" s="615">
        <v>0</v>
      </c>
      <c r="FL55" s="615">
        <v>0</v>
      </c>
      <c r="FM55" s="615">
        <v>0</v>
      </c>
      <c r="FN55" s="615">
        <v>-1</v>
      </c>
      <c r="FO55" s="615">
        <v>0</v>
      </c>
      <c r="FP55" s="615">
        <v>-1</v>
      </c>
      <c r="FQ55" s="615">
        <v>-1</v>
      </c>
      <c r="FR55" s="615">
        <v>0</v>
      </c>
      <c r="FS55" s="615">
        <v>0</v>
      </c>
      <c r="FT55" s="615">
        <v>0</v>
      </c>
    </row>
    <row r="56" spans="1:176" x14ac:dyDescent="0.2">
      <c r="A56" s="1486" t="s">
        <v>2272</v>
      </c>
      <c r="B56" t="s">
        <v>2307</v>
      </c>
      <c r="C56" t="s">
        <v>2370</v>
      </c>
      <c r="D56" t="s">
        <v>2371</v>
      </c>
      <c r="E56" t="s">
        <v>2307</v>
      </c>
      <c r="F56" t="s">
        <v>2370</v>
      </c>
      <c r="G56" t="s">
        <v>2370</v>
      </c>
      <c r="H56" t="s">
        <v>2370</v>
      </c>
      <c r="I56" t="s">
        <v>2370</v>
      </c>
      <c r="J56" t="s">
        <v>2373</v>
      </c>
      <c r="K56" t="s">
        <v>2370</v>
      </c>
      <c r="L56" t="s">
        <v>2370</v>
      </c>
      <c r="M56" t="s">
        <v>2373</v>
      </c>
      <c r="N56" t="s">
        <v>2307</v>
      </c>
      <c r="O56" t="s">
        <v>2307</v>
      </c>
      <c r="P56" t="s">
        <v>2370</v>
      </c>
      <c r="Q56" t="s">
        <v>2370</v>
      </c>
      <c r="R56" t="s">
        <v>2371</v>
      </c>
      <c r="S56" t="s">
        <v>2371</v>
      </c>
      <c r="T56" t="s">
        <v>2370</v>
      </c>
      <c r="U56" t="s">
        <v>2370</v>
      </c>
      <c r="V56" t="s">
        <v>2307</v>
      </c>
      <c r="W56" t="s">
        <v>2371</v>
      </c>
      <c r="X56" t="s">
        <v>2373</v>
      </c>
      <c r="Y56" t="s">
        <v>2307</v>
      </c>
      <c r="Z56" t="s">
        <v>2373</v>
      </c>
      <c r="AA56" t="s">
        <v>2373</v>
      </c>
      <c r="AB56" t="s">
        <v>2371</v>
      </c>
      <c r="AC56" t="s">
        <v>2370</v>
      </c>
      <c r="AD56" t="s">
        <v>2373</v>
      </c>
      <c r="AE56" t="s">
        <v>2371</v>
      </c>
      <c r="AF56" t="s">
        <v>2373</v>
      </c>
      <c r="AG56" t="s">
        <v>2373</v>
      </c>
      <c r="AH56" t="s">
        <v>2370</v>
      </c>
      <c r="AI56" t="s">
        <v>2370</v>
      </c>
      <c r="AJ56" t="s">
        <v>2371</v>
      </c>
      <c r="AK56" t="s">
        <v>2373</v>
      </c>
      <c r="AL56" t="s">
        <v>2373</v>
      </c>
      <c r="AM56" t="s">
        <v>2371</v>
      </c>
      <c r="AN56" t="s">
        <v>2373</v>
      </c>
      <c r="AO56" t="s">
        <v>2371</v>
      </c>
      <c r="AP56" t="s">
        <v>2371</v>
      </c>
      <c r="AQ56" t="s">
        <v>2373</v>
      </c>
      <c r="AR56" t="s">
        <v>2373</v>
      </c>
      <c r="AS56" t="s">
        <v>2371</v>
      </c>
      <c r="AT56" t="s">
        <v>2373</v>
      </c>
      <c r="AU56" t="s">
        <v>2373</v>
      </c>
      <c r="AV56" t="s">
        <v>2371</v>
      </c>
      <c r="AW56" t="s">
        <v>2373</v>
      </c>
      <c r="AX56" t="s">
        <v>2373</v>
      </c>
      <c r="AY56" t="s">
        <v>2373</v>
      </c>
      <c r="AZ56" t="s">
        <v>2373</v>
      </c>
      <c r="BA56" t="s">
        <v>2373</v>
      </c>
      <c r="BB56" t="s">
        <v>2307</v>
      </c>
      <c r="BC56" t="s">
        <v>2373</v>
      </c>
      <c r="BD56" t="s">
        <v>2370</v>
      </c>
      <c r="BE56" t="s">
        <v>2307</v>
      </c>
      <c r="BF56" t="s">
        <v>2370</v>
      </c>
      <c r="BG56" t="s">
        <v>2371</v>
      </c>
      <c r="BH56" t="s">
        <v>2371</v>
      </c>
      <c r="BI56" t="s">
        <v>2371</v>
      </c>
      <c r="BJ56" t="s">
        <v>2373</v>
      </c>
      <c r="BK56" t="s">
        <v>2373</v>
      </c>
      <c r="BL56" t="s">
        <v>2373</v>
      </c>
      <c r="BM56" t="s">
        <v>2307</v>
      </c>
      <c r="BN56" t="s">
        <v>2373</v>
      </c>
      <c r="BO56" t="s">
        <v>2373</v>
      </c>
      <c r="BP56" t="s">
        <v>2371</v>
      </c>
      <c r="BQ56" t="s">
        <v>2371</v>
      </c>
      <c r="BR56" t="s">
        <v>2373</v>
      </c>
      <c r="BS56" t="s">
        <v>2373</v>
      </c>
      <c r="BT56" t="s">
        <v>2371</v>
      </c>
      <c r="BU56" t="s">
        <v>2307</v>
      </c>
      <c r="BV56" t="s">
        <v>2307</v>
      </c>
      <c r="BW56" t="s">
        <v>2373</v>
      </c>
      <c r="BX56" t="s">
        <v>2307</v>
      </c>
      <c r="BY56" t="s">
        <v>2373</v>
      </c>
      <c r="BZ56" t="s">
        <v>2373</v>
      </c>
      <c r="CA56" t="s">
        <v>2373</v>
      </c>
      <c r="CB56" t="s">
        <v>2373</v>
      </c>
      <c r="CC56" t="s">
        <v>2373</v>
      </c>
      <c r="CD56" t="s">
        <v>2373</v>
      </c>
      <c r="CE56" t="s">
        <v>2371</v>
      </c>
      <c r="CF56" t="s">
        <v>2371</v>
      </c>
      <c r="CG56" t="s">
        <v>2373</v>
      </c>
      <c r="CH56" t="s">
        <v>2373</v>
      </c>
      <c r="CI56" t="s">
        <v>2373</v>
      </c>
      <c r="CJ56" t="s">
        <v>2307</v>
      </c>
      <c r="CK56" t="s">
        <v>2307</v>
      </c>
      <c r="CL56" t="s">
        <v>2373</v>
      </c>
      <c r="CM56" t="s">
        <v>2371</v>
      </c>
      <c r="CN56" t="s">
        <v>2307</v>
      </c>
      <c r="CO56" t="s">
        <v>2373</v>
      </c>
      <c r="CP56" t="s">
        <v>2371</v>
      </c>
      <c r="CQ56" t="s">
        <v>2373</v>
      </c>
      <c r="CR56" t="s">
        <v>2370</v>
      </c>
      <c r="CS56" t="s">
        <v>2307</v>
      </c>
      <c r="CT56" t="s">
        <v>2370</v>
      </c>
      <c r="CU56" t="s">
        <v>2307</v>
      </c>
      <c r="CV56" t="s">
        <v>2307</v>
      </c>
      <c r="CW56" t="s">
        <v>2373</v>
      </c>
      <c r="CX56" t="s">
        <v>2373</v>
      </c>
      <c r="CY56" t="s">
        <v>2373</v>
      </c>
      <c r="CZ56" t="s">
        <v>2373</v>
      </c>
      <c r="DA56" t="s">
        <v>2373</v>
      </c>
      <c r="DB56" t="s">
        <v>2373</v>
      </c>
      <c r="DC56" t="s">
        <v>2373</v>
      </c>
      <c r="DD56" t="s">
        <v>2373</v>
      </c>
      <c r="DE56" t="s">
        <v>2373</v>
      </c>
      <c r="DF56" t="s">
        <v>2373</v>
      </c>
      <c r="DG56" t="s">
        <v>2373</v>
      </c>
      <c r="DH56" t="s">
        <v>2373</v>
      </c>
      <c r="DI56" t="s">
        <v>2373</v>
      </c>
      <c r="DJ56" t="s">
        <v>2373</v>
      </c>
      <c r="DK56" t="s">
        <v>2373</v>
      </c>
      <c r="DL56" t="s">
        <v>2373</v>
      </c>
      <c r="DM56" t="s">
        <v>2371</v>
      </c>
      <c r="DN56" t="s">
        <v>2371</v>
      </c>
      <c r="DO56" t="s">
        <v>2373</v>
      </c>
      <c r="DP56" t="s">
        <v>2373</v>
      </c>
      <c r="DQ56" t="s">
        <v>2373</v>
      </c>
      <c r="DR56" t="s">
        <v>2373</v>
      </c>
      <c r="DS56" t="s">
        <v>2373</v>
      </c>
      <c r="DT56" t="s">
        <v>2307</v>
      </c>
      <c r="DU56" t="s">
        <v>2373</v>
      </c>
      <c r="DV56" t="s">
        <v>2370</v>
      </c>
      <c r="DW56" t="s">
        <v>2370</v>
      </c>
      <c r="DX56" t="s">
        <v>2373</v>
      </c>
      <c r="DY56" t="s">
        <v>2371</v>
      </c>
      <c r="DZ56" t="s">
        <v>2373</v>
      </c>
      <c r="EA56" t="s">
        <v>2373</v>
      </c>
      <c r="EB56" t="s">
        <v>2371</v>
      </c>
      <c r="EC56" t="s">
        <v>2373</v>
      </c>
      <c r="ED56" t="s">
        <v>2373</v>
      </c>
      <c r="EE56" t="s">
        <v>2373</v>
      </c>
      <c r="EF56" t="s">
        <v>2373</v>
      </c>
      <c r="EG56" t="s">
        <v>2373</v>
      </c>
      <c r="EH56" t="s">
        <v>2371</v>
      </c>
      <c r="EI56" t="s">
        <v>2371</v>
      </c>
      <c r="EJ56" t="s">
        <v>2371</v>
      </c>
      <c r="EK56" t="s">
        <v>2373</v>
      </c>
      <c r="EL56" t="s">
        <v>2373</v>
      </c>
      <c r="EM56" t="s">
        <v>2373</v>
      </c>
      <c r="EN56" t="s">
        <v>2373</v>
      </c>
      <c r="EO56" t="s">
        <v>2373</v>
      </c>
      <c r="EP56" t="s">
        <v>2373</v>
      </c>
      <c r="EQ56" t="s">
        <v>2371</v>
      </c>
      <c r="ER56" t="s">
        <v>2371</v>
      </c>
      <c r="ES56" t="s">
        <v>2307</v>
      </c>
      <c r="ET56" t="s">
        <v>2373</v>
      </c>
      <c r="EU56" t="s">
        <v>2370</v>
      </c>
      <c r="EV56" t="s">
        <v>2373</v>
      </c>
      <c r="EW56" t="s">
        <v>2307</v>
      </c>
      <c r="EX56" t="s">
        <v>2307</v>
      </c>
      <c r="EY56" t="s">
        <v>2307</v>
      </c>
      <c r="EZ56" t="s">
        <v>2373</v>
      </c>
      <c r="FA56" t="s">
        <v>2373</v>
      </c>
      <c r="FB56" t="s">
        <v>2371</v>
      </c>
      <c r="FC56" t="s">
        <v>2373</v>
      </c>
      <c r="FD56" t="s">
        <v>2373</v>
      </c>
      <c r="FE56" t="s">
        <v>2371</v>
      </c>
      <c r="FF56" t="s">
        <v>2373</v>
      </c>
      <c r="FG56" t="s">
        <v>2373</v>
      </c>
      <c r="FH56" t="s">
        <v>2370</v>
      </c>
      <c r="FI56" t="s">
        <v>2373</v>
      </c>
      <c r="FJ56" t="s">
        <v>2373</v>
      </c>
      <c r="FK56" t="s">
        <v>2373</v>
      </c>
      <c r="FL56" t="s">
        <v>2307</v>
      </c>
      <c r="FM56" t="s">
        <v>2370</v>
      </c>
      <c r="FN56" t="s">
        <v>2373</v>
      </c>
      <c r="FO56" t="s">
        <v>2373</v>
      </c>
      <c r="FP56" t="s">
        <v>2373</v>
      </c>
      <c r="FQ56" t="s">
        <v>2373</v>
      </c>
      <c r="FR56" t="s">
        <v>2307</v>
      </c>
      <c r="FS56" t="s">
        <v>2373</v>
      </c>
      <c r="FT56" t="s">
        <v>2371</v>
      </c>
    </row>
  </sheetData>
  <sortState columnSort="1" ref="B1:GW32">
    <sortCondition ref="B1:GW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B0F0"/>
  </sheetPr>
  <dimension ref="A1:GX56"/>
  <sheetViews>
    <sheetView workbookViewId="0">
      <selection activeCell="FT18" sqref="FT18"/>
    </sheetView>
  </sheetViews>
  <sheetFormatPr defaultRowHeight="12.75" x14ac:dyDescent="0.2"/>
  <cols>
    <col min="1" max="1" width="64" customWidth="1"/>
    <col min="2" max="2" width="9.1640625" customWidth="1"/>
    <col min="3" max="37" width="9.5" style="613" bestFit="1" customWidth="1"/>
    <col min="38" max="38" width="9.6640625" style="613" bestFit="1" customWidth="1"/>
    <col min="39" max="45" width="9.5" style="613" bestFit="1" customWidth="1"/>
    <col min="46" max="49" width="9.6640625" style="613" bestFit="1" customWidth="1"/>
    <col min="50" max="56" width="9.5" style="613" bestFit="1" customWidth="1"/>
    <col min="57" max="59" width="9.6640625" style="613" bestFit="1" customWidth="1"/>
    <col min="60" max="68" width="9.5" style="613" bestFit="1" customWidth="1"/>
    <col min="69" max="69" width="9.6640625" style="613" bestFit="1" customWidth="1"/>
    <col min="70" max="70" width="9.5" style="613" bestFit="1" customWidth="1"/>
    <col min="71" max="71" width="9.6640625" style="613" bestFit="1" customWidth="1"/>
    <col min="72" max="73" width="9.5" style="613" bestFit="1" customWidth="1"/>
    <col min="74" max="74" width="9.6640625" style="613" bestFit="1" customWidth="1"/>
    <col min="75" max="75" width="9.5" style="613" bestFit="1" customWidth="1"/>
    <col min="76" max="76" width="9.6640625" style="613" bestFit="1" customWidth="1"/>
    <col min="77" max="81" width="9.5" style="613" bestFit="1" customWidth="1"/>
    <col min="82" max="82" width="9.6640625" style="613" bestFit="1" customWidth="1"/>
    <col min="83" max="83" width="9.5" style="613" bestFit="1" customWidth="1"/>
    <col min="84" max="84" width="9.6640625" style="613" bestFit="1" customWidth="1"/>
    <col min="85" max="86" width="9.5" style="613" bestFit="1" customWidth="1"/>
    <col min="87" max="87" width="9.6640625" style="613" bestFit="1" customWidth="1"/>
    <col min="88" max="89" width="9.5" style="613" bestFit="1" customWidth="1"/>
    <col min="90" max="91" width="9.6640625" style="613" bestFit="1" customWidth="1"/>
    <col min="92" max="93" width="9.5" style="613" bestFit="1" customWidth="1"/>
    <col min="94" max="95" width="9.6640625" style="613" bestFit="1" customWidth="1"/>
    <col min="96" max="97" width="9.5" style="613" bestFit="1" customWidth="1"/>
    <col min="98" max="100" width="9.6640625" style="613" bestFit="1" customWidth="1"/>
    <col min="101" max="101" width="9.5" style="613" bestFit="1" customWidth="1"/>
    <col min="102" max="106" width="9.6640625" style="613" bestFit="1" customWidth="1"/>
    <col min="107" max="107" width="9.5" style="613" bestFit="1" customWidth="1"/>
    <col min="108" max="109" width="9.6640625" style="613" bestFit="1" customWidth="1"/>
    <col min="110" max="110" width="9.5" style="613" bestFit="1" customWidth="1"/>
    <col min="111" max="111" width="9.6640625" style="613" bestFit="1" customWidth="1"/>
    <col min="112" max="112" width="9.5" style="613" bestFit="1" customWidth="1"/>
    <col min="113" max="117" width="9.6640625" style="613" bestFit="1" customWidth="1"/>
    <col min="118" max="120" width="9.5" style="613" bestFit="1" customWidth="1"/>
    <col min="121" max="121" width="9.6640625" style="613" bestFit="1" customWidth="1"/>
    <col min="122" max="141" width="9.5" style="613" bestFit="1" customWidth="1"/>
    <col min="142" max="142" width="9.6640625" style="613" bestFit="1" customWidth="1"/>
    <col min="143" max="143" width="9.5" style="613" bestFit="1" customWidth="1"/>
    <col min="144" max="144" width="9.6640625" style="613" bestFit="1" customWidth="1"/>
    <col min="145" max="153" width="9.5" style="613" bestFit="1" customWidth="1"/>
    <col min="154" max="156" width="9.6640625" style="613" bestFit="1" customWidth="1"/>
    <col min="157" max="157" width="9.5" style="613" bestFit="1" customWidth="1"/>
    <col min="158" max="160" width="9.6640625" style="613" bestFit="1" customWidth="1"/>
    <col min="161" max="161" width="9.5" style="613" bestFit="1" customWidth="1"/>
    <col min="162" max="165" width="9.6640625" style="613" bestFit="1" customWidth="1"/>
    <col min="166" max="176" width="9.5" style="613" bestFit="1" customWidth="1"/>
    <col min="177" max="177" width="9.6640625" style="613" bestFit="1" customWidth="1"/>
    <col min="178" max="180" width="9.5" style="613" bestFit="1" customWidth="1"/>
    <col min="181" max="183" width="9.6640625" style="613" bestFit="1" customWidth="1"/>
    <col min="184" max="185" width="9.5" style="613" bestFit="1" customWidth="1"/>
    <col min="186" max="188" width="9.6640625" style="613" bestFit="1" customWidth="1"/>
    <col min="189" max="189" width="9.5" style="613" bestFit="1" customWidth="1"/>
    <col min="190" max="191" width="9.6640625" style="613" bestFit="1" customWidth="1"/>
    <col min="192" max="193" width="9.5" style="613" bestFit="1" customWidth="1"/>
    <col min="194" max="195" width="9.6640625" style="613" bestFit="1" customWidth="1"/>
    <col min="196" max="196" width="9.5" style="613" bestFit="1" customWidth="1"/>
    <col min="197" max="197" width="9.6640625" style="613" bestFit="1" customWidth="1"/>
    <col min="198" max="200" width="9.5" style="613" bestFit="1" customWidth="1"/>
    <col min="201" max="204" width="9.6640625" style="613" bestFit="1" customWidth="1"/>
    <col min="205" max="206" width="9.5" style="613" bestFit="1" customWidth="1"/>
  </cols>
  <sheetData>
    <row r="1" spans="1:206" s="615" customFormat="1" x14ac:dyDescent="0.2">
      <c r="A1" s="1487" t="s">
        <v>2006</v>
      </c>
      <c r="B1" s="1513" t="s">
        <v>1858</v>
      </c>
      <c r="C1" s="1513" t="s">
        <v>1861</v>
      </c>
      <c r="D1" s="1513" t="s">
        <v>1862</v>
      </c>
      <c r="E1" s="1513" t="s">
        <v>1864</v>
      </c>
      <c r="F1" s="1513" t="s">
        <v>1880</v>
      </c>
      <c r="G1" s="1513" t="s">
        <v>1881</v>
      </c>
      <c r="H1" s="1513" t="s">
        <v>1868</v>
      </c>
      <c r="I1" s="1513" t="s">
        <v>1869</v>
      </c>
      <c r="J1" s="1513" t="s">
        <v>1871</v>
      </c>
      <c r="K1" s="1513" t="s">
        <v>1872</v>
      </c>
      <c r="L1" s="1513" t="s">
        <v>1876</v>
      </c>
      <c r="M1" s="1513" t="s">
        <v>1870</v>
      </c>
      <c r="N1" s="1513" t="s">
        <v>1877</v>
      </c>
      <c r="O1" s="1513" t="s">
        <v>1878</v>
      </c>
      <c r="P1" s="1513" t="s">
        <v>1867</v>
      </c>
      <c r="Q1" s="1513" t="s">
        <v>1879</v>
      </c>
      <c r="R1" s="1513" t="s">
        <v>1888</v>
      </c>
      <c r="S1" s="1513" t="s">
        <v>1889</v>
      </c>
      <c r="T1" s="1513" t="s">
        <v>1890</v>
      </c>
      <c r="U1" s="1513" t="s">
        <v>1891</v>
      </c>
      <c r="V1" s="1513" t="s">
        <v>1892</v>
      </c>
      <c r="W1" s="1513" t="s">
        <v>1893</v>
      </c>
      <c r="X1" s="1513" t="s">
        <v>1894</v>
      </c>
      <c r="Y1" s="1513" t="s">
        <v>1895</v>
      </c>
      <c r="Z1" s="1513" t="s">
        <v>1863</v>
      </c>
      <c r="AA1" s="1513" t="s">
        <v>1873</v>
      </c>
      <c r="AB1" s="1513" t="s">
        <v>1874</v>
      </c>
      <c r="AC1" s="1513" t="s">
        <v>1866</v>
      </c>
      <c r="AD1" s="1513" t="s">
        <v>1859</v>
      </c>
      <c r="AE1" s="1513">
        <v>189590</v>
      </c>
      <c r="AF1" s="1513">
        <v>5257</v>
      </c>
      <c r="AG1" s="1513">
        <v>3042</v>
      </c>
      <c r="AH1" s="1513">
        <v>3185</v>
      </c>
      <c r="AI1" s="1513">
        <v>5321</v>
      </c>
      <c r="AJ1" s="1513">
        <v>11912</v>
      </c>
      <c r="AK1" s="1513">
        <v>6919</v>
      </c>
      <c r="AL1" s="1513">
        <v>7111</v>
      </c>
      <c r="AM1" s="1513">
        <v>305377</v>
      </c>
      <c r="AN1" s="1513">
        <v>209695</v>
      </c>
      <c r="AO1" s="1513">
        <v>753655</v>
      </c>
      <c r="AP1" s="1513">
        <v>2803</v>
      </c>
      <c r="AQ1" s="1513">
        <v>1039</v>
      </c>
      <c r="AR1" s="1513">
        <v>1232</v>
      </c>
      <c r="AS1" s="1513">
        <v>37882</v>
      </c>
      <c r="AT1" s="1513">
        <v>92831</v>
      </c>
      <c r="AU1" s="1513">
        <v>148287</v>
      </c>
      <c r="AV1" s="1513">
        <v>196557</v>
      </c>
      <c r="AW1" s="1513" t="s">
        <v>1896</v>
      </c>
      <c r="AX1" s="1513">
        <v>20031</v>
      </c>
      <c r="AY1" s="1513">
        <v>23420</v>
      </c>
      <c r="AZ1" s="1513">
        <v>23467</v>
      </c>
      <c r="BA1" s="1513">
        <v>23669</v>
      </c>
      <c r="BB1" s="1513">
        <v>12</v>
      </c>
      <c r="BC1" s="1513">
        <v>52</v>
      </c>
      <c r="BD1" s="1513">
        <v>19555</v>
      </c>
      <c r="BE1" s="1513">
        <v>25411</v>
      </c>
      <c r="BF1" s="1513">
        <v>644242</v>
      </c>
      <c r="BG1" s="1513">
        <v>5062</v>
      </c>
      <c r="BH1" s="1513">
        <v>282535</v>
      </c>
      <c r="BI1" s="1513">
        <v>4507</v>
      </c>
      <c r="BJ1" s="1513">
        <v>4647</v>
      </c>
      <c r="BK1" s="1513">
        <v>272004</v>
      </c>
      <c r="BL1" s="1513">
        <v>6926</v>
      </c>
      <c r="BM1" s="1513">
        <v>436864</v>
      </c>
      <c r="BN1" s="1513">
        <v>15082</v>
      </c>
      <c r="BO1" s="1513">
        <v>15434</v>
      </c>
      <c r="BP1" s="1513">
        <v>15186</v>
      </c>
      <c r="BQ1" s="1513">
        <v>17152</v>
      </c>
      <c r="BR1" s="1513">
        <v>6174</v>
      </c>
      <c r="BS1" s="1513">
        <v>228332</v>
      </c>
      <c r="BT1" s="1513">
        <v>17902</v>
      </c>
      <c r="BU1" s="1513">
        <v>588706</v>
      </c>
      <c r="BV1" s="1513">
        <v>11568</v>
      </c>
      <c r="BW1" s="1513">
        <v>11491</v>
      </c>
      <c r="BX1" s="1513">
        <v>421060</v>
      </c>
      <c r="BY1" s="1513">
        <v>11488</v>
      </c>
      <c r="BZ1" s="1513">
        <v>11698</v>
      </c>
      <c r="CA1" s="1513">
        <v>421953</v>
      </c>
      <c r="CB1" s="1513">
        <v>423143</v>
      </c>
      <c r="CC1" s="1513">
        <v>10763</v>
      </c>
      <c r="CD1" s="1513">
        <v>11808</v>
      </c>
      <c r="CE1" s="1513">
        <v>368499</v>
      </c>
      <c r="CF1" s="1513">
        <v>3410</v>
      </c>
      <c r="CG1" s="1513">
        <v>286841</v>
      </c>
      <c r="CH1" s="1513">
        <v>495717</v>
      </c>
      <c r="CI1" s="1513">
        <v>22720</v>
      </c>
      <c r="CJ1" s="1513">
        <v>715354</v>
      </c>
      <c r="CK1" s="1513">
        <v>715420</v>
      </c>
      <c r="CL1" s="1513">
        <v>728347</v>
      </c>
      <c r="CM1" s="1513">
        <v>8245</v>
      </c>
      <c r="CN1" s="1513">
        <v>321809</v>
      </c>
      <c r="CO1" s="1513">
        <v>359454</v>
      </c>
      <c r="CP1" s="1513">
        <v>2882</v>
      </c>
      <c r="CQ1" s="1513">
        <v>205184</v>
      </c>
      <c r="CR1" s="1513">
        <v>18237</v>
      </c>
      <c r="CS1" s="1513">
        <v>488834</v>
      </c>
      <c r="CT1" s="1513">
        <v>586891</v>
      </c>
      <c r="CU1" s="1513">
        <v>692585</v>
      </c>
      <c r="CV1" s="1513">
        <v>693500</v>
      </c>
      <c r="CW1" s="1513">
        <v>708592</v>
      </c>
      <c r="CX1" s="1513">
        <v>22645</v>
      </c>
      <c r="CY1" s="1513">
        <v>2939</v>
      </c>
      <c r="CZ1" s="1513">
        <v>2966</v>
      </c>
      <c r="DA1" s="1513">
        <v>872</v>
      </c>
      <c r="DB1" s="1513">
        <v>3350</v>
      </c>
      <c r="DC1" s="1513">
        <v>2137</v>
      </c>
      <c r="DD1" s="1513">
        <v>5824</v>
      </c>
      <c r="DE1" s="1513">
        <v>16930</v>
      </c>
      <c r="DF1" s="1513">
        <v>6846</v>
      </c>
      <c r="DG1" s="1513">
        <v>6786</v>
      </c>
      <c r="DH1" s="1513">
        <v>25368</v>
      </c>
      <c r="DI1" s="1513">
        <v>40430</v>
      </c>
      <c r="DJ1" s="1513">
        <v>2658</v>
      </c>
      <c r="DK1" s="1513">
        <v>57</v>
      </c>
      <c r="DL1" s="1513">
        <v>4104</v>
      </c>
      <c r="DM1" s="1513">
        <v>14076</v>
      </c>
      <c r="DN1" s="1513">
        <v>841</v>
      </c>
      <c r="DO1" s="1513">
        <v>3014</v>
      </c>
      <c r="DP1" s="1513">
        <v>2944</v>
      </c>
      <c r="DQ1" s="1513">
        <v>2953</v>
      </c>
      <c r="DR1" s="1513">
        <v>1828</v>
      </c>
      <c r="DS1" s="1513">
        <v>177552</v>
      </c>
      <c r="DT1" s="1513" t="s">
        <v>1897</v>
      </c>
      <c r="DU1" s="1513" t="s">
        <v>1875</v>
      </c>
      <c r="DV1" s="1513">
        <v>6497</v>
      </c>
      <c r="DW1" s="1513">
        <v>1340</v>
      </c>
      <c r="DX1" s="1513">
        <v>23929</v>
      </c>
      <c r="DY1" s="1513">
        <v>25577</v>
      </c>
      <c r="DZ1" s="1513">
        <v>662856</v>
      </c>
      <c r="EA1" s="1513">
        <v>444845</v>
      </c>
      <c r="EB1" s="1513">
        <v>505036</v>
      </c>
      <c r="EC1" s="1513">
        <v>13871</v>
      </c>
      <c r="ED1" s="1513">
        <v>421244</v>
      </c>
      <c r="EE1" s="1513">
        <v>636534</v>
      </c>
      <c r="EF1" s="1513">
        <v>421050</v>
      </c>
      <c r="EG1" s="1513">
        <v>20957</v>
      </c>
      <c r="EH1" s="1513">
        <v>309237</v>
      </c>
      <c r="EI1" s="1513">
        <v>368504</v>
      </c>
      <c r="EJ1" s="1513">
        <v>206100</v>
      </c>
      <c r="EK1" s="1513">
        <v>1094</v>
      </c>
      <c r="EL1" s="1513">
        <v>10576</v>
      </c>
      <c r="EM1" s="1513">
        <v>7544</v>
      </c>
      <c r="EN1" s="1513">
        <v>34259</v>
      </c>
      <c r="EO1" s="1513">
        <v>99916</v>
      </c>
      <c r="EP1" s="1513">
        <v>166</v>
      </c>
      <c r="EQ1" s="1513">
        <v>840</v>
      </c>
      <c r="ER1" s="1513">
        <v>842</v>
      </c>
      <c r="ES1" s="1513">
        <v>107527</v>
      </c>
      <c r="ET1" s="1513">
        <v>25701</v>
      </c>
      <c r="EU1" s="1513" t="s">
        <v>1865</v>
      </c>
      <c r="EV1" s="1513">
        <v>25256</v>
      </c>
      <c r="EW1" s="1513">
        <v>752362</v>
      </c>
      <c r="EX1" s="1513">
        <v>753469</v>
      </c>
      <c r="EY1" s="1513">
        <v>421057</v>
      </c>
      <c r="EZ1" s="1513" t="s">
        <v>1860</v>
      </c>
      <c r="FA1" s="1513">
        <v>148810</v>
      </c>
      <c r="FB1" s="1513">
        <v>23981</v>
      </c>
      <c r="FC1" s="1513">
        <v>738519</v>
      </c>
      <c r="FD1" s="1513">
        <v>752536</v>
      </c>
      <c r="FE1" s="1513">
        <v>2778</v>
      </c>
      <c r="FF1" s="1513">
        <v>11537</v>
      </c>
      <c r="FG1" s="1513">
        <v>191518</v>
      </c>
      <c r="FH1" s="1513">
        <v>186633</v>
      </c>
      <c r="FI1" s="1513">
        <v>21071</v>
      </c>
      <c r="FJ1" s="1513">
        <v>421059</v>
      </c>
      <c r="FK1" s="1513">
        <v>6920</v>
      </c>
      <c r="FL1" s="1513" t="s">
        <v>1898</v>
      </c>
      <c r="FM1" s="1513">
        <v>15949</v>
      </c>
      <c r="FN1" s="1513">
        <v>212872</v>
      </c>
      <c r="FO1" s="1513">
        <v>208930</v>
      </c>
      <c r="FP1" s="1513">
        <v>842121</v>
      </c>
      <c r="FQ1" s="1513">
        <v>735360</v>
      </c>
      <c r="FR1" s="1513" t="s">
        <v>1882</v>
      </c>
      <c r="FS1" s="1513">
        <v>7374</v>
      </c>
      <c r="FT1" s="1513">
        <v>3934</v>
      </c>
    </row>
    <row r="2" spans="1:206" s="613" customFormat="1" x14ac:dyDescent="0.2">
      <c r="A2" s="1488" t="s">
        <v>321</v>
      </c>
      <c r="B2" s="613">
        <v>10</v>
      </c>
      <c r="C2" s="613">
        <v>10</v>
      </c>
      <c r="D2" s="613">
        <v>10</v>
      </c>
      <c r="E2" s="613">
        <v>10</v>
      </c>
      <c r="F2" s="613">
        <v>10</v>
      </c>
      <c r="G2" s="613">
        <v>10</v>
      </c>
      <c r="H2" s="613">
        <v>10</v>
      </c>
      <c r="I2" s="613">
        <v>10</v>
      </c>
      <c r="J2" s="613">
        <v>10</v>
      </c>
      <c r="K2" s="613">
        <v>10</v>
      </c>
      <c r="L2" s="613">
        <v>5.8863935655555553</v>
      </c>
      <c r="M2" s="613">
        <v>10</v>
      </c>
      <c r="N2" s="613">
        <v>10</v>
      </c>
      <c r="O2" s="613">
        <v>10</v>
      </c>
      <c r="P2" s="613">
        <v>10</v>
      </c>
      <c r="Q2" s="613">
        <v>10</v>
      </c>
      <c r="R2" s="613">
        <v>10</v>
      </c>
      <c r="S2" s="613">
        <v>10</v>
      </c>
      <c r="T2" s="613">
        <v>10</v>
      </c>
      <c r="U2" s="613">
        <v>10</v>
      </c>
      <c r="V2" s="613">
        <v>10</v>
      </c>
      <c r="W2" s="613">
        <v>10</v>
      </c>
      <c r="X2" s="613">
        <v>10</v>
      </c>
      <c r="Y2" s="613">
        <v>10</v>
      </c>
      <c r="Z2" s="613">
        <v>10</v>
      </c>
      <c r="AA2" s="613">
        <v>10</v>
      </c>
      <c r="AB2" s="613">
        <v>10</v>
      </c>
      <c r="AC2" s="613">
        <v>10</v>
      </c>
      <c r="AD2" s="613">
        <v>10</v>
      </c>
      <c r="AE2" s="613">
        <v>4.6192981759444436</v>
      </c>
      <c r="AF2" s="613">
        <v>10</v>
      </c>
      <c r="AG2" s="613">
        <v>10</v>
      </c>
      <c r="AH2" s="613">
        <v>10</v>
      </c>
      <c r="AI2" s="613">
        <v>10</v>
      </c>
      <c r="AJ2" s="613">
        <v>10</v>
      </c>
      <c r="AK2" s="613">
        <v>4.5425934357777775</v>
      </c>
      <c r="AL2" s="613">
        <v>5.9338076491666669</v>
      </c>
      <c r="AM2" s="613">
        <v>5.4742998406666663</v>
      </c>
      <c r="AN2" s="613">
        <v>4.8362809350555551</v>
      </c>
      <c r="AO2" s="613">
        <v>3.7157091297777773</v>
      </c>
      <c r="AP2" s="613">
        <v>5.0893392473055554</v>
      </c>
      <c r="AQ2" s="613">
        <v>4.3642464507222218</v>
      </c>
      <c r="AR2" s="613">
        <v>3.7486441432222222</v>
      </c>
      <c r="AS2" s="613">
        <v>10</v>
      </c>
      <c r="AT2" s="613">
        <v>5.5630962573888887</v>
      </c>
      <c r="AU2" s="613">
        <v>6.8670482073333341</v>
      </c>
      <c r="AV2" s="613">
        <v>6.6521812330833328</v>
      </c>
      <c r="AW2" s="613">
        <v>10</v>
      </c>
      <c r="AX2" s="613">
        <v>4.6190617845833328</v>
      </c>
      <c r="AY2" s="613">
        <v>4.9074954796666663</v>
      </c>
      <c r="AZ2" s="613">
        <v>10</v>
      </c>
      <c r="BA2" s="613">
        <v>6.8277844393333345</v>
      </c>
      <c r="BB2" s="613">
        <v>10</v>
      </c>
      <c r="BC2" s="613">
        <v>10</v>
      </c>
      <c r="BD2" s="613">
        <v>10</v>
      </c>
      <c r="BE2" s="613">
        <v>10</v>
      </c>
      <c r="BF2" s="613">
        <v>10</v>
      </c>
      <c r="BG2" s="613">
        <v>10</v>
      </c>
      <c r="BH2" s="613">
        <v>4.5261116206944436</v>
      </c>
      <c r="BI2" s="613">
        <v>10</v>
      </c>
      <c r="BJ2" s="613">
        <v>10</v>
      </c>
      <c r="BK2" s="613">
        <v>10</v>
      </c>
      <c r="BL2" s="613">
        <v>5.4672798980555557</v>
      </c>
      <c r="BM2" s="613">
        <v>10</v>
      </c>
      <c r="BN2" s="613">
        <v>10</v>
      </c>
      <c r="BO2" s="613">
        <v>4.7964998649166661</v>
      </c>
      <c r="BP2" s="613">
        <v>10</v>
      </c>
      <c r="BQ2" s="613">
        <v>10</v>
      </c>
      <c r="BR2" s="613">
        <v>3.5869274201111105</v>
      </c>
      <c r="BS2" s="613">
        <v>5.4618253628055555</v>
      </c>
      <c r="BT2" s="613">
        <v>5.7725979887500003</v>
      </c>
      <c r="BU2" s="613">
        <v>10</v>
      </c>
      <c r="BV2" s="613">
        <v>10</v>
      </c>
      <c r="BW2" s="613">
        <v>10</v>
      </c>
      <c r="BX2" s="613">
        <v>10</v>
      </c>
      <c r="BY2" s="613">
        <v>5.105391047055555</v>
      </c>
      <c r="BZ2" s="613">
        <v>10</v>
      </c>
      <c r="CA2" s="613">
        <v>4.0967305838333328</v>
      </c>
      <c r="CB2" s="613">
        <v>5.1638700115000002</v>
      </c>
      <c r="CC2" s="613">
        <v>4.9454335640555556</v>
      </c>
      <c r="CD2" s="613">
        <v>10</v>
      </c>
      <c r="CE2" s="613">
        <v>10</v>
      </c>
      <c r="CF2" s="613">
        <v>5.1480878880000001</v>
      </c>
      <c r="CG2" s="613">
        <v>10</v>
      </c>
      <c r="CH2" s="613">
        <v>10</v>
      </c>
      <c r="CI2" s="613">
        <v>10</v>
      </c>
      <c r="CJ2" s="613">
        <v>10</v>
      </c>
      <c r="CK2" s="613">
        <v>4.1047293320000007</v>
      </c>
      <c r="CL2" s="613">
        <v>10</v>
      </c>
      <c r="CM2" s="613">
        <v>10</v>
      </c>
      <c r="CN2" s="613">
        <v>4.6202755628333332</v>
      </c>
      <c r="CO2" s="613">
        <v>4.4206576878333328</v>
      </c>
      <c r="CP2" s="613">
        <v>5.0331733860277783</v>
      </c>
      <c r="CQ2" s="613">
        <v>10</v>
      </c>
      <c r="CR2" s="613">
        <v>10</v>
      </c>
      <c r="CS2" s="613">
        <v>10</v>
      </c>
      <c r="CT2" s="613">
        <v>10</v>
      </c>
      <c r="CU2" s="613">
        <v>10</v>
      </c>
      <c r="CV2" s="613">
        <v>10</v>
      </c>
      <c r="CW2" s="613">
        <v>10</v>
      </c>
      <c r="CX2" s="613">
        <v>5.4554613301111123</v>
      </c>
      <c r="CY2" s="613">
        <v>10</v>
      </c>
      <c r="CZ2" s="613">
        <v>6.2634155141666668</v>
      </c>
      <c r="DA2" s="613">
        <v>6.4166837593333339</v>
      </c>
      <c r="DB2" s="613">
        <v>10</v>
      </c>
      <c r="DC2" s="613">
        <v>10</v>
      </c>
      <c r="DD2" s="613">
        <v>10</v>
      </c>
      <c r="DE2" s="613">
        <v>5.1331623273333324</v>
      </c>
      <c r="DF2" s="613">
        <v>6.5943106388333339</v>
      </c>
      <c r="DG2" s="613">
        <v>10</v>
      </c>
      <c r="DH2" s="613">
        <v>5.5453461065000011</v>
      </c>
      <c r="DI2" s="613">
        <v>4.9731862686666668</v>
      </c>
      <c r="DJ2" s="613">
        <v>5.5128865621111114</v>
      </c>
      <c r="DK2" s="613">
        <v>10</v>
      </c>
      <c r="DL2" s="613">
        <v>5.1604738416666676</v>
      </c>
      <c r="DM2" s="613">
        <v>5.2620373525555566</v>
      </c>
      <c r="DN2" s="613">
        <v>10</v>
      </c>
      <c r="DO2" s="613">
        <v>5.7289015068888895</v>
      </c>
      <c r="DP2" s="613">
        <v>10</v>
      </c>
      <c r="DQ2" s="613">
        <v>5.9948567475555556</v>
      </c>
      <c r="DR2" s="613">
        <v>10</v>
      </c>
      <c r="DS2" s="613">
        <v>6.8767316591666674</v>
      </c>
      <c r="DT2" s="613">
        <v>10</v>
      </c>
      <c r="DU2" s="613">
        <v>4.8128859193333344</v>
      </c>
      <c r="DV2" s="613">
        <v>10</v>
      </c>
      <c r="DW2" s="613">
        <v>10</v>
      </c>
      <c r="DX2" s="613">
        <v>4.8286285240833333</v>
      </c>
      <c r="DY2" s="613">
        <v>4.8825523596666676</v>
      </c>
      <c r="DZ2" s="613">
        <v>10</v>
      </c>
      <c r="EA2" s="613">
        <v>4.7233376307500006</v>
      </c>
      <c r="EB2" s="613">
        <v>5.7456646333888886</v>
      </c>
      <c r="EC2" s="613">
        <v>4.2959857190833333</v>
      </c>
      <c r="ED2" s="613">
        <v>10</v>
      </c>
      <c r="EE2" s="613">
        <v>10</v>
      </c>
      <c r="EF2" s="613">
        <v>5.5452700496666676</v>
      </c>
      <c r="EG2" s="613">
        <v>10</v>
      </c>
      <c r="EH2" s="613">
        <v>10</v>
      </c>
      <c r="EI2" s="613">
        <v>10</v>
      </c>
      <c r="EJ2" s="613">
        <v>10</v>
      </c>
      <c r="EK2" s="613">
        <v>5.5193353971666674</v>
      </c>
      <c r="EL2" s="613">
        <v>10</v>
      </c>
      <c r="EM2" s="613">
        <v>5.8727522319999999</v>
      </c>
      <c r="EN2" s="613">
        <v>5.3946905420555549</v>
      </c>
      <c r="EO2" s="613">
        <v>7.3801541478000008</v>
      </c>
      <c r="EP2" s="613">
        <v>6.3548079240000002</v>
      </c>
      <c r="EQ2" s="613">
        <v>10</v>
      </c>
      <c r="ER2" s="613">
        <v>10</v>
      </c>
      <c r="ES2" s="613">
        <v>10</v>
      </c>
      <c r="ET2" s="613">
        <v>6.4000351416666668</v>
      </c>
      <c r="EU2" s="613">
        <v>10</v>
      </c>
      <c r="EV2" s="613">
        <v>6.0799179466666677</v>
      </c>
      <c r="EW2" s="613">
        <v>10</v>
      </c>
      <c r="EX2" s="613">
        <v>4.9070570806666662</v>
      </c>
      <c r="EY2" s="613">
        <v>7.5115348686000001</v>
      </c>
      <c r="EZ2" s="613">
        <v>5.2020221061111114</v>
      </c>
      <c r="FA2" s="613">
        <v>10</v>
      </c>
      <c r="FB2" s="613">
        <v>10</v>
      </c>
      <c r="FC2" s="613">
        <v>10</v>
      </c>
      <c r="FD2" s="613">
        <v>10</v>
      </c>
      <c r="FE2" s="613">
        <v>6.5589352773333331</v>
      </c>
      <c r="FF2" s="613">
        <v>10</v>
      </c>
      <c r="FG2" s="613">
        <v>6.176688796333333</v>
      </c>
      <c r="FH2" s="613">
        <v>4.695734662833333</v>
      </c>
      <c r="FI2" s="613">
        <v>4.3077690186666668</v>
      </c>
      <c r="FJ2" s="613">
        <v>10</v>
      </c>
      <c r="FK2" s="613">
        <v>7.11291326</v>
      </c>
      <c r="FL2" s="613">
        <v>10</v>
      </c>
      <c r="FM2" s="613">
        <v>5.9956255251944448</v>
      </c>
      <c r="FN2" s="613">
        <v>5.9995348343333346</v>
      </c>
      <c r="FO2" s="613">
        <v>10</v>
      </c>
      <c r="FP2" s="613">
        <v>7.5155900355000007</v>
      </c>
      <c r="FQ2" s="613">
        <v>4.7313147732777781</v>
      </c>
      <c r="FR2" s="613">
        <v>10</v>
      </c>
      <c r="FS2" s="613">
        <v>4.4286008220555555</v>
      </c>
      <c r="FT2" s="613">
        <v>5.534478161388888</v>
      </c>
    </row>
    <row r="3" spans="1:206" s="613" customFormat="1" x14ac:dyDescent="0.2">
      <c r="A3" s="1488" t="s">
        <v>320</v>
      </c>
      <c r="B3" s="613">
        <v>3.3834254164285715</v>
      </c>
      <c r="C3" s="613">
        <v>3.2850063676785712</v>
      </c>
      <c r="D3" s="613">
        <v>3.6013135416071429</v>
      </c>
      <c r="E3" s="613">
        <v>3.1812073651785711</v>
      </c>
      <c r="F3" s="613">
        <v>3.6181108708928567</v>
      </c>
      <c r="G3" s="613">
        <v>3.045689030892857</v>
      </c>
      <c r="H3" s="613">
        <v>6.3293820412499997</v>
      </c>
      <c r="I3" s="613">
        <v>6.2483981008928566</v>
      </c>
      <c r="J3" s="613">
        <v>3.8976744237500007</v>
      </c>
      <c r="K3" s="613">
        <v>6.2426804485714289</v>
      </c>
      <c r="L3" s="613">
        <v>3.8039567317857141</v>
      </c>
      <c r="M3" s="613">
        <v>3.8302406208928574</v>
      </c>
      <c r="N3" s="613">
        <v>6.274458925357143</v>
      </c>
      <c r="O3" s="613">
        <v>7.4621049941071433</v>
      </c>
      <c r="P3" s="613">
        <v>4.3827176294642856</v>
      </c>
      <c r="Q3" s="613">
        <v>3.5119343789285717</v>
      </c>
      <c r="R3" s="613">
        <v>5.9852733237500004</v>
      </c>
      <c r="S3" s="613">
        <v>4.1589360385714276</v>
      </c>
      <c r="T3" s="613">
        <v>2.6764983814285714</v>
      </c>
      <c r="U3" s="613">
        <v>2.7155590108928571</v>
      </c>
      <c r="V3" s="613">
        <v>6.2795310762500005</v>
      </c>
      <c r="W3" s="613">
        <v>4.3617805955357145</v>
      </c>
      <c r="X3" s="613">
        <v>4.6350822835714292</v>
      </c>
      <c r="Y3" s="613">
        <v>3.9367217421428569</v>
      </c>
      <c r="Z3" s="613">
        <v>4.0889842603571438</v>
      </c>
      <c r="AA3" s="613">
        <v>1.6765223375000002</v>
      </c>
      <c r="AB3" s="613">
        <v>1.6942791292857142</v>
      </c>
      <c r="AC3" s="613">
        <v>1.3391965435714286</v>
      </c>
      <c r="AD3" s="613">
        <v>2.8192816317857146</v>
      </c>
      <c r="AE3" s="613">
        <v>4.8378451224999992</v>
      </c>
      <c r="AF3" s="613">
        <v>2.9699542466071427</v>
      </c>
      <c r="AG3" s="613">
        <v>3.0949233753571423</v>
      </c>
      <c r="AH3" s="613">
        <v>2.7798188235714285</v>
      </c>
      <c r="AI3" s="613">
        <v>1.9842514403571427</v>
      </c>
      <c r="AJ3" s="613">
        <v>3.3294443242857148</v>
      </c>
      <c r="AK3" s="613">
        <v>4.4008992716071429</v>
      </c>
      <c r="AL3" s="613">
        <v>4.8213036205357138</v>
      </c>
      <c r="AM3" s="613">
        <v>5.1726963521428573</v>
      </c>
      <c r="AN3" s="613">
        <v>3.9879681983928572</v>
      </c>
      <c r="AO3" s="613">
        <v>6.450117524107144</v>
      </c>
      <c r="AP3" s="613">
        <v>4.1505678070833341</v>
      </c>
      <c r="AQ3" s="613">
        <v>7.0558678439285716</v>
      </c>
      <c r="AR3" s="613">
        <v>4.3199464016071429</v>
      </c>
      <c r="AS3" s="613">
        <v>3.2304987169642856</v>
      </c>
      <c r="AT3" s="613">
        <v>2.5086119057142859</v>
      </c>
      <c r="AU3" s="613">
        <v>4.4017374682142858</v>
      </c>
      <c r="AV3" s="613">
        <v>3.7227292298214287</v>
      </c>
      <c r="AW3" s="613">
        <v>5.6542103362499994</v>
      </c>
      <c r="AX3" s="613">
        <v>3.6696613348214284</v>
      </c>
      <c r="AY3" s="613">
        <v>2.3107375980357143</v>
      </c>
      <c r="AZ3" s="613">
        <v>2.0804269232142856</v>
      </c>
      <c r="BA3" s="613">
        <v>2.2297707108928573</v>
      </c>
      <c r="BB3" s="613">
        <v>3.1466796542857143</v>
      </c>
      <c r="BC3" s="613">
        <v>2.9987075280357143</v>
      </c>
      <c r="BD3" s="613">
        <v>6.3447644201785716</v>
      </c>
      <c r="BE3" s="613">
        <v>3.1177176285714294</v>
      </c>
      <c r="BF3" s="613">
        <v>2.5170137833928576</v>
      </c>
      <c r="BG3" s="613">
        <v>3.0190063969642855</v>
      </c>
      <c r="BH3" s="613">
        <v>5.7615472307142852</v>
      </c>
      <c r="BI3" s="613">
        <v>2.8484199800000001</v>
      </c>
      <c r="BJ3" s="613">
        <v>5.3510045024999995</v>
      </c>
      <c r="BK3" s="613">
        <v>3.1835830233928575</v>
      </c>
      <c r="BL3" s="613">
        <v>5.3351769528571422</v>
      </c>
      <c r="BM3" s="613">
        <v>4.4029565942857145</v>
      </c>
      <c r="BN3" s="613">
        <v>6.071642716964285</v>
      </c>
      <c r="BO3" s="613">
        <v>3.8503502194642856</v>
      </c>
      <c r="BP3" s="613">
        <v>4.2994212083928574</v>
      </c>
      <c r="BQ3" s="613">
        <v>2.7833714594642855</v>
      </c>
      <c r="BR3" s="613">
        <v>4.1796189994642861</v>
      </c>
      <c r="BS3" s="613">
        <v>5.18663354125</v>
      </c>
      <c r="BT3" s="613">
        <v>3.4334493846428571</v>
      </c>
      <c r="BU3" s="613">
        <v>3.5062476208928572</v>
      </c>
      <c r="BV3" s="613">
        <v>5.1460954662500002</v>
      </c>
      <c r="BW3" s="613">
        <v>4.0327443216071437</v>
      </c>
      <c r="BX3" s="613">
        <v>3.8857069112500002</v>
      </c>
      <c r="BY3" s="613">
        <v>3.6231428946428568</v>
      </c>
      <c r="BZ3" s="613">
        <v>4.0378062087500002</v>
      </c>
      <c r="CA3" s="613">
        <v>4.4227397791071423</v>
      </c>
      <c r="CB3" s="613">
        <v>3.6629700576785713</v>
      </c>
      <c r="CC3" s="613">
        <v>4.0493893141071426</v>
      </c>
      <c r="CD3" s="613">
        <v>5.0906416557142853</v>
      </c>
      <c r="CE3" s="613">
        <v>3.2702958105357141</v>
      </c>
      <c r="CF3" s="613">
        <v>3.5022343560714289</v>
      </c>
      <c r="CG3" s="613">
        <v>4.3927501360714283</v>
      </c>
      <c r="CH3" s="613">
        <v>4.1651266982142854</v>
      </c>
      <c r="CI3" s="613">
        <v>3.7800335576785713</v>
      </c>
      <c r="CJ3" s="613">
        <v>3.2714542821428569</v>
      </c>
      <c r="CK3" s="613">
        <v>3.2463661025000001</v>
      </c>
      <c r="CL3" s="613">
        <v>3.1704620651785715</v>
      </c>
      <c r="CM3" s="613">
        <v>4.7878280550000003</v>
      </c>
      <c r="CN3" s="613">
        <v>3.6134964221428572</v>
      </c>
      <c r="CO3" s="613">
        <v>4.7853976471428572</v>
      </c>
      <c r="CP3" s="613">
        <v>6.9588048282142854</v>
      </c>
      <c r="CQ3" s="613">
        <v>6.2651593592857147</v>
      </c>
      <c r="CR3" s="613">
        <v>3.3757200300000001</v>
      </c>
      <c r="CS3" s="613">
        <v>3.2323826898214278</v>
      </c>
      <c r="CT3" s="613">
        <v>2.8816125649999997</v>
      </c>
      <c r="CU3" s="613">
        <v>3.6865828273214287</v>
      </c>
      <c r="CV3" s="613">
        <v>2.8493067939285717</v>
      </c>
      <c r="CW3" s="613">
        <v>2.5465703732142857</v>
      </c>
      <c r="CX3" s="613">
        <v>1.9927166626785713</v>
      </c>
      <c r="CY3" s="613">
        <v>3.0281056716666672</v>
      </c>
      <c r="CZ3" s="613">
        <v>2.1379910566071429</v>
      </c>
      <c r="DA3" s="613">
        <v>3.214833653571429</v>
      </c>
      <c r="DB3" s="613">
        <v>2.9595406830357138</v>
      </c>
      <c r="DC3" s="613">
        <v>3.475519786964286</v>
      </c>
      <c r="DD3" s="613">
        <v>4.4552089071428576</v>
      </c>
      <c r="DE3" s="613">
        <v>3.593760225</v>
      </c>
      <c r="DF3" s="613">
        <v>2.1525924310714286</v>
      </c>
      <c r="DG3" s="613">
        <v>2.0206784991666669</v>
      </c>
      <c r="DH3" s="613">
        <v>1.7661653637499999</v>
      </c>
      <c r="DI3" s="613">
        <v>3.2248699175</v>
      </c>
      <c r="DJ3" s="613">
        <v>4.974934003035715</v>
      </c>
      <c r="DK3" s="613">
        <v>4.3488797344642851</v>
      </c>
      <c r="DL3" s="613">
        <v>4.1651809352380953</v>
      </c>
      <c r="DM3" s="613">
        <v>2.3790009841071429</v>
      </c>
      <c r="DN3" s="613">
        <v>3.1441499507142856</v>
      </c>
      <c r="DO3" s="613">
        <v>2.1693874417857146</v>
      </c>
      <c r="DP3" s="613">
        <v>4.8736988846428568</v>
      </c>
      <c r="DQ3" s="613">
        <v>2.0687123146428572</v>
      </c>
      <c r="DR3" s="613">
        <v>4.7710030739285711</v>
      </c>
      <c r="DS3" s="613">
        <v>2.407836204642857</v>
      </c>
      <c r="DT3" s="613">
        <v>2.9766030182142855</v>
      </c>
      <c r="DU3" s="613">
        <v>2.0101070391071429</v>
      </c>
      <c r="DV3" s="613">
        <v>3.5470286432142855</v>
      </c>
      <c r="DW3" s="613">
        <v>4.27268195</v>
      </c>
      <c r="DX3" s="613">
        <v>2.4950394848214286</v>
      </c>
      <c r="DY3" s="613">
        <v>3.2969929428571429</v>
      </c>
      <c r="DZ3" s="613">
        <v>3.1351616242857139</v>
      </c>
      <c r="EA3" s="613">
        <v>2.7285375166071431</v>
      </c>
      <c r="EB3" s="613">
        <v>3.9513748174999996</v>
      </c>
      <c r="EC3" s="613">
        <v>3.951143636785714</v>
      </c>
      <c r="ED3" s="613">
        <v>5.9502058617857143</v>
      </c>
      <c r="EE3" s="613">
        <v>4.565156969166666</v>
      </c>
      <c r="EF3" s="613">
        <v>3.4810978871428571</v>
      </c>
      <c r="EG3" s="613">
        <v>4.0214242073214281</v>
      </c>
      <c r="EH3" s="613">
        <v>4.1308878633928572</v>
      </c>
      <c r="EI3" s="613">
        <v>3.6506705058333333</v>
      </c>
      <c r="EJ3" s="613">
        <v>3.0595285112500004</v>
      </c>
      <c r="EK3" s="613">
        <v>3.1276485383928563</v>
      </c>
      <c r="EL3" s="613">
        <v>4.5467693248214287</v>
      </c>
      <c r="EM3" s="613">
        <v>3.97040094875</v>
      </c>
      <c r="EN3" s="613">
        <v>2.6078113833333334</v>
      </c>
      <c r="EO3" s="613">
        <v>3.0844954508333333</v>
      </c>
      <c r="EP3" s="613">
        <v>4.9450671701785716</v>
      </c>
      <c r="EQ3" s="613">
        <v>3.6384796401785717</v>
      </c>
      <c r="ER3" s="613">
        <v>3.7008868614285717</v>
      </c>
      <c r="ES3" s="613">
        <v>3.4053188985714282</v>
      </c>
      <c r="ET3" s="613">
        <v>4.6114934326785715</v>
      </c>
      <c r="EU3" s="613">
        <v>1.7418948046428573</v>
      </c>
      <c r="EV3" s="613">
        <v>4.7505230885714287</v>
      </c>
      <c r="EW3" s="613">
        <v>1.740917779583333</v>
      </c>
      <c r="EX3" s="613">
        <v>3.0956074405357139</v>
      </c>
      <c r="EY3" s="613">
        <v>5.2609188054166669</v>
      </c>
      <c r="EZ3" s="613">
        <v>4.2441374467857145</v>
      </c>
      <c r="FA3" s="613">
        <v>3.9891237012500005</v>
      </c>
      <c r="FB3" s="613">
        <v>3.4272520842857146</v>
      </c>
      <c r="FC3" s="613">
        <v>1.893469245892857</v>
      </c>
      <c r="FD3" s="613">
        <v>3.9400704799999997</v>
      </c>
      <c r="FE3" s="613">
        <v>2.9852176173214282</v>
      </c>
      <c r="FF3" s="613">
        <v>4.056298039583333</v>
      </c>
      <c r="FG3" s="613">
        <v>3.9789020708928566</v>
      </c>
      <c r="FH3" s="613">
        <v>3.0233545107142854</v>
      </c>
      <c r="FI3" s="613">
        <v>6.5896802192857153</v>
      </c>
      <c r="FJ3" s="613">
        <v>5.3195198658928566</v>
      </c>
      <c r="FK3" s="613">
        <v>2.5401454339285712</v>
      </c>
      <c r="FL3" s="613">
        <v>1.1586413719642858</v>
      </c>
      <c r="FM3" s="613">
        <v>6.2131785176785712</v>
      </c>
      <c r="FN3" s="613">
        <v>4.6160834748214281</v>
      </c>
      <c r="FO3" s="613">
        <v>3.9286944199999994</v>
      </c>
      <c r="FP3" s="613">
        <v>4.2382112483928571</v>
      </c>
      <c r="FQ3" s="613">
        <v>2.6604936750000001</v>
      </c>
      <c r="FR3" s="613">
        <v>4.1396054883928572</v>
      </c>
      <c r="FS3" s="613">
        <v>2.6258685558928567</v>
      </c>
      <c r="FT3" s="613">
        <v>3.4509680873214288</v>
      </c>
    </row>
    <row r="4" spans="1:206" s="613" customFormat="1" x14ac:dyDescent="0.2">
      <c r="A4" s="1488" t="s">
        <v>319</v>
      </c>
      <c r="B4" s="613">
        <v>0</v>
      </c>
      <c r="C4" s="613">
        <v>0</v>
      </c>
      <c r="D4" s="613">
        <v>0</v>
      </c>
      <c r="E4" s="613">
        <v>0</v>
      </c>
      <c r="F4" s="613">
        <v>0</v>
      </c>
      <c r="G4" s="613">
        <v>0</v>
      </c>
      <c r="H4" s="613">
        <v>0</v>
      </c>
      <c r="I4" s="613">
        <v>0</v>
      </c>
      <c r="J4" s="613">
        <v>0</v>
      </c>
      <c r="K4" s="613">
        <v>0</v>
      </c>
      <c r="L4" s="613">
        <v>2.314564565</v>
      </c>
      <c r="M4" s="613">
        <v>0</v>
      </c>
      <c r="N4" s="613">
        <v>0</v>
      </c>
      <c r="O4" s="613">
        <v>0</v>
      </c>
      <c r="P4" s="613">
        <v>0</v>
      </c>
      <c r="Q4" s="613">
        <v>0</v>
      </c>
      <c r="R4" s="613">
        <v>0</v>
      </c>
      <c r="S4" s="613">
        <v>0</v>
      </c>
      <c r="T4" s="613">
        <v>0</v>
      </c>
      <c r="U4" s="613">
        <v>0</v>
      </c>
      <c r="V4" s="613">
        <v>0</v>
      </c>
      <c r="W4" s="613">
        <v>0</v>
      </c>
      <c r="X4" s="613">
        <v>0</v>
      </c>
      <c r="Y4" s="613">
        <v>0</v>
      </c>
      <c r="Z4" s="613">
        <v>0</v>
      </c>
      <c r="AA4" s="613">
        <v>0</v>
      </c>
      <c r="AB4" s="613">
        <v>0</v>
      </c>
      <c r="AC4" s="613">
        <v>0</v>
      </c>
      <c r="AD4" s="613">
        <v>0</v>
      </c>
      <c r="AE4" s="613">
        <v>2.791666666666667</v>
      </c>
      <c r="AF4" s="613">
        <v>0</v>
      </c>
      <c r="AG4" s="613">
        <v>0</v>
      </c>
      <c r="AH4" s="613">
        <v>0</v>
      </c>
      <c r="AI4" s="613">
        <v>0</v>
      </c>
      <c r="AJ4" s="613">
        <v>0</v>
      </c>
      <c r="AK4" s="613">
        <v>3.0378516337499999</v>
      </c>
      <c r="AL4" s="613">
        <v>4.2968154375000003</v>
      </c>
      <c r="AM4" s="613">
        <v>3.416666666666667</v>
      </c>
      <c r="AN4" s="613">
        <v>2.736285266666667</v>
      </c>
      <c r="AO4" s="613">
        <v>4.1666666666666661</v>
      </c>
      <c r="AP4" s="613">
        <v>4.2792792799999999</v>
      </c>
      <c r="AQ4" s="613">
        <v>2.547169811666667</v>
      </c>
      <c r="AR4" s="613">
        <v>4.1666666666666661</v>
      </c>
      <c r="AS4" s="613">
        <v>0</v>
      </c>
      <c r="AT4" s="613">
        <v>2.5</v>
      </c>
      <c r="AU4" s="613">
        <v>4.916666666666667</v>
      </c>
      <c r="AV4" s="613">
        <v>1.9999999999999998</v>
      </c>
      <c r="AW4" s="613">
        <v>0</v>
      </c>
      <c r="AX4" s="613">
        <v>4.4172886816666672</v>
      </c>
      <c r="AY4" s="613">
        <v>2.6436588100000002</v>
      </c>
      <c r="AZ4" s="613">
        <v>0</v>
      </c>
      <c r="BA4" s="613">
        <v>2.8069584733333337</v>
      </c>
      <c r="BB4" s="613">
        <v>0</v>
      </c>
      <c r="BC4" s="613">
        <v>0</v>
      </c>
      <c r="BD4" s="613">
        <v>0</v>
      </c>
      <c r="BE4" s="613">
        <v>0</v>
      </c>
      <c r="BF4" s="613">
        <v>0</v>
      </c>
      <c r="BG4" s="613">
        <v>0</v>
      </c>
      <c r="BH4" s="613">
        <v>7.8032597683333327</v>
      </c>
      <c r="BI4" s="613">
        <v>0</v>
      </c>
      <c r="BJ4" s="613">
        <v>0</v>
      </c>
      <c r="BK4" s="613">
        <v>0</v>
      </c>
      <c r="BL4" s="613">
        <v>1.9999999999999998</v>
      </c>
      <c r="BM4" s="613">
        <v>0</v>
      </c>
      <c r="BN4" s="613">
        <v>0</v>
      </c>
      <c r="BO4" s="613">
        <v>4.1659159166666671</v>
      </c>
      <c r="BP4" s="613">
        <v>0</v>
      </c>
      <c r="BQ4" s="613">
        <v>0</v>
      </c>
      <c r="BR4" s="613">
        <v>4.1666666666666661</v>
      </c>
      <c r="BS4" s="613">
        <v>3.3333333333333339</v>
      </c>
      <c r="BT4" s="613">
        <v>2.7499999999999996</v>
      </c>
      <c r="BU4" s="613">
        <v>0</v>
      </c>
      <c r="BV4" s="613">
        <v>0</v>
      </c>
      <c r="BW4" s="613">
        <v>0</v>
      </c>
      <c r="BX4" s="613">
        <v>0</v>
      </c>
      <c r="BY4" s="613">
        <v>1.9999999999999998</v>
      </c>
      <c r="BZ4" s="613">
        <v>0</v>
      </c>
      <c r="CA4" s="613">
        <v>3.0000000000000004</v>
      </c>
      <c r="CB4" s="613">
        <v>4.4205157816666665</v>
      </c>
      <c r="CC4" s="613">
        <v>3.0000000000000004</v>
      </c>
      <c r="CD4" s="613">
        <v>0</v>
      </c>
      <c r="CE4" s="613">
        <v>0</v>
      </c>
      <c r="CF4" s="613">
        <v>0.85135135166666664</v>
      </c>
      <c r="CG4" s="613">
        <v>0</v>
      </c>
      <c r="CH4" s="613">
        <v>0</v>
      </c>
      <c r="CI4" s="613">
        <v>0</v>
      </c>
      <c r="CJ4" s="613">
        <v>0</v>
      </c>
      <c r="CK4" s="613">
        <v>3.75</v>
      </c>
      <c r="CL4" s="613">
        <v>0</v>
      </c>
      <c r="CM4" s="613">
        <v>0</v>
      </c>
      <c r="CN4" s="613">
        <v>1.9999999999999998</v>
      </c>
      <c r="CO4" s="613">
        <v>2.833333333333333</v>
      </c>
      <c r="CP4" s="613">
        <v>4.916666666666667</v>
      </c>
      <c r="CQ4" s="613">
        <v>0</v>
      </c>
      <c r="CR4" s="613">
        <v>0</v>
      </c>
      <c r="CS4" s="613">
        <v>0</v>
      </c>
      <c r="CT4" s="613">
        <v>0</v>
      </c>
      <c r="CU4" s="613">
        <v>0</v>
      </c>
      <c r="CV4" s="613">
        <v>0</v>
      </c>
      <c r="CW4" s="613">
        <v>0</v>
      </c>
      <c r="CX4" s="613">
        <v>1.0235690233333334</v>
      </c>
      <c r="CY4" s="613">
        <v>0</v>
      </c>
      <c r="CZ4" s="613">
        <v>1.5792572466666668</v>
      </c>
      <c r="DA4" s="613">
        <v>2.4166666666666665</v>
      </c>
      <c r="DB4" s="613">
        <v>0</v>
      </c>
      <c r="DC4" s="613">
        <v>0</v>
      </c>
      <c r="DD4" s="613">
        <v>0</v>
      </c>
      <c r="DE4" s="613">
        <v>3.75</v>
      </c>
      <c r="DF4" s="613">
        <v>1.3333333333333333</v>
      </c>
      <c r="DG4" s="613">
        <v>0</v>
      </c>
      <c r="DH4" s="613">
        <v>0.83333333333333326</v>
      </c>
      <c r="DI4" s="613">
        <v>3.2432065216666666</v>
      </c>
      <c r="DJ4" s="613">
        <v>1.9999999999999998</v>
      </c>
      <c r="DK4" s="613">
        <v>0</v>
      </c>
      <c r="DL4" s="613">
        <v>1.6666666666666665</v>
      </c>
      <c r="DM4" s="613">
        <v>3.5833333333333335</v>
      </c>
      <c r="DN4" s="613">
        <v>0</v>
      </c>
      <c r="DO4" s="613">
        <v>1.8215579716666666</v>
      </c>
      <c r="DP4" s="613">
        <v>0</v>
      </c>
      <c r="DQ4" s="613">
        <v>2.4166666666666665</v>
      </c>
      <c r="DR4" s="613">
        <v>0</v>
      </c>
      <c r="DS4" s="613">
        <v>0.87681159499999994</v>
      </c>
      <c r="DT4" s="613">
        <v>0</v>
      </c>
      <c r="DU4" s="613">
        <v>4.3333333333333339</v>
      </c>
      <c r="DV4" s="613">
        <v>0</v>
      </c>
      <c r="DW4" s="613">
        <v>0</v>
      </c>
      <c r="DX4" s="613">
        <v>1.9999999999999998</v>
      </c>
      <c r="DY4" s="613">
        <v>3.833333333333333</v>
      </c>
      <c r="DZ4" s="613">
        <v>0</v>
      </c>
      <c r="EA4" s="613">
        <v>2.6666666666666665</v>
      </c>
      <c r="EB4" s="613">
        <v>2.9166666666666661</v>
      </c>
      <c r="EC4" s="613">
        <v>3.6058558566666665</v>
      </c>
      <c r="ED4" s="613">
        <v>0</v>
      </c>
      <c r="EE4" s="613">
        <v>0</v>
      </c>
      <c r="EF4" s="613">
        <v>3.9166666666666665</v>
      </c>
      <c r="EG4" s="613">
        <v>0</v>
      </c>
      <c r="EH4" s="613">
        <v>0</v>
      </c>
      <c r="EI4" s="613">
        <v>0</v>
      </c>
      <c r="EJ4" s="613">
        <v>0</v>
      </c>
      <c r="EK4" s="613">
        <v>4.166666666666667</v>
      </c>
      <c r="EL4" s="613">
        <v>0</v>
      </c>
      <c r="EM4" s="613">
        <v>2.5</v>
      </c>
      <c r="EN4" s="613">
        <v>2.5</v>
      </c>
      <c r="EO4" s="613">
        <v>2.5</v>
      </c>
      <c r="EP4" s="613">
        <v>3.208333333333333</v>
      </c>
      <c r="EQ4" s="613">
        <v>0</v>
      </c>
      <c r="ER4" s="613">
        <v>0</v>
      </c>
      <c r="ES4" s="613">
        <v>0</v>
      </c>
      <c r="ET4" s="613">
        <v>3.75</v>
      </c>
      <c r="EU4" s="613">
        <v>0</v>
      </c>
      <c r="EV4" s="613">
        <v>3.1230407525000006</v>
      </c>
      <c r="EW4" s="613">
        <v>0</v>
      </c>
      <c r="EX4" s="613">
        <v>3.4351851849999999</v>
      </c>
      <c r="EY4" s="613">
        <v>2.8260869550000001</v>
      </c>
      <c r="EZ4" s="613">
        <v>4</v>
      </c>
      <c r="FA4" s="613">
        <v>0</v>
      </c>
      <c r="FB4" s="613">
        <v>0</v>
      </c>
      <c r="FC4" s="613">
        <v>0</v>
      </c>
      <c r="FD4" s="613">
        <v>0</v>
      </c>
      <c r="FE4" s="613">
        <v>2.7110762800000003</v>
      </c>
      <c r="FF4" s="613">
        <v>0</v>
      </c>
      <c r="FG4" s="613">
        <v>0.71603260833333338</v>
      </c>
      <c r="FH4" s="613">
        <v>3.9498432599999997</v>
      </c>
      <c r="FI4" s="613">
        <v>8.375</v>
      </c>
      <c r="FJ4" s="613">
        <v>0</v>
      </c>
      <c r="FK4" s="613">
        <v>1.1666666666666665</v>
      </c>
      <c r="FL4" s="613">
        <v>0</v>
      </c>
      <c r="FM4" s="613">
        <v>4.916666666666667</v>
      </c>
      <c r="FN4" s="613">
        <v>4.378623188333334</v>
      </c>
      <c r="FO4" s="613">
        <v>0</v>
      </c>
      <c r="FP4" s="613">
        <v>3.5484601450000004</v>
      </c>
      <c r="FQ4" s="613">
        <v>2.5</v>
      </c>
      <c r="FR4" s="613">
        <v>0</v>
      </c>
      <c r="FS4" s="613">
        <v>4.916666666666667</v>
      </c>
      <c r="FT4" s="613">
        <v>2.75</v>
      </c>
    </row>
    <row r="5" spans="1:206" s="613" customFormat="1" x14ac:dyDescent="0.2">
      <c r="A5" s="1488" t="s">
        <v>9</v>
      </c>
      <c r="B5" s="613">
        <v>10</v>
      </c>
      <c r="C5" s="613">
        <v>10</v>
      </c>
      <c r="D5" s="613">
        <v>10</v>
      </c>
      <c r="E5" s="613">
        <v>10</v>
      </c>
      <c r="F5" s="613">
        <v>10</v>
      </c>
      <c r="G5" s="613">
        <v>10</v>
      </c>
      <c r="H5" s="613">
        <v>10</v>
      </c>
      <c r="I5" s="613">
        <v>10</v>
      </c>
      <c r="J5" s="613">
        <v>10</v>
      </c>
      <c r="K5" s="613">
        <v>10</v>
      </c>
      <c r="L5" s="613">
        <v>6.3090656983333329</v>
      </c>
      <c r="M5" s="613">
        <v>10</v>
      </c>
      <c r="N5" s="613">
        <v>10</v>
      </c>
      <c r="O5" s="613">
        <v>10</v>
      </c>
      <c r="P5" s="613">
        <v>10</v>
      </c>
      <c r="Q5" s="613">
        <v>10</v>
      </c>
      <c r="R5" s="613">
        <v>10</v>
      </c>
      <c r="S5" s="613">
        <v>10</v>
      </c>
      <c r="T5" s="613">
        <v>10</v>
      </c>
      <c r="U5" s="613">
        <v>10</v>
      </c>
      <c r="V5" s="613">
        <v>10</v>
      </c>
      <c r="W5" s="613">
        <v>10</v>
      </c>
      <c r="X5" s="613">
        <v>10</v>
      </c>
      <c r="Y5" s="613">
        <v>10</v>
      </c>
      <c r="Z5" s="613">
        <v>10</v>
      </c>
      <c r="AA5" s="613">
        <v>10</v>
      </c>
      <c r="AB5" s="613">
        <v>10</v>
      </c>
      <c r="AC5" s="613">
        <v>10</v>
      </c>
      <c r="AD5" s="613">
        <v>10</v>
      </c>
      <c r="AE5" s="613">
        <v>4.6674380708333327</v>
      </c>
      <c r="AF5" s="613">
        <v>10</v>
      </c>
      <c r="AG5" s="613">
        <v>10</v>
      </c>
      <c r="AH5" s="613">
        <v>10</v>
      </c>
      <c r="AI5" s="613">
        <v>10</v>
      </c>
      <c r="AJ5" s="613">
        <v>10</v>
      </c>
      <c r="AK5" s="613">
        <v>7.851620876666666</v>
      </c>
      <c r="AL5" s="613">
        <v>3.9349411558333336</v>
      </c>
      <c r="AM5" s="613">
        <v>6.1579897499999987</v>
      </c>
      <c r="AN5" s="613">
        <v>6.6799527177777787</v>
      </c>
      <c r="AO5" s="613">
        <v>0.61567322750000009</v>
      </c>
      <c r="AP5" s="613">
        <v>8.9859573233333343</v>
      </c>
      <c r="AQ5" s="613">
        <v>4.8188326588888888</v>
      </c>
      <c r="AR5" s="613">
        <v>3.7556049216666669</v>
      </c>
      <c r="AS5" s="613">
        <v>10</v>
      </c>
      <c r="AT5" s="613">
        <v>1.9814134383333337</v>
      </c>
      <c r="AU5" s="613">
        <v>7.0482248412499988</v>
      </c>
      <c r="AV5" s="613">
        <v>3.8648136833333337</v>
      </c>
      <c r="AW5" s="613">
        <v>10</v>
      </c>
      <c r="AX5" s="613">
        <v>6.5766823825000014</v>
      </c>
      <c r="AY5" s="613">
        <v>7.3053140355555559</v>
      </c>
      <c r="AZ5" s="613">
        <v>10</v>
      </c>
      <c r="BA5" s="613">
        <v>7.9977822383333326</v>
      </c>
      <c r="BB5" s="613">
        <v>10</v>
      </c>
      <c r="BC5" s="613">
        <v>10</v>
      </c>
      <c r="BD5" s="613">
        <v>10</v>
      </c>
      <c r="BE5" s="613">
        <v>10</v>
      </c>
      <c r="BF5" s="613">
        <v>10</v>
      </c>
      <c r="BG5" s="613">
        <v>10</v>
      </c>
      <c r="BH5" s="613">
        <v>5.1059916075</v>
      </c>
      <c r="BI5" s="613">
        <v>10</v>
      </c>
      <c r="BJ5" s="613">
        <v>10</v>
      </c>
      <c r="BK5" s="613">
        <v>10</v>
      </c>
      <c r="BL5" s="613">
        <v>1.3490671599999997</v>
      </c>
      <c r="BM5" s="613">
        <v>10</v>
      </c>
      <c r="BN5" s="613">
        <v>10</v>
      </c>
      <c r="BO5" s="613">
        <v>3.7753127691666668</v>
      </c>
      <c r="BP5" s="613">
        <v>10</v>
      </c>
      <c r="BQ5" s="613">
        <v>10</v>
      </c>
      <c r="BR5" s="613">
        <v>0.84119850222222226</v>
      </c>
      <c r="BS5" s="613">
        <v>7.5074607333333319</v>
      </c>
      <c r="BT5" s="613">
        <v>4.3362228387500004</v>
      </c>
      <c r="BU5" s="613">
        <v>10</v>
      </c>
      <c r="BV5" s="613">
        <v>10</v>
      </c>
      <c r="BW5" s="613">
        <v>10</v>
      </c>
      <c r="BX5" s="613">
        <v>10</v>
      </c>
      <c r="BY5" s="613">
        <v>2.0857827466666663</v>
      </c>
      <c r="BZ5" s="613">
        <v>10</v>
      </c>
      <c r="CA5" s="613">
        <v>3.66138393</v>
      </c>
      <c r="CB5" s="613">
        <v>6.0305594841666661</v>
      </c>
      <c r="CC5" s="613">
        <v>5.6641148149999996</v>
      </c>
      <c r="CD5" s="613">
        <v>10</v>
      </c>
      <c r="CE5" s="613">
        <v>10</v>
      </c>
      <c r="CF5" s="613">
        <v>4.0281140149999999</v>
      </c>
      <c r="CG5" s="613">
        <v>10</v>
      </c>
      <c r="CH5" s="613">
        <v>10</v>
      </c>
      <c r="CI5" s="613">
        <v>10</v>
      </c>
      <c r="CJ5" s="613">
        <v>10</v>
      </c>
      <c r="CK5" s="613">
        <v>5.9694978299999999</v>
      </c>
      <c r="CL5" s="613">
        <v>10</v>
      </c>
      <c r="CM5" s="613">
        <v>10</v>
      </c>
      <c r="CN5" s="613">
        <v>2.2077014312499998</v>
      </c>
      <c r="CO5" s="613">
        <v>2.7900146449999994</v>
      </c>
      <c r="CP5" s="613">
        <v>3.8267621158333336</v>
      </c>
      <c r="CQ5" s="613">
        <v>10</v>
      </c>
      <c r="CR5" s="613">
        <v>10</v>
      </c>
      <c r="CS5" s="613">
        <v>10</v>
      </c>
      <c r="CT5" s="613">
        <v>10</v>
      </c>
      <c r="CU5" s="613">
        <v>10</v>
      </c>
      <c r="CV5" s="613">
        <v>10</v>
      </c>
      <c r="CW5" s="613">
        <v>10</v>
      </c>
      <c r="CX5" s="613">
        <v>4.4801918358333328</v>
      </c>
      <c r="CY5" s="613">
        <v>10</v>
      </c>
      <c r="CZ5" s="613">
        <v>4.8266866766666672</v>
      </c>
      <c r="DA5" s="613">
        <v>4.8186908441666665</v>
      </c>
      <c r="DB5" s="613">
        <v>10</v>
      </c>
      <c r="DC5" s="613">
        <v>10</v>
      </c>
      <c r="DD5" s="613">
        <v>10</v>
      </c>
      <c r="DE5" s="613">
        <v>3.5207254483333328</v>
      </c>
      <c r="DF5" s="613">
        <v>5.3467674299999999</v>
      </c>
      <c r="DG5" s="613">
        <v>10</v>
      </c>
      <c r="DH5" s="613">
        <v>3.6893386475000001</v>
      </c>
      <c r="DI5" s="613">
        <v>4.6693498858333342</v>
      </c>
      <c r="DJ5" s="613">
        <v>4.1314826858333333</v>
      </c>
      <c r="DK5" s="613">
        <v>10</v>
      </c>
      <c r="DL5" s="613">
        <v>2.25846825</v>
      </c>
      <c r="DM5" s="613">
        <v>3.2287796025000004</v>
      </c>
      <c r="DN5" s="613">
        <v>10</v>
      </c>
      <c r="DO5" s="613">
        <v>5.0922521700000001</v>
      </c>
      <c r="DP5" s="613">
        <v>10</v>
      </c>
      <c r="DQ5" s="613">
        <v>4.9103858616666667</v>
      </c>
      <c r="DR5" s="613">
        <v>10</v>
      </c>
      <c r="DS5" s="613">
        <v>6.3309216316666657</v>
      </c>
      <c r="DT5" s="613">
        <v>10</v>
      </c>
      <c r="DU5" s="613">
        <v>6.9603453800000006</v>
      </c>
      <c r="DV5" s="613">
        <v>10</v>
      </c>
      <c r="DW5" s="613">
        <v>10</v>
      </c>
      <c r="DX5" s="613">
        <v>3.1909275037500002</v>
      </c>
      <c r="DY5" s="613">
        <v>6.2439902433333341</v>
      </c>
      <c r="DZ5" s="613">
        <v>10</v>
      </c>
      <c r="EA5" s="613">
        <v>5.1084614037499998</v>
      </c>
      <c r="EB5" s="613">
        <v>3.0388273175</v>
      </c>
      <c r="EC5" s="613">
        <v>4.9364093716666666</v>
      </c>
      <c r="ED5" s="613">
        <v>10</v>
      </c>
      <c r="EE5" s="613">
        <v>10</v>
      </c>
      <c r="EF5" s="613">
        <v>6.5450781375</v>
      </c>
      <c r="EG5" s="613">
        <v>10</v>
      </c>
      <c r="EH5" s="613">
        <v>10</v>
      </c>
      <c r="EI5" s="613">
        <v>10</v>
      </c>
      <c r="EJ5" s="613">
        <v>10</v>
      </c>
      <c r="EK5" s="613">
        <v>7.0353388088888904</v>
      </c>
      <c r="EL5" s="613">
        <v>10</v>
      </c>
      <c r="EM5" s="613">
        <v>7.5043997200000003</v>
      </c>
      <c r="EN5" s="613">
        <v>5.4414131824999998</v>
      </c>
      <c r="EO5" s="613">
        <v>7.3650523575000006</v>
      </c>
      <c r="EP5" s="613">
        <v>7.3732491375000002</v>
      </c>
      <c r="EQ5" s="613">
        <v>10</v>
      </c>
      <c r="ER5" s="613">
        <v>10</v>
      </c>
      <c r="ES5" s="613">
        <v>10</v>
      </c>
      <c r="ET5" s="613">
        <v>7.0349481899999997</v>
      </c>
      <c r="EU5" s="613">
        <v>10</v>
      </c>
      <c r="EV5" s="613">
        <v>8.2641067877777772</v>
      </c>
      <c r="EW5" s="613">
        <v>10</v>
      </c>
      <c r="EX5" s="613">
        <v>4.104034116666667</v>
      </c>
      <c r="EY5" s="613">
        <v>8.4222659233333346</v>
      </c>
      <c r="EZ5" s="613">
        <v>6.6496000341666663</v>
      </c>
      <c r="FA5" s="613">
        <v>10</v>
      </c>
      <c r="FB5" s="613">
        <v>10</v>
      </c>
      <c r="FC5" s="613">
        <v>10</v>
      </c>
      <c r="FD5" s="613">
        <v>10</v>
      </c>
      <c r="FE5" s="613">
        <v>6.1131210724999994</v>
      </c>
      <c r="FF5" s="613">
        <v>10</v>
      </c>
      <c r="FG5" s="613">
        <v>4.1682048525000006</v>
      </c>
      <c r="FH5" s="613">
        <v>2.9943736325000003</v>
      </c>
      <c r="FI5" s="613">
        <v>7.0784245355555564</v>
      </c>
      <c r="FJ5" s="613">
        <v>10</v>
      </c>
      <c r="FK5" s="613">
        <v>4.5278933924999993</v>
      </c>
      <c r="FL5" s="613">
        <v>10</v>
      </c>
      <c r="FM5" s="613">
        <v>3.3290390624999997</v>
      </c>
      <c r="FN5" s="613">
        <v>7.3768364674999996</v>
      </c>
      <c r="FO5" s="613">
        <v>10</v>
      </c>
      <c r="FP5" s="613">
        <v>9.3825098311111113</v>
      </c>
      <c r="FQ5" s="613">
        <v>6.0421207300000006</v>
      </c>
      <c r="FR5" s="613">
        <v>10</v>
      </c>
      <c r="FS5" s="613">
        <v>4.0039988424999997</v>
      </c>
      <c r="FT5" s="613">
        <v>6.5669671955555566</v>
      </c>
    </row>
    <row r="6" spans="1:206" s="613" customFormat="1" x14ac:dyDescent="0.2">
      <c r="A6" s="1488" t="s">
        <v>315</v>
      </c>
      <c r="B6" s="613">
        <v>10</v>
      </c>
      <c r="C6" s="613">
        <v>10</v>
      </c>
      <c r="D6" s="613">
        <v>10</v>
      </c>
      <c r="E6" s="613">
        <v>10</v>
      </c>
      <c r="F6" s="613">
        <v>10</v>
      </c>
      <c r="G6" s="613">
        <v>10</v>
      </c>
      <c r="H6" s="613">
        <v>10</v>
      </c>
      <c r="I6" s="613">
        <v>10</v>
      </c>
      <c r="J6" s="613">
        <v>10</v>
      </c>
      <c r="K6" s="613">
        <v>10</v>
      </c>
      <c r="L6" s="613">
        <v>3.4279173900000002</v>
      </c>
      <c r="M6" s="613">
        <v>10</v>
      </c>
      <c r="N6" s="613">
        <v>10</v>
      </c>
      <c r="O6" s="613">
        <v>10</v>
      </c>
      <c r="P6" s="613">
        <v>10</v>
      </c>
      <c r="Q6" s="613">
        <v>10</v>
      </c>
      <c r="R6" s="613">
        <v>10</v>
      </c>
      <c r="S6" s="613">
        <v>10</v>
      </c>
      <c r="T6" s="613">
        <v>10</v>
      </c>
      <c r="U6" s="613">
        <v>10</v>
      </c>
      <c r="V6" s="613">
        <v>10</v>
      </c>
      <c r="W6" s="613">
        <v>10</v>
      </c>
      <c r="X6" s="613">
        <v>10</v>
      </c>
      <c r="Y6" s="613">
        <v>10</v>
      </c>
      <c r="Z6" s="613">
        <v>10</v>
      </c>
      <c r="AA6" s="613">
        <v>10</v>
      </c>
      <c r="AB6" s="613">
        <v>10</v>
      </c>
      <c r="AC6" s="613">
        <v>10</v>
      </c>
      <c r="AD6" s="613">
        <v>10</v>
      </c>
      <c r="AE6" s="613">
        <v>4.3864334825000002</v>
      </c>
      <c r="AF6" s="613">
        <v>10</v>
      </c>
      <c r="AG6" s="613">
        <v>10</v>
      </c>
      <c r="AH6" s="613">
        <v>10</v>
      </c>
      <c r="AI6" s="613">
        <v>10</v>
      </c>
      <c r="AJ6" s="613">
        <v>10</v>
      </c>
      <c r="AK6" s="613">
        <v>4.7388929200000005</v>
      </c>
      <c r="AL6" s="613">
        <v>4.8076171370833336</v>
      </c>
      <c r="AM6" s="613">
        <v>4.3561683616666667</v>
      </c>
      <c r="AN6" s="613">
        <v>3.9138057474999997</v>
      </c>
      <c r="AO6" s="613">
        <v>4.0763705825000001</v>
      </c>
      <c r="AP6" s="613">
        <v>5.9997200424999999</v>
      </c>
      <c r="AQ6" s="613">
        <v>5.3752575049999995</v>
      </c>
      <c r="AR6" s="613">
        <v>3.7303123125000006</v>
      </c>
      <c r="AS6" s="613">
        <v>10</v>
      </c>
      <c r="AT6" s="613">
        <v>2.26449721</v>
      </c>
      <c r="AU6" s="613">
        <v>6.3920401341666668</v>
      </c>
      <c r="AV6" s="613">
        <v>4.8866314554166665</v>
      </c>
      <c r="AW6" s="613">
        <v>10</v>
      </c>
      <c r="AX6" s="613">
        <v>4.2341352387499995</v>
      </c>
      <c r="AY6" s="613">
        <v>3.5551276324999996</v>
      </c>
      <c r="AZ6" s="613">
        <v>10</v>
      </c>
      <c r="BA6" s="613">
        <v>4.4060768574999996</v>
      </c>
      <c r="BB6" s="613">
        <v>10</v>
      </c>
      <c r="BC6" s="613">
        <v>10</v>
      </c>
      <c r="BD6" s="613">
        <v>10</v>
      </c>
      <c r="BE6" s="613">
        <v>10</v>
      </c>
      <c r="BF6" s="613">
        <v>10</v>
      </c>
      <c r="BG6" s="613">
        <v>10</v>
      </c>
      <c r="BH6" s="613">
        <v>5.3336718308333335</v>
      </c>
      <c r="BI6" s="613">
        <v>10</v>
      </c>
      <c r="BJ6" s="613">
        <v>10</v>
      </c>
      <c r="BK6" s="613">
        <v>10</v>
      </c>
      <c r="BL6" s="613">
        <v>3.8788978172222222</v>
      </c>
      <c r="BM6" s="613">
        <v>10</v>
      </c>
      <c r="BN6" s="613">
        <v>10</v>
      </c>
      <c r="BO6" s="613">
        <v>3.5716537416666667</v>
      </c>
      <c r="BP6" s="613">
        <v>10</v>
      </c>
      <c r="BQ6" s="613">
        <v>10</v>
      </c>
      <c r="BR6" s="613">
        <v>2.1439292012499997</v>
      </c>
      <c r="BS6" s="613">
        <v>5.8792764674999995</v>
      </c>
      <c r="BT6" s="613">
        <v>4.1602216937499996</v>
      </c>
      <c r="BU6" s="613">
        <v>10</v>
      </c>
      <c r="BV6" s="613">
        <v>10</v>
      </c>
      <c r="BW6" s="613">
        <v>10</v>
      </c>
      <c r="BX6" s="613">
        <v>10</v>
      </c>
      <c r="BY6" s="613">
        <v>3.2480508454166666</v>
      </c>
      <c r="BZ6" s="613">
        <v>10</v>
      </c>
      <c r="CA6" s="613">
        <v>2.4793974516666668</v>
      </c>
      <c r="CB6" s="613">
        <v>2.735660521666667</v>
      </c>
      <c r="CC6" s="613">
        <v>4.1991650070833328</v>
      </c>
      <c r="CD6" s="613">
        <v>10</v>
      </c>
      <c r="CE6" s="613">
        <v>10</v>
      </c>
      <c r="CF6" s="613">
        <v>4.1741979458333329</v>
      </c>
      <c r="CG6" s="613">
        <v>10</v>
      </c>
      <c r="CH6" s="613">
        <v>10</v>
      </c>
      <c r="CI6" s="613">
        <v>10</v>
      </c>
      <c r="CJ6" s="613">
        <v>10</v>
      </c>
      <c r="CK6" s="613">
        <v>3.3327003937499997</v>
      </c>
      <c r="CL6" s="613">
        <v>10</v>
      </c>
      <c r="CM6" s="613">
        <v>10</v>
      </c>
      <c r="CN6" s="613">
        <v>3.1823931891666666</v>
      </c>
      <c r="CO6" s="613">
        <v>3.5492816591666667</v>
      </c>
      <c r="CP6" s="613">
        <v>5.5142330800000003</v>
      </c>
      <c r="CQ6" s="613">
        <v>10</v>
      </c>
      <c r="CR6" s="613">
        <v>10</v>
      </c>
      <c r="CS6" s="613">
        <v>10</v>
      </c>
      <c r="CT6" s="613">
        <v>10</v>
      </c>
      <c r="CU6" s="613">
        <v>10</v>
      </c>
      <c r="CV6" s="613">
        <v>10</v>
      </c>
      <c r="CW6" s="613">
        <v>10</v>
      </c>
      <c r="CX6" s="613">
        <v>1.5583395691666666</v>
      </c>
      <c r="CY6" s="613">
        <v>10</v>
      </c>
      <c r="CZ6" s="613">
        <v>4.3937115462500005</v>
      </c>
      <c r="DA6" s="613">
        <v>5.4786751466666672</v>
      </c>
      <c r="DB6" s="613">
        <v>10</v>
      </c>
      <c r="DC6" s="613">
        <v>10</v>
      </c>
      <c r="DD6" s="613">
        <v>10</v>
      </c>
      <c r="DE6" s="613">
        <v>4.3241583050000001</v>
      </c>
      <c r="DF6" s="613">
        <v>5.8744891258333336</v>
      </c>
      <c r="DG6" s="613">
        <v>10</v>
      </c>
      <c r="DH6" s="613">
        <v>4.4484216950000004</v>
      </c>
      <c r="DI6" s="613">
        <v>5.014700921666666</v>
      </c>
      <c r="DJ6" s="613">
        <v>6.5090926695833335</v>
      </c>
      <c r="DK6" s="613">
        <v>10</v>
      </c>
      <c r="DL6" s="613">
        <v>4.8731347549999997</v>
      </c>
      <c r="DM6" s="613">
        <v>2.0495567795833329</v>
      </c>
      <c r="DN6" s="613">
        <v>10</v>
      </c>
      <c r="DO6" s="613">
        <v>2.9287926545833329</v>
      </c>
      <c r="DP6" s="613">
        <v>10</v>
      </c>
      <c r="DQ6" s="613">
        <v>3.4021144795833336</v>
      </c>
      <c r="DR6" s="613">
        <v>10</v>
      </c>
      <c r="DS6" s="613">
        <v>4.9236183170833332</v>
      </c>
      <c r="DT6" s="613">
        <v>10</v>
      </c>
      <c r="DU6" s="613">
        <v>5.424141425416666</v>
      </c>
      <c r="DV6" s="613">
        <v>10</v>
      </c>
      <c r="DW6" s="613">
        <v>10</v>
      </c>
      <c r="DX6" s="613">
        <v>2.7347489162500001</v>
      </c>
      <c r="DY6" s="613">
        <v>4.4312256899999998</v>
      </c>
      <c r="DZ6" s="613">
        <v>10</v>
      </c>
      <c r="EA6" s="613">
        <v>3.9575217133333336</v>
      </c>
      <c r="EB6" s="613">
        <v>3.4196589608333334</v>
      </c>
      <c r="EC6" s="613">
        <v>3.8176501433333332</v>
      </c>
      <c r="ED6" s="613">
        <v>10</v>
      </c>
      <c r="EE6" s="613">
        <v>10</v>
      </c>
      <c r="EF6" s="613">
        <v>5.1517761537499993</v>
      </c>
      <c r="EG6" s="613">
        <v>10</v>
      </c>
      <c r="EH6" s="613">
        <v>10</v>
      </c>
      <c r="EI6" s="613">
        <v>10</v>
      </c>
      <c r="EJ6" s="613">
        <v>10</v>
      </c>
      <c r="EK6" s="613">
        <v>5.6151006262500003</v>
      </c>
      <c r="EL6" s="613">
        <v>10</v>
      </c>
      <c r="EM6" s="613">
        <v>6.7349083399999996</v>
      </c>
      <c r="EN6" s="613">
        <v>2.3297445699999999</v>
      </c>
      <c r="EO6" s="613">
        <v>5.6421825412500004</v>
      </c>
      <c r="EP6" s="613">
        <v>7.0163529833333342</v>
      </c>
      <c r="EQ6" s="613">
        <v>10</v>
      </c>
      <c r="ER6" s="613">
        <v>10</v>
      </c>
      <c r="ES6" s="613">
        <v>10</v>
      </c>
      <c r="ET6" s="613">
        <v>5.75355326625</v>
      </c>
      <c r="EU6" s="613">
        <v>10</v>
      </c>
      <c r="EV6" s="613">
        <v>5.0327367050000005</v>
      </c>
      <c r="EW6" s="613">
        <v>10</v>
      </c>
      <c r="EX6" s="613">
        <v>2.3512863345833335</v>
      </c>
      <c r="EY6" s="613">
        <v>6.2123438437500003</v>
      </c>
      <c r="EZ6" s="613">
        <v>2.6084836783333332</v>
      </c>
      <c r="FA6" s="613">
        <v>10</v>
      </c>
      <c r="FB6" s="613">
        <v>10</v>
      </c>
      <c r="FC6" s="613">
        <v>10</v>
      </c>
      <c r="FD6" s="613">
        <v>10</v>
      </c>
      <c r="FE6" s="613">
        <v>5.6994405695833343</v>
      </c>
      <c r="FF6" s="613">
        <v>10</v>
      </c>
      <c r="FG6" s="613">
        <v>6.4133710412500005</v>
      </c>
      <c r="FH6" s="613">
        <v>2.5051948258333336</v>
      </c>
      <c r="FI6" s="613">
        <v>6.9296570549999998</v>
      </c>
      <c r="FJ6" s="613">
        <v>10</v>
      </c>
      <c r="FK6" s="613">
        <v>5.5409725999999999</v>
      </c>
      <c r="FL6" s="613">
        <v>10</v>
      </c>
      <c r="FM6" s="613">
        <v>3.6516798829166666</v>
      </c>
      <c r="FN6" s="613">
        <v>6.2492288962500009</v>
      </c>
      <c r="FO6" s="613">
        <v>10</v>
      </c>
      <c r="FP6" s="613">
        <v>6.3759347462500005</v>
      </c>
      <c r="FQ6" s="613">
        <v>1.8371062000000002</v>
      </c>
      <c r="FR6" s="613">
        <v>10</v>
      </c>
      <c r="FS6" s="613">
        <v>2.7190072583333338</v>
      </c>
      <c r="FT6" s="613">
        <v>4.2716482137499998</v>
      </c>
    </row>
    <row r="7" spans="1:206" s="613" customFormat="1" x14ac:dyDescent="0.2">
      <c r="A7" s="1488" t="s">
        <v>70</v>
      </c>
      <c r="B7" s="613">
        <v>2.5695746672222217</v>
      </c>
      <c r="C7" s="613">
        <v>2.9336912433333335</v>
      </c>
      <c r="D7" s="613">
        <v>4.4402865044444448</v>
      </c>
      <c r="E7" s="613">
        <v>4.4764931868055555</v>
      </c>
      <c r="F7" s="613">
        <v>1.6914084129166671</v>
      </c>
      <c r="G7" s="613">
        <v>2.0056871455</v>
      </c>
      <c r="H7" s="613">
        <v>4.6400641352380942</v>
      </c>
      <c r="I7" s="613">
        <v>3.8568736101190471</v>
      </c>
      <c r="J7" s="613">
        <v>3.2168576516666665</v>
      </c>
      <c r="K7" s="613">
        <v>4.1323065819047615</v>
      </c>
      <c r="L7" s="613">
        <v>3.3348399534523807</v>
      </c>
      <c r="M7" s="613">
        <v>1.682834557261905</v>
      </c>
      <c r="N7" s="613">
        <v>3.106175454047619</v>
      </c>
      <c r="O7" s="613">
        <v>3.6120348909523816</v>
      </c>
      <c r="P7" s="613">
        <v>3.2024506065277776</v>
      </c>
      <c r="Q7" s="613">
        <v>2.3630422644047622</v>
      </c>
      <c r="R7" s="613">
        <v>5.1838909549999999</v>
      </c>
      <c r="S7" s="613">
        <v>3.9946629041666664</v>
      </c>
      <c r="T7" s="613">
        <v>3.2712854415277777</v>
      </c>
      <c r="U7" s="613">
        <v>2.4660252172222221</v>
      </c>
      <c r="V7" s="613">
        <v>3.428112703333333</v>
      </c>
      <c r="W7" s="613">
        <v>3.4804913120833336</v>
      </c>
      <c r="X7" s="613">
        <v>4.2353046221428565</v>
      </c>
      <c r="Y7" s="613">
        <v>3.9380703229166665</v>
      </c>
      <c r="Z7" s="613">
        <v>3.3967749065476189</v>
      </c>
      <c r="AA7" s="613">
        <v>2.5460116606944445</v>
      </c>
      <c r="AB7" s="613">
        <v>3.2001292495833331</v>
      </c>
      <c r="AC7" s="613">
        <v>2.1455266662500003</v>
      </c>
      <c r="AD7" s="613">
        <v>2.2448174372619047</v>
      </c>
      <c r="AE7" s="613">
        <v>2.5084020347619047</v>
      </c>
      <c r="AF7" s="613">
        <v>2.4099460072619046</v>
      </c>
      <c r="AG7" s="613">
        <v>2.0432727822619046</v>
      </c>
      <c r="AH7" s="613">
        <v>3.5199155058333331</v>
      </c>
      <c r="AI7" s="613">
        <v>3.0405506581944448</v>
      </c>
      <c r="AJ7" s="613">
        <v>2.272652910119048</v>
      </c>
      <c r="AK7" s="613">
        <v>2.5461526415</v>
      </c>
      <c r="AL7" s="613">
        <v>1.8697392426190476</v>
      </c>
      <c r="AM7" s="613">
        <v>2.9490418177777777</v>
      </c>
      <c r="AN7" s="613">
        <v>3.1531805679166665</v>
      </c>
      <c r="AO7" s="613">
        <v>2.7294742692857143</v>
      </c>
      <c r="AP7" s="613">
        <v>4.2148474450000002</v>
      </c>
      <c r="AQ7" s="613">
        <v>4.443907794166666</v>
      </c>
      <c r="AR7" s="613">
        <v>3.3651167610000003</v>
      </c>
      <c r="AS7" s="613">
        <v>3.4983680609722216</v>
      </c>
      <c r="AT7" s="613">
        <v>2.1476501615000001</v>
      </c>
      <c r="AU7" s="613">
        <v>4.1480610579166672</v>
      </c>
      <c r="AV7" s="613">
        <v>2.1943686101190476</v>
      </c>
      <c r="AW7" s="613">
        <v>5.5176250310714288</v>
      </c>
      <c r="AX7" s="613">
        <v>4.158337349880953</v>
      </c>
      <c r="AY7" s="613">
        <v>2.2057328345833329</v>
      </c>
      <c r="AZ7" s="613">
        <v>2.5380152748809524</v>
      </c>
      <c r="BA7" s="613">
        <v>4.5451742553571428</v>
      </c>
      <c r="BB7" s="613">
        <v>3.3230044772222223</v>
      </c>
      <c r="BC7" s="613">
        <v>2.9788526708333327</v>
      </c>
      <c r="BD7" s="613">
        <v>3.3412845866666667</v>
      </c>
      <c r="BE7" s="613">
        <v>3.538255885555555</v>
      </c>
      <c r="BF7" s="613">
        <v>5.3932843115000004</v>
      </c>
      <c r="BG7" s="613">
        <v>1.4229982286904761</v>
      </c>
      <c r="BH7" s="613">
        <v>4.4674725831944446</v>
      </c>
      <c r="BI7" s="613">
        <v>3.4311796150000005</v>
      </c>
      <c r="BJ7" s="613">
        <v>2.8097307236904756</v>
      </c>
      <c r="BK7" s="613">
        <v>1.921963212738095</v>
      </c>
      <c r="BL7" s="613">
        <v>1.7598951334722224</v>
      </c>
      <c r="BM7" s="613">
        <v>3.072346536190476</v>
      </c>
      <c r="BN7" s="613">
        <v>4.7531051345238087</v>
      </c>
      <c r="BO7" s="613">
        <v>2.6740151854761907</v>
      </c>
      <c r="BP7" s="613">
        <v>2.3906369845238098</v>
      </c>
      <c r="BQ7" s="613">
        <v>3.5889672084722224</v>
      </c>
      <c r="BR7" s="613">
        <v>1.7673857737500001</v>
      </c>
      <c r="BS7" s="613">
        <v>2.2899563541666668</v>
      </c>
      <c r="BT7" s="613">
        <v>2.3058004759722222</v>
      </c>
      <c r="BU7" s="613">
        <v>1.6105556189285712</v>
      </c>
      <c r="BV7" s="613">
        <v>2.783510274027778</v>
      </c>
      <c r="BW7" s="613">
        <v>3.9887960291666671</v>
      </c>
      <c r="BX7" s="613">
        <v>2.6310483513888889</v>
      </c>
      <c r="BY7" s="613">
        <v>1.9030648658333331</v>
      </c>
      <c r="BZ7" s="613">
        <v>1.5813005551190475</v>
      </c>
      <c r="CA7" s="613">
        <v>2.835170501111111</v>
      </c>
      <c r="CB7" s="613">
        <v>3.9744762509523808</v>
      </c>
      <c r="CC7" s="613">
        <v>2.9639155702380955</v>
      </c>
      <c r="CD7" s="613">
        <v>3.1314536926190479</v>
      </c>
      <c r="CE7" s="613">
        <v>6.0054455052777778</v>
      </c>
      <c r="CF7" s="613">
        <v>3.3266159211904762</v>
      </c>
      <c r="CG7" s="613">
        <v>2.5913834723809521</v>
      </c>
      <c r="CH7" s="613">
        <v>3.25438605125</v>
      </c>
      <c r="CI7" s="613">
        <v>2.3690405432142856</v>
      </c>
      <c r="CJ7" s="613">
        <v>4.928631512361112</v>
      </c>
      <c r="CK7" s="613">
        <v>5.0113241094999994</v>
      </c>
      <c r="CL7" s="613">
        <v>5.485034905</v>
      </c>
      <c r="CM7" s="613">
        <v>3.4760307172619047</v>
      </c>
      <c r="CN7" s="613">
        <v>2.3277053772222223</v>
      </c>
      <c r="CO7" s="613">
        <v>3.7449050897619047</v>
      </c>
      <c r="CP7" s="613">
        <v>3.4258679958333333</v>
      </c>
      <c r="CQ7" s="613">
        <v>3.4176963833333334</v>
      </c>
      <c r="CR7" s="613">
        <v>2.743510734404762</v>
      </c>
      <c r="CS7" s="613">
        <v>2.9318067580555551</v>
      </c>
      <c r="CT7" s="613">
        <v>2.0766785791666664</v>
      </c>
      <c r="CU7" s="613">
        <v>2.7761191609523812</v>
      </c>
      <c r="CV7" s="613">
        <v>2.6639978639999997</v>
      </c>
      <c r="CW7" s="613">
        <v>4.7039732804166672</v>
      </c>
      <c r="CX7" s="613">
        <v>2.4522450722619045</v>
      </c>
      <c r="CY7" s="613">
        <v>1.8186479683333334</v>
      </c>
      <c r="CZ7" s="613">
        <v>3.4237233447619047</v>
      </c>
      <c r="DA7" s="613">
        <v>2.8155435877380954</v>
      </c>
      <c r="DB7" s="613">
        <v>3.4653915135000002</v>
      </c>
      <c r="DC7" s="613">
        <v>2.379382475595238</v>
      </c>
      <c r="DD7" s="613">
        <v>3.7754661355555559</v>
      </c>
      <c r="DE7" s="613">
        <v>3.2857723215476193</v>
      </c>
      <c r="DF7" s="613">
        <v>3.2176036823809531</v>
      </c>
      <c r="DG7" s="613">
        <v>3.9759131349999999</v>
      </c>
      <c r="DH7" s="613">
        <v>4.5276813433333336</v>
      </c>
      <c r="DI7" s="613">
        <v>4.4074251044047621</v>
      </c>
      <c r="DJ7" s="613">
        <v>3.8510386029761898</v>
      </c>
      <c r="DK7" s="613">
        <v>3.6367465979166664</v>
      </c>
      <c r="DL7" s="613">
        <v>1.6374870385000002</v>
      </c>
      <c r="DM7" s="613">
        <v>6.1058693419444445</v>
      </c>
      <c r="DN7" s="613">
        <v>2.2050493272619049</v>
      </c>
      <c r="DO7" s="613">
        <v>3.2734922761904759</v>
      </c>
      <c r="DP7" s="613">
        <v>3.7895528954761906</v>
      </c>
      <c r="DQ7" s="613">
        <v>3.162459477738095</v>
      </c>
      <c r="DR7" s="613">
        <v>2.0596887204761902</v>
      </c>
      <c r="DS7" s="613">
        <v>4.6679404484523799</v>
      </c>
      <c r="DT7" s="613">
        <v>2.812265587222222</v>
      </c>
      <c r="DU7" s="613">
        <v>5.1790140937499993</v>
      </c>
      <c r="DV7" s="613">
        <v>6.065279962</v>
      </c>
      <c r="DW7" s="613">
        <v>1.7068072394047615</v>
      </c>
      <c r="DX7" s="613">
        <v>3.4943205172222225</v>
      </c>
      <c r="DY7" s="613">
        <v>4.7577882139999996</v>
      </c>
      <c r="DZ7" s="613">
        <v>3.5440028000000008</v>
      </c>
      <c r="EA7" s="613">
        <v>3.848713684861111</v>
      </c>
      <c r="EB7" s="613">
        <v>1.786012500833333</v>
      </c>
      <c r="EC7" s="613">
        <v>3.5186528490476192</v>
      </c>
      <c r="ED7" s="613">
        <v>2.8538865687499997</v>
      </c>
      <c r="EE7" s="613">
        <v>2.5553426875</v>
      </c>
      <c r="EF7" s="613">
        <v>6.1206253316666661</v>
      </c>
      <c r="EG7" s="613">
        <v>3.262662297380952</v>
      </c>
      <c r="EH7" s="613">
        <v>3.7829664384999999</v>
      </c>
      <c r="EI7" s="613">
        <v>4.3246962040000003</v>
      </c>
      <c r="EJ7" s="613">
        <v>6.1909894975000004</v>
      </c>
      <c r="EK7" s="613">
        <v>3.3835472641666668</v>
      </c>
      <c r="EL7" s="613">
        <v>2.5311135211904761</v>
      </c>
      <c r="EM7" s="613">
        <v>2.8326296850000006</v>
      </c>
      <c r="EN7" s="613">
        <v>6.3240268487500009</v>
      </c>
      <c r="EO7" s="613">
        <v>5.3785637804999995</v>
      </c>
      <c r="EP7" s="613">
        <v>3.4351695646428571</v>
      </c>
      <c r="EQ7" s="613">
        <v>1.4737404897619046</v>
      </c>
      <c r="ER7" s="613">
        <v>1.9544873423809526</v>
      </c>
      <c r="ES7" s="613">
        <v>3.7184399867857145</v>
      </c>
      <c r="ET7" s="613">
        <v>6.1396755904999996</v>
      </c>
      <c r="EU7" s="613">
        <v>2.0924093351388886</v>
      </c>
      <c r="EV7" s="613">
        <v>2.3479355441666669</v>
      </c>
      <c r="EW7" s="613">
        <v>3.4798483129999997</v>
      </c>
      <c r="EX7" s="613">
        <v>3.7563922936904763</v>
      </c>
      <c r="EY7" s="613">
        <v>3.1078048224999999</v>
      </c>
      <c r="EZ7" s="613">
        <v>3.9222594264285711</v>
      </c>
      <c r="FA7" s="613">
        <v>4.5654533984523811</v>
      </c>
      <c r="FB7" s="613">
        <v>4.7565445915</v>
      </c>
      <c r="FC7" s="613">
        <v>3.5789043782142853</v>
      </c>
      <c r="FD7" s="613">
        <v>2.6402235649999999</v>
      </c>
      <c r="FE7" s="613">
        <v>5.2268539084523802</v>
      </c>
      <c r="FF7" s="613">
        <v>2.9500566433333337</v>
      </c>
      <c r="FG7" s="613">
        <v>4.4178917947619043</v>
      </c>
      <c r="FH7" s="613">
        <v>3.805430385357143</v>
      </c>
      <c r="FI7" s="613">
        <v>3.1934931995833331</v>
      </c>
      <c r="FJ7" s="613">
        <v>3.4735435020833334</v>
      </c>
      <c r="FK7" s="613">
        <v>2.301228287261905</v>
      </c>
      <c r="FL7" s="613">
        <v>3.1776989183333333</v>
      </c>
      <c r="FM7" s="613">
        <v>3.3610764479761905</v>
      </c>
      <c r="FN7" s="613">
        <v>4.0736982045238097</v>
      </c>
      <c r="FO7" s="613">
        <v>2.8199103517857145</v>
      </c>
      <c r="FP7" s="613">
        <v>3.2384742958333335</v>
      </c>
      <c r="FQ7" s="613">
        <v>2.571519383</v>
      </c>
      <c r="FR7" s="613">
        <v>3.3988483797619056</v>
      </c>
      <c r="FS7" s="613">
        <v>3.8699132373611111</v>
      </c>
      <c r="FT7" s="613">
        <v>2.2329381287500003</v>
      </c>
    </row>
    <row r="8" spans="1:206" s="613" customFormat="1" x14ac:dyDescent="0.2">
      <c r="A8" s="1488" t="s">
        <v>280</v>
      </c>
      <c r="B8" s="613">
        <v>0</v>
      </c>
      <c r="C8" s="613">
        <v>0</v>
      </c>
      <c r="D8" s="613">
        <v>0</v>
      </c>
      <c r="E8" s="613">
        <v>0</v>
      </c>
      <c r="F8" s="613">
        <v>0</v>
      </c>
      <c r="G8" s="613">
        <v>0</v>
      </c>
      <c r="H8" s="613">
        <v>0</v>
      </c>
      <c r="I8" s="613">
        <v>0</v>
      </c>
      <c r="J8" s="613">
        <v>0</v>
      </c>
      <c r="K8" s="613">
        <v>0</v>
      </c>
      <c r="L8" s="613">
        <v>4.0132451216666665</v>
      </c>
      <c r="M8" s="613">
        <v>0</v>
      </c>
      <c r="N8" s="613">
        <v>0</v>
      </c>
      <c r="O8" s="613">
        <v>0</v>
      </c>
      <c r="P8" s="613">
        <v>0</v>
      </c>
      <c r="Q8" s="613">
        <v>0</v>
      </c>
      <c r="R8" s="613">
        <v>0</v>
      </c>
      <c r="S8" s="613">
        <v>0</v>
      </c>
      <c r="T8" s="613">
        <v>0</v>
      </c>
      <c r="U8" s="613">
        <v>0</v>
      </c>
      <c r="V8" s="613">
        <v>0</v>
      </c>
      <c r="W8" s="613">
        <v>0</v>
      </c>
      <c r="X8" s="613">
        <v>0</v>
      </c>
      <c r="Y8" s="613">
        <v>0</v>
      </c>
      <c r="Z8" s="613">
        <v>0</v>
      </c>
      <c r="AA8" s="613">
        <v>0</v>
      </c>
      <c r="AB8" s="613">
        <v>0</v>
      </c>
      <c r="AC8" s="613">
        <v>0</v>
      </c>
      <c r="AD8" s="613">
        <v>0</v>
      </c>
      <c r="AE8" s="613">
        <v>2.4207251272222221</v>
      </c>
      <c r="AF8" s="613">
        <v>0</v>
      </c>
      <c r="AG8" s="613">
        <v>0</v>
      </c>
      <c r="AH8" s="613">
        <v>0</v>
      </c>
      <c r="AI8" s="613">
        <v>0</v>
      </c>
      <c r="AJ8" s="613">
        <v>0</v>
      </c>
      <c r="AK8" s="613">
        <v>3.7092822749999996</v>
      </c>
      <c r="AL8" s="613">
        <v>3.7472036355555556</v>
      </c>
      <c r="AM8" s="613">
        <v>5.2681940900000015</v>
      </c>
      <c r="AN8" s="613">
        <v>2.9042841158333332</v>
      </c>
      <c r="AO8" s="613">
        <v>1.3571323977777778</v>
      </c>
      <c r="AP8" s="613">
        <v>6.0326157174999997</v>
      </c>
      <c r="AQ8" s="613">
        <v>1.6384050508333332</v>
      </c>
      <c r="AR8" s="613">
        <v>2.0862607058333333</v>
      </c>
      <c r="AS8" s="613">
        <v>0</v>
      </c>
      <c r="AT8" s="613">
        <v>0.24918520249999998</v>
      </c>
      <c r="AU8" s="613">
        <v>6.8975494794444447</v>
      </c>
      <c r="AV8" s="613">
        <v>3.0781241855555557</v>
      </c>
      <c r="AW8" s="613">
        <v>0</v>
      </c>
      <c r="AX8" s="613">
        <v>5.918954420555556</v>
      </c>
      <c r="AY8" s="613">
        <v>5.6817260333333328</v>
      </c>
      <c r="AZ8" s="613">
        <v>0</v>
      </c>
      <c r="BA8" s="613">
        <v>8.2099468688888884</v>
      </c>
      <c r="BB8" s="613">
        <v>0</v>
      </c>
      <c r="BC8" s="613">
        <v>0</v>
      </c>
      <c r="BD8" s="613">
        <v>0</v>
      </c>
      <c r="BE8" s="613">
        <v>0</v>
      </c>
      <c r="BF8" s="613">
        <v>0</v>
      </c>
      <c r="BG8" s="613">
        <v>0</v>
      </c>
      <c r="BH8" s="613">
        <v>2.9732435149999996</v>
      </c>
      <c r="BI8" s="613">
        <v>0</v>
      </c>
      <c r="BJ8" s="613">
        <v>0</v>
      </c>
      <c r="BK8" s="613">
        <v>0</v>
      </c>
      <c r="BL8" s="613">
        <v>1.1276717255555555</v>
      </c>
      <c r="BM8" s="613">
        <v>0</v>
      </c>
      <c r="BN8" s="613">
        <v>0</v>
      </c>
      <c r="BO8" s="613">
        <v>4.4731992099999998</v>
      </c>
      <c r="BP8" s="613">
        <v>0</v>
      </c>
      <c r="BQ8" s="613">
        <v>0</v>
      </c>
      <c r="BR8" s="613">
        <v>2.8854906550000003</v>
      </c>
      <c r="BS8" s="613">
        <v>4.5085272533333329</v>
      </c>
      <c r="BT8" s="613">
        <v>3.3880107249999996</v>
      </c>
      <c r="BU8" s="613">
        <v>0</v>
      </c>
      <c r="BV8" s="613">
        <v>0</v>
      </c>
      <c r="BW8" s="613">
        <v>0</v>
      </c>
      <c r="BX8" s="613">
        <v>0</v>
      </c>
      <c r="BY8" s="613">
        <v>1.7834034027777779</v>
      </c>
      <c r="BZ8" s="613">
        <v>0</v>
      </c>
      <c r="CA8" s="613">
        <v>3.5491600744444445</v>
      </c>
      <c r="CB8" s="613">
        <v>4.9782217150000001</v>
      </c>
      <c r="CC8" s="613">
        <v>5.9292220233333328</v>
      </c>
      <c r="CD8" s="613">
        <v>0</v>
      </c>
      <c r="CE8" s="613">
        <v>0</v>
      </c>
      <c r="CF8" s="613">
        <v>3.0328005966666667</v>
      </c>
      <c r="CG8" s="613">
        <v>0</v>
      </c>
      <c r="CH8" s="613">
        <v>0</v>
      </c>
      <c r="CI8" s="613">
        <v>0</v>
      </c>
      <c r="CJ8" s="613">
        <v>0</v>
      </c>
      <c r="CK8" s="613">
        <v>4.1902276000000001</v>
      </c>
      <c r="CL8" s="613">
        <v>0</v>
      </c>
      <c r="CM8" s="613">
        <v>0</v>
      </c>
      <c r="CN8" s="613">
        <v>1.2937295938888891</v>
      </c>
      <c r="CO8" s="613">
        <v>1.6107559438888888</v>
      </c>
      <c r="CP8" s="613">
        <v>1.8475200372222222</v>
      </c>
      <c r="CQ8" s="613">
        <v>0</v>
      </c>
      <c r="CR8" s="613">
        <v>0</v>
      </c>
      <c r="CS8" s="613">
        <v>0</v>
      </c>
      <c r="CT8" s="613">
        <v>0</v>
      </c>
      <c r="CU8" s="613">
        <v>0</v>
      </c>
      <c r="CV8" s="613">
        <v>0</v>
      </c>
      <c r="CW8" s="613">
        <v>0</v>
      </c>
      <c r="CX8" s="613">
        <v>3.1046771450000001</v>
      </c>
      <c r="CY8" s="613">
        <v>0</v>
      </c>
      <c r="CZ8" s="613">
        <v>5.2614529022222225</v>
      </c>
      <c r="DA8" s="613">
        <v>6.2660160600000001</v>
      </c>
      <c r="DB8" s="613">
        <v>0</v>
      </c>
      <c r="DC8" s="613">
        <v>0</v>
      </c>
      <c r="DD8" s="613">
        <v>0</v>
      </c>
      <c r="DE8" s="613">
        <v>5.1758662233333332</v>
      </c>
      <c r="DF8" s="613">
        <v>6.9423007916666668</v>
      </c>
      <c r="DG8" s="613">
        <v>0</v>
      </c>
      <c r="DH8" s="613">
        <v>2.7714183666666665</v>
      </c>
      <c r="DI8" s="613">
        <v>4.6604687083333332</v>
      </c>
      <c r="DJ8" s="613">
        <v>4.1470658922222219</v>
      </c>
      <c r="DK8" s="613">
        <v>0</v>
      </c>
      <c r="DL8" s="613">
        <v>4.0594329591666671</v>
      </c>
      <c r="DM8" s="613">
        <v>5.0172304661111111</v>
      </c>
      <c r="DN8" s="613">
        <v>0</v>
      </c>
      <c r="DO8" s="613">
        <v>3.9765810344444446</v>
      </c>
      <c r="DP8" s="613">
        <v>0</v>
      </c>
      <c r="DQ8" s="613">
        <v>5.9030376188888889</v>
      </c>
      <c r="DR8" s="613">
        <v>0</v>
      </c>
      <c r="DS8" s="613">
        <v>6.0449254966666661</v>
      </c>
      <c r="DT8" s="613">
        <v>0</v>
      </c>
      <c r="DU8" s="613">
        <v>7.562596319999999</v>
      </c>
      <c r="DV8" s="613">
        <v>0</v>
      </c>
      <c r="DW8" s="613">
        <v>0</v>
      </c>
      <c r="DX8" s="613">
        <v>3.6394955327777772</v>
      </c>
      <c r="DY8" s="613">
        <v>3.3195996750000001</v>
      </c>
      <c r="DZ8" s="613">
        <v>0</v>
      </c>
      <c r="EA8" s="613">
        <v>3.6123201816666661</v>
      </c>
      <c r="EB8" s="613">
        <v>3.0388066138888892</v>
      </c>
      <c r="EC8" s="613">
        <v>4.0913026411111115</v>
      </c>
      <c r="ED8" s="613">
        <v>0</v>
      </c>
      <c r="EE8" s="613">
        <v>0</v>
      </c>
      <c r="EF8" s="613">
        <v>6.8134676344444447</v>
      </c>
      <c r="EG8" s="613">
        <v>0</v>
      </c>
      <c r="EH8" s="613">
        <v>0</v>
      </c>
      <c r="EI8" s="613">
        <v>0</v>
      </c>
      <c r="EJ8" s="613">
        <v>0</v>
      </c>
      <c r="EK8" s="613">
        <v>6.6072282675</v>
      </c>
      <c r="EL8" s="613">
        <v>0</v>
      </c>
      <c r="EM8" s="613">
        <v>6.6944140399999998</v>
      </c>
      <c r="EN8" s="613">
        <v>6.0810897799999992</v>
      </c>
      <c r="EO8" s="613">
        <v>5.6432340458333341</v>
      </c>
      <c r="EP8" s="613">
        <v>7.3291948361111103</v>
      </c>
      <c r="EQ8" s="613">
        <v>0</v>
      </c>
      <c r="ER8" s="613">
        <v>0</v>
      </c>
      <c r="ES8" s="613">
        <v>0</v>
      </c>
      <c r="ET8" s="613">
        <v>5.0426246283333329</v>
      </c>
      <c r="EU8" s="613">
        <v>0</v>
      </c>
      <c r="EV8" s="613">
        <v>5.8825446766666669</v>
      </c>
      <c r="EW8" s="613">
        <v>0</v>
      </c>
      <c r="EX8" s="613">
        <v>4.3742921472222225</v>
      </c>
      <c r="EY8" s="613">
        <v>7.2063570958333329</v>
      </c>
      <c r="EZ8" s="613">
        <v>6.0745024566666661</v>
      </c>
      <c r="FA8" s="613">
        <v>0</v>
      </c>
      <c r="FB8" s="613">
        <v>0</v>
      </c>
      <c r="FC8" s="613">
        <v>0</v>
      </c>
      <c r="FD8" s="613">
        <v>0</v>
      </c>
      <c r="FE8" s="613">
        <v>6.4141381938888884</v>
      </c>
      <c r="FF8" s="613">
        <v>0</v>
      </c>
      <c r="FG8" s="613">
        <v>4.3057490127777776</v>
      </c>
      <c r="FH8" s="613">
        <v>4.0154897033333334</v>
      </c>
      <c r="FI8" s="613">
        <v>5.3908766833333335</v>
      </c>
      <c r="FJ8" s="613">
        <v>0</v>
      </c>
      <c r="FK8" s="613">
        <v>5.6021639883333325</v>
      </c>
      <c r="FL8" s="613">
        <v>0</v>
      </c>
      <c r="FM8" s="613">
        <v>3.0433799655555553</v>
      </c>
      <c r="FN8" s="613">
        <v>6.5957743161111102</v>
      </c>
      <c r="FO8" s="613">
        <v>0</v>
      </c>
      <c r="FP8" s="613">
        <v>7.3204521733333339</v>
      </c>
      <c r="FQ8" s="613">
        <v>4.3411285758333333</v>
      </c>
      <c r="FR8" s="613">
        <v>0</v>
      </c>
      <c r="FS8" s="613">
        <v>5.1441790316666669</v>
      </c>
      <c r="FT8" s="613">
        <v>3.7337582908333333</v>
      </c>
    </row>
    <row r="9" spans="1:206" s="613" customFormat="1" x14ac:dyDescent="0.2">
      <c r="A9" s="1488" t="s">
        <v>1105</v>
      </c>
      <c r="B9" s="613">
        <v>3.0500145336666664</v>
      </c>
      <c r="C9" s="613">
        <v>2.2192426083333334</v>
      </c>
      <c r="D9" s="613">
        <v>2.1770203689999996</v>
      </c>
      <c r="E9" s="613">
        <v>2.7878167449999998</v>
      </c>
      <c r="F9" s="613">
        <v>1.656255823</v>
      </c>
      <c r="G9" s="613">
        <v>1.5407986819999999</v>
      </c>
      <c r="H9" s="613">
        <v>4.6450338249999996</v>
      </c>
      <c r="I9" s="613">
        <v>3.8379518183333339</v>
      </c>
      <c r="J9" s="613">
        <v>3.7813176226666663</v>
      </c>
      <c r="K9" s="613">
        <v>4.6864250336666666</v>
      </c>
      <c r="L9" s="613">
        <v>3.9695198248888888</v>
      </c>
      <c r="M9" s="613">
        <v>2.8250292536666666</v>
      </c>
      <c r="N9" s="613">
        <v>4.5624899069999998</v>
      </c>
      <c r="O9" s="613">
        <v>6.1696591160000001</v>
      </c>
      <c r="P9" s="613">
        <v>3.4898162163333337</v>
      </c>
      <c r="Q9" s="613">
        <v>3.5999666796666663</v>
      </c>
      <c r="R9" s="613">
        <v>5.1654853376666665</v>
      </c>
      <c r="S9" s="613">
        <v>4.0287555929999996</v>
      </c>
      <c r="T9" s="613">
        <v>1.7311900476666666</v>
      </c>
      <c r="U9" s="613">
        <v>1.5542081873333333</v>
      </c>
      <c r="V9" s="613">
        <v>4.7827312393333337</v>
      </c>
      <c r="W9" s="613">
        <v>2.186068525</v>
      </c>
      <c r="X9" s="613">
        <v>3.6637773193333336</v>
      </c>
      <c r="Y9" s="613">
        <v>2.7216723436666665</v>
      </c>
      <c r="Z9" s="613">
        <v>2.0672201893333333</v>
      </c>
      <c r="AA9" s="613">
        <v>3.8189424946666666</v>
      </c>
      <c r="AB9" s="613">
        <v>1.7309117973333334</v>
      </c>
      <c r="AC9" s="613">
        <v>1.3222517043333331</v>
      </c>
      <c r="AD9" s="613">
        <v>3.3261147956666663</v>
      </c>
      <c r="AE9" s="613">
        <v>3.5352775354444441</v>
      </c>
      <c r="AF9" s="613">
        <v>4.2020481326666665</v>
      </c>
      <c r="AG9" s="613">
        <v>2.765878369666666</v>
      </c>
      <c r="AH9" s="613">
        <v>1.9866215506666669</v>
      </c>
      <c r="AI9" s="613">
        <v>2.1473927549999998</v>
      </c>
      <c r="AJ9" s="613">
        <v>2.8571659460000003</v>
      </c>
      <c r="AK9" s="613">
        <v>1.9864788141111109</v>
      </c>
      <c r="AL9" s="613">
        <v>3.3409397766666666</v>
      </c>
      <c r="AM9" s="613">
        <v>3.4511084741111109</v>
      </c>
      <c r="AN9" s="613">
        <v>3.9348525429999999</v>
      </c>
      <c r="AO9" s="613">
        <v>5.2835196910000004</v>
      </c>
      <c r="AP9" s="613">
        <v>3.5202481045833336</v>
      </c>
      <c r="AQ9" s="613">
        <v>4.6072258855555557</v>
      </c>
      <c r="AR9" s="613">
        <v>2.2890328868888892</v>
      </c>
      <c r="AS9" s="613">
        <v>1.910710716333333</v>
      </c>
      <c r="AT9" s="613">
        <v>2.9438389005555554</v>
      </c>
      <c r="AU9" s="613">
        <v>3.1159842457777778</v>
      </c>
      <c r="AV9" s="613">
        <v>2.434469611111111</v>
      </c>
      <c r="AW9" s="613">
        <v>5.5101954973333331</v>
      </c>
      <c r="AX9" s="613">
        <v>4.207844411</v>
      </c>
      <c r="AY9" s="613">
        <v>3.1312257368888883</v>
      </c>
      <c r="AZ9" s="613">
        <v>1.6294314926666666</v>
      </c>
      <c r="BA9" s="613">
        <v>4.6028627196666667</v>
      </c>
      <c r="BB9" s="613">
        <v>1.9224150746666666</v>
      </c>
      <c r="BC9" s="613">
        <v>2.6044091196666668</v>
      </c>
      <c r="BD9" s="613">
        <v>4.9618658376666662</v>
      </c>
      <c r="BE9" s="613">
        <v>1.3345990856666665</v>
      </c>
      <c r="BF9" s="613">
        <v>0.40218441766666668</v>
      </c>
      <c r="BG9" s="613">
        <v>1.2708074030000001</v>
      </c>
      <c r="BH9" s="613">
        <v>5.2570856925555551</v>
      </c>
      <c r="BI9" s="613">
        <v>1.7307975156666668</v>
      </c>
      <c r="BJ9" s="613">
        <v>4.7966438349999994</v>
      </c>
      <c r="BK9" s="613">
        <v>4.6677461353333332</v>
      </c>
      <c r="BL9" s="613">
        <v>5.4229618555555543</v>
      </c>
      <c r="BM9" s="613">
        <v>1.5661220876666664</v>
      </c>
      <c r="BN9" s="613">
        <v>4.7377413886666666</v>
      </c>
      <c r="BO9" s="613">
        <v>2.3642499325555555</v>
      </c>
      <c r="BP9" s="613">
        <v>2.6400215653333339</v>
      </c>
      <c r="BQ9" s="613">
        <v>1.0770720440000001</v>
      </c>
      <c r="BR9" s="613">
        <v>3.8314075168888886</v>
      </c>
      <c r="BS9" s="613">
        <v>2.0119432875555558</v>
      </c>
      <c r="BT9" s="613">
        <v>2.0869291615555556</v>
      </c>
      <c r="BU9" s="613">
        <v>1.5607474923333333</v>
      </c>
      <c r="BV9" s="613">
        <v>3.3035192546666665</v>
      </c>
      <c r="BW9" s="613">
        <v>4.2534535779999993</v>
      </c>
      <c r="BX9" s="613">
        <v>3.1563236856666665</v>
      </c>
      <c r="BY9" s="613">
        <v>4.8167389824444449</v>
      </c>
      <c r="BZ9" s="613">
        <v>2.903028404333333</v>
      </c>
      <c r="CA9" s="613">
        <v>4.5809559562222217</v>
      </c>
      <c r="CB9" s="613">
        <v>3.808917202444444</v>
      </c>
      <c r="CC9" s="613">
        <v>5.0742376357777772</v>
      </c>
      <c r="CD9" s="613">
        <v>2.281955645</v>
      </c>
      <c r="CE9" s="613">
        <v>2.8152248243333329</v>
      </c>
      <c r="CF9" s="613">
        <v>2.168958933111111</v>
      </c>
      <c r="CG9" s="613">
        <v>3.8768151586666662</v>
      </c>
      <c r="CH9" s="613">
        <v>3.6199899140000005</v>
      </c>
      <c r="CI9" s="613">
        <v>4.3070379180000007</v>
      </c>
      <c r="CJ9" s="613">
        <v>2.3715555256666665</v>
      </c>
      <c r="CK9" s="613">
        <v>0.82022277652777764</v>
      </c>
      <c r="CL9" s="613">
        <v>2.9002372483333332</v>
      </c>
      <c r="CM9" s="613">
        <v>1.5303648553333331</v>
      </c>
      <c r="CN9" s="613">
        <v>1.7488671558888889</v>
      </c>
      <c r="CO9" s="613">
        <v>3.0070361888888892</v>
      </c>
      <c r="CP9" s="613">
        <v>5.484894069777777</v>
      </c>
      <c r="CQ9" s="613">
        <v>3.7322148599999991</v>
      </c>
      <c r="CR9" s="613">
        <v>1.1208023089999999</v>
      </c>
      <c r="CS9" s="613">
        <v>1.9946113546666666</v>
      </c>
      <c r="CT9" s="613">
        <v>0.22445486333333334</v>
      </c>
      <c r="CU9" s="613">
        <v>2.7015462059999997</v>
      </c>
      <c r="CV9" s="613">
        <v>1.3485165363333333</v>
      </c>
      <c r="CW9" s="613">
        <v>3.2601417046666663</v>
      </c>
      <c r="CX9" s="613">
        <v>2.8341277181111115</v>
      </c>
      <c r="CY9" s="613">
        <v>3.4972824746666662</v>
      </c>
      <c r="CZ9" s="613">
        <v>3.9097648207777773</v>
      </c>
      <c r="DA9" s="613">
        <v>3.3601670363333329</v>
      </c>
      <c r="DB9" s="613">
        <v>1.6391829689999997</v>
      </c>
      <c r="DC9" s="613">
        <v>3.1392090313333334</v>
      </c>
      <c r="DD9" s="613">
        <v>1.954074265</v>
      </c>
      <c r="DE9" s="613">
        <v>2.4953350693333332</v>
      </c>
      <c r="DF9" s="613">
        <v>3.0838430573333335</v>
      </c>
      <c r="DG9" s="613">
        <v>1.4412537516666668</v>
      </c>
      <c r="DH9" s="613">
        <v>3.084520643666667</v>
      </c>
      <c r="DI9" s="613">
        <v>3.4676886131111111</v>
      </c>
      <c r="DJ9" s="613">
        <v>5.6687308314444449</v>
      </c>
      <c r="DK9" s="613">
        <v>5.6898490400000004</v>
      </c>
      <c r="DL9" s="613">
        <v>6.0428928620833329</v>
      </c>
      <c r="DM9" s="613">
        <v>2.4387592175555555</v>
      </c>
      <c r="DN9" s="613">
        <v>2.0401338530000004</v>
      </c>
      <c r="DO9" s="613">
        <v>3.5685432308888885</v>
      </c>
      <c r="DP9" s="613">
        <v>4.7353868156666667</v>
      </c>
      <c r="DQ9" s="613">
        <v>3.4306938594444443</v>
      </c>
      <c r="DR9" s="613">
        <v>3.4055439326666663</v>
      </c>
      <c r="DS9" s="613">
        <v>3.8998251431111104</v>
      </c>
      <c r="DT9" s="613">
        <v>1.6790215466666667</v>
      </c>
      <c r="DU9" s="613">
        <v>4.5440391575555559</v>
      </c>
      <c r="DV9" s="613">
        <v>2.8983957583333329</v>
      </c>
      <c r="DW9" s="613">
        <v>2.2373335169999997</v>
      </c>
      <c r="DX9" s="613">
        <v>1.4603871758888889</v>
      </c>
      <c r="DY9" s="613">
        <v>2.7309500984444446</v>
      </c>
      <c r="DZ9" s="613">
        <v>3.0750794386666671</v>
      </c>
      <c r="EA9" s="613">
        <v>3.3426936937777771</v>
      </c>
      <c r="EB9" s="613">
        <v>0.92214495755555537</v>
      </c>
      <c r="EC9" s="613">
        <v>2.9977930324444442</v>
      </c>
      <c r="ED9" s="613">
        <v>2.4817621883333332</v>
      </c>
      <c r="EE9" s="613">
        <v>1.9681108695833331</v>
      </c>
      <c r="EF9" s="613">
        <v>5.0573626868888883</v>
      </c>
      <c r="EG9" s="613">
        <v>3.8579977840000002</v>
      </c>
      <c r="EH9" s="613">
        <v>2.5275525343333332</v>
      </c>
      <c r="EI9" s="613">
        <v>1.5067361424999999</v>
      </c>
      <c r="EJ9" s="613">
        <v>2.1710028612499999</v>
      </c>
      <c r="EK9" s="613">
        <v>2.4278154386666664</v>
      </c>
      <c r="EL9" s="613">
        <v>2.3840451073333333</v>
      </c>
      <c r="EM9" s="613">
        <v>3.4920260804166672</v>
      </c>
      <c r="EN9" s="613">
        <v>1.7151147044444444</v>
      </c>
      <c r="EO9" s="613">
        <v>3.8814593177777779</v>
      </c>
      <c r="EP9" s="613">
        <v>5.3608556144444446</v>
      </c>
      <c r="EQ9" s="613">
        <v>2.0671025693333336</v>
      </c>
      <c r="ER9" s="613">
        <v>3.1478032423333335</v>
      </c>
      <c r="ES9" s="613">
        <v>1.1657528483333335</v>
      </c>
      <c r="ET9" s="613">
        <v>3.7410913429999999</v>
      </c>
      <c r="EU9" s="613">
        <v>1.8166891516666666</v>
      </c>
      <c r="EV9" s="613">
        <v>2.8852254962222226</v>
      </c>
      <c r="EW9" s="613">
        <v>0.93072571375000002</v>
      </c>
      <c r="EX9" s="613">
        <v>1.9672614460000002</v>
      </c>
      <c r="EY9" s="613">
        <v>3.0222093548611113</v>
      </c>
      <c r="EZ9" s="613">
        <v>3.5703308058888887</v>
      </c>
      <c r="FA9" s="613">
        <v>3.8371597006666667</v>
      </c>
      <c r="FB9" s="613">
        <v>1.3754283800000002</v>
      </c>
      <c r="FC9" s="613">
        <v>1.5411538936666669</v>
      </c>
      <c r="FD9" s="613">
        <v>1.6520228376666668</v>
      </c>
      <c r="FE9" s="613">
        <v>4.4100779907777774</v>
      </c>
      <c r="FF9" s="613">
        <v>2.0595832670833332</v>
      </c>
      <c r="FG9" s="613">
        <v>5.3260228723333327</v>
      </c>
      <c r="FH9" s="613">
        <v>1.9279674425555555</v>
      </c>
      <c r="FI9" s="613">
        <v>6.4046848511111101</v>
      </c>
      <c r="FJ9" s="613">
        <v>3.0141511589999999</v>
      </c>
      <c r="FK9" s="613">
        <v>3.3211428850000004</v>
      </c>
      <c r="FL9" s="613">
        <v>1.8338215170000001</v>
      </c>
      <c r="FM9" s="613">
        <v>4.1527619397777782</v>
      </c>
      <c r="FN9" s="613">
        <v>4.8587014506666666</v>
      </c>
      <c r="FO9" s="613">
        <v>2.1638394056666668</v>
      </c>
      <c r="FP9" s="613">
        <v>3.0789280908888887</v>
      </c>
      <c r="FQ9" s="613">
        <v>3.2781323149999997</v>
      </c>
      <c r="FR9" s="613">
        <v>0.89011238199999998</v>
      </c>
      <c r="FS9" s="613">
        <v>3.5770932399999995</v>
      </c>
      <c r="FT9" s="613">
        <v>2.7938720818888885</v>
      </c>
    </row>
    <row r="10" spans="1:206" s="613" customFormat="1" x14ac:dyDescent="0.2">
      <c r="A10" s="1488" t="s">
        <v>18</v>
      </c>
      <c r="B10" s="613">
        <v>4.2710411411111115</v>
      </c>
      <c r="C10" s="613">
        <v>3.8158456980555555</v>
      </c>
      <c r="D10" s="613">
        <v>5.7684989891666669</v>
      </c>
      <c r="E10" s="613">
        <v>5.9414650422222213</v>
      </c>
      <c r="F10" s="613">
        <v>3.5010318505555555</v>
      </c>
      <c r="G10" s="613">
        <v>3.5077966422222229</v>
      </c>
      <c r="H10" s="613">
        <v>4.8431862233333334</v>
      </c>
      <c r="I10" s="613">
        <v>4.0527127894444446</v>
      </c>
      <c r="J10" s="613">
        <v>5.0712264777777785</v>
      </c>
      <c r="K10" s="613">
        <v>5.8062731311111104</v>
      </c>
      <c r="L10" s="613">
        <v>6.6242591338888888</v>
      </c>
      <c r="M10" s="613">
        <v>4.2109126497222222</v>
      </c>
      <c r="N10" s="613">
        <v>4.1829425374999998</v>
      </c>
      <c r="O10" s="613">
        <v>6.6701624127777768</v>
      </c>
      <c r="P10" s="613">
        <v>6.4458978488888885</v>
      </c>
      <c r="Q10" s="613">
        <v>4.843890516388889</v>
      </c>
      <c r="R10" s="613">
        <v>6.5703726747222211</v>
      </c>
      <c r="S10" s="613">
        <v>5.6100258447222213</v>
      </c>
      <c r="T10" s="613">
        <v>4.1060889136111118</v>
      </c>
      <c r="U10" s="613">
        <v>3.5266283322222218</v>
      </c>
      <c r="V10" s="613">
        <v>4.6285927405555549</v>
      </c>
      <c r="W10" s="613">
        <v>6.6266886619444438</v>
      </c>
      <c r="X10" s="613">
        <v>7.5217404983333349</v>
      </c>
      <c r="Y10" s="613">
        <v>4.7800019291666667</v>
      </c>
      <c r="Z10" s="613">
        <v>5.0921181433333338</v>
      </c>
      <c r="AA10" s="613">
        <v>6.3742092372222228</v>
      </c>
      <c r="AB10" s="613">
        <v>6.5248648283333335</v>
      </c>
      <c r="AC10" s="613">
        <v>4.8433238999999997</v>
      </c>
      <c r="AD10" s="613">
        <v>4.1852434824999998</v>
      </c>
      <c r="AE10" s="613">
        <v>3.5773119950000005</v>
      </c>
      <c r="AF10" s="613">
        <v>5.8910488611111109</v>
      </c>
      <c r="AG10" s="613">
        <v>3.8350572936111109</v>
      </c>
      <c r="AH10" s="613">
        <v>5.4687022536111112</v>
      </c>
      <c r="AI10" s="613">
        <v>4.018748048611112</v>
      </c>
      <c r="AJ10" s="613">
        <v>4.0503921749999998</v>
      </c>
      <c r="AK10" s="613">
        <v>4.1019037238888885</v>
      </c>
      <c r="AL10" s="613">
        <v>4.769371899166666</v>
      </c>
      <c r="AM10" s="613">
        <v>5.3000989661111095</v>
      </c>
      <c r="AN10" s="613">
        <v>6.3173415094444438</v>
      </c>
      <c r="AO10" s="613">
        <v>2.8437885286111113</v>
      </c>
      <c r="AP10" s="613">
        <v>6.7819561116666662</v>
      </c>
      <c r="AQ10" s="613">
        <v>2.2532809613888891</v>
      </c>
      <c r="AR10" s="613">
        <v>1.981579985277778</v>
      </c>
      <c r="AS10" s="613">
        <v>3.5924707424999998</v>
      </c>
      <c r="AT10" s="613">
        <v>2.685432157777778</v>
      </c>
      <c r="AU10" s="613">
        <v>5.1295165208333326</v>
      </c>
      <c r="AV10" s="613">
        <v>4.3283777986111112</v>
      </c>
      <c r="AW10" s="613">
        <v>6.6919895575000012</v>
      </c>
      <c r="AX10" s="613">
        <v>5.7136069102777771</v>
      </c>
      <c r="AY10" s="613">
        <v>4.1261157469444436</v>
      </c>
      <c r="AZ10" s="613">
        <v>3.1945499338888887</v>
      </c>
      <c r="BA10" s="613">
        <v>4.464252080833333</v>
      </c>
      <c r="BB10" s="613">
        <v>3.1360721236111111</v>
      </c>
      <c r="BC10" s="613">
        <v>3.1365482733333332</v>
      </c>
      <c r="BD10" s="613">
        <v>5.7196585976666654</v>
      </c>
      <c r="BE10" s="613">
        <v>2.556343875</v>
      </c>
      <c r="BF10" s="613">
        <v>4.8961295280000003</v>
      </c>
      <c r="BG10" s="613">
        <v>3.1970654783333337</v>
      </c>
      <c r="BH10" s="613">
        <v>5.0502861597222228</v>
      </c>
      <c r="BI10" s="613">
        <v>3.3980186136111108</v>
      </c>
      <c r="BJ10" s="613">
        <v>4.0646709947222224</v>
      </c>
      <c r="BK10" s="613">
        <v>5.1434725919444437</v>
      </c>
      <c r="BL10" s="613">
        <v>4.0924298586111103</v>
      </c>
      <c r="BM10" s="613">
        <v>3.1836528666666668</v>
      </c>
      <c r="BN10" s="613">
        <v>4.6984797183333331</v>
      </c>
      <c r="BO10" s="613">
        <v>3.586286860555556</v>
      </c>
      <c r="BP10" s="613">
        <v>4.4332294855555547</v>
      </c>
      <c r="BQ10" s="613">
        <v>3.4662431188888894</v>
      </c>
      <c r="BR10" s="613">
        <v>2.9590017386111112</v>
      </c>
      <c r="BS10" s="613">
        <v>2.6176212122222227</v>
      </c>
      <c r="BT10" s="613">
        <v>3.6384452197222221</v>
      </c>
      <c r="BU10" s="613">
        <v>3.3404363177777774</v>
      </c>
      <c r="BV10" s="613">
        <v>5.9166114813888884</v>
      </c>
      <c r="BW10" s="613">
        <v>7.953065870555557</v>
      </c>
      <c r="BX10" s="613">
        <v>5.1257667552777777</v>
      </c>
      <c r="BY10" s="613">
        <v>5.2471132091666659</v>
      </c>
      <c r="BZ10" s="613">
        <v>5.8169045755555544</v>
      </c>
      <c r="CA10" s="613">
        <v>4.9837642900000008</v>
      </c>
      <c r="CB10" s="613">
        <v>7.1074537127777795</v>
      </c>
      <c r="CC10" s="613">
        <v>4.7040909186111106</v>
      </c>
      <c r="CD10" s="613">
        <v>4.6085399891666663</v>
      </c>
      <c r="CE10" s="613">
        <v>5.6839127480555547</v>
      </c>
      <c r="CF10" s="613">
        <v>3.4390856097222215</v>
      </c>
      <c r="CG10" s="613">
        <v>6.1145136936111113</v>
      </c>
      <c r="CH10" s="613">
        <v>4.4052893938888893</v>
      </c>
      <c r="CI10" s="613">
        <v>5.935652399166667</v>
      </c>
      <c r="CJ10" s="613">
        <v>5.9287252302777782</v>
      </c>
      <c r="CK10" s="613">
        <v>4.5281483686666668</v>
      </c>
      <c r="CL10" s="613">
        <v>4.0900464241666672</v>
      </c>
      <c r="CM10" s="613">
        <v>3.8835406719444436</v>
      </c>
      <c r="CN10" s="613">
        <v>3.8804821805555556</v>
      </c>
      <c r="CO10" s="613">
        <v>3.2523951975000003</v>
      </c>
      <c r="CP10" s="613">
        <v>5.2140986755555554</v>
      </c>
      <c r="CQ10" s="613">
        <v>6.4575481608333343</v>
      </c>
      <c r="CR10" s="613">
        <v>3.7663835274999995</v>
      </c>
      <c r="CS10" s="613">
        <v>4.4112850605555547</v>
      </c>
      <c r="CT10" s="613">
        <v>3.5112654750000001</v>
      </c>
      <c r="CU10" s="613">
        <v>4.9983060463888886</v>
      </c>
      <c r="CV10" s="613">
        <v>3.8912952824999998</v>
      </c>
      <c r="CW10" s="613">
        <v>5.6417056216666666</v>
      </c>
      <c r="CX10" s="613">
        <v>3.9393971358333335</v>
      </c>
      <c r="CY10" s="613">
        <v>5.3622977152777764</v>
      </c>
      <c r="CZ10" s="613">
        <v>7.9588238891666663</v>
      </c>
      <c r="DA10" s="613">
        <v>5.6600181702777785</v>
      </c>
      <c r="DB10" s="613">
        <v>4.6848922922222229</v>
      </c>
      <c r="DC10" s="613">
        <v>4.9243794655555559</v>
      </c>
      <c r="DD10" s="613">
        <v>3.9408506908333329</v>
      </c>
      <c r="DE10" s="613">
        <v>5.2896725477777782</v>
      </c>
      <c r="DF10" s="613">
        <v>5.4393630866666678</v>
      </c>
      <c r="DG10" s="613">
        <v>4.7703143630000007</v>
      </c>
      <c r="DH10" s="613">
        <v>4.4146408052777781</v>
      </c>
      <c r="DI10" s="613">
        <v>4.8717333822222226</v>
      </c>
      <c r="DJ10" s="613">
        <v>4.9233261419444441</v>
      </c>
      <c r="DK10" s="613">
        <v>5.7520284275</v>
      </c>
      <c r="DL10" s="613">
        <v>4.695867991388889</v>
      </c>
      <c r="DM10" s="613">
        <v>8.1419086494444457</v>
      </c>
      <c r="DN10" s="613">
        <v>6.3436164166666673</v>
      </c>
      <c r="DO10" s="613">
        <v>5.600316895833334</v>
      </c>
      <c r="DP10" s="613">
        <v>4.9080904002777777</v>
      </c>
      <c r="DQ10" s="613">
        <v>7.3206080225000001</v>
      </c>
      <c r="DR10" s="613">
        <v>5.4249833663888891</v>
      </c>
      <c r="DS10" s="613">
        <v>6.5655705488888891</v>
      </c>
      <c r="DT10" s="613">
        <v>4.9972971883333335</v>
      </c>
      <c r="DU10" s="613">
        <v>7.93322927861111</v>
      </c>
      <c r="DV10" s="613">
        <v>6.9809602772222226</v>
      </c>
      <c r="DW10" s="613">
        <v>3.1510164452777776</v>
      </c>
      <c r="DX10" s="613">
        <v>2.8684853113888886</v>
      </c>
      <c r="DY10" s="613">
        <v>4.385587430277778</v>
      </c>
      <c r="DZ10" s="613">
        <v>5.2390874544444443</v>
      </c>
      <c r="EA10" s="613">
        <v>7.0245505525000009</v>
      </c>
      <c r="EB10" s="613">
        <v>3.2148278430555557</v>
      </c>
      <c r="EC10" s="613">
        <v>3.2472481211111108</v>
      </c>
      <c r="ED10" s="613">
        <v>5.1922240211111106</v>
      </c>
      <c r="EE10" s="613">
        <v>5.5969938136666659</v>
      </c>
      <c r="EF10" s="613">
        <v>7.3271411669444442</v>
      </c>
      <c r="EG10" s="613">
        <v>3.4449813727777774</v>
      </c>
      <c r="EH10" s="613">
        <v>5.766536857777778</v>
      </c>
      <c r="EI10" s="613">
        <v>5.1342404373333324</v>
      </c>
      <c r="EJ10" s="613">
        <v>7.1551179713333335</v>
      </c>
      <c r="EK10" s="613">
        <v>6.4800735666666673</v>
      </c>
      <c r="EL10" s="613">
        <v>5.906277943888889</v>
      </c>
      <c r="EM10" s="613">
        <v>4.0889713896666668</v>
      </c>
      <c r="EN10" s="613">
        <v>5.0498226303333329</v>
      </c>
      <c r="EO10" s="613">
        <v>3.2226142689999993</v>
      </c>
      <c r="EP10" s="613">
        <v>3.8037128908333329</v>
      </c>
      <c r="EQ10" s="613">
        <v>6.1259910916666662</v>
      </c>
      <c r="ER10" s="613">
        <v>7.0518221783333335</v>
      </c>
      <c r="ES10" s="613">
        <v>4.5314276191666663</v>
      </c>
      <c r="ET10" s="613">
        <v>4.9278598447222226</v>
      </c>
      <c r="EU10" s="613">
        <v>5.1056363397222224</v>
      </c>
      <c r="EV10" s="613">
        <v>4.8291153777777769</v>
      </c>
      <c r="EW10" s="613">
        <v>6.967911990666666</v>
      </c>
      <c r="EX10" s="613">
        <v>5.1130057388888881</v>
      </c>
      <c r="EY10" s="613">
        <v>5.3115235506666654</v>
      </c>
      <c r="EZ10" s="613">
        <v>4.8533996088888891</v>
      </c>
      <c r="FA10" s="613">
        <v>4.9383942947222224</v>
      </c>
      <c r="FB10" s="613">
        <v>5.0648716888888892</v>
      </c>
      <c r="FC10" s="613">
        <v>3.7465096619444442</v>
      </c>
      <c r="FD10" s="613">
        <v>6.060065274166667</v>
      </c>
      <c r="FE10" s="613">
        <v>7.8506498936111111</v>
      </c>
      <c r="FF10" s="613">
        <v>2.9618772550000001</v>
      </c>
      <c r="FG10" s="613">
        <v>3.104245206111111</v>
      </c>
      <c r="FH10" s="613">
        <v>4.8123966497222215</v>
      </c>
      <c r="FI10" s="613">
        <v>4.1025563397222227</v>
      </c>
      <c r="FJ10" s="613">
        <v>4.8965647802777772</v>
      </c>
      <c r="FK10" s="613">
        <v>4.6143476055555563</v>
      </c>
      <c r="FL10" s="613">
        <v>3.9329288741666675</v>
      </c>
      <c r="FM10" s="613">
        <v>4.7343388063888892</v>
      </c>
      <c r="FN10" s="613">
        <v>5.649885988055555</v>
      </c>
      <c r="FO10" s="613">
        <v>3.8895325224999993</v>
      </c>
      <c r="FP10" s="613">
        <v>5.3525748424999993</v>
      </c>
      <c r="FQ10" s="613">
        <v>5.5838250093333333</v>
      </c>
      <c r="FR10" s="613">
        <v>4.1934217163888894</v>
      </c>
      <c r="FS10" s="613">
        <v>4.4420199947222221</v>
      </c>
      <c r="FT10" s="613">
        <v>3.8452681447222226</v>
      </c>
    </row>
    <row r="11" spans="1:206" s="613" customFormat="1" x14ac:dyDescent="0.2">
      <c r="A11" s="1488" t="s">
        <v>90</v>
      </c>
      <c r="B11" s="613">
        <v>4.0932054783333331</v>
      </c>
      <c r="C11" s="613">
        <v>5.114861713611111</v>
      </c>
      <c r="D11" s="613">
        <v>6.8487647191666667</v>
      </c>
      <c r="E11" s="613">
        <v>6.9858827022222227</v>
      </c>
      <c r="F11" s="613">
        <v>5.5864651155555558</v>
      </c>
      <c r="G11" s="613">
        <v>5.5863667755555557</v>
      </c>
      <c r="H11" s="613">
        <v>5.9477120400000008</v>
      </c>
      <c r="I11" s="613">
        <v>5.5439722849999997</v>
      </c>
      <c r="J11" s="613">
        <v>4.5120917427777778</v>
      </c>
      <c r="K11" s="613">
        <v>4.0695250850000004</v>
      </c>
      <c r="L11" s="613">
        <v>4.4989948572222218</v>
      </c>
      <c r="M11" s="613">
        <v>4.0618772986111109</v>
      </c>
      <c r="N11" s="613">
        <v>4.0406460997222222</v>
      </c>
      <c r="O11" s="613">
        <v>4.5437925827777788</v>
      </c>
      <c r="P11" s="613">
        <v>6.9732585033333327</v>
      </c>
      <c r="Q11" s="613">
        <v>5.7490437030555555</v>
      </c>
      <c r="R11" s="613">
        <v>7.070372674722222</v>
      </c>
      <c r="S11" s="613">
        <v>3.9172622991666666</v>
      </c>
      <c r="T11" s="613">
        <v>3.932594724166667</v>
      </c>
      <c r="U11" s="613">
        <v>5.0191424461111112</v>
      </c>
      <c r="V11" s="613">
        <v>4.4556140627777774</v>
      </c>
      <c r="W11" s="613">
        <v>6.6266886619444438</v>
      </c>
      <c r="X11" s="613">
        <v>7.0217404983333331</v>
      </c>
      <c r="Y11" s="613">
        <v>2.6427939391666664</v>
      </c>
      <c r="Z11" s="613">
        <v>4.9922737488888895</v>
      </c>
      <c r="AA11" s="613">
        <v>5.8856188072222224</v>
      </c>
      <c r="AB11" s="613">
        <v>6.5362868199999999</v>
      </c>
      <c r="AC11" s="613">
        <v>4.8547334699999993</v>
      </c>
      <c r="AD11" s="613">
        <v>5.4556008947222212</v>
      </c>
      <c r="AE11" s="613">
        <v>3.481099367777778</v>
      </c>
      <c r="AF11" s="613">
        <v>5.8355492038888892</v>
      </c>
      <c r="AG11" s="613">
        <v>3.7266338813888882</v>
      </c>
      <c r="AH11" s="613">
        <v>7.0798365519444451</v>
      </c>
      <c r="AI11" s="613">
        <v>3.8516449575</v>
      </c>
      <c r="AJ11" s="613">
        <v>5.3337792605555556</v>
      </c>
      <c r="AK11" s="613">
        <v>6.0456726477777778</v>
      </c>
      <c r="AL11" s="613">
        <v>5.2123078180555549</v>
      </c>
      <c r="AM11" s="613">
        <v>5.8297845705555549</v>
      </c>
      <c r="AN11" s="613">
        <v>6.9558347711111113</v>
      </c>
      <c r="AO11" s="613">
        <v>2.5719746886111112</v>
      </c>
      <c r="AP11" s="613">
        <v>6.7952749356666668</v>
      </c>
      <c r="AQ11" s="613">
        <v>2.242570756388889</v>
      </c>
      <c r="AR11" s="613">
        <v>1.9800810686111112</v>
      </c>
      <c r="AS11" s="613">
        <v>3.4699576197222219</v>
      </c>
      <c r="AT11" s="613">
        <v>2.685432157777778</v>
      </c>
      <c r="AU11" s="613">
        <v>3.3811974197222221</v>
      </c>
      <c r="AV11" s="613">
        <v>2.5800586975000002</v>
      </c>
      <c r="AW11" s="613">
        <v>5.1255596530555554</v>
      </c>
      <c r="AX11" s="613">
        <v>5.684038556388888</v>
      </c>
      <c r="AY11" s="613">
        <v>4.5534378086111111</v>
      </c>
      <c r="AZ11" s="613">
        <v>2.9836820927777779</v>
      </c>
      <c r="BA11" s="613">
        <v>4.3177367336111114</v>
      </c>
      <c r="BB11" s="613">
        <v>4.2510710219444441</v>
      </c>
      <c r="BC11" s="613">
        <v>3.0090515738888888</v>
      </c>
      <c r="BD11" s="613">
        <v>7.5437081543333324</v>
      </c>
      <c r="BE11" s="613">
        <v>4.0606928672222224</v>
      </c>
      <c r="BF11" s="613">
        <v>4.8961295280000003</v>
      </c>
      <c r="BG11" s="613">
        <v>3.0422228605555555</v>
      </c>
      <c r="BH11" s="613">
        <v>4.5189207147222223</v>
      </c>
      <c r="BI11" s="613">
        <v>3.3304369469444439</v>
      </c>
      <c r="BJ11" s="613">
        <v>3.9432682919444439</v>
      </c>
      <c r="BK11" s="613">
        <v>4.5637733019444449</v>
      </c>
      <c r="BL11" s="613">
        <v>2.9323430941666668</v>
      </c>
      <c r="BM11" s="613">
        <v>3.0046992272222224</v>
      </c>
      <c r="BN11" s="613">
        <v>4.5748100072222222</v>
      </c>
      <c r="BO11" s="613">
        <v>3.4168981294444452</v>
      </c>
      <c r="BP11" s="613">
        <v>3.8850571288888891</v>
      </c>
      <c r="BQ11" s="613">
        <v>4.5475274505555561</v>
      </c>
      <c r="BR11" s="613">
        <v>2.8888859902777781</v>
      </c>
      <c r="BS11" s="613">
        <v>3.9292089544444448</v>
      </c>
      <c r="BT11" s="613">
        <v>3.0513381013888892</v>
      </c>
      <c r="BU11" s="613">
        <v>3.2413216994444443</v>
      </c>
      <c r="BV11" s="613">
        <v>3.8009694097222217</v>
      </c>
      <c r="BW11" s="613">
        <v>5.8347137922222228</v>
      </c>
      <c r="BX11" s="613">
        <v>3.3730976324999999</v>
      </c>
      <c r="BY11" s="613">
        <v>3.5031565530555557</v>
      </c>
      <c r="BZ11" s="613">
        <v>4.1009555761111107</v>
      </c>
      <c r="CA11" s="613">
        <v>3.8757145711111107</v>
      </c>
      <c r="CB11" s="613">
        <v>6.6310513444444439</v>
      </c>
      <c r="CC11" s="613">
        <v>6.0473975047222215</v>
      </c>
      <c r="CD11" s="613">
        <v>4.6878009274999997</v>
      </c>
      <c r="CE11" s="613">
        <v>6.2225127374999998</v>
      </c>
      <c r="CF11" s="613">
        <v>3.2847522936111111</v>
      </c>
      <c r="CG11" s="613">
        <v>6.0590264580555555</v>
      </c>
      <c r="CH11" s="613">
        <v>4.8372791688888892</v>
      </c>
      <c r="CI11" s="613">
        <v>7.4453189402777777</v>
      </c>
      <c r="CJ11" s="613">
        <v>6.9781421919444444</v>
      </c>
      <c r="CK11" s="613">
        <v>6.3892759906666665</v>
      </c>
      <c r="CL11" s="613">
        <v>2.9233797574999998</v>
      </c>
      <c r="CM11" s="613">
        <v>4.3337995674999998</v>
      </c>
      <c r="CN11" s="613">
        <v>2.7156709161111108</v>
      </c>
      <c r="CO11" s="613">
        <v>2.1243977297222223</v>
      </c>
      <c r="CP11" s="613">
        <v>3.4766860544444445</v>
      </c>
      <c r="CQ11" s="613">
        <v>6.9677962775000015</v>
      </c>
      <c r="CR11" s="613">
        <v>3.6018145163888886</v>
      </c>
      <c r="CS11" s="613">
        <v>3.8501690222222225</v>
      </c>
      <c r="CT11" s="613">
        <v>5.0945870066666661</v>
      </c>
      <c r="CU11" s="613">
        <v>6.0922580830555546</v>
      </c>
      <c r="CV11" s="613">
        <v>6.8734849213888882</v>
      </c>
      <c r="CW11" s="613">
        <v>7.6897007633333336</v>
      </c>
      <c r="CX11" s="613">
        <v>3.7985195347222223</v>
      </c>
      <c r="CY11" s="613">
        <v>5.6082287102777775</v>
      </c>
      <c r="CZ11" s="613">
        <v>7.4910154074999999</v>
      </c>
      <c r="DA11" s="613">
        <v>5.7565524575000007</v>
      </c>
      <c r="DB11" s="613">
        <v>4.8685487327777777</v>
      </c>
      <c r="DC11" s="613">
        <v>4.5534584055555554</v>
      </c>
      <c r="DD11" s="613">
        <v>2.3406867613888886</v>
      </c>
      <c r="DE11" s="613">
        <v>5.3196437983333329</v>
      </c>
      <c r="DF11" s="613">
        <v>3.8310589055555555</v>
      </c>
      <c r="DG11" s="613">
        <v>4.9599040389999995</v>
      </c>
      <c r="DH11" s="613">
        <v>4.4859725058333328</v>
      </c>
      <c r="DI11" s="613">
        <v>4.7868962311111112</v>
      </c>
      <c r="DJ11" s="613">
        <v>3.2233506008333328</v>
      </c>
      <c r="DK11" s="613">
        <v>4.6436430202777776</v>
      </c>
      <c r="DL11" s="613">
        <v>3.6724170680555557</v>
      </c>
      <c r="DM11" s="613">
        <v>8.051861457777779</v>
      </c>
      <c r="DN11" s="613">
        <v>5.8464417099999997</v>
      </c>
      <c r="DO11" s="613">
        <v>4.0132614175000008</v>
      </c>
      <c r="DP11" s="613">
        <v>3.2063486958333338</v>
      </c>
      <c r="DQ11" s="613">
        <v>7.2377009047222218</v>
      </c>
      <c r="DR11" s="613">
        <v>3.767887363611111</v>
      </c>
      <c r="DS11" s="613">
        <v>6.4950083694444452</v>
      </c>
      <c r="DT11" s="613">
        <v>2.8600891983333336</v>
      </c>
      <c r="DU11" s="613">
        <v>7.889095714722222</v>
      </c>
      <c r="DV11" s="613">
        <v>8.1798747222222232</v>
      </c>
      <c r="DW11" s="613">
        <v>2.9902745541666667</v>
      </c>
      <c r="DX11" s="613">
        <v>2.6595988452777779</v>
      </c>
      <c r="DY11" s="613">
        <v>6.5006375736111108</v>
      </c>
      <c r="DZ11" s="613">
        <v>5.7738991144444451</v>
      </c>
      <c r="EA11" s="613">
        <v>6.925389366388889</v>
      </c>
      <c r="EB11" s="613">
        <v>4.7878391497222221</v>
      </c>
      <c r="EC11" s="613">
        <v>2.7004546027777776</v>
      </c>
      <c r="ED11" s="613">
        <v>6.6100318199999997</v>
      </c>
      <c r="EE11" s="613">
        <v>5.6335171616666671</v>
      </c>
      <c r="EF11" s="613">
        <v>7.3048604980555556</v>
      </c>
      <c r="EG11" s="613">
        <v>3.2905863905555552</v>
      </c>
      <c r="EH11" s="613">
        <v>6.8270241277777775</v>
      </c>
      <c r="EI11" s="613">
        <v>5.8473166093333333</v>
      </c>
      <c r="EJ11" s="613">
        <v>5.1554459113333344</v>
      </c>
      <c r="EK11" s="613">
        <v>8.0274137538888883</v>
      </c>
      <c r="EL11" s="613">
        <v>3.9741762255555564</v>
      </c>
      <c r="EM11" s="613">
        <v>4.3447316516666667</v>
      </c>
      <c r="EN11" s="613">
        <v>5.2010933383333331</v>
      </c>
      <c r="EO11" s="613">
        <v>3.9975376589999998</v>
      </c>
      <c r="EP11" s="613">
        <v>3.7481573352777775</v>
      </c>
      <c r="EQ11" s="613">
        <v>4.3750719538888889</v>
      </c>
      <c r="ER11" s="613">
        <v>4.913160781666666</v>
      </c>
      <c r="ES11" s="613">
        <v>3.4867288808333337</v>
      </c>
      <c r="ET11" s="613">
        <v>6.3533465569444445</v>
      </c>
      <c r="EU11" s="613">
        <v>5.0059347986111113</v>
      </c>
      <c r="EV11" s="613">
        <v>4.6590781999999997</v>
      </c>
      <c r="EW11" s="613">
        <v>6.9705648326666667</v>
      </c>
      <c r="EX11" s="613">
        <v>4.9078985611111108</v>
      </c>
      <c r="EY11" s="613">
        <v>3.3396874866666666</v>
      </c>
      <c r="EZ11" s="613">
        <v>5.7232931072222213</v>
      </c>
      <c r="FA11" s="613">
        <v>5.8340974247222217</v>
      </c>
      <c r="FB11" s="613">
        <v>6.6079225655555565</v>
      </c>
      <c r="FC11" s="613">
        <v>5.2897623452777776</v>
      </c>
      <c r="FD11" s="613">
        <v>5.7841129297222214</v>
      </c>
      <c r="FE11" s="613">
        <v>8.5160458280555549</v>
      </c>
      <c r="FF11" s="613">
        <v>0.96187725499999999</v>
      </c>
      <c r="FG11" s="613">
        <v>1.3264674283333333</v>
      </c>
      <c r="FH11" s="613">
        <v>6.1910228413888904</v>
      </c>
      <c r="FI11" s="613">
        <v>4.5143392847222223</v>
      </c>
      <c r="FJ11" s="613">
        <v>4.6417835441666666</v>
      </c>
      <c r="FK11" s="613">
        <v>3.0101212161111106</v>
      </c>
      <c r="FL11" s="613">
        <v>3.867794332499999</v>
      </c>
      <c r="FM11" s="613">
        <v>6.2520570752777784</v>
      </c>
      <c r="FN11" s="613">
        <v>3.9708892541666669</v>
      </c>
      <c r="FO11" s="613">
        <v>4.2268174069444449</v>
      </c>
      <c r="FP11" s="613">
        <v>5.0927136113888896</v>
      </c>
      <c r="FQ11" s="613">
        <v>3.6126540173333339</v>
      </c>
      <c r="FR11" s="613">
        <v>4.5955399186111112</v>
      </c>
      <c r="FS11" s="613">
        <v>2.8441862319444446</v>
      </c>
      <c r="FT11" s="613">
        <v>4.2780342913888898</v>
      </c>
    </row>
    <row r="12" spans="1:206" s="613" customFormat="1" x14ac:dyDescent="0.2">
      <c r="A12" s="1488" t="s">
        <v>923</v>
      </c>
      <c r="B12" s="613">
        <v>4.1362049183333331</v>
      </c>
      <c r="C12" s="613">
        <v>10</v>
      </c>
      <c r="D12" s="613">
        <v>7.0962061059722217</v>
      </c>
      <c r="E12" s="613">
        <v>7.4525754206944441</v>
      </c>
      <c r="F12" s="613">
        <v>10</v>
      </c>
      <c r="G12" s="613">
        <v>10</v>
      </c>
      <c r="H12" s="613">
        <v>10</v>
      </c>
      <c r="I12" s="613">
        <v>10</v>
      </c>
      <c r="J12" s="613">
        <v>10</v>
      </c>
      <c r="K12" s="613">
        <v>10</v>
      </c>
      <c r="L12" s="613">
        <v>10</v>
      </c>
      <c r="M12" s="613">
        <v>10</v>
      </c>
      <c r="N12" s="613">
        <v>10</v>
      </c>
      <c r="O12" s="613">
        <v>10</v>
      </c>
      <c r="P12" s="613">
        <v>10</v>
      </c>
      <c r="Q12" s="613">
        <v>10</v>
      </c>
      <c r="R12" s="613">
        <v>6.6647868101388887</v>
      </c>
      <c r="S12" s="613">
        <v>3.6571261884722217</v>
      </c>
      <c r="T12" s="613">
        <v>10</v>
      </c>
      <c r="U12" s="613">
        <v>10</v>
      </c>
      <c r="V12" s="613">
        <v>4.22184501</v>
      </c>
      <c r="W12" s="613">
        <v>6.8998113108333339</v>
      </c>
      <c r="X12" s="613">
        <v>8.3243103324999996</v>
      </c>
      <c r="Y12" s="613">
        <v>3.2149691441666666</v>
      </c>
      <c r="Z12" s="613">
        <v>5.8942350929166665</v>
      </c>
      <c r="AA12" s="613">
        <v>6.0815183809722217</v>
      </c>
      <c r="AB12" s="613">
        <v>5.4145626974999992</v>
      </c>
      <c r="AC12" s="613">
        <v>10</v>
      </c>
      <c r="AD12" s="613">
        <v>5.756954959999999</v>
      </c>
      <c r="AE12" s="613">
        <v>2.8263124420833337</v>
      </c>
      <c r="AF12" s="613">
        <v>10</v>
      </c>
      <c r="AG12" s="613">
        <v>3.4767572733333334</v>
      </c>
      <c r="AH12" s="613">
        <v>10</v>
      </c>
      <c r="AI12" s="613">
        <v>10</v>
      </c>
      <c r="AJ12" s="613">
        <v>5.7515000287499998</v>
      </c>
      <c r="AK12" s="613">
        <v>4.771755906527777</v>
      </c>
      <c r="AL12" s="613">
        <v>5.7992361237500001</v>
      </c>
      <c r="AM12" s="613">
        <v>5.600280818611111</v>
      </c>
      <c r="AN12" s="613">
        <v>4.1988440259722219</v>
      </c>
      <c r="AO12" s="613">
        <v>1.7673834025000001</v>
      </c>
      <c r="AP12" s="613">
        <v>5.5634637895000001</v>
      </c>
      <c r="AQ12" s="613">
        <v>2.5331266874999998</v>
      </c>
      <c r="AR12" s="613">
        <v>1.9697391870833334</v>
      </c>
      <c r="AS12" s="613">
        <v>2.4214798529166668</v>
      </c>
      <c r="AT12" s="613">
        <v>10</v>
      </c>
      <c r="AU12" s="613">
        <v>4.8587597393055555</v>
      </c>
      <c r="AV12" s="613">
        <v>3.4870084945833328</v>
      </c>
      <c r="AW12" s="613">
        <v>7.1472458380555546</v>
      </c>
      <c r="AX12" s="613">
        <v>6.4400239594444439</v>
      </c>
      <c r="AY12" s="613">
        <v>4.1062026201388884</v>
      </c>
      <c r="AZ12" s="613">
        <v>4.1231956631944442</v>
      </c>
      <c r="BA12" s="613">
        <v>5.2831073101388881</v>
      </c>
      <c r="BB12" s="613">
        <v>3.2605825194444442</v>
      </c>
      <c r="BC12" s="613">
        <v>3.7178821966666664</v>
      </c>
      <c r="BD12" s="613">
        <v>10</v>
      </c>
      <c r="BE12" s="613">
        <v>2.9785257837500003</v>
      </c>
      <c r="BF12" s="613">
        <v>4.6913752745000004</v>
      </c>
      <c r="BG12" s="613">
        <v>2.4224823187500002</v>
      </c>
      <c r="BH12" s="613">
        <v>3.9218909297222222</v>
      </c>
      <c r="BI12" s="613">
        <v>3.6023261983333326</v>
      </c>
      <c r="BJ12" s="613">
        <v>4.2261787212500002</v>
      </c>
      <c r="BK12" s="613">
        <v>5.2758891222222228</v>
      </c>
      <c r="BL12" s="613">
        <v>10</v>
      </c>
      <c r="BM12" s="613">
        <v>3.074958139583333</v>
      </c>
      <c r="BN12" s="613">
        <v>5.0309286098611103</v>
      </c>
      <c r="BO12" s="613">
        <v>4.1199274941666664</v>
      </c>
      <c r="BP12" s="613">
        <v>4.2322908422222225</v>
      </c>
      <c r="BQ12" s="613">
        <v>4.2268660681944441</v>
      </c>
      <c r="BR12" s="613">
        <v>3.2884962720833331</v>
      </c>
      <c r="BS12" s="613">
        <v>3.2873970781944446</v>
      </c>
      <c r="BT12" s="613">
        <v>10</v>
      </c>
      <c r="BU12" s="613">
        <v>3.5042085866666666</v>
      </c>
      <c r="BV12" s="613">
        <v>2.7761002726388888</v>
      </c>
      <c r="BW12" s="613">
        <v>8.0507311522222214</v>
      </c>
      <c r="BX12" s="613">
        <v>3.4756987312500005</v>
      </c>
      <c r="BY12" s="613">
        <v>10</v>
      </c>
      <c r="BZ12" s="613">
        <v>4.3171631625</v>
      </c>
      <c r="CA12" s="613">
        <v>3.9484369498611112</v>
      </c>
      <c r="CB12" s="613">
        <v>7.1194811005555572</v>
      </c>
      <c r="CC12" s="613">
        <v>10</v>
      </c>
      <c r="CD12" s="613">
        <v>10</v>
      </c>
      <c r="CE12" s="613">
        <v>3.476217325694444</v>
      </c>
      <c r="CF12" s="613">
        <v>3.3936372862500002</v>
      </c>
      <c r="CG12" s="613">
        <v>4.8578053173611107</v>
      </c>
      <c r="CH12" s="613">
        <v>10</v>
      </c>
      <c r="CI12" s="613">
        <v>6.8519940334722218</v>
      </c>
      <c r="CJ12" s="613">
        <v>6.5475020913888891</v>
      </c>
      <c r="CK12" s="613">
        <v>5.6766671070000001</v>
      </c>
      <c r="CL12" s="613">
        <v>3.185819223472222</v>
      </c>
      <c r="CM12" s="613">
        <v>3.7487131958333331</v>
      </c>
      <c r="CN12" s="613">
        <v>1.3535442445833334</v>
      </c>
      <c r="CO12" s="613">
        <v>1.870945322083333</v>
      </c>
      <c r="CP12" s="613">
        <v>10</v>
      </c>
      <c r="CQ12" s="613">
        <v>6.5937937618055553</v>
      </c>
      <c r="CR12" s="613">
        <v>10</v>
      </c>
      <c r="CS12" s="613">
        <v>3.8224552186111111</v>
      </c>
      <c r="CT12" s="613">
        <v>10</v>
      </c>
      <c r="CU12" s="613">
        <v>6.4580397976388877</v>
      </c>
      <c r="CV12" s="613">
        <v>5.1917783027777773</v>
      </c>
      <c r="CW12" s="613">
        <v>7.9969284101388896</v>
      </c>
      <c r="CX12" s="613">
        <v>4.5065481687500002</v>
      </c>
      <c r="CY12" s="613">
        <v>6.7911584436111108</v>
      </c>
      <c r="CZ12" s="613">
        <v>8.5442318377777777</v>
      </c>
      <c r="DA12" s="613">
        <v>10</v>
      </c>
      <c r="DB12" s="613">
        <v>2.344068894861111</v>
      </c>
      <c r="DC12" s="613">
        <v>10</v>
      </c>
      <c r="DD12" s="613">
        <v>1.9580222224999999</v>
      </c>
      <c r="DE12" s="613">
        <v>6.7628252558333335</v>
      </c>
      <c r="DF12" s="613">
        <v>4.9054525161111115</v>
      </c>
      <c r="DG12" s="613">
        <v>2.8543502549999999</v>
      </c>
      <c r="DH12" s="613">
        <v>3.3094495170833333</v>
      </c>
      <c r="DI12" s="613">
        <v>4.5544330787499998</v>
      </c>
      <c r="DJ12" s="613">
        <v>4.9864131316666676</v>
      </c>
      <c r="DK12" s="613">
        <v>3.9809689691666668</v>
      </c>
      <c r="DL12" s="613">
        <v>3.6715246504166665</v>
      </c>
      <c r="DM12" s="613">
        <v>6.2295631805555551</v>
      </c>
      <c r="DN12" s="613">
        <v>5.7809687019444445</v>
      </c>
      <c r="DO12" s="613">
        <v>6.4806116640277764</v>
      </c>
      <c r="DP12" s="613">
        <v>4.7306822033333331</v>
      </c>
      <c r="DQ12" s="613">
        <v>10</v>
      </c>
      <c r="DR12" s="613">
        <v>10</v>
      </c>
      <c r="DS12" s="613">
        <v>5.5905458181944443</v>
      </c>
      <c r="DT12" s="613">
        <v>3.162844534444444</v>
      </c>
      <c r="DU12" s="613">
        <v>8.1319474976388886</v>
      </c>
      <c r="DV12" s="613">
        <v>5.7186544880555559</v>
      </c>
      <c r="DW12" s="613">
        <v>2.3635121533333332</v>
      </c>
      <c r="DX12" s="613">
        <v>3.6884145508333339</v>
      </c>
      <c r="DY12" s="613">
        <v>4.324586666388889</v>
      </c>
      <c r="DZ12" s="613">
        <v>5.5857302476388888</v>
      </c>
      <c r="EA12" s="613">
        <v>6.4449636823611112</v>
      </c>
      <c r="EB12" s="613">
        <v>4.2122769949999999</v>
      </c>
      <c r="EC12" s="613">
        <v>3.8841721681944441</v>
      </c>
      <c r="ED12" s="613">
        <v>6.3285352898611116</v>
      </c>
      <c r="EE12" s="613">
        <v>5.7320300279999987</v>
      </c>
      <c r="EF12" s="613">
        <v>8.4146824076388871</v>
      </c>
      <c r="EG12" s="613">
        <v>4.3789077127777771</v>
      </c>
      <c r="EH12" s="613">
        <v>5.6610620788888886</v>
      </c>
      <c r="EI12" s="613">
        <v>2.8754858149999993</v>
      </c>
      <c r="EJ12" s="613">
        <v>4.2128384675000001</v>
      </c>
      <c r="EK12" s="613">
        <v>10</v>
      </c>
      <c r="EL12" s="613">
        <v>3.8964025394444439</v>
      </c>
      <c r="EM12" s="613">
        <v>10</v>
      </c>
      <c r="EN12" s="613">
        <v>5.9580984000000008</v>
      </c>
      <c r="EO12" s="613">
        <v>3.9407451890000003</v>
      </c>
      <c r="EP12" s="613">
        <v>3.5793095247222224</v>
      </c>
      <c r="EQ12" s="613">
        <v>3.8516783245833337</v>
      </c>
      <c r="ER12" s="613">
        <v>4.4072521888888883</v>
      </c>
      <c r="ES12" s="613">
        <v>2.2861298029166663</v>
      </c>
      <c r="ET12" s="613">
        <v>4.0000410744444439</v>
      </c>
      <c r="EU12" s="613">
        <v>10</v>
      </c>
      <c r="EV12" s="613">
        <v>4.1873492077777783</v>
      </c>
      <c r="EW12" s="613">
        <v>6.2408782399999998</v>
      </c>
      <c r="EX12" s="613">
        <v>4.8704023141666664</v>
      </c>
      <c r="EY12" s="613">
        <v>3.9555005750000003</v>
      </c>
      <c r="EZ12" s="613">
        <v>7.7651003691666665</v>
      </c>
      <c r="FA12" s="613">
        <v>7.119105148888889</v>
      </c>
      <c r="FB12" s="613">
        <v>7.6262209316666674</v>
      </c>
      <c r="FC12" s="613">
        <v>6.1376945608333324</v>
      </c>
      <c r="FD12" s="613">
        <v>4.5588761552777779</v>
      </c>
      <c r="FE12" s="613">
        <v>6.6263066644444448</v>
      </c>
      <c r="FF12" s="613">
        <v>2.3805452594999998</v>
      </c>
      <c r="FG12" s="613">
        <v>4.4331094975000003</v>
      </c>
      <c r="FH12" s="613">
        <v>5.8438033537500003</v>
      </c>
      <c r="FI12" s="613">
        <v>10</v>
      </c>
      <c r="FJ12" s="613">
        <v>4.8880968140277776</v>
      </c>
      <c r="FK12" s="613">
        <v>5.3207794229166661</v>
      </c>
      <c r="FL12" s="613">
        <v>2.9462883808333333</v>
      </c>
      <c r="FM12" s="613">
        <v>5.4398910725</v>
      </c>
      <c r="FN12" s="613">
        <v>4.6251188819444442</v>
      </c>
      <c r="FO12" s="613">
        <v>1.9168568038888889</v>
      </c>
      <c r="FP12" s="613">
        <v>4.5686157861111116</v>
      </c>
      <c r="FQ12" s="613">
        <v>4.3823090730000001</v>
      </c>
      <c r="FR12" s="613">
        <v>3.9318499075000002</v>
      </c>
      <c r="FS12" s="613">
        <v>10</v>
      </c>
      <c r="FT12" s="613">
        <v>3.0799181234722224</v>
      </c>
    </row>
    <row r="13" spans="1:206" s="613" customFormat="1" x14ac:dyDescent="0.2">
      <c r="A13" s="1488" t="s">
        <v>194</v>
      </c>
      <c r="B13" s="613">
        <v>5.399764106388889</v>
      </c>
      <c r="C13" s="613">
        <v>5.466813285833334</v>
      </c>
      <c r="D13" s="613">
        <v>4.8011929638888891</v>
      </c>
      <c r="E13" s="613">
        <v>4.6252543980555556</v>
      </c>
      <c r="F13" s="613">
        <v>4.193969097777777</v>
      </c>
      <c r="G13" s="613">
        <v>3.9988843002777781</v>
      </c>
      <c r="H13" s="613">
        <v>4.5443575730555548</v>
      </c>
      <c r="I13" s="613">
        <v>4.3959921790277772</v>
      </c>
      <c r="J13" s="613">
        <v>5.3474227329166668</v>
      </c>
      <c r="K13" s="613">
        <v>6.3504021395833332</v>
      </c>
      <c r="L13" s="613">
        <v>6.6417318615277772</v>
      </c>
      <c r="M13" s="613">
        <v>5.15208732375</v>
      </c>
      <c r="N13" s="613">
        <v>5.0132626140277781</v>
      </c>
      <c r="O13" s="613">
        <v>7.0820918612500003</v>
      </c>
      <c r="P13" s="613">
        <v>6.2657694670833317</v>
      </c>
      <c r="Q13" s="613">
        <v>4.5885868520833331</v>
      </c>
      <c r="R13" s="613">
        <v>6.6155772191666662</v>
      </c>
      <c r="S13" s="613">
        <v>6.3129977579166674</v>
      </c>
      <c r="T13" s="613">
        <v>4.517349543611112</v>
      </c>
      <c r="U13" s="613">
        <v>4.3978378744444457</v>
      </c>
      <c r="V13" s="613">
        <v>5.419991715138889</v>
      </c>
      <c r="W13" s="613">
        <v>6.2594220555555555</v>
      </c>
      <c r="X13" s="613">
        <v>7.2447092800000004</v>
      </c>
      <c r="Y13" s="613">
        <v>5.812361131666667</v>
      </c>
      <c r="Z13" s="613">
        <v>6.9460154084722223</v>
      </c>
      <c r="AA13" s="613">
        <v>7.0642249438888891</v>
      </c>
      <c r="AB13" s="613">
        <v>6.3652385138888885</v>
      </c>
      <c r="AC13" s="613">
        <v>6.0190488659722217</v>
      </c>
      <c r="AD13" s="613">
        <v>4.6593623418055561</v>
      </c>
      <c r="AE13" s="613">
        <v>4.4462511149999999</v>
      </c>
      <c r="AF13" s="613">
        <v>7.6637869463888899</v>
      </c>
      <c r="AG13" s="613">
        <v>5.1098150861111105</v>
      </c>
      <c r="AH13" s="613">
        <v>5.5129751502777777</v>
      </c>
      <c r="AI13" s="613">
        <v>4.5284009461111108</v>
      </c>
      <c r="AJ13" s="613">
        <v>4.0397722037500001</v>
      </c>
      <c r="AK13" s="613">
        <v>5.517632743888889</v>
      </c>
      <c r="AL13" s="613">
        <v>5.9324719830555566</v>
      </c>
      <c r="AM13" s="613">
        <v>6.2282542476388887</v>
      </c>
      <c r="AN13" s="613">
        <v>6.763484301388889</v>
      </c>
      <c r="AO13" s="613">
        <v>3.5678223711111108</v>
      </c>
      <c r="AP13" s="613">
        <v>7.1365348595370373</v>
      </c>
      <c r="AQ13" s="613">
        <v>4.4739594280555552</v>
      </c>
      <c r="AR13" s="613">
        <v>4.5883809655555554</v>
      </c>
      <c r="AS13" s="613">
        <v>4.0612102268055565</v>
      </c>
      <c r="AT13" s="613">
        <v>5.0509154631481481</v>
      </c>
      <c r="AU13" s="613">
        <v>6.0594436281944439</v>
      </c>
      <c r="AV13" s="613">
        <v>5.5687529551388906</v>
      </c>
      <c r="AW13" s="613">
        <v>5.5968250581944448</v>
      </c>
      <c r="AX13" s="613">
        <v>6.5542753054166667</v>
      </c>
      <c r="AY13" s="613">
        <v>5.5917676319444443</v>
      </c>
      <c r="AZ13" s="613">
        <v>5.002707725833333</v>
      </c>
      <c r="BA13" s="613">
        <v>5.9078967880555542</v>
      </c>
      <c r="BB13" s="613">
        <v>3.8002796695833334</v>
      </c>
      <c r="BC13" s="613">
        <v>5.4664270533333337</v>
      </c>
      <c r="BD13" s="613">
        <v>5.5785340572222228</v>
      </c>
      <c r="BE13" s="613">
        <v>3.796482842083333</v>
      </c>
      <c r="BF13" s="613">
        <v>5.4049353174999997</v>
      </c>
      <c r="BG13" s="613">
        <v>4.1505710177777786</v>
      </c>
      <c r="BH13" s="613">
        <v>4.7173783813888885</v>
      </c>
      <c r="BI13" s="613">
        <v>4.5902523630555558</v>
      </c>
      <c r="BJ13" s="613">
        <v>5.7353252147222209</v>
      </c>
      <c r="BK13" s="613">
        <v>5.1505740188888893</v>
      </c>
      <c r="BL13" s="613">
        <v>4.0922524833333336</v>
      </c>
      <c r="BM13" s="613">
        <v>3.93837497125</v>
      </c>
      <c r="BN13" s="613">
        <v>5.3822387933333342</v>
      </c>
      <c r="BO13" s="613">
        <v>4.544521026111112</v>
      </c>
      <c r="BP13" s="613">
        <v>4.6470431801388896</v>
      </c>
      <c r="BQ13" s="613">
        <v>3.545731441388889</v>
      </c>
      <c r="BR13" s="613">
        <v>3.7453013941666669</v>
      </c>
      <c r="BS13" s="613">
        <v>5.1862801394444444</v>
      </c>
      <c r="BT13" s="613">
        <v>3.54272569375</v>
      </c>
      <c r="BU13" s="613">
        <v>4.1265896869444445</v>
      </c>
      <c r="BV13" s="613">
        <v>5.4992230147222223</v>
      </c>
      <c r="BW13" s="613">
        <v>6.6127256931944443</v>
      </c>
      <c r="BX13" s="613">
        <v>4.7024939055555555</v>
      </c>
      <c r="BY13" s="613">
        <v>5.8650529213888882</v>
      </c>
      <c r="BZ13" s="613">
        <v>6.2858662377777774</v>
      </c>
      <c r="CA13" s="613">
        <v>4.7602784758333332</v>
      </c>
      <c r="CB13" s="613">
        <v>6.9526961274999985</v>
      </c>
      <c r="CC13" s="613">
        <v>5.9634056437499989</v>
      </c>
      <c r="CD13" s="613">
        <v>5.7535064913888876</v>
      </c>
      <c r="CE13" s="613">
        <v>5.4405537781944444</v>
      </c>
      <c r="CF13" s="613">
        <v>4.6516806066666678</v>
      </c>
      <c r="CG13" s="613">
        <v>7.157492222916666</v>
      </c>
      <c r="CH13" s="613">
        <v>5.5874620468518525</v>
      </c>
      <c r="CI13" s="613">
        <v>5.9549597977777777</v>
      </c>
      <c r="CJ13" s="613">
        <v>4.4009936236111109</v>
      </c>
      <c r="CK13" s="613">
        <v>3.8727642261111113</v>
      </c>
      <c r="CL13" s="613">
        <v>4.909259553888889</v>
      </c>
      <c r="CM13" s="613">
        <v>4.7199758055555563</v>
      </c>
      <c r="CN13" s="613">
        <v>4.2287470036111108</v>
      </c>
      <c r="CO13" s="613">
        <v>4.3525413252777776</v>
      </c>
      <c r="CP13" s="613">
        <v>7.2598629313888896</v>
      </c>
      <c r="CQ13" s="613">
        <v>8.0435897574074087</v>
      </c>
      <c r="CR13" s="613">
        <v>3.7570091937500001</v>
      </c>
      <c r="CS13" s="613">
        <v>3.9974777215277779</v>
      </c>
      <c r="CT13" s="613">
        <v>3.7141067497222218</v>
      </c>
      <c r="CU13" s="613">
        <v>5.1770054386111122</v>
      </c>
      <c r="CV13" s="613">
        <v>5.0219162102777783</v>
      </c>
      <c r="CW13" s="613">
        <v>6.2715963772222221</v>
      </c>
      <c r="CX13" s="613">
        <v>5.0194271069444438</v>
      </c>
      <c r="CY13" s="613">
        <v>5.1496418044444434</v>
      </c>
      <c r="CZ13" s="613">
        <v>6.5784818865277774</v>
      </c>
      <c r="DA13" s="613">
        <v>6.8091834802777775</v>
      </c>
      <c r="DB13" s="613">
        <v>5.5931268849074076</v>
      </c>
      <c r="DC13" s="613">
        <v>5.4014194080555553</v>
      </c>
      <c r="DD13" s="613">
        <v>4.0953240391666661</v>
      </c>
      <c r="DE13" s="613">
        <v>4.9320724309722221</v>
      </c>
      <c r="DF13" s="613">
        <v>6.0443845744444449</v>
      </c>
      <c r="DG13" s="613">
        <v>4.8758917049999999</v>
      </c>
      <c r="DH13" s="613">
        <v>5.5850398234722212</v>
      </c>
      <c r="DI13" s="613">
        <v>6.2829128272222228</v>
      </c>
      <c r="DJ13" s="613">
        <v>5.7331204415277783</v>
      </c>
      <c r="DK13" s="613">
        <v>5.7739096980555562</v>
      </c>
      <c r="DL13" s="613">
        <v>5.1807957080555553</v>
      </c>
      <c r="DM13" s="613">
        <v>5.4138807405555553</v>
      </c>
      <c r="DN13" s="613">
        <v>6.3506343416666668</v>
      </c>
      <c r="DO13" s="613">
        <v>4.2594550545833334</v>
      </c>
      <c r="DP13" s="613">
        <v>5.9503713068055566</v>
      </c>
      <c r="DQ13" s="613">
        <v>6.812876874722221</v>
      </c>
      <c r="DR13" s="613">
        <v>6.6261687691666671</v>
      </c>
      <c r="DS13" s="613">
        <v>6.8382998620833337</v>
      </c>
      <c r="DT13" s="613">
        <v>5.6131833002777771</v>
      </c>
      <c r="DU13" s="613">
        <v>7.8729711827777784</v>
      </c>
      <c r="DV13" s="613">
        <v>6.444609387685186</v>
      </c>
      <c r="DW13" s="613">
        <v>4.3263945476388885</v>
      </c>
      <c r="DX13" s="613">
        <v>4.101795131666667</v>
      </c>
      <c r="DY13" s="613">
        <v>4.5730693880555568</v>
      </c>
      <c r="DZ13" s="613">
        <v>6.7063369754629631</v>
      </c>
      <c r="EA13" s="613">
        <v>7.1296927049999992</v>
      </c>
      <c r="EB13" s="613">
        <v>3.7495641963888886</v>
      </c>
      <c r="EC13" s="613">
        <v>4.667536823611111</v>
      </c>
      <c r="ED13" s="613">
        <v>6.6674708094444446</v>
      </c>
      <c r="EE13" s="613">
        <v>6.9843911670000001</v>
      </c>
      <c r="EF13" s="613">
        <v>6.671975185</v>
      </c>
      <c r="EG13" s="613">
        <v>5.4989224734722217</v>
      </c>
      <c r="EH13" s="613">
        <v>6.0626331549074077</v>
      </c>
      <c r="EI13" s="613">
        <v>5.1398128600000001</v>
      </c>
      <c r="EJ13" s="613">
        <v>7.266029917</v>
      </c>
      <c r="EK13" s="613">
        <v>5.9500993870370378</v>
      </c>
      <c r="EL13" s="613">
        <v>5.9735731488888888</v>
      </c>
      <c r="EM13" s="613">
        <v>5.0042421313888887</v>
      </c>
      <c r="EN13" s="613">
        <v>4.8468809999999989</v>
      </c>
      <c r="EO13" s="613">
        <v>4.9216757899999992</v>
      </c>
      <c r="EP13" s="613">
        <v>4.1563755949999992</v>
      </c>
      <c r="EQ13" s="613">
        <v>6.5888862783333337</v>
      </c>
      <c r="ER13" s="613">
        <v>6.8413313234722217</v>
      </c>
      <c r="ES13" s="613">
        <v>5.2658207330555564</v>
      </c>
      <c r="ET13" s="613">
        <v>6.4561425675000006</v>
      </c>
      <c r="EU13" s="613">
        <v>6.2552235365277777</v>
      </c>
      <c r="EV13" s="613">
        <v>6.4040995408333332</v>
      </c>
      <c r="EW13" s="613">
        <v>6.4020912640000009</v>
      </c>
      <c r="EX13" s="613">
        <v>4.7007972741666668</v>
      </c>
      <c r="EY13" s="613">
        <v>6.1136933976666663</v>
      </c>
      <c r="EZ13" s="613">
        <v>5.1108989241666674</v>
      </c>
      <c r="FA13" s="613">
        <v>5.4339160284722219</v>
      </c>
      <c r="FB13" s="613">
        <v>4.555733208055555</v>
      </c>
      <c r="FC13" s="613">
        <v>5.2210051141666671</v>
      </c>
      <c r="FD13" s="613">
        <v>7.0072038630555555</v>
      </c>
      <c r="FE13" s="613">
        <v>6.0998374391666657</v>
      </c>
      <c r="FF13" s="613">
        <v>3.6855624743333335</v>
      </c>
      <c r="FG13" s="613">
        <v>3.8365410952777772</v>
      </c>
      <c r="FH13" s="613">
        <v>4.3013280908333336</v>
      </c>
      <c r="FI13" s="613">
        <v>5.752731422777777</v>
      </c>
      <c r="FJ13" s="613">
        <v>6.180491175277778</v>
      </c>
      <c r="FK13" s="613">
        <v>6.1693442194444446</v>
      </c>
      <c r="FL13" s="613">
        <v>4.3496623086111112</v>
      </c>
      <c r="FM13" s="613">
        <v>4.7024507062500005</v>
      </c>
      <c r="FN13" s="613">
        <v>7.2697377886111116</v>
      </c>
      <c r="FO13" s="613">
        <v>3.6724587733333331</v>
      </c>
      <c r="FP13" s="613">
        <v>7.2306086849074083</v>
      </c>
      <c r="FQ13" s="613">
        <v>6.5388511569444443</v>
      </c>
      <c r="FR13" s="613">
        <v>4.5763354481944445</v>
      </c>
      <c r="FS13" s="613">
        <v>4.5081362894444448</v>
      </c>
      <c r="FT13" s="613">
        <v>4.8090962283333338</v>
      </c>
    </row>
    <row r="14" spans="1:206" s="613" customFormat="1" x14ac:dyDescent="0.2">
      <c r="A14" s="1488" t="s">
        <v>1281</v>
      </c>
      <c r="B14" s="613">
        <v>4.6405176657777787</v>
      </c>
      <c r="C14" s="613">
        <v>3.7135779865000003</v>
      </c>
      <c r="D14" s="613">
        <v>4.5565913921111107</v>
      </c>
      <c r="E14" s="613">
        <v>4.7106499820555561</v>
      </c>
      <c r="F14" s="613">
        <v>3.2729990503333335</v>
      </c>
      <c r="G14" s="613">
        <v>3.1704653011666668</v>
      </c>
      <c r="H14" s="613">
        <v>4.6300720404444444</v>
      </c>
      <c r="I14" s="613">
        <v>4.580235762527777</v>
      </c>
      <c r="J14" s="613">
        <v>4.996913401583333</v>
      </c>
      <c r="K14" s="613">
        <v>6.0282974811944454</v>
      </c>
      <c r="L14" s="613">
        <v>6.2072993610833338</v>
      </c>
      <c r="M14" s="613">
        <v>5.1553013503611114</v>
      </c>
      <c r="N14" s="613">
        <v>5.0456291153611108</v>
      </c>
      <c r="O14" s="613">
        <v>6.5414750053055561</v>
      </c>
      <c r="P14" s="613">
        <v>6.0135500575370369</v>
      </c>
      <c r="Q14" s="613">
        <v>4.1229231363055554</v>
      </c>
      <c r="R14" s="613">
        <v>5.6974698124444432</v>
      </c>
      <c r="S14" s="613">
        <v>5.3213435201296289</v>
      </c>
      <c r="T14" s="613">
        <v>4.1373524828703712</v>
      </c>
      <c r="U14" s="613">
        <v>3.9780075937222219</v>
      </c>
      <c r="V14" s="613">
        <v>4.6421207552870376</v>
      </c>
      <c r="W14" s="613">
        <v>5.5541367604444449</v>
      </c>
      <c r="X14" s="613">
        <v>6.3933554799629633</v>
      </c>
      <c r="Y14" s="613">
        <v>4.6186282586666669</v>
      </c>
      <c r="Z14" s="613">
        <v>5.9582831800277782</v>
      </c>
      <c r="AA14" s="613">
        <v>6.0227524048148151</v>
      </c>
      <c r="AB14" s="613">
        <v>5.5414191588888881</v>
      </c>
      <c r="AC14" s="613">
        <v>4.8539569591851857</v>
      </c>
      <c r="AD14" s="613">
        <v>4.2983678405277788</v>
      </c>
      <c r="AE14" s="613">
        <v>5.9132443651111108</v>
      </c>
      <c r="AF14" s="613">
        <v>6.0750564442962975</v>
      </c>
      <c r="AG14" s="613">
        <v>4.0470393362407409</v>
      </c>
      <c r="AH14" s="613">
        <v>4.3983216412592592</v>
      </c>
      <c r="AI14" s="613">
        <v>4.2585405630555559</v>
      </c>
      <c r="AJ14" s="613">
        <v>3.7464787449166663</v>
      </c>
      <c r="AK14" s="613">
        <v>4.979004986944445</v>
      </c>
      <c r="AL14" s="613">
        <v>5.7741547814444436</v>
      </c>
      <c r="AM14" s="613">
        <v>5.3085034638148141</v>
      </c>
      <c r="AN14" s="613">
        <v>6.1710056926666654</v>
      </c>
      <c r="AO14" s="613">
        <v>3.3224444226111109</v>
      </c>
      <c r="AP14" s="613">
        <v>6.6284667968703701</v>
      </c>
      <c r="AQ14" s="613">
        <v>6.1228995962777777</v>
      </c>
      <c r="AR14" s="613">
        <v>3.9564848834444444</v>
      </c>
      <c r="AS14" s="613">
        <v>3.3870721104074075</v>
      </c>
      <c r="AT14" s="613">
        <v>5.5718084752592585</v>
      </c>
      <c r="AU14" s="613">
        <v>5.4319498166111115</v>
      </c>
      <c r="AV14" s="613">
        <v>4.6882037209074072</v>
      </c>
      <c r="AW14" s="613">
        <v>5.3841750467777771</v>
      </c>
      <c r="AX14" s="613">
        <v>8.2703853830833332</v>
      </c>
      <c r="AY14" s="613">
        <v>4.3321744744444439</v>
      </c>
      <c r="AZ14" s="613">
        <v>4.5394330328333332</v>
      </c>
      <c r="BA14" s="613">
        <v>5.1289089342777769</v>
      </c>
      <c r="BB14" s="613">
        <v>3.3800332196944445</v>
      </c>
      <c r="BC14" s="613">
        <v>6.3501108380555547</v>
      </c>
      <c r="BD14" s="613">
        <v>5.3260201618333323</v>
      </c>
      <c r="BE14" s="613">
        <v>2.9765979755740739</v>
      </c>
      <c r="BF14" s="613">
        <v>5.3162690236111123</v>
      </c>
      <c r="BG14" s="613">
        <v>3.8696795204444445</v>
      </c>
      <c r="BH14" s="613">
        <v>3.91265264725926</v>
      </c>
      <c r="BI14" s="613">
        <v>4.2862806070000001</v>
      </c>
      <c r="BJ14" s="613">
        <v>5.1426188060185183</v>
      </c>
      <c r="BK14" s="613">
        <v>4.6252993174444441</v>
      </c>
      <c r="BL14" s="613">
        <v>3.9759284149444447</v>
      </c>
      <c r="BM14" s="613">
        <v>3.8545916004722218</v>
      </c>
      <c r="BN14" s="613">
        <v>5.3642930480555551</v>
      </c>
      <c r="BO14" s="613">
        <v>4.7858393702777775</v>
      </c>
      <c r="BP14" s="613">
        <v>4.3648906471388891</v>
      </c>
      <c r="BQ14" s="613">
        <v>3.772237635222222</v>
      </c>
      <c r="BR14" s="613">
        <v>4.0475382161666671</v>
      </c>
      <c r="BS14" s="613">
        <v>4.022088662999999</v>
      </c>
      <c r="BT14" s="613">
        <v>3.6146671905833334</v>
      </c>
      <c r="BU14" s="613">
        <v>3.5298799314444445</v>
      </c>
      <c r="BV14" s="613">
        <v>5.433937687666667</v>
      </c>
      <c r="BW14" s="613">
        <v>6.607040717916667</v>
      </c>
      <c r="BX14" s="613">
        <v>5.3112225974444449</v>
      </c>
      <c r="BY14" s="613">
        <v>5.6273745817777776</v>
      </c>
      <c r="BZ14" s="613">
        <v>6.0302130802777789</v>
      </c>
      <c r="CA14" s="613">
        <v>4.5188668173333326</v>
      </c>
      <c r="CB14" s="613">
        <v>6.2941217940370375</v>
      </c>
      <c r="CC14" s="613">
        <v>4.6771005069166671</v>
      </c>
      <c r="CD14" s="613">
        <v>4.8696999098888885</v>
      </c>
      <c r="CE14" s="613">
        <v>6.866382174962963</v>
      </c>
      <c r="CF14" s="613">
        <v>4.2641718497222225</v>
      </c>
      <c r="CG14" s="613">
        <v>6.6063750848055545</v>
      </c>
      <c r="CH14" s="613">
        <v>4.4789562345740741</v>
      </c>
      <c r="CI14" s="613">
        <v>5.7234131879444448</v>
      </c>
      <c r="CJ14" s="613">
        <v>4.7969089027962957</v>
      </c>
      <c r="CK14" s="613">
        <v>3.8782041403888883</v>
      </c>
      <c r="CL14" s="613">
        <v>4.7150771509444445</v>
      </c>
      <c r="CM14" s="613">
        <v>4.2182088324444438</v>
      </c>
      <c r="CN14" s="613">
        <v>3.9979955577777764</v>
      </c>
      <c r="CO14" s="613">
        <v>3.9219951466111107</v>
      </c>
      <c r="CP14" s="613">
        <v>6.5573287381666665</v>
      </c>
      <c r="CQ14" s="613">
        <v>8.5472264932962965</v>
      </c>
      <c r="CR14" s="613">
        <v>4.1250729270277775</v>
      </c>
      <c r="CS14" s="613">
        <v>4.1476447659722222</v>
      </c>
      <c r="CT14" s="613">
        <v>3.503557787814815</v>
      </c>
      <c r="CU14" s="613">
        <v>4.4248318884444444</v>
      </c>
      <c r="CV14" s="613">
        <v>4.2764960000000007</v>
      </c>
      <c r="CW14" s="613">
        <v>5.3625885810555554</v>
      </c>
      <c r="CX14" s="613">
        <v>5.0556693002222222</v>
      </c>
      <c r="CY14" s="613">
        <v>5.4248632355370372</v>
      </c>
      <c r="CZ14" s="613">
        <v>6.6769981123055544</v>
      </c>
      <c r="DA14" s="613">
        <v>6.4381464339074066</v>
      </c>
      <c r="DB14" s="613">
        <v>5.4884611614074075</v>
      </c>
      <c r="DC14" s="613">
        <v>5.3076226198888889</v>
      </c>
      <c r="DD14" s="613">
        <v>3.7288191161111106</v>
      </c>
      <c r="DE14" s="613">
        <v>4.345447688851853</v>
      </c>
      <c r="DF14" s="613">
        <v>6.2219207167222219</v>
      </c>
      <c r="DG14" s="613">
        <v>4.6197563673888888</v>
      </c>
      <c r="DH14" s="613">
        <v>5.0376913205833329</v>
      </c>
      <c r="DI14" s="613">
        <v>5.8438126084444439</v>
      </c>
      <c r="DJ14" s="613">
        <v>5.801038826138889</v>
      </c>
      <c r="DK14" s="613">
        <v>5.2349845881111099</v>
      </c>
      <c r="DL14" s="613">
        <v>5.5170237693888904</v>
      </c>
      <c r="DM14" s="613">
        <v>7.1660234278148138</v>
      </c>
      <c r="DN14" s="613">
        <v>6.5052826041111098</v>
      </c>
      <c r="DO14" s="613">
        <v>4.413474755027778</v>
      </c>
      <c r="DP14" s="613">
        <v>5.8591275199722217</v>
      </c>
      <c r="DQ14" s="613">
        <v>6.5693647889999998</v>
      </c>
      <c r="DR14" s="613">
        <v>5.833322915351852</v>
      </c>
      <c r="DS14" s="613">
        <v>7.1148586664722222</v>
      </c>
      <c r="DT14" s="613">
        <v>5.1251739934259257</v>
      </c>
      <c r="DU14" s="613">
        <v>6.7514515567222224</v>
      </c>
      <c r="DV14" s="613">
        <v>7.0671464587407407</v>
      </c>
      <c r="DW14" s="613">
        <v>3.8658750814722227</v>
      </c>
      <c r="DX14" s="613">
        <v>4.117258571611111</v>
      </c>
      <c r="DY14" s="613">
        <v>3.5939944284444447</v>
      </c>
      <c r="DZ14" s="613">
        <v>6.2201830566851859</v>
      </c>
      <c r="EA14" s="613">
        <v>6.7193420523518519</v>
      </c>
      <c r="EB14" s="613">
        <v>3.5233856491296294</v>
      </c>
      <c r="EC14" s="613">
        <v>4.2918500446111114</v>
      </c>
      <c r="ED14" s="613">
        <v>5.9175809531666665</v>
      </c>
      <c r="EE14" s="613">
        <v>6.1964542552777777</v>
      </c>
      <c r="EF14" s="613">
        <v>6.1567443636666663</v>
      </c>
      <c r="EG14" s="613">
        <v>4.4563022701388881</v>
      </c>
      <c r="EH14" s="613">
        <v>4.8949118959629629</v>
      </c>
      <c r="EI14" s="613">
        <v>5.8866162935740727</v>
      </c>
      <c r="EJ14" s="613">
        <v>6.7447083144629625</v>
      </c>
      <c r="EK14" s="613">
        <v>5.788830331648148</v>
      </c>
      <c r="EL14" s="613">
        <v>6.0639204674444427</v>
      </c>
      <c r="EM14" s="613">
        <v>5.2026546651111101</v>
      </c>
      <c r="EN14" s="613">
        <v>4.7224922857222209</v>
      </c>
      <c r="EO14" s="613">
        <v>4.6218573827777787</v>
      </c>
      <c r="EP14" s="613">
        <v>3.5160194550370365</v>
      </c>
      <c r="EQ14" s="613">
        <v>6.4487243043333331</v>
      </c>
      <c r="ER14" s="613">
        <v>6.5207376250277784</v>
      </c>
      <c r="ES14" s="613">
        <v>4.650434352907407</v>
      </c>
      <c r="ET14" s="613">
        <v>6.4843597050555548</v>
      </c>
      <c r="EU14" s="613">
        <v>5.4138379270833337</v>
      </c>
      <c r="EV14" s="613">
        <v>7.3638834005555553</v>
      </c>
      <c r="EW14" s="613">
        <v>5.3632832198888893</v>
      </c>
      <c r="EX14" s="613">
        <v>6.7721692875185191</v>
      </c>
      <c r="EY14" s="613">
        <v>5.0121037894444456</v>
      </c>
      <c r="EZ14" s="613">
        <v>4.4080249257222217</v>
      </c>
      <c r="FA14" s="613">
        <v>4.1176753799814811</v>
      </c>
      <c r="FB14" s="613">
        <v>4.6452476367777784</v>
      </c>
      <c r="FC14" s="613">
        <v>4.2965271514074068</v>
      </c>
      <c r="FD14" s="613">
        <v>6.6642355378333331</v>
      </c>
      <c r="FE14" s="613">
        <v>5.6818539708333322</v>
      </c>
      <c r="FF14" s="613">
        <v>2.8834063551666667</v>
      </c>
      <c r="FG14" s="613">
        <v>4.3449366596111112</v>
      </c>
      <c r="FH14" s="613">
        <v>3.7383690728888892</v>
      </c>
      <c r="FI14" s="613">
        <v>4.8624745288333333</v>
      </c>
      <c r="FJ14" s="613">
        <v>5.8229980346666661</v>
      </c>
      <c r="FK14" s="613">
        <v>5.9291307582777772</v>
      </c>
      <c r="FL14" s="613">
        <v>3.7310919838518513</v>
      </c>
      <c r="FM14" s="613">
        <v>4.6319797420277782</v>
      </c>
      <c r="FN14" s="613">
        <v>6.1200705982222221</v>
      </c>
      <c r="FO14" s="613">
        <v>3.4828014219999996</v>
      </c>
      <c r="FP14" s="613">
        <v>6.3439184611296291</v>
      </c>
      <c r="FQ14" s="613">
        <v>6.1414111670555558</v>
      </c>
      <c r="FR14" s="613">
        <v>4.2512674830555559</v>
      </c>
      <c r="FS14" s="613">
        <v>4.770387891444444</v>
      </c>
      <c r="FT14" s="613">
        <v>3.6510905654444441</v>
      </c>
    </row>
    <row r="15" spans="1:206" s="613" customFormat="1" x14ac:dyDescent="0.2">
      <c r="A15" s="1488" t="s">
        <v>1006</v>
      </c>
      <c r="B15" s="613">
        <v>2.3544678986249998</v>
      </c>
      <c r="C15" s="613">
        <v>5.7238398195000002</v>
      </c>
      <c r="D15" s="613">
        <v>2.6571287757499999</v>
      </c>
      <c r="E15" s="613">
        <v>2.4477185294999999</v>
      </c>
      <c r="F15" s="613">
        <v>3.2926493990000001</v>
      </c>
      <c r="G15" s="613">
        <v>3.2844560298749998</v>
      </c>
      <c r="H15" s="613">
        <v>6.1696496447500007</v>
      </c>
      <c r="I15" s="613">
        <v>5.9936349880000002</v>
      </c>
      <c r="J15" s="613">
        <v>5.2302323158750008</v>
      </c>
      <c r="K15" s="613">
        <v>4.0644243163749998</v>
      </c>
      <c r="L15" s="613">
        <v>4.13197151425</v>
      </c>
      <c r="M15" s="613">
        <v>5.2223640912500002</v>
      </c>
      <c r="N15" s="613">
        <v>5.9630257283749994</v>
      </c>
      <c r="O15" s="613">
        <v>4.7531731893750004</v>
      </c>
      <c r="P15" s="613">
        <v>3.7268076806249999</v>
      </c>
      <c r="Q15" s="613">
        <v>4.0509536496249998</v>
      </c>
      <c r="R15" s="613">
        <v>5.8661046350000001</v>
      </c>
      <c r="S15" s="613">
        <v>7.2465221624999998</v>
      </c>
      <c r="T15" s="613">
        <v>3.0880424980000001</v>
      </c>
      <c r="U15" s="613">
        <v>2.8921176153750001</v>
      </c>
      <c r="V15" s="613">
        <v>3.3122088600000001</v>
      </c>
      <c r="W15" s="613">
        <v>4.5294009136250004</v>
      </c>
      <c r="X15" s="613">
        <v>2.1054074648749999</v>
      </c>
      <c r="Y15" s="613">
        <v>2.3487983617500001</v>
      </c>
      <c r="Z15" s="613">
        <v>3.6144421106250002</v>
      </c>
      <c r="AA15" s="613">
        <v>2.6207544847499999</v>
      </c>
      <c r="AB15" s="613">
        <v>2.694185032</v>
      </c>
      <c r="AC15" s="613">
        <v>3.0684159583749997</v>
      </c>
      <c r="AD15" s="613">
        <v>3.68147681075</v>
      </c>
      <c r="AE15" s="613">
        <v>5.8178332130000001</v>
      </c>
      <c r="AF15" s="613">
        <v>3.9982200884999997</v>
      </c>
      <c r="AG15" s="613">
        <v>4.3406450537499994</v>
      </c>
      <c r="AH15" s="613">
        <v>2.5141265622499995</v>
      </c>
      <c r="AI15" s="613">
        <v>3.6469901281250001</v>
      </c>
      <c r="AJ15" s="613">
        <v>3.089005615</v>
      </c>
      <c r="AK15" s="613">
        <v>3.7651420306249999</v>
      </c>
      <c r="AL15" s="613">
        <v>4.6741075247499992</v>
      </c>
      <c r="AM15" s="613">
        <v>3.3535998826250002</v>
      </c>
      <c r="AN15" s="613">
        <v>4.3041325492499993</v>
      </c>
      <c r="AO15" s="613">
        <v>5.5402060926249996</v>
      </c>
      <c r="AP15" s="613">
        <v>3.6159751363750003</v>
      </c>
      <c r="AQ15" s="613">
        <v>7.4526073453750001</v>
      </c>
      <c r="AR15" s="613">
        <v>5.7032895444999996</v>
      </c>
      <c r="AS15" s="613">
        <v>6.6571565562500004</v>
      </c>
      <c r="AT15" s="613">
        <v>7.4973077156250003</v>
      </c>
      <c r="AU15" s="613">
        <v>7.0566636982499995</v>
      </c>
      <c r="AV15" s="613">
        <v>6.9470041961249995</v>
      </c>
      <c r="AW15" s="613">
        <v>5.4682595818750004</v>
      </c>
      <c r="AX15" s="613">
        <v>3.8327719442499997</v>
      </c>
      <c r="AY15" s="613">
        <v>3.7904654581249995</v>
      </c>
      <c r="AZ15" s="613">
        <v>4.4245206173749994</v>
      </c>
      <c r="BA15" s="613">
        <v>3.580829783375</v>
      </c>
      <c r="BB15" s="613">
        <v>3.6729124712500001</v>
      </c>
      <c r="BC15" s="613">
        <v>6.8373666352499995</v>
      </c>
      <c r="BD15" s="613">
        <v>7.8438449712500002</v>
      </c>
      <c r="BE15" s="613">
        <v>3.6506910390000002</v>
      </c>
      <c r="BF15" s="613">
        <v>2.9376593771250006</v>
      </c>
      <c r="BG15" s="613">
        <v>5.0968558776249999</v>
      </c>
      <c r="BH15" s="613">
        <v>5.5621627435000001</v>
      </c>
      <c r="BI15" s="613">
        <v>4.0339827526249996</v>
      </c>
      <c r="BJ15" s="613">
        <v>5.7500279496250002</v>
      </c>
      <c r="BK15" s="613">
        <v>4.1679284266250001</v>
      </c>
      <c r="BL15" s="613">
        <v>4.4782147731249999</v>
      </c>
      <c r="BM15" s="613">
        <v>3.6950328312500003</v>
      </c>
      <c r="BN15" s="613">
        <v>5.0629877168749999</v>
      </c>
      <c r="BO15" s="613">
        <v>5.4226257906250002</v>
      </c>
      <c r="BP15" s="613">
        <v>4.0048962701249993</v>
      </c>
      <c r="BQ15" s="613">
        <v>3.286394321625</v>
      </c>
      <c r="BR15" s="613">
        <v>3.7859205787500008</v>
      </c>
      <c r="BS15" s="613">
        <v>5.1036204125000006</v>
      </c>
      <c r="BT15" s="613">
        <v>3.9326415028750001</v>
      </c>
      <c r="BU15" s="613">
        <v>4.0866087936250004</v>
      </c>
      <c r="BV15" s="613">
        <v>3.3883398732500005</v>
      </c>
      <c r="BW15" s="613">
        <v>4.0476952930000003</v>
      </c>
      <c r="BX15" s="613">
        <v>3.4233337067500003</v>
      </c>
      <c r="BY15" s="613">
        <v>8.1682851186250005</v>
      </c>
      <c r="BZ15" s="613">
        <v>4.3523513084999994</v>
      </c>
      <c r="CA15" s="613">
        <v>3.122971884</v>
      </c>
      <c r="CB15" s="613">
        <v>3.444186604375</v>
      </c>
      <c r="CC15" s="613">
        <v>5.1373805074999996</v>
      </c>
      <c r="CD15" s="613">
        <v>3.570436123625</v>
      </c>
      <c r="CE15" s="613">
        <v>3.0423228121249997</v>
      </c>
      <c r="CF15" s="613">
        <v>4.4720738835000002</v>
      </c>
      <c r="CG15" s="613">
        <v>7.9431033908749988</v>
      </c>
      <c r="CH15" s="613">
        <v>3.3969207201249993</v>
      </c>
      <c r="CI15" s="613">
        <v>4.1659821297499997</v>
      </c>
      <c r="CJ15" s="613">
        <v>3.9834740936250004</v>
      </c>
      <c r="CK15" s="613">
        <v>3.971724815</v>
      </c>
      <c r="CL15" s="613">
        <v>3.0247595193749999</v>
      </c>
      <c r="CM15" s="613">
        <v>4.4759289786250003</v>
      </c>
      <c r="CN15" s="613">
        <v>4.2499232637499995</v>
      </c>
      <c r="CO15" s="613">
        <v>4.4228641898749999</v>
      </c>
      <c r="CP15" s="613">
        <v>4.9497819013750002</v>
      </c>
      <c r="CQ15" s="613">
        <v>3.790533629375</v>
      </c>
      <c r="CR15" s="613">
        <v>3.768609181875</v>
      </c>
      <c r="CS15" s="613">
        <v>3.1074692002500006</v>
      </c>
      <c r="CT15" s="613">
        <v>2.551963539125</v>
      </c>
      <c r="CU15" s="613">
        <v>2.9915365008750001</v>
      </c>
      <c r="CV15" s="613">
        <v>2.4141631167500002</v>
      </c>
      <c r="CW15" s="613">
        <v>3.1343888283750005</v>
      </c>
      <c r="CX15" s="613">
        <v>5.3104450107499996</v>
      </c>
      <c r="CY15" s="613">
        <v>4.6554274021249995</v>
      </c>
      <c r="CZ15" s="613">
        <v>4.1798154806249999</v>
      </c>
      <c r="DA15" s="613">
        <v>3.6536598940000005</v>
      </c>
      <c r="DB15" s="613">
        <v>3.7699091235000006</v>
      </c>
      <c r="DC15" s="613">
        <v>3.667753566125</v>
      </c>
      <c r="DD15" s="613">
        <v>4.3831172568749999</v>
      </c>
      <c r="DE15" s="613">
        <v>3.8158130135000001</v>
      </c>
      <c r="DF15" s="613">
        <v>3.7703943200000003</v>
      </c>
      <c r="DG15" s="613">
        <v>2.8658215218750001</v>
      </c>
      <c r="DH15" s="613">
        <v>3.6955718415000001</v>
      </c>
      <c r="DI15" s="613">
        <v>4.0788990333749995</v>
      </c>
      <c r="DJ15" s="613">
        <v>4.9133348535000003</v>
      </c>
      <c r="DK15" s="613">
        <v>5.2670887539999995</v>
      </c>
      <c r="DL15" s="613">
        <v>5.8107226081249994</v>
      </c>
      <c r="DM15" s="613">
        <v>3.6566153648749999</v>
      </c>
      <c r="DN15" s="613">
        <v>3.7607324482500006</v>
      </c>
      <c r="DO15" s="613">
        <v>7.9636609561250005</v>
      </c>
      <c r="DP15" s="613">
        <v>4.8331180255000001</v>
      </c>
      <c r="DQ15" s="613">
        <v>4.3886750226250006</v>
      </c>
      <c r="DR15" s="613">
        <v>3.910576361375</v>
      </c>
      <c r="DS15" s="613">
        <v>3.4585891541250002</v>
      </c>
      <c r="DT15" s="613">
        <v>3.2839664501249999</v>
      </c>
      <c r="DU15" s="613">
        <v>2.8204436873750005</v>
      </c>
      <c r="DV15" s="613">
        <v>7.0272788153750003</v>
      </c>
      <c r="DW15" s="613">
        <v>6.3880732396250011</v>
      </c>
      <c r="DX15" s="613">
        <v>4.4896569470000003</v>
      </c>
      <c r="DY15" s="613">
        <v>3.6793827926249998</v>
      </c>
      <c r="DZ15" s="613">
        <v>2.9664968732500001</v>
      </c>
      <c r="EA15" s="613">
        <v>6.371142050125</v>
      </c>
      <c r="EB15" s="613">
        <v>4.0390499807499998</v>
      </c>
      <c r="EC15" s="613">
        <v>4.0801826579999991</v>
      </c>
      <c r="ED15" s="613">
        <v>2.5501704543749999</v>
      </c>
      <c r="EE15" s="613">
        <v>3.1949728109999995</v>
      </c>
      <c r="EF15" s="613">
        <v>5.2381302882499998</v>
      </c>
      <c r="EG15" s="613">
        <v>3.8867857418749994</v>
      </c>
      <c r="EH15" s="613">
        <v>5.6584196171250003</v>
      </c>
      <c r="EI15" s="613">
        <v>3.0237517995000003</v>
      </c>
      <c r="EJ15" s="613">
        <v>2.7618118858750003</v>
      </c>
      <c r="EK15" s="613">
        <v>2.5782567895000001</v>
      </c>
      <c r="EL15" s="613">
        <v>4.4865260441250001</v>
      </c>
      <c r="EM15" s="613">
        <v>6.1783864821250001</v>
      </c>
      <c r="EN15" s="613">
        <v>5.0537888960000004</v>
      </c>
      <c r="EO15" s="613">
        <v>6.5810996826250001</v>
      </c>
      <c r="EP15" s="613">
        <v>2.8683059654999998</v>
      </c>
      <c r="EQ15" s="613">
        <v>4.1391420642499996</v>
      </c>
      <c r="ER15" s="613">
        <v>4.0560639705000003</v>
      </c>
      <c r="ES15" s="613">
        <v>3.2210366414999996</v>
      </c>
      <c r="ET15" s="613">
        <v>1.3721151897500001</v>
      </c>
      <c r="EU15" s="613">
        <v>2.9358700835000002</v>
      </c>
      <c r="EV15" s="613">
        <v>3.3970760171249998</v>
      </c>
      <c r="EW15" s="613">
        <v>3.2375895744999998</v>
      </c>
      <c r="EX15" s="613">
        <v>3.8080831848749996</v>
      </c>
      <c r="EY15" s="613">
        <v>3.0542316918750001</v>
      </c>
      <c r="EZ15" s="613">
        <v>3.6320899093749999</v>
      </c>
      <c r="FA15" s="613">
        <v>3.9263237104999997</v>
      </c>
      <c r="FB15" s="613">
        <v>2.96622443475</v>
      </c>
      <c r="FC15" s="613">
        <v>3.8330271836250001</v>
      </c>
      <c r="FD15" s="613">
        <v>3.8363508028749997</v>
      </c>
      <c r="FE15" s="613">
        <v>2.6176395558749999</v>
      </c>
      <c r="FF15" s="613">
        <v>2.9944432435000001</v>
      </c>
      <c r="FG15" s="613">
        <v>7.2479133778749993</v>
      </c>
      <c r="FH15" s="613">
        <v>6.458537051875</v>
      </c>
      <c r="FI15" s="613">
        <v>4.6439716660000006</v>
      </c>
      <c r="FJ15" s="613">
        <v>3.4410795537499999</v>
      </c>
      <c r="FK15" s="613">
        <v>3.7165341386250006</v>
      </c>
      <c r="FL15" s="613">
        <v>3.3202065832500005</v>
      </c>
      <c r="FM15" s="613">
        <v>5.1188557882500003</v>
      </c>
      <c r="FN15" s="613">
        <v>6.714130037374999</v>
      </c>
      <c r="FO15" s="613">
        <v>1.9333361681249999</v>
      </c>
      <c r="FP15" s="613">
        <v>5.5793831357499997</v>
      </c>
      <c r="FQ15" s="613">
        <v>2.83398828775</v>
      </c>
      <c r="FR15" s="613">
        <v>5.021437824875</v>
      </c>
      <c r="FS15" s="613">
        <v>6.2233130821249993</v>
      </c>
      <c r="FT15" s="613">
        <v>5.0158976233749994</v>
      </c>
    </row>
    <row r="16" spans="1:206" x14ac:dyDescent="0.2">
      <c r="A16" s="1490"/>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row>
    <row r="17" spans="1:206" x14ac:dyDescent="0.2">
      <c r="A17" s="1491"/>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row>
    <row r="18" spans="1:206" x14ac:dyDescent="0.2">
      <c r="A18" s="1489" t="s">
        <v>2007</v>
      </c>
      <c r="B18" s="1513" t="s">
        <v>1858</v>
      </c>
      <c r="C18" s="1513" t="s">
        <v>1861</v>
      </c>
      <c r="D18" s="1513" t="s">
        <v>1862</v>
      </c>
      <c r="E18" s="1513" t="s">
        <v>1864</v>
      </c>
      <c r="F18" s="1513" t="s">
        <v>1880</v>
      </c>
      <c r="G18" s="1513" t="s">
        <v>1881</v>
      </c>
      <c r="H18" s="1513" t="s">
        <v>1868</v>
      </c>
      <c r="I18" s="1513" t="s">
        <v>1869</v>
      </c>
      <c r="J18" s="1513" t="s">
        <v>1871</v>
      </c>
      <c r="K18" s="1513" t="s">
        <v>1872</v>
      </c>
      <c r="L18" s="1513" t="s">
        <v>1876</v>
      </c>
      <c r="M18" s="1513" t="s">
        <v>1870</v>
      </c>
      <c r="N18" s="1513" t="s">
        <v>1877</v>
      </c>
      <c r="O18" s="1513" t="s">
        <v>1878</v>
      </c>
      <c r="P18" s="1513" t="s">
        <v>1867</v>
      </c>
      <c r="Q18" s="1513" t="s">
        <v>1879</v>
      </c>
      <c r="R18" s="1513" t="s">
        <v>1888</v>
      </c>
      <c r="S18" s="1513" t="s">
        <v>1889</v>
      </c>
      <c r="T18" s="1513" t="s">
        <v>1890</v>
      </c>
      <c r="U18" s="1513" t="s">
        <v>1891</v>
      </c>
      <c r="V18" s="1513" t="s">
        <v>1892</v>
      </c>
      <c r="W18" s="1513" t="s">
        <v>1893</v>
      </c>
      <c r="X18" s="1513" t="s">
        <v>1894</v>
      </c>
      <c r="Y18" s="1513" t="s">
        <v>1895</v>
      </c>
      <c r="Z18" s="1513" t="s">
        <v>1863</v>
      </c>
      <c r="AA18" s="1513" t="s">
        <v>1873</v>
      </c>
      <c r="AB18" s="1513" t="s">
        <v>1874</v>
      </c>
      <c r="AC18" s="1513" t="s">
        <v>1866</v>
      </c>
      <c r="AD18" s="1513" t="s">
        <v>1859</v>
      </c>
      <c r="AE18" s="1513">
        <v>189590</v>
      </c>
      <c r="AF18" s="1513">
        <v>5257</v>
      </c>
      <c r="AG18" s="1513">
        <v>3042</v>
      </c>
      <c r="AH18" s="1513">
        <v>3185</v>
      </c>
      <c r="AI18" s="1513">
        <v>5321</v>
      </c>
      <c r="AJ18" s="1513">
        <v>11912</v>
      </c>
      <c r="AK18" s="1513">
        <v>6919</v>
      </c>
      <c r="AL18" s="1513">
        <v>7111</v>
      </c>
      <c r="AM18" s="1513">
        <v>305377</v>
      </c>
      <c r="AN18" s="1513">
        <v>209695</v>
      </c>
      <c r="AO18" s="1513">
        <v>753655</v>
      </c>
      <c r="AP18" s="1513">
        <v>2803</v>
      </c>
      <c r="AQ18" s="1513">
        <v>1039</v>
      </c>
      <c r="AR18" s="1513">
        <v>1232</v>
      </c>
      <c r="AS18" s="1513">
        <v>37882</v>
      </c>
      <c r="AT18" s="1513">
        <v>92831</v>
      </c>
      <c r="AU18" s="1513">
        <v>148287</v>
      </c>
      <c r="AV18" s="1513">
        <v>196557</v>
      </c>
      <c r="AW18" s="1513" t="s">
        <v>1896</v>
      </c>
      <c r="AX18" s="1513">
        <v>20031</v>
      </c>
      <c r="AY18" s="1513">
        <v>23420</v>
      </c>
      <c r="AZ18" s="1513">
        <v>23467</v>
      </c>
      <c r="BA18" s="1513">
        <v>23669</v>
      </c>
      <c r="BB18" s="1513">
        <v>12</v>
      </c>
      <c r="BC18" s="1513">
        <v>52</v>
      </c>
      <c r="BD18" s="1513">
        <v>19555</v>
      </c>
      <c r="BE18" s="1513">
        <v>25411</v>
      </c>
      <c r="BF18" s="1513">
        <v>644242</v>
      </c>
      <c r="BG18" s="1513">
        <v>5062</v>
      </c>
      <c r="BH18" s="1513">
        <v>282535</v>
      </c>
      <c r="BI18" s="1513">
        <v>4507</v>
      </c>
      <c r="BJ18" s="1513">
        <v>4647</v>
      </c>
      <c r="BK18" s="1513">
        <v>272004</v>
      </c>
      <c r="BL18" s="1513">
        <v>6926</v>
      </c>
      <c r="BM18" s="1513">
        <v>436864</v>
      </c>
      <c r="BN18" s="1513">
        <v>15082</v>
      </c>
      <c r="BO18" s="1513">
        <v>15434</v>
      </c>
      <c r="BP18" s="1513">
        <v>15186</v>
      </c>
      <c r="BQ18" s="1513">
        <v>17152</v>
      </c>
      <c r="BR18" s="1513">
        <v>6174</v>
      </c>
      <c r="BS18" s="1513">
        <v>228332</v>
      </c>
      <c r="BT18" s="1513">
        <v>17902</v>
      </c>
      <c r="BU18" s="1513">
        <v>588706</v>
      </c>
      <c r="BV18" s="1513">
        <v>11568</v>
      </c>
      <c r="BW18" s="1513">
        <v>11491</v>
      </c>
      <c r="BX18" s="1513">
        <v>421060</v>
      </c>
      <c r="BY18" s="1513">
        <v>11488</v>
      </c>
      <c r="BZ18" s="1513">
        <v>11698</v>
      </c>
      <c r="CA18" s="1513">
        <v>421953</v>
      </c>
      <c r="CB18" s="1513">
        <v>423143</v>
      </c>
      <c r="CC18" s="1513">
        <v>10763</v>
      </c>
      <c r="CD18" s="1513">
        <v>11808</v>
      </c>
      <c r="CE18" s="1513">
        <v>368499</v>
      </c>
      <c r="CF18" s="1513">
        <v>3410</v>
      </c>
      <c r="CG18" s="1513">
        <v>286841</v>
      </c>
      <c r="CH18" s="1513">
        <v>495717</v>
      </c>
      <c r="CI18" s="1513">
        <v>22720</v>
      </c>
      <c r="CJ18" s="1513">
        <v>715354</v>
      </c>
      <c r="CK18" s="1513">
        <v>715420</v>
      </c>
      <c r="CL18" s="1513">
        <v>728347</v>
      </c>
      <c r="CM18" s="1513">
        <v>8245</v>
      </c>
      <c r="CN18" s="1513">
        <v>321809</v>
      </c>
      <c r="CO18" s="1513">
        <v>359454</v>
      </c>
      <c r="CP18" s="1513">
        <v>2882</v>
      </c>
      <c r="CQ18" s="1513">
        <v>205184</v>
      </c>
      <c r="CR18" s="1513">
        <v>18237</v>
      </c>
      <c r="CS18" s="1513">
        <v>488834</v>
      </c>
      <c r="CT18" s="1513">
        <v>586891</v>
      </c>
      <c r="CU18" s="1513">
        <v>692585</v>
      </c>
      <c r="CV18" s="1513">
        <v>693500</v>
      </c>
      <c r="CW18" s="1513">
        <v>708592</v>
      </c>
      <c r="CX18" s="1513">
        <v>22645</v>
      </c>
      <c r="CY18" s="1513">
        <v>2939</v>
      </c>
      <c r="CZ18" s="1513">
        <v>2966</v>
      </c>
      <c r="DA18" s="1513">
        <v>872</v>
      </c>
      <c r="DB18" s="1513">
        <v>3350</v>
      </c>
      <c r="DC18" s="1513">
        <v>2137</v>
      </c>
      <c r="DD18" s="1513">
        <v>5824</v>
      </c>
      <c r="DE18" s="1513">
        <v>16930</v>
      </c>
      <c r="DF18" s="1513">
        <v>6846</v>
      </c>
      <c r="DG18" s="1513">
        <v>6786</v>
      </c>
      <c r="DH18" s="1513">
        <v>25368</v>
      </c>
      <c r="DI18" s="1513">
        <v>40430</v>
      </c>
      <c r="DJ18" s="1513">
        <v>2658</v>
      </c>
      <c r="DK18" s="1513">
        <v>57</v>
      </c>
      <c r="DL18" s="1513">
        <v>4104</v>
      </c>
      <c r="DM18" s="1513">
        <v>14076</v>
      </c>
      <c r="DN18" s="1513">
        <v>841</v>
      </c>
      <c r="DO18" s="1513">
        <v>3014</v>
      </c>
      <c r="DP18" s="1513">
        <v>2944</v>
      </c>
      <c r="DQ18" s="1513">
        <v>2953</v>
      </c>
      <c r="DR18" s="1513">
        <v>1828</v>
      </c>
      <c r="DS18" s="1513">
        <v>177552</v>
      </c>
      <c r="DT18" s="1513" t="s">
        <v>1897</v>
      </c>
      <c r="DU18" s="1513" t="s">
        <v>1875</v>
      </c>
      <c r="DV18" s="1513">
        <v>6497</v>
      </c>
      <c r="DW18" s="1513">
        <v>1340</v>
      </c>
      <c r="DX18" s="1513">
        <v>23929</v>
      </c>
      <c r="DY18" s="1513">
        <v>25577</v>
      </c>
      <c r="DZ18" s="1513">
        <v>662856</v>
      </c>
      <c r="EA18" s="1513">
        <v>444845</v>
      </c>
      <c r="EB18" s="1513">
        <v>505036</v>
      </c>
      <c r="EC18" s="1513">
        <v>13871</v>
      </c>
      <c r="ED18" s="1513">
        <v>421244</v>
      </c>
      <c r="EE18" s="1513">
        <v>636534</v>
      </c>
      <c r="EF18" s="1513">
        <v>421050</v>
      </c>
      <c r="EG18" s="1513">
        <v>20957</v>
      </c>
      <c r="EH18" s="1513">
        <v>309237</v>
      </c>
      <c r="EI18" s="1513">
        <v>368504</v>
      </c>
      <c r="EJ18" s="1513">
        <v>206100</v>
      </c>
      <c r="EK18" s="1513">
        <v>1094</v>
      </c>
      <c r="EL18" s="1513">
        <v>10576</v>
      </c>
      <c r="EM18" s="1513">
        <v>7544</v>
      </c>
      <c r="EN18" s="1513">
        <v>34259</v>
      </c>
      <c r="EO18" s="1513">
        <v>99916</v>
      </c>
      <c r="EP18" s="1513">
        <v>166</v>
      </c>
      <c r="EQ18" s="1513">
        <v>840</v>
      </c>
      <c r="ER18" s="1513">
        <v>842</v>
      </c>
      <c r="ES18" s="1513">
        <v>107527</v>
      </c>
      <c r="ET18" s="1513">
        <v>25701</v>
      </c>
      <c r="EU18" s="1513" t="s">
        <v>1865</v>
      </c>
      <c r="EV18" s="1513">
        <v>25256</v>
      </c>
      <c r="EW18" s="1513">
        <v>752362</v>
      </c>
      <c r="EX18" s="1513">
        <v>753469</v>
      </c>
      <c r="EY18" s="1513">
        <v>421057</v>
      </c>
      <c r="EZ18" s="1513" t="s">
        <v>1860</v>
      </c>
      <c r="FA18" s="1513">
        <v>148810</v>
      </c>
      <c r="FB18" s="1513">
        <v>23981</v>
      </c>
      <c r="FC18" s="1513">
        <v>738519</v>
      </c>
      <c r="FD18" s="1513">
        <v>752536</v>
      </c>
      <c r="FE18" s="1513">
        <v>2778</v>
      </c>
      <c r="FF18" s="1513">
        <v>11537</v>
      </c>
      <c r="FG18" s="1513">
        <v>191518</v>
      </c>
      <c r="FH18" s="1513">
        <v>186633</v>
      </c>
      <c r="FI18" s="1513">
        <v>21071</v>
      </c>
      <c r="FJ18" s="1513">
        <v>421059</v>
      </c>
      <c r="FK18" s="1513">
        <v>6920</v>
      </c>
      <c r="FL18" s="1513" t="s">
        <v>1898</v>
      </c>
      <c r="FM18" s="1513">
        <v>15949</v>
      </c>
      <c r="FN18" s="1513">
        <v>212872</v>
      </c>
      <c r="FO18" s="1513">
        <v>208930</v>
      </c>
      <c r="FP18" s="1513">
        <v>842121</v>
      </c>
      <c r="FQ18" s="1513">
        <v>735360</v>
      </c>
      <c r="FR18" s="1513" t="s">
        <v>1882</v>
      </c>
      <c r="FS18" s="1513">
        <v>7374</v>
      </c>
      <c r="FT18" s="1513">
        <v>3934</v>
      </c>
      <c r="FU18"/>
      <c r="FV18"/>
      <c r="FW18"/>
      <c r="FX18"/>
      <c r="FY18"/>
      <c r="FZ18"/>
      <c r="GA18"/>
      <c r="GB18"/>
      <c r="GC18"/>
      <c r="GD18"/>
      <c r="GE18"/>
      <c r="GF18"/>
      <c r="GG18"/>
      <c r="GH18"/>
      <c r="GI18"/>
      <c r="GJ18"/>
      <c r="GK18"/>
      <c r="GL18"/>
      <c r="GM18"/>
      <c r="GN18"/>
      <c r="GO18"/>
      <c r="GP18"/>
      <c r="GQ18"/>
      <c r="GR18"/>
      <c r="GS18"/>
      <c r="GT18"/>
      <c r="GU18"/>
      <c r="GV18"/>
      <c r="GW18"/>
      <c r="GX18"/>
    </row>
    <row r="19" spans="1:206" s="613" customFormat="1" x14ac:dyDescent="0.2">
      <c r="A19" s="1488" t="s">
        <v>321</v>
      </c>
      <c r="B19" s="613">
        <v>1</v>
      </c>
      <c r="C19" s="613">
        <v>1</v>
      </c>
      <c r="D19" s="613">
        <v>1</v>
      </c>
      <c r="E19" s="613">
        <v>1</v>
      </c>
      <c r="F19" s="613">
        <v>1</v>
      </c>
      <c r="G19" s="613">
        <v>1</v>
      </c>
      <c r="H19" s="613">
        <v>1</v>
      </c>
      <c r="I19" s="613">
        <v>1</v>
      </c>
      <c r="J19" s="613">
        <v>1</v>
      </c>
      <c r="K19" s="613">
        <v>1</v>
      </c>
      <c r="L19" s="613">
        <v>0.35855919558051913</v>
      </c>
      <c r="M19" s="613">
        <v>1</v>
      </c>
      <c r="N19" s="613">
        <v>1</v>
      </c>
      <c r="O19" s="613">
        <v>1</v>
      </c>
      <c r="P19" s="613">
        <v>1</v>
      </c>
      <c r="Q19" s="613">
        <v>1</v>
      </c>
      <c r="R19" s="613">
        <v>1</v>
      </c>
      <c r="S19" s="613">
        <v>1</v>
      </c>
      <c r="T19" s="613">
        <v>1</v>
      </c>
      <c r="U19" s="613">
        <v>1</v>
      </c>
      <c r="V19" s="613">
        <v>1</v>
      </c>
      <c r="W19" s="613">
        <v>1</v>
      </c>
      <c r="X19" s="613">
        <v>1</v>
      </c>
      <c r="Y19" s="613">
        <v>1</v>
      </c>
      <c r="Z19" s="613">
        <v>1</v>
      </c>
      <c r="AA19" s="613">
        <v>1</v>
      </c>
      <c r="AB19" s="613">
        <v>1</v>
      </c>
      <c r="AC19" s="613">
        <v>1</v>
      </c>
      <c r="AD19" s="613">
        <v>1</v>
      </c>
      <c r="AE19" s="613">
        <v>0.16097911616824701</v>
      </c>
      <c r="AF19" s="613">
        <v>1</v>
      </c>
      <c r="AG19" s="613">
        <v>1</v>
      </c>
      <c r="AH19" s="613">
        <v>1</v>
      </c>
      <c r="AI19" s="613">
        <v>1</v>
      </c>
      <c r="AJ19" s="613">
        <v>1</v>
      </c>
      <c r="AK19" s="613">
        <v>0.14901843129977868</v>
      </c>
      <c r="AL19" s="613">
        <v>0.36595254455957171</v>
      </c>
      <c r="AM19" s="613">
        <v>0.29430080465240199</v>
      </c>
      <c r="AN19" s="613">
        <v>0.19481356235735764</v>
      </c>
      <c r="AO19" s="613">
        <v>2.0081124618879335E-2</v>
      </c>
      <c r="AP19" s="613">
        <v>0.23427332350891233</v>
      </c>
      <c r="AQ19" s="613">
        <v>0.1212085191502041</v>
      </c>
      <c r="AR19" s="613">
        <v>2.5216730529176931E-2</v>
      </c>
      <c r="AS19" s="613">
        <v>1</v>
      </c>
      <c r="AT19" s="613">
        <v>0.30814696273280234</v>
      </c>
      <c r="AU19" s="613">
        <v>0.51147414072757202</v>
      </c>
      <c r="AV19" s="613">
        <v>0.47796961203662686</v>
      </c>
      <c r="AW19" s="613">
        <v>1</v>
      </c>
      <c r="AX19" s="613">
        <v>0.16094225530971687</v>
      </c>
      <c r="AY19" s="613">
        <v>0.20591815282066173</v>
      </c>
      <c r="AZ19" s="613">
        <v>1</v>
      </c>
      <c r="BA19" s="613">
        <v>0.50535168265293107</v>
      </c>
      <c r="BB19" s="613">
        <v>1</v>
      </c>
      <c r="BC19" s="613">
        <v>1</v>
      </c>
      <c r="BD19" s="613">
        <v>1</v>
      </c>
      <c r="BE19" s="613">
        <v>1</v>
      </c>
      <c r="BF19" s="613">
        <v>1</v>
      </c>
      <c r="BG19" s="613">
        <v>1</v>
      </c>
      <c r="BH19" s="613">
        <v>0.14644839722047945</v>
      </c>
      <c r="BI19" s="613">
        <v>1</v>
      </c>
      <c r="BJ19" s="613">
        <v>1</v>
      </c>
      <c r="BK19" s="613">
        <v>1</v>
      </c>
      <c r="BL19" s="613">
        <v>0.2932061745006827</v>
      </c>
      <c r="BM19" s="613">
        <v>1</v>
      </c>
      <c r="BN19" s="613">
        <v>1</v>
      </c>
      <c r="BO19" s="613">
        <v>0.18861044058642359</v>
      </c>
      <c r="BP19" s="613">
        <v>1</v>
      </c>
      <c r="BQ19" s="613">
        <v>1</v>
      </c>
      <c r="BR19" s="613">
        <v>0</v>
      </c>
      <c r="BS19" s="613">
        <v>0.29235564066030401</v>
      </c>
      <c r="BT19" s="613">
        <v>0.34081488107479957</v>
      </c>
      <c r="BU19" s="613">
        <v>1</v>
      </c>
      <c r="BV19" s="613">
        <v>1</v>
      </c>
      <c r="BW19" s="613">
        <v>1</v>
      </c>
      <c r="BX19" s="613">
        <v>1</v>
      </c>
      <c r="BY19" s="613">
        <v>0.23677630465407157</v>
      </c>
      <c r="BZ19" s="613">
        <v>1</v>
      </c>
      <c r="CA19" s="613">
        <v>7.9494369878323576E-2</v>
      </c>
      <c r="CB19" s="613">
        <v>0.24589501705221792</v>
      </c>
      <c r="CC19" s="613">
        <v>0.21183389506687636</v>
      </c>
      <c r="CD19" s="613">
        <v>1</v>
      </c>
      <c r="CE19" s="613">
        <v>1</v>
      </c>
      <c r="CF19" s="613">
        <v>0.24343408692810048</v>
      </c>
      <c r="CG19" s="613">
        <v>1</v>
      </c>
      <c r="CH19" s="613">
        <v>1</v>
      </c>
      <c r="CI19" s="613">
        <v>1</v>
      </c>
      <c r="CJ19" s="613">
        <v>1</v>
      </c>
      <c r="CK19" s="613">
        <v>8.0741626644409717E-2</v>
      </c>
      <c r="CL19" s="613">
        <v>1</v>
      </c>
      <c r="CM19" s="613">
        <v>1</v>
      </c>
      <c r="CN19" s="613">
        <v>0.16113152156779834</v>
      </c>
      <c r="CO19" s="613">
        <v>0.13000480773237516</v>
      </c>
      <c r="CP19" s="613">
        <v>0.22551529674746404</v>
      </c>
      <c r="CQ19" s="613">
        <v>1</v>
      </c>
      <c r="CR19" s="613">
        <v>1</v>
      </c>
      <c r="CS19" s="613">
        <v>1</v>
      </c>
      <c r="CT19" s="613">
        <v>1</v>
      </c>
      <c r="CU19" s="613">
        <v>1</v>
      </c>
      <c r="CV19" s="613">
        <v>1</v>
      </c>
      <c r="CW19" s="613">
        <v>1</v>
      </c>
      <c r="CX19" s="613">
        <v>0.29136328752299501</v>
      </c>
      <c r="CY19" s="613">
        <v>1</v>
      </c>
      <c r="CZ19" s="613">
        <v>0.41734879197358593</v>
      </c>
      <c r="DA19" s="613">
        <v>0.44124813869972618</v>
      </c>
      <c r="DB19" s="613">
        <v>1</v>
      </c>
      <c r="DC19" s="613">
        <v>1</v>
      </c>
      <c r="DD19" s="613">
        <v>1</v>
      </c>
      <c r="DE19" s="613">
        <v>0.24110672192782379</v>
      </c>
      <c r="DF19" s="613">
        <v>0.46894576371289537</v>
      </c>
      <c r="DG19" s="613">
        <v>1</v>
      </c>
      <c r="DH19" s="613">
        <v>0.30537915515417752</v>
      </c>
      <c r="DI19" s="613">
        <v>0.21616141580913997</v>
      </c>
      <c r="DJ19" s="613">
        <v>0.30031768984491508</v>
      </c>
      <c r="DK19" s="613">
        <v>1</v>
      </c>
      <c r="DL19" s="613">
        <v>0.24536544721014519</v>
      </c>
      <c r="DM19" s="613">
        <v>0.26120239738086176</v>
      </c>
      <c r="DN19" s="613">
        <v>1</v>
      </c>
      <c r="DO19" s="613">
        <v>0.3340012232973808</v>
      </c>
      <c r="DP19" s="613">
        <v>1</v>
      </c>
      <c r="DQ19" s="613">
        <v>0.37547202178805905</v>
      </c>
      <c r="DR19" s="613">
        <v>1</v>
      </c>
      <c r="DS19" s="613">
        <v>0.5129840958563664</v>
      </c>
      <c r="DT19" s="613">
        <v>1</v>
      </c>
      <c r="DU19" s="613">
        <v>0.19116554256173168</v>
      </c>
      <c r="DV19" s="613">
        <v>1</v>
      </c>
      <c r="DW19" s="613">
        <v>1</v>
      </c>
      <c r="DX19" s="613">
        <v>0.19362031046804962</v>
      </c>
      <c r="DY19" s="613">
        <v>0.20202873480936101</v>
      </c>
      <c r="DZ19" s="613">
        <v>1</v>
      </c>
      <c r="EA19" s="613">
        <v>0.17720214397738487</v>
      </c>
      <c r="EB19" s="613">
        <v>0.33661512268666377</v>
      </c>
      <c r="EC19" s="613">
        <v>0.1105645211619463</v>
      </c>
      <c r="ED19" s="613">
        <v>1</v>
      </c>
      <c r="EE19" s="613">
        <v>1</v>
      </c>
      <c r="EF19" s="613">
        <v>0.30536729549839065</v>
      </c>
      <c r="EG19" s="613">
        <v>1</v>
      </c>
      <c r="EH19" s="613">
        <v>1</v>
      </c>
      <c r="EI19" s="613">
        <v>1</v>
      </c>
      <c r="EJ19" s="613">
        <v>1</v>
      </c>
      <c r="EK19" s="613">
        <v>0.30132326634123907</v>
      </c>
      <c r="EL19" s="613">
        <v>1</v>
      </c>
      <c r="EM19" s="613">
        <v>0.35643208203461385</v>
      </c>
      <c r="EN19" s="613">
        <v>0.28188720764107816</v>
      </c>
      <c r="EO19" s="613">
        <v>0.59148351752392148</v>
      </c>
      <c r="EP19" s="613">
        <v>0.43159974714286564</v>
      </c>
      <c r="EQ19" s="613">
        <v>1</v>
      </c>
      <c r="ER19" s="613">
        <v>1</v>
      </c>
      <c r="ES19" s="613">
        <v>1</v>
      </c>
      <c r="ET19" s="613">
        <v>0.43865209484410594</v>
      </c>
      <c r="EU19" s="613">
        <v>1</v>
      </c>
      <c r="EV19" s="613">
        <v>0.38873574179925308</v>
      </c>
      <c r="EW19" s="613">
        <v>1</v>
      </c>
      <c r="EX19" s="613">
        <v>0.20584979260883834</v>
      </c>
      <c r="EY19" s="613">
        <v>0.61196990983639954</v>
      </c>
      <c r="EZ19" s="613">
        <v>0.25184413023249824</v>
      </c>
      <c r="FA19" s="613">
        <v>1</v>
      </c>
      <c r="FB19" s="613">
        <v>1</v>
      </c>
      <c r="FC19" s="613">
        <v>1</v>
      </c>
      <c r="FD19" s="613">
        <v>1</v>
      </c>
      <c r="FE19" s="613">
        <v>0.46342963068004361</v>
      </c>
      <c r="FF19" s="613">
        <v>1</v>
      </c>
      <c r="FG19" s="613">
        <v>0.40382536513676753</v>
      </c>
      <c r="FH19" s="613">
        <v>0.17289797190186068</v>
      </c>
      <c r="FI19" s="613">
        <v>0.11240190869133206</v>
      </c>
      <c r="FJ19" s="613">
        <v>1</v>
      </c>
      <c r="FK19" s="613">
        <v>0.54981224615268265</v>
      </c>
      <c r="FL19" s="613">
        <v>1</v>
      </c>
      <c r="FM19" s="613">
        <v>0.37559189843522189</v>
      </c>
      <c r="FN19" s="613">
        <v>0.37620148285675942</v>
      </c>
      <c r="FO19" s="613">
        <v>1</v>
      </c>
      <c r="FP19" s="613">
        <v>0.61260223807679981</v>
      </c>
      <c r="FQ19" s="613">
        <v>0.17844603174388129</v>
      </c>
      <c r="FR19" s="613">
        <v>1</v>
      </c>
      <c r="FS19" s="613">
        <v>0.13124339253291711</v>
      </c>
      <c r="FT19" s="613">
        <v>0.3036845002168243</v>
      </c>
    </row>
    <row r="20" spans="1:206" s="613" customFormat="1" x14ac:dyDescent="0.2">
      <c r="A20" s="1488" t="s">
        <v>320</v>
      </c>
      <c r="B20" s="613">
        <v>0.35294628125544286</v>
      </c>
      <c r="C20" s="613">
        <v>0.33733279402847244</v>
      </c>
      <c r="D20" s="613">
        <v>0.38751269398338695</v>
      </c>
      <c r="E20" s="613">
        <v>0.32086581512256201</v>
      </c>
      <c r="F20" s="613">
        <v>0.3901774716822235</v>
      </c>
      <c r="G20" s="613">
        <v>0.29936678817336793</v>
      </c>
      <c r="H20" s="613">
        <v>0.8203015007688621</v>
      </c>
      <c r="I20" s="613">
        <v>0.80745397039323474</v>
      </c>
      <c r="J20" s="613">
        <v>0.43452825557111452</v>
      </c>
      <c r="K20" s="613">
        <v>0.80654690522015382</v>
      </c>
      <c r="L20" s="613">
        <v>0.41966060540572381</v>
      </c>
      <c r="M20" s="613">
        <v>0.42383035884331216</v>
      </c>
      <c r="N20" s="613">
        <v>0.81158833620011261</v>
      </c>
      <c r="O20" s="613">
        <v>1</v>
      </c>
      <c r="P20" s="613">
        <v>0.51147693566033103</v>
      </c>
      <c r="Q20" s="613">
        <v>0.37333332085833243</v>
      </c>
      <c r="R20" s="613">
        <v>0.76571108221052997</v>
      </c>
      <c r="S20" s="613">
        <v>0.47597556620580511</v>
      </c>
      <c r="T20" s="613">
        <v>0.24079729819211543</v>
      </c>
      <c r="U20" s="613">
        <v>0.24699399128114558</v>
      </c>
      <c r="V20" s="613">
        <v>0.81239299712891377</v>
      </c>
      <c r="W20" s="613">
        <v>0.50815542304700789</v>
      </c>
      <c r="X20" s="613">
        <v>0.55151280629193666</v>
      </c>
      <c r="Y20" s="613">
        <v>0.44072283695264108</v>
      </c>
      <c r="Z20" s="613">
        <v>0.46487821046497768</v>
      </c>
      <c r="AA20" s="613">
        <v>8.2158158844051699E-2</v>
      </c>
      <c r="AB20" s="613">
        <v>8.4975148494525421E-2</v>
      </c>
      <c r="AC20" s="613">
        <v>2.8643803221595043E-2</v>
      </c>
      <c r="AD20" s="613">
        <v>0.26344885278435148</v>
      </c>
      <c r="AE20" s="613">
        <v>0.58367969914371787</v>
      </c>
      <c r="AF20" s="613">
        <v>0.28735199934843164</v>
      </c>
      <c r="AG20" s="613">
        <v>0.30717746931878365</v>
      </c>
      <c r="AH20" s="613">
        <v>0.25718835687609232</v>
      </c>
      <c r="AI20" s="613">
        <v>0.13097720838629848</v>
      </c>
      <c r="AJ20" s="613">
        <v>0.34438256210376389</v>
      </c>
      <c r="AK20" s="613">
        <v>0.51436132482044117</v>
      </c>
      <c r="AL20" s="613">
        <v>0.58105550664323635</v>
      </c>
      <c r="AM20" s="613">
        <v>0.63680148261314096</v>
      </c>
      <c r="AN20" s="613">
        <v>0.44885272542696836</v>
      </c>
      <c r="AO20" s="613">
        <v>0.83945533270865846</v>
      </c>
      <c r="AP20" s="613">
        <v>0.47464800536152618</v>
      </c>
      <c r="AQ20" s="613">
        <v>0.93555334423577241</v>
      </c>
      <c r="AR20" s="613">
        <v>0.50151872353761184</v>
      </c>
      <c r="AS20" s="613">
        <v>0.32868554007703998</v>
      </c>
      <c r="AT20" s="613">
        <v>0.21416329413051782</v>
      </c>
      <c r="AU20" s="613">
        <v>0.51449429879433684</v>
      </c>
      <c r="AV20" s="613">
        <v>0.40677443570071453</v>
      </c>
      <c r="AW20" s="613">
        <v>0.71319027661136059</v>
      </c>
      <c r="AX20" s="613">
        <v>0.39835558882840405</v>
      </c>
      <c r="AY20" s="613">
        <v>0.18277193224758775</v>
      </c>
      <c r="AZ20" s="613">
        <v>0.14623476972436933</v>
      </c>
      <c r="BA20" s="613">
        <v>0.16992710724400784</v>
      </c>
      <c r="BB20" s="613">
        <v>0.31538823756162115</v>
      </c>
      <c r="BC20" s="613">
        <v>0.29191350444343478</v>
      </c>
      <c r="BD20" s="613">
        <v>0.82274180658335694</v>
      </c>
      <c r="BE20" s="613">
        <v>0.31079361665946398</v>
      </c>
      <c r="BF20" s="613">
        <v>0.21549619270536763</v>
      </c>
      <c r="BG20" s="613">
        <v>0.29513377668507429</v>
      </c>
      <c r="BH20" s="613">
        <v>0.73021851709921426</v>
      </c>
      <c r="BI20" s="613">
        <v>0.26807144600626337</v>
      </c>
      <c r="BJ20" s="613">
        <v>0.66508881177782109</v>
      </c>
      <c r="BK20" s="613">
        <v>0.3212426965256594</v>
      </c>
      <c r="BL20" s="613">
        <v>0.66257788277249485</v>
      </c>
      <c r="BM20" s="613">
        <v>0.51468770453830692</v>
      </c>
      <c r="BN20" s="613">
        <v>0.77941297665962073</v>
      </c>
      <c r="BO20" s="613">
        <v>0.42702060467907571</v>
      </c>
      <c r="BP20" s="613">
        <v>0.49826254654593627</v>
      </c>
      <c r="BQ20" s="613">
        <v>0.25775195747820845</v>
      </c>
      <c r="BR20" s="613">
        <v>0.47925677192581645</v>
      </c>
      <c r="BS20" s="613">
        <v>0.63901251926578129</v>
      </c>
      <c r="BT20" s="613">
        <v>0.36088223063390218</v>
      </c>
      <c r="BU20" s="613">
        <v>0.3724311568455605</v>
      </c>
      <c r="BV20" s="613">
        <v>0.63258143987355675</v>
      </c>
      <c r="BW20" s="613">
        <v>0.45595614124696238</v>
      </c>
      <c r="BX20" s="613">
        <v>0.43262969420590558</v>
      </c>
      <c r="BY20" s="613">
        <v>0.39097576672311557</v>
      </c>
      <c r="BZ20" s="613">
        <v>0.45675917390428988</v>
      </c>
      <c r="CA20" s="613">
        <v>0.51782616713717611</v>
      </c>
      <c r="CB20" s="613">
        <v>0.39729406495137998</v>
      </c>
      <c r="CC20" s="613">
        <v>0.45859675179027198</v>
      </c>
      <c r="CD20" s="613">
        <v>0.62378408434652299</v>
      </c>
      <c r="CE20" s="613">
        <v>0.33499906799709156</v>
      </c>
      <c r="CF20" s="613">
        <v>0.37179448071605442</v>
      </c>
      <c r="CG20" s="613">
        <v>0.51306852200214803</v>
      </c>
      <c r="CH20" s="613">
        <v>0.4769576706509091</v>
      </c>
      <c r="CI20" s="613">
        <v>0.41586536273578828</v>
      </c>
      <c r="CJ20" s="613">
        <v>0.33518285133853476</v>
      </c>
      <c r="CK20" s="613">
        <v>0.33120278876551901</v>
      </c>
      <c r="CL20" s="613">
        <v>0.31916114914142535</v>
      </c>
      <c r="CM20" s="613">
        <v>0.57574484451485985</v>
      </c>
      <c r="CN20" s="613">
        <v>0.38944542196692256</v>
      </c>
      <c r="CO20" s="613">
        <v>0.57535927746746607</v>
      </c>
      <c r="CP20" s="613">
        <v>0.92015498207606672</v>
      </c>
      <c r="CQ20" s="613">
        <v>0.8101130256995871</v>
      </c>
      <c r="CR20" s="613">
        <v>0.35172387610004485</v>
      </c>
      <c r="CS20" s="613">
        <v>0.32898441906961862</v>
      </c>
      <c r="CT20" s="613">
        <v>0.27333721527054539</v>
      </c>
      <c r="CU20" s="613">
        <v>0.40104006414457122</v>
      </c>
      <c r="CV20" s="613">
        <v>0.26821213277495609</v>
      </c>
      <c r="CW20" s="613">
        <v>0.22018513700538728</v>
      </c>
      <c r="CX20" s="613">
        <v>0.13232015614151227</v>
      </c>
      <c r="CY20" s="613">
        <v>0.29657731237399582</v>
      </c>
      <c r="CZ20" s="613">
        <v>0.15536691307340772</v>
      </c>
      <c r="DA20" s="613">
        <v>0.32620038836809251</v>
      </c>
      <c r="DB20" s="613">
        <v>0.28569996100956535</v>
      </c>
      <c r="DC20" s="613">
        <v>0.36755640293714886</v>
      </c>
      <c r="DD20" s="613">
        <v>0.52297716506181824</v>
      </c>
      <c r="DE20" s="613">
        <v>0.3863144136315167</v>
      </c>
      <c r="DF20" s="613">
        <v>0.15768331804368371</v>
      </c>
      <c r="DG20" s="613">
        <v>0.13675610408446082</v>
      </c>
      <c r="DH20" s="613">
        <v>9.6379392061786306E-2</v>
      </c>
      <c r="DI20" s="613">
        <v>0.32779257078242663</v>
      </c>
      <c r="DJ20" s="613">
        <v>0.60542788216711929</v>
      </c>
      <c r="DK20" s="613">
        <v>0.50610879252056029</v>
      </c>
      <c r="DL20" s="613">
        <v>0.47696627497181282</v>
      </c>
      <c r="DM20" s="613">
        <v>0.19360143649532108</v>
      </c>
      <c r="DN20" s="613">
        <v>0.31498691795020267</v>
      </c>
      <c r="DO20" s="613">
        <v>0.16034772791753282</v>
      </c>
      <c r="DP20" s="613">
        <v>0.58936764537329722</v>
      </c>
      <c r="DQ20" s="613">
        <v>0.14437632978187848</v>
      </c>
      <c r="DR20" s="613">
        <v>0.5730756800554464</v>
      </c>
      <c r="DS20" s="613">
        <v>0.1981759406511667</v>
      </c>
      <c r="DT20" s="613">
        <v>0.28840678002231179</v>
      </c>
      <c r="DU20" s="613">
        <v>0.13507901658253751</v>
      </c>
      <c r="DV20" s="613">
        <v>0.37890077811507528</v>
      </c>
      <c r="DW20" s="613">
        <v>0.49402055198616318</v>
      </c>
      <c r="DX20" s="613">
        <v>0.21201012537974087</v>
      </c>
      <c r="DY20" s="613">
        <v>0.33923437955305058</v>
      </c>
      <c r="DZ20" s="613">
        <v>0.31356098342160521</v>
      </c>
      <c r="EA20" s="613">
        <v>0.2490529395819964</v>
      </c>
      <c r="EB20" s="613">
        <v>0.44304744390455075</v>
      </c>
      <c r="EC20" s="613">
        <v>0.44301076871640915</v>
      </c>
      <c r="ED20" s="613">
        <v>0.76014787695285213</v>
      </c>
      <c r="EE20" s="613">
        <v>0.54041964884765015</v>
      </c>
      <c r="EF20" s="613">
        <v>0.36844132914803018</v>
      </c>
      <c r="EG20" s="613">
        <v>0.45416028503769512</v>
      </c>
      <c r="EH20" s="613">
        <v>0.4715259212391803</v>
      </c>
      <c r="EI20" s="613">
        <v>0.3953428278883101</v>
      </c>
      <c r="EJ20" s="613">
        <v>0.3015623240226632</v>
      </c>
      <c r="EK20" s="613">
        <v>0.31236908538851976</v>
      </c>
      <c r="EL20" s="613">
        <v>0.53750257889254727</v>
      </c>
      <c r="EM20" s="613">
        <v>0.44606580529925527</v>
      </c>
      <c r="EN20" s="613">
        <v>0.22990059088758624</v>
      </c>
      <c r="EO20" s="613">
        <v>0.30552315271621333</v>
      </c>
      <c r="EP20" s="613">
        <v>0.60068971999985832</v>
      </c>
      <c r="EQ20" s="613">
        <v>0.39340883312201408</v>
      </c>
      <c r="ER20" s="613">
        <v>0.40330929816646605</v>
      </c>
      <c r="ES20" s="613">
        <v>0.35641952762525597</v>
      </c>
      <c r="ET20" s="613">
        <v>0.54777060163956193</v>
      </c>
      <c r="EU20" s="613">
        <v>9.252903921420505E-2</v>
      </c>
      <c r="EV20" s="613">
        <v>0.56982667497113049</v>
      </c>
      <c r="EW20" s="613">
        <v>9.2374041086494413E-2</v>
      </c>
      <c r="EX20" s="613">
        <v>0.30728599142973367</v>
      </c>
      <c r="EY20" s="613">
        <v>0.6507973519577186</v>
      </c>
      <c r="EZ20" s="613">
        <v>0.48949216808084262</v>
      </c>
      <c r="FA20" s="613">
        <v>0.44903603779718404</v>
      </c>
      <c r="FB20" s="613">
        <v>0.35989907268636168</v>
      </c>
      <c r="FC20" s="613">
        <v>0.11657525417411183</v>
      </c>
      <c r="FD20" s="613">
        <v>0.44125409057095016</v>
      </c>
      <c r="FE20" s="613">
        <v>0.2897734253499506</v>
      </c>
      <c r="FF20" s="613">
        <v>0.45969277231015271</v>
      </c>
      <c r="FG20" s="613">
        <v>0.44741444830767901</v>
      </c>
      <c r="FH20" s="613">
        <v>0.2958235742330011</v>
      </c>
      <c r="FI20" s="613">
        <v>0.86159596895954671</v>
      </c>
      <c r="FJ20" s="613">
        <v>0.66009399646762512</v>
      </c>
      <c r="FK20" s="613">
        <v>0.21916586574900293</v>
      </c>
      <c r="FL20" s="613">
        <v>0</v>
      </c>
      <c r="FM20" s="613">
        <v>0.80186663217324949</v>
      </c>
      <c r="FN20" s="613">
        <v>0.54849877941895497</v>
      </c>
      <c r="FO20" s="613">
        <v>0.43944935896909898</v>
      </c>
      <c r="FP20" s="613">
        <v>0.48855201854590441</v>
      </c>
      <c r="FQ20" s="613">
        <v>0.23825826451349627</v>
      </c>
      <c r="FR20" s="613">
        <v>0.47290891089733855</v>
      </c>
      <c r="FS20" s="613">
        <v>0.23276523382707937</v>
      </c>
      <c r="FT20" s="613">
        <v>0.36366144912848219</v>
      </c>
    </row>
    <row r="21" spans="1:206" s="613" customFormat="1" x14ac:dyDescent="0.2">
      <c r="A21" s="1488" t="s">
        <v>319</v>
      </c>
      <c r="B21" s="613">
        <v>0</v>
      </c>
      <c r="C21" s="613">
        <v>0</v>
      </c>
      <c r="D21" s="613">
        <v>0</v>
      </c>
      <c r="E21" s="613">
        <v>0</v>
      </c>
      <c r="F21" s="613">
        <v>0</v>
      </c>
      <c r="G21" s="613">
        <v>0</v>
      </c>
      <c r="H21" s="613">
        <v>0</v>
      </c>
      <c r="I21" s="613">
        <v>0</v>
      </c>
      <c r="J21" s="613">
        <v>0</v>
      </c>
      <c r="K21" s="613">
        <v>0</v>
      </c>
      <c r="L21" s="613">
        <v>0.27636591820895523</v>
      </c>
      <c r="M21" s="613">
        <v>0</v>
      </c>
      <c r="N21" s="613">
        <v>0</v>
      </c>
      <c r="O21" s="613">
        <v>0</v>
      </c>
      <c r="P21" s="613">
        <v>0</v>
      </c>
      <c r="Q21" s="613">
        <v>0</v>
      </c>
      <c r="R21" s="613">
        <v>0</v>
      </c>
      <c r="S21" s="613">
        <v>0</v>
      </c>
      <c r="T21" s="613">
        <v>0</v>
      </c>
      <c r="U21" s="613">
        <v>0</v>
      </c>
      <c r="V21" s="613">
        <v>0</v>
      </c>
      <c r="W21" s="613">
        <v>0</v>
      </c>
      <c r="X21" s="613">
        <v>0</v>
      </c>
      <c r="Y21" s="613">
        <v>0</v>
      </c>
      <c r="Z21" s="613">
        <v>0</v>
      </c>
      <c r="AA21" s="613">
        <v>0</v>
      </c>
      <c r="AB21" s="613">
        <v>0</v>
      </c>
      <c r="AC21" s="613">
        <v>0</v>
      </c>
      <c r="AD21" s="613">
        <v>0</v>
      </c>
      <c r="AE21" s="613">
        <v>0.33333333333333337</v>
      </c>
      <c r="AF21" s="613">
        <v>0</v>
      </c>
      <c r="AG21" s="613">
        <v>0</v>
      </c>
      <c r="AH21" s="613">
        <v>0</v>
      </c>
      <c r="AI21" s="613">
        <v>0</v>
      </c>
      <c r="AJ21" s="613">
        <v>0</v>
      </c>
      <c r="AK21" s="613">
        <v>0.36272855328358206</v>
      </c>
      <c r="AL21" s="613">
        <v>0.51305258955223887</v>
      </c>
      <c r="AM21" s="613">
        <v>0.40796019900497515</v>
      </c>
      <c r="AN21" s="613">
        <v>0.32672062885572145</v>
      </c>
      <c r="AO21" s="613">
        <v>0.49751243781094523</v>
      </c>
      <c r="AP21" s="613">
        <v>0.51095871999999998</v>
      </c>
      <c r="AQ21" s="613">
        <v>0.30413967900497518</v>
      </c>
      <c r="AR21" s="613">
        <v>0.49751243781094523</v>
      </c>
      <c r="AS21" s="613">
        <v>0</v>
      </c>
      <c r="AT21" s="613">
        <v>0.29850746268656714</v>
      </c>
      <c r="AU21" s="613">
        <v>0.58706467661691542</v>
      </c>
      <c r="AV21" s="613">
        <v>0.2388059701492537</v>
      </c>
      <c r="AW21" s="613">
        <v>0</v>
      </c>
      <c r="AX21" s="613">
        <v>0.52743745452736324</v>
      </c>
      <c r="AY21" s="613">
        <v>0.31566075343283584</v>
      </c>
      <c r="AZ21" s="613">
        <v>0</v>
      </c>
      <c r="BA21" s="613">
        <v>0.33515922069651743</v>
      </c>
      <c r="BB21" s="613">
        <v>0</v>
      </c>
      <c r="BC21" s="613">
        <v>0</v>
      </c>
      <c r="BD21" s="613">
        <v>0</v>
      </c>
      <c r="BE21" s="613">
        <v>0</v>
      </c>
      <c r="BF21" s="613">
        <v>0</v>
      </c>
      <c r="BG21" s="613">
        <v>0</v>
      </c>
      <c r="BH21" s="613">
        <v>0.93173250965174126</v>
      </c>
      <c r="BI21" s="613">
        <v>0</v>
      </c>
      <c r="BJ21" s="613">
        <v>0</v>
      </c>
      <c r="BK21" s="613">
        <v>0</v>
      </c>
      <c r="BL21" s="613">
        <v>0.2388059701492537</v>
      </c>
      <c r="BM21" s="613">
        <v>0</v>
      </c>
      <c r="BN21" s="613">
        <v>0</v>
      </c>
      <c r="BO21" s="613">
        <v>0.49742279601990053</v>
      </c>
      <c r="BP21" s="613">
        <v>0</v>
      </c>
      <c r="BQ21" s="613">
        <v>0</v>
      </c>
      <c r="BR21" s="613">
        <v>0.49751243781094523</v>
      </c>
      <c r="BS21" s="613">
        <v>0.39800995024875629</v>
      </c>
      <c r="BT21" s="613">
        <v>0.32835820895522383</v>
      </c>
      <c r="BU21" s="613">
        <v>0</v>
      </c>
      <c r="BV21" s="613">
        <v>0</v>
      </c>
      <c r="BW21" s="613">
        <v>0</v>
      </c>
      <c r="BX21" s="613">
        <v>0</v>
      </c>
      <c r="BY21" s="613">
        <v>0.2388059701492537</v>
      </c>
      <c r="BZ21" s="613">
        <v>0</v>
      </c>
      <c r="CA21" s="613">
        <v>0.35820895522388063</v>
      </c>
      <c r="CB21" s="613">
        <v>0.52782277990049753</v>
      </c>
      <c r="CC21" s="613">
        <v>0.35820895522388063</v>
      </c>
      <c r="CD21" s="613">
        <v>0</v>
      </c>
      <c r="CE21" s="613">
        <v>0</v>
      </c>
      <c r="CF21" s="613">
        <v>0.1016538927363184</v>
      </c>
      <c r="CG21" s="613">
        <v>0</v>
      </c>
      <c r="CH21" s="613">
        <v>0</v>
      </c>
      <c r="CI21" s="613">
        <v>0</v>
      </c>
      <c r="CJ21" s="613">
        <v>0</v>
      </c>
      <c r="CK21" s="613">
        <v>0.44776119402985076</v>
      </c>
      <c r="CL21" s="613">
        <v>0</v>
      </c>
      <c r="CM21" s="613">
        <v>0</v>
      </c>
      <c r="CN21" s="613">
        <v>0.2388059701492537</v>
      </c>
      <c r="CO21" s="613">
        <v>0.33830845771144274</v>
      </c>
      <c r="CP21" s="613">
        <v>0.58706467661691542</v>
      </c>
      <c r="CQ21" s="613">
        <v>0</v>
      </c>
      <c r="CR21" s="613">
        <v>0</v>
      </c>
      <c r="CS21" s="613">
        <v>0</v>
      </c>
      <c r="CT21" s="613">
        <v>0</v>
      </c>
      <c r="CU21" s="613">
        <v>0</v>
      </c>
      <c r="CV21" s="613">
        <v>0</v>
      </c>
      <c r="CW21" s="613">
        <v>0</v>
      </c>
      <c r="CX21" s="613">
        <v>0.12221719681592041</v>
      </c>
      <c r="CY21" s="613">
        <v>0</v>
      </c>
      <c r="CZ21" s="613">
        <v>0.18856802945273632</v>
      </c>
      <c r="DA21" s="613">
        <v>0.28855721393034822</v>
      </c>
      <c r="DB21" s="613">
        <v>0</v>
      </c>
      <c r="DC21" s="613">
        <v>0</v>
      </c>
      <c r="DD21" s="613">
        <v>0</v>
      </c>
      <c r="DE21" s="613">
        <v>0.44776119402985076</v>
      </c>
      <c r="DF21" s="613">
        <v>0.15920398009950248</v>
      </c>
      <c r="DG21" s="613">
        <v>0</v>
      </c>
      <c r="DH21" s="613">
        <v>9.9502487562189046E-2</v>
      </c>
      <c r="DI21" s="613">
        <v>0.38724853990049751</v>
      </c>
      <c r="DJ21" s="613">
        <v>0.2388059701492537</v>
      </c>
      <c r="DK21" s="613">
        <v>0</v>
      </c>
      <c r="DL21" s="613">
        <v>0.19900497512437809</v>
      </c>
      <c r="DM21" s="613">
        <v>0.42786069651741293</v>
      </c>
      <c r="DN21" s="613">
        <v>0</v>
      </c>
      <c r="DO21" s="613">
        <v>0.21749945930348258</v>
      </c>
      <c r="DP21" s="613">
        <v>0</v>
      </c>
      <c r="DQ21" s="613">
        <v>0.28855721393034822</v>
      </c>
      <c r="DR21" s="613">
        <v>0</v>
      </c>
      <c r="DS21" s="613">
        <v>0.10469392179104477</v>
      </c>
      <c r="DT21" s="613">
        <v>0</v>
      </c>
      <c r="DU21" s="613">
        <v>0.51741293532338317</v>
      </c>
      <c r="DV21" s="613">
        <v>0</v>
      </c>
      <c r="DW21" s="613">
        <v>0</v>
      </c>
      <c r="DX21" s="613">
        <v>0.2388059701492537</v>
      </c>
      <c r="DY21" s="613">
        <v>0.45771144278606962</v>
      </c>
      <c r="DZ21" s="613">
        <v>0</v>
      </c>
      <c r="EA21" s="613">
        <v>0.31840796019900497</v>
      </c>
      <c r="EB21" s="613">
        <v>0.34825870646766161</v>
      </c>
      <c r="EC21" s="613">
        <v>0.43054995303482585</v>
      </c>
      <c r="ED21" s="613">
        <v>0</v>
      </c>
      <c r="EE21" s="613">
        <v>0</v>
      </c>
      <c r="EF21" s="613">
        <v>0.46766169154228854</v>
      </c>
      <c r="EG21" s="613">
        <v>0</v>
      </c>
      <c r="EH21" s="613">
        <v>0</v>
      </c>
      <c r="EI21" s="613">
        <v>0</v>
      </c>
      <c r="EJ21" s="613">
        <v>0</v>
      </c>
      <c r="EK21" s="613">
        <v>0.49751243781094528</v>
      </c>
      <c r="EL21" s="613">
        <v>0</v>
      </c>
      <c r="EM21" s="613">
        <v>0.29850746268656714</v>
      </c>
      <c r="EN21" s="613">
        <v>0.29850746268656714</v>
      </c>
      <c r="EO21" s="613">
        <v>0.29850746268656714</v>
      </c>
      <c r="EP21" s="613">
        <v>0.38308457711442784</v>
      </c>
      <c r="EQ21" s="613">
        <v>0</v>
      </c>
      <c r="ER21" s="613">
        <v>0</v>
      </c>
      <c r="ES21" s="613">
        <v>0</v>
      </c>
      <c r="ET21" s="613">
        <v>0.44776119402985076</v>
      </c>
      <c r="EU21" s="613">
        <v>0</v>
      </c>
      <c r="EV21" s="613">
        <v>0.37290038835820905</v>
      </c>
      <c r="EW21" s="613">
        <v>0</v>
      </c>
      <c r="EX21" s="613">
        <v>0.41017136537313431</v>
      </c>
      <c r="EY21" s="613">
        <v>0.33744321850746267</v>
      </c>
      <c r="EZ21" s="613">
        <v>0.47761194029850745</v>
      </c>
      <c r="FA21" s="613">
        <v>0</v>
      </c>
      <c r="FB21" s="613">
        <v>0</v>
      </c>
      <c r="FC21" s="613">
        <v>0</v>
      </c>
      <c r="FD21" s="613">
        <v>0</v>
      </c>
      <c r="FE21" s="613">
        <v>0.32371060059701495</v>
      </c>
      <c r="FF21" s="613">
        <v>0</v>
      </c>
      <c r="FG21" s="613">
        <v>8.5496430845771146E-2</v>
      </c>
      <c r="FH21" s="613">
        <v>0.47162307582089547</v>
      </c>
      <c r="FI21" s="613">
        <v>1</v>
      </c>
      <c r="FJ21" s="613">
        <v>0</v>
      </c>
      <c r="FK21" s="613">
        <v>0.13930348258706465</v>
      </c>
      <c r="FL21" s="613">
        <v>0</v>
      </c>
      <c r="FM21" s="613">
        <v>0.58706467661691542</v>
      </c>
      <c r="FN21" s="613">
        <v>0.52282067920398012</v>
      </c>
      <c r="FO21" s="613">
        <v>0</v>
      </c>
      <c r="FP21" s="613">
        <v>0.42369673373134331</v>
      </c>
      <c r="FQ21" s="613">
        <v>0.29850746268656714</v>
      </c>
      <c r="FR21" s="613">
        <v>0</v>
      </c>
      <c r="FS21" s="613">
        <v>0.58706467661691542</v>
      </c>
      <c r="FT21" s="613">
        <v>0.32835820895522388</v>
      </c>
    </row>
    <row r="22" spans="1:206" s="613" customFormat="1" x14ac:dyDescent="0.2">
      <c r="A22" s="1488" t="s">
        <v>9</v>
      </c>
      <c r="B22" s="613">
        <v>1</v>
      </c>
      <c r="C22" s="613">
        <v>1</v>
      </c>
      <c r="D22" s="613">
        <v>1</v>
      </c>
      <c r="E22" s="613">
        <v>1</v>
      </c>
      <c r="F22" s="613">
        <v>1</v>
      </c>
      <c r="G22" s="613">
        <v>1</v>
      </c>
      <c r="H22" s="613">
        <v>1</v>
      </c>
      <c r="I22" s="613">
        <v>1</v>
      </c>
      <c r="J22" s="613">
        <v>1</v>
      </c>
      <c r="K22" s="613">
        <v>1</v>
      </c>
      <c r="L22" s="613">
        <v>0.60669162624615247</v>
      </c>
      <c r="M22" s="613">
        <v>1</v>
      </c>
      <c r="N22" s="613">
        <v>1</v>
      </c>
      <c r="O22" s="613">
        <v>1</v>
      </c>
      <c r="P22" s="613">
        <v>1</v>
      </c>
      <c r="Q22" s="613">
        <v>1</v>
      </c>
      <c r="R22" s="613">
        <v>1</v>
      </c>
      <c r="S22" s="613">
        <v>1</v>
      </c>
      <c r="T22" s="613">
        <v>1</v>
      </c>
      <c r="U22" s="613">
        <v>1</v>
      </c>
      <c r="V22" s="613">
        <v>1</v>
      </c>
      <c r="W22" s="613">
        <v>1</v>
      </c>
      <c r="X22" s="613">
        <v>1</v>
      </c>
      <c r="Y22" s="613">
        <v>1</v>
      </c>
      <c r="Z22" s="613">
        <v>1</v>
      </c>
      <c r="AA22" s="613">
        <v>1</v>
      </c>
      <c r="AB22" s="613">
        <v>1</v>
      </c>
      <c r="AC22" s="613">
        <v>1</v>
      </c>
      <c r="AD22" s="613">
        <v>1</v>
      </c>
      <c r="AE22" s="613">
        <v>0.43175871232518215</v>
      </c>
      <c r="AF22" s="613">
        <v>1</v>
      </c>
      <c r="AG22" s="613">
        <v>1</v>
      </c>
      <c r="AH22" s="613">
        <v>1</v>
      </c>
      <c r="AI22" s="613">
        <v>1</v>
      </c>
      <c r="AJ22" s="613">
        <v>1</v>
      </c>
      <c r="AK22" s="613">
        <v>0.77106731517182636</v>
      </c>
      <c r="AL22" s="613">
        <v>0.35370336187143187</v>
      </c>
      <c r="AM22" s="613">
        <v>0.59059287435954411</v>
      </c>
      <c r="AN22" s="613">
        <v>0.64621358966832365</v>
      </c>
      <c r="AO22" s="613">
        <v>0</v>
      </c>
      <c r="AP22" s="613">
        <v>0.89194294899893778</v>
      </c>
      <c r="AQ22" s="613">
        <v>0.44789141866904109</v>
      </c>
      <c r="AR22" s="613">
        <v>0.33459317543885825</v>
      </c>
      <c r="AS22" s="613">
        <v>1</v>
      </c>
      <c r="AT22" s="613">
        <v>0.14553417031848501</v>
      </c>
      <c r="AU22" s="613">
        <v>0.68545690806505843</v>
      </c>
      <c r="AV22" s="613">
        <v>0.34623053252521785</v>
      </c>
      <c r="AW22" s="613">
        <v>1</v>
      </c>
      <c r="AX22" s="613">
        <v>0.63520903518281668</v>
      </c>
      <c r="AY22" s="613">
        <v>0.71285250079515561</v>
      </c>
      <c r="AZ22" s="613">
        <v>1</v>
      </c>
      <c r="BA22" s="613">
        <v>0.78664236548816668</v>
      </c>
      <c r="BB22" s="613">
        <v>1</v>
      </c>
      <c r="BC22" s="613">
        <v>1</v>
      </c>
      <c r="BD22" s="613">
        <v>1</v>
      </c>
      <c r="BE22" s="613">
        <v>1</v>
      </c>
      <c r="BF22" s="613">
        <v>1</v>
      </c>
      <c r="BG22" s="613">
        <v>1</v>
      </c>
      <c r="BH22" s="613">
        <v>0.47849126408923759</v>
      </c>
      <c r="BI22" s="613">
        <v>1</v>
      </c>
      <c r="BJ22" s="613">
        <v>1</v>
      </c>
      <c r="BK22" s="613">
        <v>1</v>
      </c>
      <c r="BL22" s="613">
        <v>7.8150937225369269E-2</v>
      </c>
      <c r="BM22" s="613">
        <v>1</v>
      </c>
      <c r="BN22" s="613">
        <v>1</v>
      </c>
      <c r="BO22" s="613">
        <v>0.33669325656111332</v>
      </c>
      <c r="BP22" s="613">
        <v>1</v>
      </c>
      <c r="BQ22" s="613">
        <v>1</v>
      </c>
      <c r="BR22" s="613">
        <v>2.4032120810531181E-2</v>
      </c>
      <c r="BS22" s="613">
        <v>0.73439338515248109</v>
      </c>
      <c r="BT22" s="613">
        <v>0.39646420051705422</v>
      </c>
      <c r="BU22" s="613">
        <v>1</v>
      </c>
      <c r="BV22" s="613">
        <v>1</v>
      </c>
      <c r="BW22" s="613">
        <v>1</v>
      </c>
      <c r="BX22" s="613">
        <v>1</v>
      </c>
      <c r="BY22" s="613">
        <v>0.15665583209172784</v>
      </c>
      <c r="BZ22" s="613">
        <v>1</v>
      </c>
      <c r="CA22" s="613">
        <v>0.32455292492853138</v>
      </c>
      <c r="CB22" s="613">
        <v>0.57701382186887884</v>
      </c>
      <c r="CC22" s="613">
        <v>0.53796523819844422</v>
      </c>
      <c r="CD22" s="613">
        <v>1</v>
      </c>
      <c r="CE22" s="613">
        <v>1</v>
      </c>
      <c r="CF22" s="613">
        <v>0.36363192269688194</v>
      </c>
      <c r="CG22" s="613">
        <v>1</v>
      </c>
      <c r="CH22" s="613">
        <v>1</v>
      </c>
      <c r="CI22" s="613">
        <v>1</v>
      </c>
      <c r="CJ22" s="613">
        <v>1</v>
      </c>
      <c r="CK22" s="613">
        <v>0.57050705205502261</v>
      </c>
      <c r="CL22" s="613">
        <v>1</v>
      </c>
      <c r="CM22" s="613">
        <v>1</v>
      </c>
      <c r="CN22" s="613">
        <v>0.16964756687877791</v>
      </c>
      <c r="CO22" s="613">
        <v>0.2316992438788181</v>
      </c>
      <c r="CP22" s="613">
        <v>0.34217573259950473</v>
      </c>
      <c r="CQ22" s="613">
        <v>1</v>
      </c>
      <c r="CR22" s="613">
        <v>1</v>
      </c>
      <c r="CS22" s="613">
        <v>1</v>
      </c>
      <c r="CT22" s="613">
        <v>1</v>
      </c>
      <c r="CU22" s="613">
        <v>1</v>
      </c>
      <c r="CV22" s="613">
        <v>1</v>
      </c>
      <c r="CW22" s="613">
        <v>1</v>
      </c>
      <c r="CX22" s="613">
        <v>0.41180563102917384</v>
      </c>
      <c r="CY22" s="613">
        <v>1</v>
      </c>
      <c r="CZ22" s="613">
        <v>0.44872834794145239</v>
      </c>
      <c r="DA22" s="613">
        <v>0.44787630679946749</v>
      </c>
      <c r="DB22" s="613">
        <v>1</v>
      </c>
      <c r="DC22" s="613">
        <v>1</v>
      </c>
      <c r="DD22" s="613">
        <v>1</v>
      </c>
      <c r="DE22" s="613">
        <v>0.30956426510491408</v>
      </c>
      <c r="DF22" s="613">
        <v>0.50414849324770783</v>
      </c>
      <c r="DG22" s="613">
        <v>1</v>
      </c>
      <c r="DH22" s="613">
        <v>0.3275317979129973</v>
      </c>
      <c r="DI22" s="613">
        <v>0.43196243658227046</v>
      </c>
      <c r="DJ22" s="613">
        <v>0.37464695588351893</v>
      </c>
      <c r="DK22" s="613">
        <v>1</v>
      </c>
      <c r="DL22" s="613">
        <v>0.17505731229586718</v>
      </c>
      <c r="DM22" s="613">
        <v>0.27845432478518273</v>
      </c>
      <c r="DN22" s="613">
        <v>1</v>
      </c>
      <c r="DO22" s="613">
        <v>0.4770271806410501</v>
      </c>
      <c r="DP22" s="613">
        <v>1</v>
      </c>
      <c r="DQ22" s="613">
        <v>0.45764738785013004</v>
      </c>
      <c r="DR22" s="613">
        <v>1</v>
      </c>
      <c r="DS22" s="613">
        <v>0.60902060880006148</v>
      </c>
      <c r="DT22" s="613">
        <v>1</v>
      </c>
      <c r="DU22" s="613">
        <v>0.67609241518449059</v>
      </c>
      <c r="DV22" s="613">
        <v>1</v>
      </c>
      <c r="DW22" s="613">
        <v>1</v>
      </c>
      <c r="DX22" s="613">
        <v>0.27442078037995987</v>
      </c>
      <c r="DY22" s="613">
        <v>0.59975714318971241</v>
      </c>
      <c r="DZ22" s="613">
        <v>1</v>
      </c>
      <c r="EA22" s="613">
        <v>0.47875444719335086</v>
      </c>
      <c r="EB22" s="613">
        <v>0.25821288503090645</v>
      </c>
      <c r="EC22" s="613">
        <v>0.46042047010002141</v>
      </c>
      <c r="ED22" s="613">
        <v>1</v>
      </c>
      <c r="EE22" s="613">
        <v>1</v>
      </c>
      <c r="EF22" s="613">
        <v>0.63184126616047032</v>
      </c>
      <c r="EG22" s="613">
        <v>1</v>
      </c>
      <c r="EH22" s="613">
        <v>1</v>
      </c>
      <c r="EI22" s="613">
        <v>1</v>
      </c>
      <c r="EJ22" s="613">
        <v>1</v>
      </c>
      <c r="EK22" s="613">
        <v>0.68408376402675941</v>
      </c>
      <c r="EL22" s="613">
        <v>1</v>
      </c>
      <c r="EM22" s="613">
        <v>0.73406720156920025</v>
      </c>
      <c r="EN22" s="613">
        <v>0.51423400655030849</v>
      </c>
      <c r="EO22" s="613">
        <v>0.7192182554617027</v>
      </c>
      <c r="EP22" s="613">
        <v>0.7200917097007451</v>
      </c>
      <c r="EQ22" s="613">
        <v>1</v>
      </c>
      <c r="ER22" s="613">
        <v>1</v>
      </c>
      <c r="ES22" s="613">
        <v>1</v>
      </c>
      <c r="ET22" s="613">
        <v>0.68404213942242065</v>
      </c>
      <c r="EU22" s="613">
        <v>1</v>
      </c>
      <c r="EV22" s="613">
        <v>0.81502208370353046</v>
      </c>
      <c r="EW22" s="613">
        <v>1</v>
      </c>
      <c r="EX22" s="613">
        <v>0.37172201839656971</v>
      </c>
      <c r="EY22" s="613">
        <v>0.83187562465428144</v>
      </c>
      <c r="EZ22" s="613">
        <v>0.64297918784633479</v>
      </c>
      <c r="FA22" s="613">
        <v>1</v>
      </c>
      <c r="FB22" s="613">
        <v>1</v>
      </c>
      <c r="FC22" s="613">
        <v>1</v>
      </c>
      <c r="FD22" s="613">
        <v>1</v>
      </c>
      <c r="FE22" s="613">
        <v>0.58581163873255349</v>
      </c>
      <c r="FF22" s="613">
        <v>1</v>
      </c>
      <c r="FG22" s="613">
        <v>0.37856009398675278</v>
      </c>
      <c r="FH22" s="613">
        <v>0.25347587127619925</v>
      </c>
      <c r="FI22" s="613">
        <v>0.68867500724656339</v>
      </c>
      <c r="FJ22" s="613">
        <v>1</v>
      </c>
      <c r="FK22" s="613">
        <v>0.41688874011340266</v>
      </c>
      <c r="FL22" s="613">
        <v>1</v>
      </c>
      <c r="FM22" s="613">
        <v>0.2891380384314084</v>
      </c>
      <c r="FN22" s="613">
        <v>0.72047397793233647</v>
      </c>
      <c r="FO22" s="613">
        <v>1</v>
      </c>
      <c r="FP22" s="613">
        <v>0.93419984364798625</v>
      </c>
      <c r="FQ22" s="613">
        <v>0.57824579578811774</v>
      </c>
      <c r="FR22" s="613">
        <v>1</v>
      </c>
      <c r="FS22" s="613">
        <v>0.36106219413940382</v>
      </c>
      <c r="FT22" s="613">
        <v>0.63417377850644918</v>
      </c>
    </row>
    <row r="23" spans="1:206" s="613" customFormat="1" x14ac:dyDescent="0.2">
      <c r="A23" s="1488" t="s">
        <v>315</v>
      </c>
      <c r="B23" s="613">
        <v>1</v>
      </c>
      <c r="C23" s="613">
        <v>1</v>
      </c>
      <c r="D23" s="613">
        <v>1</v>
      </c>
      <c r="E23" s="613">
        <v>1</v>
      </c>
      <c r="F23" s="613">
        <v>1</v>
      </c>
      <c r="G23" s="613">
        <v>1</v>
      </c>
      <c r="H23" s="613">
        <v>1</v>
      </c>
      <c r="I23" s="613">
        <v>1</v>
      </c>
      <c r="J23" s="613">
        <v>1</v>
      </c>
      <c r="K23" s="613">
        <v>1</v>
      </c>
      <c r="L23" s="613">
        <v>0.2214703891671197</v>
      </c>
      <c r="M23" s="613">
        <v>1</v>
      </c>
      <c r="N23" s="613">
        <v>1</v>
      </c>
      <c r="O23" s="613">
        <v>1</v>
      </c>
      <c r="P23" s="613">
        <v>1</v>
      </c>
      <c r="Q23" s="613">
        <v>1</v>
      </c>
      <c r="R23" s="613">
        <v>1</v>
      </c>
      <c r="S23" s="613">
        <v>1</v>
      </c>
      <c r="T23" s="613">
        <v>1</v>
      </c>
      <c r="U23" s="613">
        <v>1</v>
      </c>
      <c r="V23" s="613">
        <v>1</v>
      </c>
      <c r="W23" s="613">
        <v>1</v>
      </c>
      <c r="X23" s="613">
        <v>1</v>
      </c>
      <c r="Y23" s="613">
        <v>1</v>
      </c>
      <c r="Z23" s="613">
        <v>1</v>
      </c>
      <c r="AA23" s="613">
        <v>1</v>
      </c>
      <c r="AB23" s="613">
        <v>1</v>
      </c>
      <c r="AC23" s="613">
        <v>1</v>
      </c>
      <c r="AD23" s="613">
        <v>1</v>
      </c>
      <c r="AE23" s="613">
        <v>0.33501630828499857</v>
      </c>
      <c r="AF23" s="613">
        <v>1</v>
      </c>
      <c r="AG23" s="613">
        <v>1</v>
      </c>
      <c r="AH23" s="613">
        <v>1</v>
      </c>
      <c r="AI23" s="613">
        <v>1</v>
      </c>
      <c r="AJ23" s="613">
        <v>1</v>
      </c>
      <c r="AK23" s="613">
        <v>0.37676869105233129</v>
      </c>
      <c r="AL23" s="613">
        <v>0.38490976917865777</v>
      </c>
      <c r="AM23" s="613">
        <v>0.33143109882516414</v>
      </c>
      <c r="AN23" s="613">
        <v>0.27902877610783133</v>
      </c>
      <c r="AO23" s="613">
        <v>0.29828622389692139</v>
      </c>
      <c r="AP23" s="613">
        <v>0.52612640720670334</v>
      </c>
      <c r="AQ23" s="613">
        <v>0.45215250804118629</v>
      </c>
      <c r="AR23" s="613">
        <v>0.25729212411816049</v>
      </c>
      <c r="AS23" s="613">
        <v>1</v>
      </c>
      <c r="AT23" s="613">
        <v>8.3651509868139032E-2</v>
      </c>
      <c r="AU23" s="613">
        <v>0.57260068734165293</v>
      </c>
      <c r="AV23" s="613">
        <v>0.39426981380266701</v>
      </c>
      <c r="AW23" s="613">
        <v>1</v>
      </c>
      <c r="AX23" s="613">
        <v>0.31697504199646975</v>
      </c>
      <c r="AY23" s="613">
        <v>0.23653972813689883</v>
      </c>
      <c r="AZ23" s="613">
        <v>1</v>
      </c>
      <c r="BA23" s="613">
        <v>0.33734326459423974</v>
      </c>
      <c r="BB23" s="613">
        <v>1</v>
      </c>
      <c r="BC23" s="613">
        <v>1</v>
      </c>
      <c r="BD23" s="613">
        <v>1</v>
      </c>
      <c r="BE23" s="613">
        <v>1</v>
      </c>
      <c r="BF23" s="613">
        <v>1</v>
      </c>
      <c r="BG23" s="613">
        <v>1</v>
      </c>
      <c r="BH23" s="613">
        <v>0.44722626461936216</v>
      </c>
      <c r="BI23" s="613">
        <v>1</v>
      </c>
      <c r="BJ23" s="613">
        <v>1</v>
      </c>
      <c r="BK23" s="613">
        <v>1</v>
      </c>
      <c r="BL23" s="613">
        <v>0.27489357894326927</v>
      </c>
      <c r="BM23" s="613">
        <v>1</v>
      </c>
      <c r="BN23" s="613">
        <v>1</v>
      </c>
      <c r="BO23" s="613">
        <v>0.23849741280119843</v>
      </c>
      <c r="BP23" s="613">
        <v>1</v>
      </c>
      <c r="BQ23" s="613">
        <v>1</v>
      </c>
      <c r="BR23" s="613">
        <v>6.9369010620760729E-2</v>
      </c>
      <c r="BS23" s="613">
        <v>0.51185864839469553</v>
      </c>
      <c r="BT23" s="613">
        <v>0.30821923552858232</v>
      </c>
      <c r="BU23" s="613">
        <v>1</v>
      </c>
      <c r="BV23" s="613">
        <v>1</v>
      </c>
      <c r="BW23" s="613">
        <v>1</v>
      </c>
      <c r="BX23" s="613">
        <v>1</v>
      </c>
      <c r="BY23" s="613">
        <v>0.20016337900518905</v>
      </c>
      <c r="BZ23" s="613">
        <v>1</v>
      </c>
      <c r="CA23" s="613">
        <v>0.10910861554390626</v>
      </c>
      <c r="CB23" s="613">
        <v>0.13946556630018095</v>
      </c>
      <c r="CC23" s="613">
        <v>0.31283246460269815</v>
      </c>
      <c r="CD23" s="613">
        <v>1</v>
      </c>
      <c r="CE23" s="613">
        <v>1</v>
      </c>
      <c r="CF23" s="613">
        <v>0.30987486384931945</v>
      </c>
      <c r="CG23" s="613">
        <v>1</v>
      </c>
      <c r="CH23" s="613">
        <v>1</v>
      </c>
      <c r="CI23" s="613">
        <v>1</v>
      </c>
      <c r="CJ23" s="613">
        <v>1</v>
      </c>
      <c r="CK23" s="613">
        <v>0.21019097357937364</v>
      </c>
      <c r="CL23" s="613">
        <v>1</v>
      </c>
      <c r="CM23" s="613">
        <v>1</v>
      </c>
      <c r="CN23" s="613">
        <v>0.19238556600406617</v>
      </c>
      <c r="CO23" s="613">
        <v>0.23584721350885476</v>
      </c>
      <c r="CP23" s="613">
        <v>0.46861556956074113</v>
      </c>
      <c r="CQ23" s="613">
        <v>1</v>
      </c>
      <c r="CR23" s="613">
        <v>1</v>
      </c>
      <c r="CS23" s="613">
        <v>1</v>
      </c>
      <c r="CT23" s="613">
        <v>1</v>
      </c>
      <c r="CU23" s="613">
        <v>1</v>
      </c>
      <c r="CV23" s="613">
        <v>1</v>
      </c>
      <c r="CW23" s="613">
        <v>1</v>
      </c>
      <c r="CX23" s="613">
        <v>0</v>
      </c>
      <c r="CY23" s="613">
        <v>1</v>
      </c>
      <c r="CZ23" s="613">
        <v>0.33587846849739195</v>
      </c>
      <c r="DA23" s="613">
        <v>0.46440337296450551</v>
      </c>
      <c r="DB23" s="613">
        <v>1</v>
      </c>
      <c r="DC23" s="613">
        <v>1</v>
      </c>
      <c r="DD23" s="613">
        <v>1</v>
      </c>
      <c r="DE23" s="613">
        <v>0.32763918407936965</v>
      </c>
      <c r="DF23" s="613">
        <v>0.51129153938742244</v>
      </c>
      <c r="DG23" s="613">
        <v>1</v>
      </c>
      <c r="DH23" s="613">
        <v>0.34235943858595058</v>
      </c>
      <c r="DI23" s="613">
        <v>0.40944093651002245</v>
      </c>
      <c r="DJ23" s="613">
        <v>0.58646674324093184</v>
      </c>
      <c r="DK23" s="613">
        <v>1</v>
      </c>
      <c r="DL23" s="613">
        <v>0.39267099322379484</v>
      </c>
      <c r="DM23" s="613">
        <v>5.8189643428736559E-2</v>
      </c>
      <c r="DN23" s="613">
        <v>1</v>
      </c>
      <c r="DO23" s="613">
        <v>0.16234401947880528</v>
      </c>
      <c r="DP23" s="613">
        <v>1</v>
      </c>
      <c r="DQ23" s="613">
        <v>0.21841377363181327</v>
      </c>
      <c r="DR23" s="613">
        <v>1</v>
      </c>
      <c r="DS23" s="613">
        <v>0.3986512814025211</v>
      </c>
      <c r="DT23" s="613">
        <v>1</v>
      </c>
      <c r="DU23" s="613">
        <v>0.45794330249651843</v>
      </c>
      <c r="DV23" s="613">
        <v>1</v>
      </c>
      <c r="DW23" s="613">
        <v>1</v>
      </c>
      <c r="DX23" s="613">
        <v>0.13935757742475341</v>
      </c>
      <c r="DY23" s="613">
        <v>0.34032239798938835</v>
      </c>
      <c r="DZ23" s="613">
        <v>1</v>
      </c>
      <c r="EA23" s="613">
        <v>0.28420737410896157</v>
      </c>
      <c r="EB23" s="613">
        <v>0.22049209476232431</v>
      </c>
      <c r="EC23" s="613">
        <v>0.26763817292561182</v>
      </c>
      <c r="ED23" s="613">
        <v>1</v>
      </c>
      <c r="EE23" s="613">
        <v>1</v>
      </c>
      <c r="EF23" s="613">
        <v>0.42567888320385805</v>
      </c>
      <c r="EG23" s="613">
        <v>1</v>
      </c>
      <c r="EH23" s="613">
        <v>1</v>
      </c>
      <c r="EI23" s="613">
        <v>1</v>
      </c>
      <c r="EJ23" s="613">
        <v>1</v>
      </c>
      <c r="EK23" s="613">
        <v>0.48056434990750552</v>
      </c>
      <c r="EL23" s="613">
        <v>1</v>
      </c>
      <c r="EM23" s="613">
        <v>0.61321689177709782</v>
      </c>
      <c r="EN23" s="613">
        <v>9.1380719131482838E-2</v>
      </c>
      <c r="EO23" s="613">
        <v>0.48377247646292615</v>
      </c>
      <c r="EP23" s="613">
        <v>0.6465568544111493</v>
      </c>
      <c r="EQ23" s="613">
        <v>1</v>
      </c>
      <c r="ER23" s="613">
        <v>1</v>
      </c>
      <c r="ES23" s="613">
        <v>1</v>
      </c>
      <c r="ET23" s="613">
        <v>0.4969654644908757</v>
      </c>
      <c r="EU23" s="613">
        <v>1</v>
      </c>
      <c r="EV23" s="613">
        <v>0.41157745733801715</v>
      </c>
      <c r="EW23" s="613">
        <v>1</v>
      </c>
      <c r="EX23" s="613">
        <v>9.393255887436705E-2</v>
      </c>
      <c r="EY23" s="613">
        <v>0.55131384550656526</v>
      </c>
      <c r="EZ23" s="613">
        <v>0.12440018379926705</v>
      </c>
      <c r="FA23" s="613">
        <v>1</v>
      </c>
      <c r="FB23" s="613">
        <v>1</v>
      </c>
      <c r="FC23" s="613">
        <v>1</v>
      </c>
      <c r="FD23" s="613">
        <v>1</v>
      </c>
      <c r="FE23" s="613">
        <v>0.49055526864018523</v>
      </c>
      <c r="FF23" s="613">
        <v>1</v>
      </c>
      <c r="FG23" s="613">
        <v>0.57512754888247275</v>
      </c>
      <c r="FH23" s="613">
        <v>0.11216457525444394</v>
      </c>
      <c r="FI23" s="613">
        <v>0.63628684544269143</v>
      </c>
      <c r="FJ23" s="613">
        <v>1</v>
      </c>
      <c r="FK23" s="613">
        <v>0.47178313596774002</v>
      </c>
      <c r="FL23" s="613">
        <v>1</v>
      </c>
      <c r="FM23" s="613">
        <v>0.24797731807643347</v>
      </c>
      <c r="FN23" s="613">
        <v>0.55568325278161712</v>
      </c>
      <c r="FO23" s="613">
        <v>1</v>
      </c>
      <c r="FP23" s="613">
        <v>0.57069284136175047</v>
      </c>
      <c r="FQ23" s="613">
        <v>3.3022724986086029E-2</v>
      </c>
      <c r="FR23" s="613">
        <v>1</v>
      </c>
      <c r="FS23" s="613">
        <v>0.13749281893966089</v>
      </c>
      <c r="FT23" s="613">
        <v>0.32141883303821595</v>
      </c>
    </row>
    <row r="24" spans="1:206" s="613" customFormat="1" x14ac:dyDescent="0.2">
      <c r="A24" s="1488" t="s">
        <v>70</v>
      </c>
      <c r="B24" s="613">
        <v>0.23394608099999628</v>
      </c>
      <c r="C24" s="613">
        <v>0.3082399903684932</v>
      </c>
      <c r="D24" s="613">
        <v>0.61564388002233761</v>
      </c>
      <c r="E24" s="613">
        <v>0.62303144805508071</v>
      </c>
      <c r="F24" s="613">
        <v>5.4766091984774223E-2</v>
      </c>
      <c r="G24" s="613">
        <v>0.11889114754903166</v>
      </c>
      <c r="H24" s="613">
        <v>0.65640626814143066</v>
      </c>
      <c r="I24" s="613">
        <v>0.4966050129695041</v>
      </c>
      <c r="J24" s="613">
        <v>0.36601692461742924</v>
      </c>
      <c r="K24" s="613">
        <v>0.55280402610286739</v>
      </c>
      <c r="L24" s="613">
        <v>0.39008989193347837</v>
      </c>
      <c r="M24" s="613">
        <v>5.3016692762808862E-2</v>
      </c>
      <c r="N24" s="613">
        <v>0.34343346179780115</v>
      </c>
      <c r="O24" s="613">
        <v>0.44664841443740005</v>
      </c>
      <c r="P24" s="613">
        <v>0.36307732841104884</v>
      </c>
      <c r="Q24" s="613">
        <v>0.19180545730068985</v>
      </c>
      <c r="R24" s="613">
        <v>0.76736804003071635</v>
      </c>
      <c r="S24" s="613">
        <v>0.52471937522473733</v>
      </c>
      <c r="T24" s="613">
        <v>0.37712230556508225</v>
      </c>
      <c r="U24" s="613">
        <v>0.21281797544758638</v>
      </c>
      <c r="V24" s="613">
        <v>0.40912115192228854</v>
      </c>
      <c r="W24" s="613">
        <v>0.41980842041437999</v>
      </c>
      <c r="X24" s="613">
        <v>0.57381962266897024</v>
      </c>
      <c r="Y24" s="613">
        <v>0.51317229283913957</v>
      </c>
      <c r="Z24" s="613">
        <v>0.40272702546127359</v>
      </c>
      <c r="AA24" s="613">
        <v>0.22913831341599655</v>
      </c>
      <c r="AB24" s="613">
        <v>0.36260368152497607</v>
      </c>
      <c r="AC24" s="613">
        <v>0.14742383560101488</v>
      </c>
      <c r="AD24" s="613">
        <v>0.16768300540172063</v>
      </c>
      <c r="AE24" s="613">
        <v>0.2214644904600141</v>
      </c>
      <c r="AF24" s="613">
        <v>0.20137564072405714</v>
      </c>
      <c r="AG24" s="613">
        <v>0.12656007578341688</v>
      </c>
      <c r="AH24" s="613">
        <v>0.42785248561094696</v>
      </c>
      <c r="AI24" s="613">
        <v>0.33004345718028533</v>
      </c>
      <c r="AJ24" s="613">
        <v>0.17336252188999715</v>
      </c>
      <c r="AK24" s="613">
        <v>0.22916707897043107</v>
      </c>
      <c r="AL24" s="613">
        <v>9.1152500538375883E-2</v>
      </c>
      <c r="AM24" s="613">
        <v>0.31137210316245151</v>
      </c>
      <c r="AN24" s="613">
        <v>0.35302432884082541</v>
      </c>
      <c r="AO24" s="613">
        <v>0.26657180397762514</v>
      </c>
      <c r="AP24" s="613">
        <v>0.56964556478668682</v>
      </c>
      <c r="AQ24" s="613">
        <v>0.61638276363289224</v>
      </c>
      <c r="AR24" s="613">
        <v>0.39626753542319376</v>
      </c>
      <c r="AS24" s="613">
        <v>0.42345597081139663</v>
      </c>
      <c r="AT24" s="613">
        <v>0.14785711102432264</v>
      </c>
      <c r="AU24" s="613">
        <v>0.55601855048810023</v>
      </c>
      <c r="AV24" s="613">
        <v>0.15738948723364177</v>
      </c>
      <c r="AW24" s="613">
        <v>0.83546274054021374</v>
      </c>
      <c r="AX24" s="613">
        <v>0.55811531277229209</v>
      </c>
      <c r="AY24" s="613">
        <v>0.15970822995996914</v>
      </c>
      <c r="AZ24" s="613">
        <v>0.2275067404476683</v>
      </c>
      <c r="BA24" s="613">
        <v>0.63704505088744956</v>
      </c>
      <c r="BB24" s="613">
        <v>0.38767499556219076</v>
      </c>
      <c r="BC24" s="613">
        <v>0.31745467385659953</v>
      </c>
      <c r="BD24" s="613">
        <v>0.39140484716306195</v>
      </c>
      <c r="BE24" s="613">
        <v>0.43159463468699116</v>
      </c>
      <c r="BF24" s="613">
        <v>0.8100924092871965</v>
      </c>
      <c r="BG24" s="613">
        <v>0</v>
      </c>
      <c r="BH24" s="613">
        <v>0.62119089491605384</v>
      </c>
      <c r="BI24" s="613">
        <v>0.40974692089946096</v>
      </c>
      <c r="BJ24" s="613">
        <v>0.28294723465278543</v>
      </c>
      <c r="BK24" s="613">
        <v>0.10180821674972361</v>
      </c>
      <c r="BL24" s="613">
        <v>6.8740040285187015E-2</v>
      </c>
      <c r="BM24" s="613">
        <v>0.33653104998190525</v>
      </c>
      <c r="BN24" s="613">
        <v>0.67947101802333221</v>
      </c>
      <c r="BO24" s="613">
        <v>0.25525599904995466</v>
      </c>
      <c r="BP24" s="613">
        <v>0.19743585088911017</v>
      </c>
      <c r="BQ24" s="613">
        <v>0.44194171217784889</v>
      </c>
      <c r="BR24" s="613">
        <v>7.0268421541137882E-2</v>
      </c>
      <c r="BS24" s="613">
        <v>0.17689309585498017</v>
      </c>
      <c r="BT24" s="613">
        <v>0.1801259114604036</v>
      </c>
      <c r="BU24" s="613">
        <v>3.8268984896443474E-2</v>
      </c>
      <c r="BV24" s="613">
        <v>0.27759724555960213</v>
      </c>
      <c r="BW24" s="613">
        <v>0.52352230508807529</v>
      </c>
      <c r="BX24" s="613">
        <v>0.24648909776897826</v>
      </c>
      <c r="BY24" s="613">
        <v>9.7952220719132718E-2</v>
      </c>
      <c r="BZ24" s="613">
        <v>3.2299816773289684E-2</v>
      </c>
      <c r="CA24" s="613">
        <v>0.28813793631825058</v>
      </c>
      <c r="CB24" s="613">
        <v>0.52060051472029889</v>
      </c>
      <c r="CC24" s="613">
        <v>0.31440692577079959</v>
      </c>
      <c r="CD24" s="613">
        <v>0.34859120327026821</v>
      </c>
      <c r="CE24" s="613">
        <v>0.9349970448717041</v>
      </c>
      <c r="CF24" s="613">
        <v>0.38841187025691759</v>
      </c>
      <c r="CG24" s="613">
        <v>0.23839592344112562</v>
      </c>
      <c r="CH24" s="613">
        <v>0.37367417424656479</v>
      </c>
      <c r="CI24" s="613">
        <v>0.19302933891300547</v>
      </c>
      <c r="CJ24" s="613">
        <v>0.71528520958281172</v>
      </c>
      <c r="CK24" s="613">
        <v>0.73215770789886592</v>
      </c>
      <c r="CL24" s="613">
        <v>0.82881309031412864</v>
      </c>
      <c r="CM24" s="613">
        <v>0.41889828599827555</v>
      </c>
      <c r="CN24" s="613">
        <v>0.18459536123271164</v>
      </c>
      <c r="CO24" s="613">
        <v>0.47375909040156311</v>
      </c>
      <c r="CP24" s="613">
        <v>0.40866314449690599</v>
      </c>
      <c r="CQ24" s="613">
        <v>0.40699581848567762</v>
      </c>
      <c r="CR24" s="613">
        <v>0.2694357874813324</v>
      </c>
      <c r="CS24" s="613">
        <v>0.30785548225318343</v>
      </c>
      <c r="CT24" s="613">
        <v>0.13337615450779619</v>
      </c>
      <c r="CU24" s="613">
        <v>0.27608917171462488</v>
      </c>
      <c r="CV24" s="613">
        <v>0.25321207679347346</v>
      </c>
      <c r="CW24" s="613">
        <v>0.6694462134535224</v>
      </c>
      <c r="CX24" s="613">
        <v>0.21000629120156572</v>
      </c>
      <c r="CY24" s="613">
        <v>8.0727898225995673E-2</v>
      </c>
      <c r="CZ24" s="613">
        <v>0.40822555246517395</v>
      </c>
      <c r="DA24" s="613">
        <v>0.28413328445951952</v>
      </c>
      <c r="DB24" s="613">
        <v>0.41672747562627344</v>
      </c>
      <c r="DC24" s="613">
        <v>0.19513949438906689</v>
      </c>
      <c r="DD24" s="613">
        <v>0.47999472952200556</v>
      </c>
      <c r="DE24" s="613">
        <v>0.38007819118479647</v>
      </c>
      <c r="DF24" s="613">
        <v>0.3661691438293786</v>
      </c>
      <c r="DG24" s="613">
        <v>0.52089369481758252</v>
      </c>
      <c r="DH24" s="613">
        <v>0.63347581810390452</v>
      </c>
      <c r="DI24" s="613">
        <v>0.60893887938121016</v>
      </c>
      <c r="DJ24" s="613">
        <v>0.49541444511218224</v>
      </c>
      <c r="DK24" s="613">
        <v>0.45169056148039871</v>
      </c>
      <c r="DL24" s="613">
        <v>4.3764039436872147E-2</v>
      </c>
      <c r="DM24" s="613">
        <v>0.9554874040292981</v>
      </c>
      <c r="DN24" s="613">
        <v>0.15956876794609098</v>
      </c>
      <c r="DO24" s="613">
        <v>0.37757258546217687</v>
      </c>
      <c r="DP24" s="613">
        <v>0.4828689751166913</v>
      </c>
      <c r="DQ24" s="613">
        <v>0.35491758646912219</v>
      </c>
      <c r="DR24" s="613">
        <v>0.12990956412288432</v>
      </c>
      <c r="DS24" s="613">
        <v>0.6620941176471834</v>
      </c>
      <c r="DT24" s="613">
        <v>0.28346444516679292</v>
      </c>
      <c r="DU24" s="613">
        <v>0.76637297111191016</v>
      </c>
      <c r="DV24" s="613">
        <v>0.94720559563946016</v>
      </c>
      <c r="DW24" s="613">
        <v>5.7908050067832187E-2</v>
      </c>
      <c r="DX24" s="613">
        <v>0.42263011484038004</v>
      </c>
      <c r="DY24" s="613">
        <v>0.68042654794148527</v>
      </c>
      <c r="DZ24" s="613">
        <v>0.43276722821581165</v>
      </c>
      <c r="EA24" s="613">
        <v>0.49494007160912551</v>
      </c>
      <c r="EB24" s="613">
        <v>7.4068996589219657E-2</v>
      </c>
      <c r="EC24" s="613">
        <v>0.4275948546351665</v>
      </c>
      <c r="ED24" s="613">
        <v>0.29195674030610841</v>
      </c>
      <c r="EE24" s="613">
        <v>0.23104220493121119</v>
      </c>
      <c r="EF24" s="613">
        <v>0.95849819846984197</v>
      </c>
      <c r="EG24" s="613">
        <v>0.37536284957832639</v>
      </c>
      <c r="EH24" s="613">
        <v>0.48152508233687097</v>
      </c>
      <c r="EI24" s="613">
        <v>0.59205897379033912</v>
      </c>
      <c r="EJ24" s="613">
        <v>0.97285521845241041</v>
      </c>
      <c r="EK24" s="613">
        <v>0.40002807317872369</v>
      </c>
      <c r="EL24" s="613">
        <v>0.22609851490451846</v>
      </c>
      <c r="EM24" s="613">
        <v>0.28761951124709084</v>
      </c>
      <c r="EN24" s="613">
        <v>1</v>
      </c>
      <c r="EO24" s="613">
        <v>0.80708884980179563</v>
      </c>
      <c r="EP24" s="613">
        <v>0.41056102543795031</v>
      </c>
      <c r="EQ24" s="613">
        <v>1.0353390074839484E-2</v>
      </c>
      <c r="ER24" s="613">
        <v>0.10844440114369733</v>
      </c>
      <c r="ES24" s="613">
        <v>0.46835918253979908</v>
      </c>
      <c r="ET24" s="613">
        <v>0.96238519042809378</v>
      </c>
      <c r="EU24" s="613">
        <v>0.13658583908458838</v>
      </c>
      <c r="EV24" s="613">
        <v>0.18872310022644942</v>
      </c>
      <c r="EW24" s="613">
        <v>0.41967722365280585</v>
      </c>
      <c r="EX24" s="613">
        <v>0.4761029257102482</v>
      </c>
      <c r="EY24" s="613">
        <v>0.34376591618211388</v>
      </c>
      <c r="EZ24" s="613">
        <v>0.50994625648763103</v>
      </c>
      <c r="FA24" s="613">
        <v>0.64118278291623987</v>
      </c>
      <c r="FB24" s="613">
        <v>0.68017280069852704</v>
      </c>
      <c r="FC24" s="613">
        <v>0.4398885043641359</v>
      </c>
      <c r="FD24" s="613">
        <v>0.2483611973469235</v>
      </c>
      <c r="FE24" s="613">
        <v>0.77613414951159887</v>
      </c>
      <c r="FF24" s="613">
        <v>0.31157916695134724</v>
      </c>
      <c r="FG24" s="613">
        <v>0.61107449032506445</v>
      </c>
      <c r="FH24" s="613">
        <v>0.48610859910418791</v>
      </c>
      <c r="FI24" s="613">
        <v>0.3612496698440732</v>
      </c>
      <c r="FJ24" s="613">
        <v>0.41839079759708742</v>
      </c>
      <c r="FK24" s="613">
        <v>0.17919300756108672</v>
      </c>
      <c r="FL24" s="613">
        <v>0.3580270236458129</v>
      </c>
      <c r="FM24" s="613">
        <v>0.39544315480087439</v>
      </c>
      <c r="FN24" s="613">
        <v>0.54084564309300853</v>
      </c>
      <c r="FO24" s="613">
        <v>0.2850242737571021</v>
      </c>
      <c r="FP24" s="613">
        <v>0.3704275587602685</v>
      </c>
      <c r="FQ24" s="613">
        <v>0.2343428784742691</v>
      </c>
      <c r="FR24" s="613">
        <v>0.40315009444842459</v>
      </c>
      <c r="FS24" s="613">
        <v>0.49926560286867216</v>
      </c>
      <c r="FT24" s="613">
        <v>0.16525916554425002</v>
      </c>
    </row>
    <row r="25" spans="1:206" s="613" customFormat="1" x14ac:dyDescent="0.2">
      <c r="A25" s="1488" t="s">
        <v>280</v>
      </c>
      <c r="B25" s="613">
        <v>0</v>
      </c>
      <c r="C25" s="613">
        <v>0</v>
      </c>
      <c r="D25" s="613">
        <v>0</v>
      </c>
      <c r="E25" s="613">
        <v>0</v>
      </c>
      <c r="F25" s="613">
        <v>0</v>
      </c>
      <c r="G25" s="613">
        <v>0</v>
      </c>
      <c r="H25" s="613">
        <v>0</v>
      </c>
      <c r="I25" s="613">
        <v>0</v>
      </c>
      <c r="J25" s="613">
        <v>0</v>
      </c>
      <c r="K25" s="613">
        <v>0</v>
      </c>
      <c r="L25" s="613">
        <v>0.48882717339799397</v>
      </c>
      <c r="M25" s="613">
        <v>0</v>
      </c>
      <c r="N25" s="613">
        <v>0</v>
      </c>
      <c r="O25" s="613">
        <v>0</v>
      </c>
      <c r="P25" s="613">
        <v>0</v>
      </c>
      <c r="Q25" s="613">
        <v>0</v>
      </c>
      <c r="R25" s="613">
        <v>0</v>
      </c>
      <c r="S25" s="613">
        <v>0</v>
      </c>
      <c r="T25" s="613">
        <v>0</v>
      </c>
      <c r="U25" s="613">
        <v>0</v>
      </c>
      <c r="V25" s="613">
        <v>0</v>
      </c>
      <c r="W25" s="613">
        <v>0</v>
      </c>
      <c r="X25" s="613">
        <v>0</v>
      </c>
      <c r="Y25" s="613">
        <v>0</v>
      </c>
      <c r="Z25" s="613">
        <v>0</v>
      </c>
      <c r="AA25" s="613">
        <v>0</v>
      </c>
      <c r="AB25" s="613">
        <v>0</v>
      </c>
      <c r="AC25" s="613">
        <v>0</v>
      </c>
      <c r="AD25" s="613">
        <v>0</v>
      </c>
      <c r="AE25" s="613">
        <v>0.29485271535622454</v>
      </c>
      <c r="AF25" s="613">
        <v>0</v>
      </c>
      <c r="AG25" s="613">
        <v>0</v>
      </c>
      <c r="AH25" s="613">
        <v>0</v>
      </c>
      <c r="AI25" s="613">
        <v>0</v>
      </c>
      <c r="AJ25" s="613">
        <v>0</v>
      </c>
      <c r="AK25" s="613">
        <v>0.45180344455773608</v>
      </c>
      <c r="AL25" s="613">
        <v>0.45642239778132593</v>
      </c>
      <c r="AM25" s="613">
        <v>0.64168430979297975</v>
      </c>
      <c r="AN25" s="613">
        <v>0.35375187710884554</v>
      </c>
      <c r="AO25" s="613">
        <v>0.16530343246441112</v>
      </c>
      <c r="AP25" s="613">
        <v>0.73479351496904843</v>
      </c>
      <c r="AQ25" s="613">
        <v>0.19956341703525182</v>
      </c>
      <c r="AR25" s="613">
        <v>0.25411378893803754</v>
      </c>
      <c r="AS25" s="613">
        <v>0</v>
      </c>
      <c r="AT25" s="613">
        <v>3.0351621816734609E-2</v>
      </c>
      <c r="AU25" s="613">
        <v>0.8401454466876398</v>
      </c>
      <c r="AV25" s="613">
        <v>0.37492620046299285</v>
      </c>
      <c r="AW25" s="613">
        <v>0</v>
      </c>
      <c r="AX25" s="613">
        <v>0.72094917483389398</v>
      </c>
      <c r="AY25" s="613">
        <v>0.69205393458317011</v>
      </c>
      <c r="AZ25" s="613">
        <v>0</v>
      </c>
      <c r="BA25" s="613">
        <v>1</v>
      </c>
      <c r="BB25" s="613">
        <v>0</v>
      </c>
      <c r="BC25" s="613">
        <v>0</v>
      </c>
      <c r="BD25" s="613">
        <v>0</v>
      </c>
      <c r="BE25" s="613">
        <v>0</v>
      </c>
      <c r="BF25" s="613">
        <v>0</v>
      </c>
      <c r="BG25" s="613">
        <v>0</v>
      </c>
      <c r="BH25" s="613">
        <v>0.36215137107244033</v>
      </c>
      <c r="BI25" s="613">
        <v>0</v>
      </c>
      <c r="BJ25" s="613">
        <v>0</v>
      </c>
      <c r="BK25" s="613">
        <v>0</v>
      </c>
      <c r="BL25" s="613">
        <v>0.13735432683843563</v>
      </c>
      <c r="BM25" s="613">
        <v>0</v>
      </c>
      <c r="BN25" s="613">
        <v>0</v>
      </c>
      <c r="BO25" s="613">
        <v>0.54485117643707603</v>
      </c>
      <c r="BP25" s="613">
        <v>0</v>
      </c>
      <c r="BQ25" s="613">
        <v>0</v>
      </c>
      <c r="BR25" s="613">
        <v>0.35146276840528623</v>
      </c>
      <c r="BS25" s="613">
        <v>0.54915425462960454</v>
      </c>
      <c r="BT25" s="613">
        <v>0.41267145562642643</v>
      </c>
      <c r="BU25" s="613">
        <v>0</v>
      </c>
      <c r="BV25" s="613">
        <v>0</v>
      </c>
      <c r="BW25" s="613">
        <v>0</v>
      </c>
      <c r="BX25" s="613">
        <v>0</v>
      </c>
      <c r="BY25" s="613">
        <v>0.21722471914354041</v>
      </c>
      <c r="BZ25" s="613">
        <v>0</v>
      </c>
      <c r="CA25" s="613">
        <v>0.43230000524044537</v>
      </c>
      <c r="CB25" s="613">
        <v>0.60636466891943952</v>
      </c>
      <c r="CC25" s="613">
        <v>0.72219980445936516</v>
      </c>
      <c r="CD25" s="613">
        <v>0</v>
      </c>
      <c r="CE25" s="613">
        <v>0</v>
      </c>
      <c r="CF25" s="613">
        <v>0.36940563015813005</v>
      </c>
      <c r="CG25" s="613">
        <v>0</v>
      </c>
      <c r="CH25" s="613">
        <v>0</v>
      </c>
      <c r="CI25" s="613">
        <v>0</v>
      </c>
      <c r="CJ25" s="613">
        <v>0</v>
      </c>
      <c r="CK25" s="613">
        <v>0.5103842530185696</v>
      </c>
      <c r="CL25" s="613">
        <v>0</v>
      </c>
      <c r="CM25" s="613">
        <v>0</v>
      </c>
      <c r="CN25" s="613">
        <v>0.1575807510754304</v>
      </c>
      <c r="CO25" s="613">
        <v>0.19619565992476198</v>
      </c>
      <c r="CP25" s="613">
        <v>0.22503434756968901</v>
      </c>
      <c r="CQ25" s="613">
        <v>0</v>
      </c>
      <c r="CR25" s="613">
        <v>0</v>
      </c>
      <c r="CS25" s="613">
        <v>0</v>
      </c>
      <c r="CT25" s="613">
        <v>0</v>
      </c>
      <c r="CU25" s="613">
        <v>0</v>
      </c>
      <c r="CV25" s="613">
        <v>0</v>
      </c>
      <c r="CW25" s="613">
        <v>0</v>
      </c>
      <c r="CX25" s="613">
        <v>0.37816044300664015</v>
      </c>
      <c r="CY25" s="613">
        <v>0</v>
      </c>
      <c r="CZ25" s="613">
        <v>0.64086320974380351</v>
      </c>
      <c r="DA25" s="613">
        <v>0.76322248609728527</v>
      </c>
      <c r="DB25" s="613">
        <v>0</v>
      </c>
      <c r="DC25" s="613">
        <v>0</v>
      </c>
      <c r="DD25" s="613">
        <v>0</v>
      </c>
      <c r="DE25" s="613">
        <v>0.63043845544810706</v>
      </c>
      <c r="DF25" s="613">
        <v>0.84559631170989769</v>
      </c>
      <c r="DG25" s="613">
        <v>0</v>
      </c>
      <c r="DH25" s="613">
        <v>0.33756836809368324</v>
      </c>
      <c r="DI25" s="613">
        <v>0.5676612507681269</v>
      </c>
      <c r="DJ25" s="613">
        <v>0.50512700733025262</v>
      </c>
      <c r="DK25" s="613">
        <v>0</v>
      </c>
      <c r="DL25" s="613">
        <v>0.49445301218082788</v>
      </c>
      <c r="DM25" s="613">
        <v>0.6111160700836703</v>
      </c>
      <c r="DN25" s="613">
        <v>0</v>
      </c>
      <c r="DO25" s="613">
        <v>0.4843613604265169</v>
      </c>
      <c r="DP25" s="613">
        <v>0</v>
      </c>
      <c r="DQ25" s="613">
        <v>0.71901045319283408</v>
      </c>
      <c r="DR25" s="613">
        <v>0</v>
      </c>
      <c r="DS25" s="613">
        <v>0.73629288876077337</v>
      </c>
      <c r="DT25" s="613">
        <v>0</v>
      </c>
      <c r="DU25" s="613">
        <v>0.92115045819090668</v>
      </c>
      <c r="DV25" s="613">
        <v>0</v>
      </c>
      <c r="DW25" s="613">
        <v>0</v>
      </c>
      <c r="DX25" s="613">
        <v>0.44330317734082197</v>
      </c>
      <c r="DY25" s="613">
        <v>0.40433875249295803</v>
      </c>
      <c r="DZ25" s="613">
        <v>0</v>
      </c>
      <c r="EA25" s="613">
        <v>0.43999312533377549</v>
      </c>
      <c r="EB25" s="613">
        <v>0.37013718388413308</v>
      </c>
      <c r="EC25" s="613">
        <v>0.4983348499628984</v>
      </c>
      <c r="ED25" s="613">
        <v>0</v>
      </c>
      <c r="EE25" s="613">
        <v>0</v>
      </c>
      <c r="EF25" s="613">
        <v>0.82990398637824081</v>
      </c>
      <c r="EG25" s="613">
        <v>0</v>
      </c>
      <c r="EH25" s="613">
        <v>0</v>
      </c>
      <c r="EI25" s="613">
        <v>0</v>
      </c>
      <c r="EJ25" s="613">
        <v>0</v>
      </c>
      <c r="EK25" s="613">
        <v>0.8047833162645307</v>
      </c>
      <c r="EL25" s="613">
        <v>0</v>
      </c>
      <c r="EM25" s="613">
        <v>0.8154028457075756</v>
      </c>
      <c r="EN25" s="613">
        <v>0.74069782388530814</v>
      </c>
      <c r="EO25" s="613">
        <v>0.6873654770188633</v>
      </c>
      <c r="EP25" s="613">
        <v>0.89272134803754499</v>
      </c>
      <c r="EQ25" s="613">
        <v>0</v>
      </c>
      <c r="ER25" s="613">
        <v>0</v>
      </c>
      <c r="ES25" s="613">
        <v>0</v>
      </c>
      <c r="ET25" s="613">
        <v>0.61420916710704465</v>
      </c>
      <c r="EU25" s="613">
        <v>0</v>
      </c>
      <c r="EV25" s="613">
        <v>0.71651434176245699</v>
      </c>
      <c r="EW25" s="613">
        <v>0</v>
      </c>
      <c r="EX25" s="613">
        <v>0.53280395318980023</v>
      </c>
      <c r="EY25" s="613">
        <v>0.87775928528129699</v>
      </c>
      <c r="EZ25" s="613">
        <v>0.73989546505905368</v>
      </c>
      <c r="FA25" s="613">
        <v>0</v>
      </c>
      <c r="FB25" s="613">
        <v>0</v>
      </c>
      <c r="FC25" s="613">
        <v>0</v>
      </c>
      <c r="FD25" s="613">
        <v>0</v>
      </c>
      <c r="FE25" s="613">
        <v>0.78126427567940648</v>
      </c>
      <c r="FF25" s="613">
        <v>0</v>
      </c>
      <c r="FG25" s="613">
        <v>0.52445516171294126</v>
      </c>
      <c r="FH25" s="613">
        <v>0.48910057122900463</v>
      </c>
      <c r="FI25" s="613">
        <v>0.65662747511335839</v>
      </c>
      <c r="FJ25" s="613">
        <v>0</v>
      </c>
      <c r="FK25" s="613">
        <v>0.68236300158803753</v>
      </c>
      <c r="FL25" s="613">
        <v>0</v>
      </c>
      <c r="FM25" s="613">
        <v>0.37069423397711199</v>
      </c>
      <c r="FN25" s="613">
        <v>0.80338818526407396</v>
      </c>
      <c r="FO25" s="613">
        <v>0</v>
      </c>
      <c r="FP25" s="613">
        <v>0.89165646139243093</v>
      </c>
      <c r="FQ25" s="613">
        <v>0.5287645151863023</v>
      </c>
      <c r="FR25" s="613">
        <v>0</v>
      </c>
      <c r="FS25" s="613">
        <v>0.62657884561472998</v>
      </c>
      <c r="FT25" s="613">
        <v>0.45478470816689343</v>
      </c>
    </row>
    <row r="26" spans="1:206" s="613" customFormat="1" x14ac:dyDescent="0.2">
      <c r="A26" s="1488" t="s">
        <v>1105</v>
      </c>
      <c r="B26" s="613">
        <v>0.45719328826293704</v>
      </c>
      <c r="C26" s="613">
        <v>0.32276917670458172</v>
      </c>
      <c r="D26" s="613">
        <v>0.31593735338783885</v>
      </c>
      <c r="E26" s="613">
        <v>0.41476804046711108</v>
      </c>
      <c r="F26" s="613">
        <v>0.23167438145477476</v>
      </c>
      <c r="G26" s="613">
        <v>0.21299269141600083</v>
      </c>
      <c r="H26" s="613">
        <v>0.71527742016218598</v>
      </c>
      <c r="I26" s="613">
        <v>0.58468648612530105</v>
      </c>
      <c r="J26" s="613">
        <v>0.57552271782239495</v>
      </c>
      <c r="K26" s="613">
        <v>0.72197477750139882</v>
      </c>
      <c r="L26" s="613">
        <v>0.60597501532498266</v>
      </c>
      <c r="M26" s="613">
        <v>0.4207892579202252</v>
      </c>
      <c r="N26" s="613">
        <v>0.70192129617274845</v>
      </c>
      <c r="O26" s="613">
        <v>0.96197136100502656</v>
      </c>
      <c r="P26" s="613">
        <v>0.52835596077454805</v>
      </c>
      <c r="Q26" s="613">
        <v>0.54617899706141271</v>
      </c>
      <c r="R26" s="613">
        <v>0.79948974133727635</v>
      </c>
      <c r="S26" s="613">
        <v>0.61555973437722789</v>
      </c>
      <c r="T26" s="613">
        <v>0.24379920930339188</v>
      </c>
      <c r="U26" s="613">
        <v>0.21516243353884293</v>
      </c>
      <c r="V26" s="613">
        <v>0.73755772600932257</v>
      </c>
      <c r="W26" s="613">
        <v>0.31740140181611648</v>
      </c>
      <c r="X26" s="613">
        <v>0.55650395904387306</v>
      </c>
      <c r="Y26" s="613">
        <v>0.40406546119997339</v>
      </c>
      <c r="Z26" s="613">
        <v>0.29817099519666945</v>
      </c>
      <c r="AA26" s="613">
        <v>0.58161065825089175</v>
      </c>
      <c r="AB26" s="613">
        <v>0.24375418665312104</v>
      </c>
      <c r="AC26" s="613">
        <v>0.17763041879849753</v>
      </c>
      <c r="AD26" s="613">
        <v>0.50186804349794045</v>
      </c>
      <c r="AE26" s="613">
        <v>0.5357118875282475</v>
      </c>
      <c r="AF26" s="613">
        <v>0.64359955490322374</v>
      </c>
      <c r="AG26" s="613">
        <v>0.41121827364990204</v>
      </c>
      <c r="AH26" s="613">
        <v>0.28512962961220722</v>
      </c>
      <c r="AI26" s="613">
        <v>0.31114341949563862</v>
      </c>
      <c r="AJ26" s="613">
        <v>0.42598917643408124</v>
      </c>
      <c r="AK26" s="613">
        <v>0.28510653394168395</v>
      </c>
      <c r="AL26" s="613">
        <v>0.50426681846737009</v>
      </c>
      <c r="AM26" s="613">
        <v>0.5220928051478525</v>
      </c>
      <c r="AN26" s="613">
        <v>0.60036563153870803</v>
      </c>
      <c r="AO26" s="613">
        <v>0.81858844050652446</v>
      </c>
      <c r="AP26" s="613">
        <v>0.53328003128813461</v>
      </c>
      <c r="AQ26" s="613">
        <v>0.70915985827222161</v>
      </c>
      <c r="AR26" s="613">
        <v>0.33406168178830437</v>
      </c>
      <c r="AS26" s="613">
        <v>0.2728467801901861</v>
      </c>
      <c r="AT26" s="613">
        <v>0.44001340445261167</v>
      </c>
      <c r="AU26" s="613">
        <v>0.4678676017175456</v>
      </c>
      <c r="AV26" s="613">
        <v>0.35759425654844151</v>
      </c>
      <c r="AW26" s="613">
        <v>0.85526600861994651</v>
      </c>
      <c r="AX26" s="613">
        <v>0.64453742911580103</v>
      </c>
      <c r="AY26" s="613">
        <v>0.47033377063702797</v>
      </c>
      <c r="AZ26" s="613">
        <v>0.22733403645363695</v>
      </c>
      <c r="BA26" s="613">
        <v>0.70845387064756726</v>
      </c>
      <c r="BB26" s="613">
        <v>0.27474061882669004</v>
      </c>
      <c r="BC26" s="613">
        <v>0.38509153559657294</v>
      </c>
      <c r="BD26" s="613">
        <v>0.76654282829315257</v>
      </c>
      <c r="BE26" s="613">
        <v>0.17962830259210263</v>
      </c>
      <c r="BF26" s="613">
        <v>2.875775734637984E-2</v>
      </c>
      <c r="BG26" s="613">
        <v>0.1693064079712191</v>
      </c>
      <c r="BH26" s="613">
        <v>0.81431125365478563</v>
      </c>
      <c r="BI26" s="613">
        <v>0.24373569516220683</v>
      </c>
      <c r="BJ26" s="613">
        <v>0.73980887130556228</v>
      </c>
      <c r="BK26" s="613">
        <v>0.71895241451971803</v>
      </c>
      <c r="BL26" s="613">
        <v>0.84115105788990974</v>
      </c>
      <c r="BM26" s="613">
        <v>0.21709017738606132</v>
      </c>
      <c r="BN26" s="613">
        <v>0.73027808580893516</v>
      </c>
      <c r="BO26" s="613">
        <v>0.34623227184974514</v>
      </c>
      <c r="BP26" s="613">
        <v>0.39085385281407059</v>
      </c>
      <c r="BQ26" s="613">
        <v>0.13795881097513041</v>
      </c>
      <c r="BR26" s="613">
        <v>0.58362757707864943</v>
      </c>
      <c r="BS26" s="613">
        <v>0.28922684556354983</v>
      </c>
      <c r="BT26" s="613">
        <v>0.30136003059845862</v>
      </c>
      <c r="BU26" s="613">
        <v>0.21622053412942491</v>
      </c>
      <c r="BV26" s="613">
        <v>0.49821194315140227</v>
      </c>
      <c r="BW26" s="613">
        <v>0.65191727858583659</v>
      </c>
      <c r="BX26" s="613">
        <v>0.47439477626746773</v>
      </c>
      <c r="BY26" s="613">
        <v>0.74306039228199627</v>
      </c>
      <c r="BZ26" s="613">
        <v>0.43341001003154145</v>
      </c>
      <c r="CA26" s="613">
        <v>0.704909218832381</v>
      </c>
      <c r="CB26" s="613">
        <v>0.57998850304921656</v>
      </c>
      <c r="CC26" s="613">
        <v>0.78472529048846584</v>
      </c>
      <c r="CD26" s="613">
        <v>0.33291653963293388</v>
      </c>
      <c r="CE26" s="613">
        <v>0.41920283972013828</v>
      </c>
      <c r="CF26" s="613">
        <v>0.31463296246633088</v>
      </c>
      <c r="CG26" s="613">
        <v>0.59097481850292932</v>
      </c>
      <c r="CH26" s="613">
        <v>0.54941888204513223</v>
      </c>
      <c r="CI26" s="613">
        <v>0.66058756110056038</v>
      </c>
      <c r="CJ26" s="613">
        <v>0.34741436266603493</v>
      </c>
      <c r="CK26" s="613">
        <v>9.6398987476623732E-2</v>
      </c>
      <c r="CL26" s="613">
        <v>0.4329583834730607</v>
      </c>
      <c r="CM26" s="613">
        <v>0.21130443277719596</v>
      </c>
      <c r="CN26" s="613">
        <v>0.24665947635772176</v>
      </c>
      <c r="CO26" s="613">
        <v>0.45023912233986096</v>
      </c>
      <c r="CP26" s="613">
        <v>0.85117207884620139</v>
      </c>
      <c r="CQ26" s="613">
        <v>0.56757758264720337</v>
      </c>
      <c r="CR26" s="613">
        <v>0.14503464230931734</v>
      </c>
      <c r="CS26" s="613">
        <v>0.28642243004452134</v>
      </c>
      <c r="CT26" s="613">
        <v>0</v>
      </c>
      <c r="CU26" s="613">
        <v>0.40080892581108513</v>
      </c>
      <c r="CV26" s="613">
        <v>0.18188023345781321</v>
      </c>
      <c r="CW26" s="613">
        <v>0.49119318331790335</v>
      </c>
      <c r="CX26" s="613">
        <v>0.42226144657055675</v>
      </c>
      <c r="CY26" s="613">
        <v>0.52956404823215042</v>
      </c>
      <c r="CZ26" s="613">
        <v>0.59630628062914037</v>
      </c>
      <c r="DA26" s="613">
        <v>0.5073779097543758</v>
      </c>
      <c r="DB26" s="613">
        <v>0.22891188652598343</v>
      </c>
      <c r="DC26" s="613">
        <v>0.47162551778239847</v>
      </c>
      <c r="DD26" s="613">
        <v>0.27986327452007742</v>
      </c>
      <c r="DE26" s="613">
        <v>0.36744266968882489</v>
      </c>
      <c r="DF26" s="613">
        <v>0.46266695570469368</v>
      </c>
      <c r="DG26" s="613">
        <v>0.19688569693032693</v>
      </c>
      <c r="DH26" s="613">
        <v>0.46277659342605248</v>
      </c>
      <c r="DI26" s="613">
        <v>0.52477557569729638</v>
      </c>
      <c r="DJ26" s="613">
        <v>0.88091802066879199</v>
      </c>
      <c r="DK26" s="613">
        <v>0.88433507935387645</v>
      </c>
      <c r="DL26" s="613">
        <v>0.94145978551878029</v>
      </c>
      <c r="DM26" s="613">
        <v>0.35828834179331548</v>
      </c>
      <c r="DN26" s="613">
        <v>0.2937882559803458</v>
      </c>
      <c r="DO26" s="613">
        <v>0.54109448583126074</v>
      </c>
      <c r="DP26" s="613">
        <v>0.72989710111990957</v>
      </c>
      <c r="DQ26" s="613">
        <v>0.51878959236984268</v>
      </c>
      <c r="DR26" s="613">
        <v>0.51472017637278189</v>
      </c>
      <c r="DS26" s="613">
        <v>0.59469797839988292</v>
      </c>
      <c r="DT26" s="613">
        <v>0.23535801842486956</v>
      </c>
      <c r="DU26" s="613">
        <v>0.69893584911318385</v>
      </c>
      <c r="DV26" s="613">
        <v>0.43266041883361489</v>
      </c>
      <c r="DW26" s="613">
        <v>0.3256963992678914</v>
      </c>
      <c r="DX26" s="613">
        <v>0.19998160505349727</v>
      </c>
      <c r="DY26" s="613">
        <v>0.40556666015148912</v>
      </c>
      <c r="DZ26" s="613">
        <v>0.46124894720274512</v>
      </c>
      <c r="EA26" s="613">
        <v>0.50455061326377404</v>
      </c>
      <c r="EB26" s="613">
        <v>0.11289063604461268</v>
      </c>
      <c r="EC26" s="613">
        <v>0.44874352161582243</v>
      </c>
      <c r="ED26" s="613">
        <v>0.36524649235774787</v>
      </c>
      <c r="EE26" s="613">
        <v>0.28213448523733103</v>
      </c>
      <c r="EF26" s="613">
        <v>0.78199481784873226</v>
      </c>
      <c r="EG26" s="613">
        <v>0.58793004918141867</v>
      </c>
      <c r="EH26" s="613">
        <v>0.37265565772708792</v>
      </c>
      <c r="EI26" s="613">
        <v>0.20748115874369524</v>
      </c>
      <c r="EJ26" s="613">
        <v>0.31496368286717857</v>
      </c>
      <c r="EK26" s="613">
        <v>0.35651756968442444</v>
      </c>
      <c r="EL26" s="613">
        <v>0.34943525536604231</v>
      </c>
      <c r="EM26" s="613">
        <v>0.52871353065264381</v>
      </c>
      <c r="EN26" s="613">
        <v>0.24119811787896053</v>
      </c>
      <c r="EO26" s="613">
        <v>0.59172627259449162</v>
      </c>
      <c r="EP26" s="613">
        <v>0.83110187829077942</v>
      </c>
      <c r="EQ26" s="613">
        <v>0.29815196354247014</v>
      </c>
      <c r="ER26" s="613">
        <v>0.4730161150606545</v>
      </c>
      <c r="ES26" s="613">
        <v>0.15230792168924806</v>
      </c>
      <c r="ET26" s="613">
        <v>0.56901385330663756</v>
      </c>
      <c r="EU26" s="613">
        <v>0.25763350093478515</v>
      </c>
      <c r="EV26" s="613">
        <v>0.43052938776565203</v>
      </c>
      <c r="EW26" s="613">
        <v>0.11427905625088562</v>
      </c>
      <c r="EX26" s="613">
        <v>0.28199704317044799</v>
      </c>
      <c r="EY26" s="613">
        <v>0.45269423582305318</v>
      </c>
      <c r="EZ26" s="613">
        <v>0.54138372668532853</v>
      </c>
      <c r="FA26" s="613">
        <v>0.58455831651539436</v>
      </c>
      <c r="FB26" s="613">
        <v>0.18623473866553017</v>
      </c>
      <c r="FC26" s="613">
        <v>0.21305016689302506</v>
      </c>
      <c r="FD26" s="613">
        <v>0.23098945786104047</v>
      </c>
      <c r="FE26" s="613">
        <v>0.67726009156974221</v>
      </c>
      <c r="FF26" s="613">
        <v>0.29693529324623991</v>
      </c>
      <c r="FG26" s="613">
        <v>0.82546572200209789</v>
      </c>
      <c r="FH26" s="613">
        <v>0.27563902679854047</v>
      </c>
      <c r="FI26" s="613">
        <v>1</v>
      </c>
      <c r="FJ26" s="613">
        <v>0.45139036915837444</v>
      </c>
      <c r="FK26" s="613">
        <v>0.50106355714767536</v>
      </c>
      <c r="FL26" s="613">
        <v>0.26040562517081117</v>
      </c>
      <c r="FM26" s="613">
        <v>0.6356247395668434</v>
      </c>
      <c r="FN26" s="613">
        <v>0.74985018300260176</v>
      </c>
      <c r="FO26" s="613">
        <v>0.31380459079495798</v>
      </c>
      <c r="FP26" s="613">
        <v>0.46187168328697381</v>
      </c>
      <c r="FQ26" s="613">
        <v>0.49410417698139358</v>
      </c>
      <c r="FR26" s="613">
        <v>0.10770756427885249</v>
      </c>
      <c r="FS26" s="613">
        <v>0.54247793096647734</v>
      </c>
      <c r="FT26" s="613">
        <v>0.41574783197986448</v>
      </c>
    </row>
    <row r="27" spans="1:206" s="613" customFormat="1" x14ac:dyDescent="0.2">
      <c r="A27" s="1488" t="s">
        <v>18</v>
      </c>
      <c r="B27" s="613">
        <v>0.37164594304044946</v>
      </c>
      <c r="C27" s="613">
        <v>0.29775452135327035</v>
      </c>
      <c r="D27" s="613">
        <v>0.61472678006882941</v>
      </c>
      <c r="E27" s="613">
        <v>0.64280418672761075</v>
      </c>
      <c r="F27" s="613">
        <v>0.24665110387958819</v>
      </c>
      <c r="G27" s="613">
        <v>0.24774922575513303</v>
      </c>
      <c r="H27" s="613">
        <v>0.46452168286099982</v>
      </c>
      <c r="I27" s="613">
        <v>0.33620491974949474</v>
      </c>
      <c r="J27" s="613">
        <v>0.50153922963101338</v>
      </c>
      <c r="K27" s="613">
        <v>0.62085861880726678</v>
      </c>
      <c r="L27" s="613">
        <v>0.75364146975089108</v>
      </c>
      <c r="M27" s="613">
        <v>0.36188534508101849</v>
      </c>
      <c r="N27" s="613">
        <v>0.3573449846965282</v>
      </c>
      <c r="O27" s="613">
        <v>0.76109290317130218</v>
      </c>
      <c r="P27" s="613">
        <v>0.72468826047855295</v>
      </c>
      <c r="Q27" s="613">
        <v>0.46463601004936111</v>
      </c>
      <c r="R27" s="613">
        <v>0.74489413464844534</v>
      </c>
      <c r="S27" s="613">
        <v>0.5890019927914476</v>
      </c>
      <c r="T27" s="613">
        <v>0.34486941268103993</v>
      </c>
      <c r="U27" s="613">
        <v>0.2508061551864374</v>
      </c>
      <c r="V27" s="613">
        <v>0.42968693710692607</v>
      </c>
      <c r="W27" s="613">
        <v>0.75403585261388462</v>
      </c>
      <c r="X27" s="613">
        <v>0.89932872336528114</v>
      </c>
      <c r="Y27" s="613">
        <v>0.45426503948835045</v>
      </c>
      <c r="Z27" s="613">
        <v>0.50493055283704258</v>
      </c>
      <c r="AA27" s="613">
        <v>0.71305111973902346</v>
      </c>
      <c r="AB27" s="613">
        <v>0.7375068913908579</v>
      </c>
      <c r="AC27" s="613">
        <v>0.46454403177680798</v>
      </c>
      <c r="AD27" s="613">
        <v>0.35771849480052381</v>
      </c>
      <c r="AE27" s="613">
        <v>0.25903358354956918</v>
      </c>
      <c r="AF27" s="613">
        <v>0.6346201783963068</v>
      </c>
      <c r="AG27" s="613">
        <v>0.30087312047401293</v>
      </c>
      <c r="AH27" s="613">
        <v>0.56606107538014783</v>
      </c>
      <c r="AI27" s="613">
        <v>0.33069145728913962</v>
      </c>
      <c r="AJ27" s="613">
        <v>0.33582821672422541</v>
      </c>
      <c r="AK27" s="613">
        <v>0.34419003501299961</v>
      </c>
      <c r="AL27" s="613">
        <v>0.45253947733420224</v>
      </c>
      <c r="AM27" s="613">
        <v>0.53869187209709379</v>
      </c>
      <c r="AN27" s="613">
        <v>0.70381983828020023</v>
      </c>
      <c r="AO27" s="613">
        <v>0.13996145178886615</v>
      </c>
      <c r="AP27" s="613">
        <v>0.77924026266839685</v>
      </c>
      <c r="AQ27" s="613">
        <v>4.4104948116086465E-2</v>
      </c>
      <c r="AR27" s="613">
        <v>0</v>
      </c>
      <c r="AS27" s="613">
        <v>0.26149428789285767</v>
      </c>
      <c r="AT27" s="613">
        <v>0.11425562025515937</v>
      </c>
      <c r="AU27" s="613">
        <v>0.51100139410847301</v>
      </c>
      <c r="AV27" s="613">
        <v>0.38095334539278092</v>
      </c>
      <c r="AW27" s="613">
        <v>0.7646360817762341</v>
      </c>
      <c r="AX27" s="613">
        <v>0.60581620372114442</v>
      </c>
      <c r="AY27" s="613">
        <v>0.34812034853610613</v>
      </c>
      <c r="AZ27" s="613">
        <v>0.19690020041734155</v>
      </c>
      <c r="BA27" s="613">
        <v>0.40300968193413689</v>
      </c>
      <c r="BB27" s="613">
        <v>0.1874075558742134</v>
      </c>
      <c r="BC27" s="613">
        <v>0.18748484878311153</v>
      </c>
      <c r="BD27" s="613">
        <v>0.60679856809142374</v>
      </c>
      <c r="BE27" s="613">
        <v>9.3300848226735428E-2</v>
      </c>
      <c r="BF27" s="613">
        <v>0.47311591663534808</v>
      </c>
      <c r="BG27" s="613">
        <v>0.19730854623484267</v>
      </c>
      <c r="BH27" s="613">
        <v>0.49814000871324632</v>
      </c>
      <c r="BI27" s="613">
        <v>0.22992906800126711</v>
      </c>
      <c r="BJ27" s="613">
        <v>0.33814608327009327</v>
      </c>
      <c r="BK27" s="613">
        <v>0.51326686919461428</v>
      </c>
      <c r="BL27" s="613">
        <v>0.34265215192359794</v>
      </c>
      <c r="BM27" s="613">
        <v>0.19513129037758864</v>
      </c>
      <c r="BN27" s="613">
        <v>0.44103162041648647</v>
      </c>
      <c r="BO27" s="613">
        <v>0.26049046451239188</v>
      </c>
      <c r="BP27" s="613">
        <v>0.39797381502362117</v>
      </c>
      <c r="BQ27" s="613">
        <v>0.24100388381014207</v>
      </c>
      <c r="BR27" s="613">
        <v>0.1586638971097093</v>
      </c>
      <c r="BS27" s="613">
        <v>0.10324793718298868</v>
      </c>
      <c r="BT27" s="613">
        <v>0.26895727886761622</v>
      </c>
      <c r="BU27" s="613">
        <v>0.22058179142359399</v>
      </c>
      <c r="BV27" s="613">
        <v>0.63876973301771356</v>
      </c>
      <c r="BW27" s="613">
        <v>0.96934534029209396</v>
      </c>
      <c r="BX27" s="613">
        <v>0.51039269841056867</v>
      </c>
      <c r="BY27" s="613">
        <v>0.5300907470868893</v>
      </c>
      <c r="BZ27" s="613">
        <v>0.62258441056676905</v>
      </c>
      <c r="CA27" s="613">
        <v>0.48734158003375622</v>
      </c>
      <c r="CB27" s="613">
        <v>0.83207796319636773</v>
      </c>
      <c r="CC27" s="613">
        <v>0.44194248095391475</v>
      </c>
      <c r="CD27" s="613">
        <v>0.42643179399978454</v>
      </c>
      <c r="CE27" s="613">
        <v>0.60099598002188837</v>
      </c>
      <c r="CF27" s="613">
        <v>0.23659543246814838</v>
      </c>
      <c r="CG27" s="613">
        <v>0.67089500149135495</v>
      </c>
      <c r="CH27" s="613">
        <v>0.39343832784593419</v>
      </c>
      <c r="CI27" s="613">
        <v>0.6418606261852382</v>
      </c>
      <c r="CJ27" s="613">
        <v>0.64073614577736926</v>
      </c>
      <c r="CK27" s="613">
        <v>0.41338190252765894</v>
      </c>
      <c r="CL27" s="613">
        <v>0.34226525139046454</v>
      </c>
      <c r="CM27" s="613">
        <v>0.30874337886060688</v>
      </c>
      <c r="CN27" s="613">
        <v>0.30824689700783192</v>
      </c>
      <c r="CO27" s="613">
        <v>0.2062901642917668</v>
      </c>
      <c r="CP27" s="613">
        <v>0.52473153081598656</v>
      </c>
      <c r="CQ27" s="613">
        <v>0.7265794439818315</v>
      </c>
      <c r="CR27" s="613">
        <v>0.28972537660272041</v>
      </c>
      <c r="CS27" s="613">
        <v>0.39441159842832063</v>
      </c>
      <c r="CT27" s="613">
        <v>0.24831231791577613</v>
      </c>
      <c r="CU27" s="613">
        <v>0.48970212882614034</v>
      </c>
      <c r="CV27" s="613">
        <v>0.31000217704789562</v>
      </c>
      <c r="CW27" s="613">
        <v>0.5941445393456144</v>
      </c>
      <c r="CX27" s="613">
        <v>0.31781050286225226</v>
      </c>
      <c r="CY27" s="613">
        <v>0.54878853293411445</v>
      </c>
      <c r="CZ27" s="613">
        <v>0.97028003370295079</v>
      </c>
      <c r="DA27" s="613">
        <v>0.59711719707370481</v>
      </c>
      <c r="DB27" s="613">
        <v>0.43882598710504561</v>
      </c>
      <c r="DC27" s="613">
        <v>0.4777017007867489</v>
      </c>
      <c r="DD27" s="613">
        <v>0.31804645699379958</v>
      </c>
      <c r="DE27" s="613">
        <v>0.53699936202145782</v>
      </c>
      <c r="DF27" s="613">
        <v>0.56129847770981511</v>
      </c>
      <c r="DG27" s="613">
        <v>0.45269246654706952</v>
      </c>
      <c r="DH27" s="613">
        <v>0.39495633311784184</v>
      </c>
      <c r="DI27" s="613">
        <v>0.46915571465461853</v>
      </c>
      <c r="DJ27" s="613">
        <v>0.4775307158168659</v>
      </c>
      <c r="DK27" s="613">
        <v>0.61205313024191799</v>
      </c>
      <c r="DL27" s="613">
        <v>0.44060766138981378</v>
      </c>
      <c r="DM27" s="613">
        <v>1</v>
      </c>
      <c r="DN27" s="613">
        <v>0.70808501772996868</v>
      </c>
      <c r="DO27" s="613">
        <v>0.58742594881422239</v>
      </c>
      <c r="DP27" s="613">
        <v>0.47505751308739314</v>
      </c>
      <c r="DQ27" s="613">
        <v>0.8666790894255727</v>
      </c>
      <c r="DR27" s="613">
        <v>0.55896423207752899</v>
      </c>
      <c r="DS27" s="613">
        <v>0.74411461035759618</v>
      </c>
      <c r="DT27" s="613">
        <v>0.48953836190548505</v>
      </c>
      <c r="DU27" s="613">
        <v>0.96612528613169946</v>
      </c>
      <c r="DV27" s="613">
        <v>0.81154441012616507</v>
      </c>
      <c r="DW27" s="613">
        <v>0.18983345268611473</v>
      </c>
      <c r="DX27" s="613">
        <v>0.14397045587357243</v>
      </c>
      <c r="DY27" s="613">
        <v>0.39024012776844264</v>
      </c>
      <c r="DZ27" s="613">
        <v>0.52878793433780569</v>
      </c>
      <c r="EA27" s="613">
        <v>0.81862037598028148</v>
      </c>
      <c r="EB27" s="613">
        <v>0.2001918931616945</v>
      </c>
      <c r="EC27" s="613">
        <v>0.20545464452172127</v>
      </c>
      <c r="ED27" s="613">
        <v>0.52118064000529252</v>
      </c>
      <c r="EE27" s="613">
        <v>0.58688651620472576</v>
      </c>
      <c r="EF27" s="613">
        <v>0.86773960823887009</v>
      </c>
      <c r="EG27" s="613">
        <v>0.23755248579711283</v>
      </c>
      <c r="EH27" s="613">
        <v>0.61440826923996694</v>
      </c>
      <c r="EI27" s="613">
        <v>0.51176822275634659</v>
      </c>
      <c r="EJ27" s="613">
        <v>0.83981525468745433</v>
      </c>
      <c r="EK27" s="613">
        <v>0.73023597061560652</v>
      </c>
      <c r="EL27" s="613">
        <v>0.6370923001949963</v>
      </c>
      <c r="EM27" s="613">
        <v>0.34209074211367002</v>
      </c>
      <c r="EN27" s="613">
        <v>0.49806476445045461</v>
      </c>
      <c r="EO27" s="613">
        <v>0.20145585590928872</v>
      </c>
      <c r="EP27" s="613">
        <v>0.29578501487339753</v>
      </c>
      <c r="EQ27" s="613">
        <v>0.67275811605573144</v>
      </c>
      <c r="ER27" s="613">
        <v>0.82304735176681154</v>
      </c>
      <c r="ES27" s="613">
        <v>0.41391421998647798</v>
      </c>
      <c r="ET27" s="613">
        <v>0.47826666726116951</v>
      </c>
      <c r="EU27" s="613">
        <v>0.50712494815681197</v>
      </c>
      <c r="EV27" s="613">
        <v>0.46223757655391207</v>
      </c>
      <c r="EW27" s="613">
        <v>0.80942629480036177</v>
      </c>
      <c r="EX27" s="613">
        <v>0.50832121536403618</v>
      </c>
      <c r="EY27" s="613">
        <v>0.54054641349875809</v>
      </c>
      <c r="EZ27" s="613">
        <v>0.46617961153856613</v>
      </c>
      <c r="FA27" s="613">
        <v>0.47997671400936925</v>
      </c>
      <c r="FB27" s="613">
        <v>0.50050766309693318</v>
      </c>
      <c r="FC27" s="613">
        <v>0.28649927185425833</v>
      </c>
      <c r="FD27" s="613">
        <v>0.66205644393822327</v>
      </c>
      <c r="FE27" s="613">
        <v>0.95272025703311491</v>
      </c>
      <c r="FF27" s="613">
        <v>0.15913067681346363</v>
      </c>
      <c r="FG27" s="613">
        <v>0.18224112414060628</v>
      </c>
      <c r="FH27" s="613">
        <v>0.45952364212492536</v>
      </c>
      <c r="FI27" s="613">
        <v>0.34429597348948549</v>
      </c>
      <c r="FJ27" s="613">
        <v>0.47318657070293196</v>
      </c>
      <c r="FK27" s="613">
        <v>0.42737453856837737</v>
      </c>
      <c r="FL27" s="613">
        <v>0.31676051640547592</v>
      </c>
      <c r="FM27" s="613">
        <v>0.44685259036962238</v>
      </c>
      <c r="FN27" s="613">
        <v>0.595472450052144</v>
      </c>
      <c r="FO27" s="613">
        <v>0.30971602997748782</v>
      </c>
      <c r="FP27" s="613">
        <v>0.54721022870591096</v>
      </c>
      <c r="FQ27" s="613">
        <v>0.5847488373484121</v>
      </c>
      <c r="FR27" s="613">
        <v>0.35904605934045825</v>
      </c>
      <c r="FS27" s="613">
        <v>0.39940076959794446</v>
      </c>
      <c r="FT27" s="613">
        <v>0.30253063773774369</v>
      </c>
    </row>
    <row r="28" spans="1:206" s="613" customFormat="1" x14ac:dyDescent="0.2">
      <c r="A28" s="1488" t="s">
        <v>90</v>
      </c>
      <c r="B28" s="613">
        <v>0.41451659346102665</v>
      </c>
      <c r="C28" s="613">
        <v>0.54976062798282077</v>
      </c>
      <c r="D28" s="613">
        <v>0.77928992545443077</v>
      </c>
      <c r="E28" s="613">
        <v>0.79744122585625554</v>
      </c>
      <c r="F28" s="613">
        <v>0.61219018556862503</v>
      </c>
      <c r="G28" s="613">
        <v>0.61217716759066376</v>
      </c>
      <c r="H28" s="613">
        <v>0.66001105704519658</v>
      </c>
      <c r="I28" s="613">
        <v>0.60656510186224333</v>
      </c>
      <c r="J28" s="613">
        <v>0.46996760178754737</v>
      </c>
      <c r="K28" s="613">
        <v>0.41138184830617308</v>
      </c>
      <c r="L28" s="613">
        <v>0.46823387220117429</v>
      </c>
      <c r="M28" s="613">
        <v>0.41036945543792713</v>
      </c>
      <c r="N28" s="613">
        <v>0.40755892788832798</v>
      </c>
      <c r="O28" s="613">
        <v>0.47416407155035784</v>
      </c>
      <c r="P28" s="613">
        <v>0.79577006922706439</v>
      </c>
      <c r="Q28" s="613">
        <v>0.63371189056206279</v>
      </c>
      <c r="R28" s="613">
        <v>0.80862577537787483</v>
      </c>
      <c r="S28" s="613">
        <v>0.3912257206846067</v>
      </c>
      <c r="T28" s="613">
        <v>0.39325538481663158</v>
      </c>
      <c r="U28" s="613">
        <v>0.53708957536143576</v>
      </c>
      <c r="V28" s="613">
        <v>0.46249124228433919</v>
      </c>
      <c r="W28" s="613">
        <v>0.74989210952345842</v>
      </c>
      <c r="X28" s="613">
        <v>0.80218798200345209</v>
      </c>
      <c r="Y28" s="613">
        <v>0.22251511439157085</v>
      </c>
      <c r="Z28" s="613">
        <v>0.53353277133166366</v>
      </c>
      <c r="AA28" s="613">
        <v>0.65179132615393021</v>
      </c>
      <c r="AB28" s="613">
        <v>0.73792496303074018</v>
      </c>
      <c r="AC28" s="613">
        <v>0.51532556857218681</v>
      </c>
      <c r="AD28" s="613">
        <v>0.59486674096082204</v>
      </c>
      <c r="AE28" s="613">
        <v>0.33348767484001063</v>
      </c>
      <c r="AF28" s="613">
        <v>0.64516325016527365</v>
      </c>
      <c r="AG28" s="613">
        <v>0.36599085652527119</v>
      </c>
      <c r="AH28" s="613">
        <v>0.80987857734154545</v>
      </c>
      <c r="AI28" s="613">
        <v>0.38253947797873006</v>
      </c>
      <c r="AJ28" s="613">
        <v>0.57874032903493744</v>
      </c>
      <c r="AK28" s="613">
        <v>0.67297881211055022</v>
      </c>
      <c r="AL28" s="613">
        <v>0.56266027451599687</v>
      </c>
      <c r="AM28" s="613">
        <v>0.64440014390446076</v>
      </c>
      <c r="AN28" s="613">
        <v>0.79346356361314818</v>
      </c>
      <c r="AO28" s="613">
        <v>0.2131402573347459</v>
      </c>
      <c r="AP28" s="613">
        <v>0.77220909544875826</v>
      </c>
      <c r="AQ28" s="613">
        <v>0.16953467334008229</v>
      </c>
      <c r="AR28" s="613">
        <v>0.13478701246393582</v>
      </c>
      <c r="AS28" s="613">
        <v>0.33201276096328081</v>
      </c>
      <c r="AT28" s="613">
        <v>0.22815944416774173</v>
      </c>
      <c r="AU28" s="613">
        <v>0.32026293050323618</v>
      </c>
      <c r="AV28" s="613">
        <v>0.21421039613436488</v>
      </c>
      <c r="AW28" s="613">
        <v>0.55117679169971245</v>
      </c>
      <c r="AX28" s="613">
        <v>0.62510668854174645</v>
      </c>
      <c r="AY28" s="613">
        <v>0.47544087994297635</v>
      </c>
      <c r="AZ28" s="613">
        <v>0.2676409479382304</v>
      </c>
      <c r="BA28" s="613">
        <v>0.44423942173873326</v>
      </c>
      <c r="BB28" s="613">
        <v>0.43541439870384196</v>
      </c>
      <c r="BC28" s="613">
        <v>0.27099928987431049</v>
      </c>
      <c r="BD28" s="613">
        <v>0.87128462062782308</v>
      </c>
      <c r="BE28" s="613">
        <v>0.41021266367753229</v>
      </c>
      <c r="BF28" s="613">
        <v>0.52080546455275234</v>
      </c>
      <c r="BG28" s="613">
        <v>0.27539041331110842</v>
      </c>
      <c r="BH28" s="613">
        <v>0.47087160225806934</v>
      </c>
      <c r="BI28" s="613">
        <v>0.31354339912306123</v>
      </c>
      <c r="BJ28" s="613">
        <v>0.39466832227951104</v>
      </c>
      <c r="BK28" s="613">
        <v>0.47680906404336815</v>
      </c>
      <c r="BL28" s="613">
        <v>0.26084483290391297</v>
      </c>
      <c r="BM28" s="613">
        <v>0.27042313822710068</v>
      </c>
      <c r="BN28" s="613">
        <v>0.47827007264690174</v>
      </c>
      <c r="BO28" s="613">
        <v>0.32498889198754322</v>
      </c>
      <c r="BP28" s="613">
        <v>0.38696248907065411</v>
      </c>
      <c r="BQ28" s="613">
        <v>0.47465848304536989</v>
      </c>
      <c r="BR28" s="613">
        <v>0.25509210135329696</v>
      </c>
      <c r="BS28" s="613">
        <v>0.39280718595934122</v>
      </c>
      <c r="BT28" s="613">
        <v>0.27659706375121723</v>
      </c>
      <c r="BU28" s="613">
        <v>0.30174656845424896</v>
      </c>
      <c r="BV28" s="613">
        <v>0.37583118873581728</v>
      </c>
      <c r="BW28" s="613">
        <v>0.64505266067304989</v>
      </c>
      <c r="BX28" s="613">
        <v>0.31919070301136993</v>
      </c>
      <c r="BY28" s="613">
        <v>0.33640754418955787</v>
      </c>
      <c r="BZ28" s="613">
        <v>0.41554253002874114</v>
      </c>
      <c r="CA28" s="613">
        <v>0.38572574704041912</v>
      </c>
      <c r="CB28" s="613">
        <v>0.75046962939977691</v>
      </c>
      <c r="CC28" s="613">
        <v>0.67320714391540248</v>
      </c>
      <c r="CD28" s="613">
        <v>0.49322749902480878</v>
      </c>
      <c r="CE28" s="613">
        <v>0.69638841543248042</v>
      </c>
      <c r="CF28" s="613">
        <v>0.30749579072095568</v>
      </c>
      <c r="CG28" s="613">
        <v>0.67474655268300832</v>
      </c>
      <c r="CH28" s="613">
        <v>0.51301501633307389</v>
      </c>
      <c r="CI28" s="613">
        <v>0.85826012784558725</v>
      </c>
      <c r="CJ28" s="613">
        <v>0.79641655845534698</v>
      </c>
      <c r="CK28" s="613">
        <v>0.7184640749248411</v>
      </c>
      <c r="CL28" s="613">
        <v>0.25965829111840955</v>
      </c>
      <c r="CM28" s="613">
        <v>0.44636577538487532</v>
      </c>
      <c r="CN28" s="613">
        <v>0.23216236759219233</v>
      </c>
      <c r="CO28" s="613">
        <v>0.15389125401155818</v>
      </c>
      <c r="CP28" s="613">
        <v>0.33290345259362403</v>
      </c>
      <c r="CQ28" s="613">
        <v>0.7950469948370098</v>
      </c>
      <c r="CR28" s="613">
        <v>0.34946761325992903</v>
      </c>
      <c r="CS28" s="613">
        <v>0.38234409773754213</v>
      </c>
      <c r="CT28" s="613">
        <v>0.54707671819865722</v>
      </c>
      <c r="CU28" s="613">
        <v>0.67914566354194927</v>
      </c>
      <c r="CV28" s="613">
        <v>0.78256231764202289</v>
      </c>
      <c r="CW28" s="613">
        <v>0.89061071953442306</v>
      </c>
      <c r="CX28" s="613">
        <v>0.37550688104049557</v>
      </c>
      <c r="CY28" s="613">
        <v>0.61507119021020118</v>
      </c>
      <c r="CZ28" s="613">
        <v>0.86430930013771923</v>
      </c>
      <c r="DA28" s="613">
        <v>0.6347058787649773</v>
      </c>
      <c r="DB28" s="613">
        <v>0.51715439495382931</v>
      </c>
      <c r="DC28" s="613">
        <v>0.47544360650967199</v>
      </c>
      <c r="DD28" s="613">
        <v>0.18252299946110145</v>
      </c>
      <c r="DE28" s="613">
        <v>0.57686911553400477</v>
      </c>
      <c r="DF28" s="613">
        <v>0.3798143532022098</v>
      </c>
      <c r="DG28" s="613">
        <v>0.52924775841782068</v>
      </c>
      <c r="DH28" s="613">
        <v>0.46651000924220648</v>
      </c>
      <c r="DI28" s="613">
        <v>0.50634546199489228</v>
      </c>
      <c r="DJ28" s="613">
        <v>0.29936760398750256</v>
      </c>
      <c r="DK28" s="613">
        <v>0.48738199706186264</v>
      </c>
      <c r="DL28" s="613">
        <v>0.35881378431553596</v>
      </c>
      <c r="DM28" s="613">
        <v>0.93855255336325916</v>
      </c>
      <c r="DN28" s="613">
        <v>0.64660517008085006</v>
      </c>
      <c r="DO28" s="613">
        <v>0.4039338191874316</v>
      </c>
      <c r="DP28" s="613">
        <v>0.29711693869779193</v>
      </c>
      <c r="DQ28" s="613">
        <v>0.83077622494512848</v>
      </c>
      <c r="DR28" s="613">
        <v>0.37145187871762297</v>
      </c>
      <c r="DS28" s="613">
        <v>0.73246063559928887</v>
      </c>
      <c r="DT28" s="613">
        <v>0.2512800614622151</v>
      </c>
      <c r="DU28" s="613">
        <v>0.91700607323358418</v>
      </c>
      <c r="DV28" s="613">
        <v>0.95549859622773081</v>
      </c>
      <c r="DW28" s="613">
        <v>0.26851363979374482</v>
      </c>
      <c r="DX28" s="613">
        <v>0.22473970151172751</v>
      </c>
      <c r="DY28" s="613">
        <v>0.73320581412055519</v>
      </c>
      <c r="DZ28" s="613">
        <v>0.63700218136620823</v>
      </c>
      <c r="EA28" s="613">
        <v>0.78943328490970277</v>
      </c>
      <c r="EB28" s="613">
        <v>0.50647028295989882</v>
      </c>
      <c r="EC28" s="613">
        <v>0.23014807400234485</v>
      </c>
      <c r="ED28" s="613">
        <v>0.74768712272929871</v>
      </c>
      <c r="EE28" s="613">
        <v>0.61841880565514762</v>
      </c>
      <c r="EF28" s="613">
        <v>0.8396666266728422</v>
      </c>
      <c r="EG28" s="613">
        <v>0.30826809238301456</v>
      </c>
      <c r="EH28" s="613">
        <v>0.77641196593067396</v>
      </c>
      <c r="EI28" s="613">
        <v>0.64672098684147339</v>
      </c>
      <c r="EJ28" s="613">
        <v>0.55513305213906483</v>
      </c>
      <c r="EK28" s="613">
        <v>0.93531623375343587</v>
      </c>
      <c r="EL28" s="613">
        <v>0.3987598292815332</v>
      </c>
      <c r="EM28" s="613">
        <v>0.44781293453428322</v>
      </c>
      <c r="EN28" s="613">
        <v>0.56117573262184028</v>
      </c>
      <c r="EO28" s="613">
        <v>0.40185235140604203</v>
      </c>
      <c r="EP28" s="613">
        <v>0.3688400719856807</v>
      </c>
      <c r="EQ28" s="613">
        <v>0.45182930005866945</v>
      </c>
      <c r="ER28" s="613">
        <v>0.52306001493800758</v>
      </c>
      <c r="ES28" s="613">
        <v>0.33423289425113617</v>
      </c>
      <c r="ET28" s="613">
        <v>0.71370783558827455</v>
      </c>
      <c r="EU28" s="613">
        <v>0.53534118341435777</v>
      </c>
      <c r="EV28" s="613">
        <v>0.48942526358059996</v>
      </c>
      <c r="EW28" s="613">
        <v>0.79541348853381988</v>
      </c>
      <c r="EX28" s="613">
        <v>0.52236341669497599</v>
      </c>
      <c r="EY28" s="613">
        <v>0.3147679600569035</v>
      </c>
      <c r="EZ28" s="613">
        <v>0.63030309771023496</v>
      </c>
      <c r="FA28" s="613">
        <v>0.6449710676434478</v>
      </c>
      <c r="FB28" s="613">
        <v>0.74740790544363123</v>
      </c>
      <c r="FC28" s="613">
        <v>0.57291349119671675</v>
      </c>
      <c r="FD28" s="613">
        <v>0.63835425806121437</v>
      </c>
      <c r="FE28" s="613">
        <v>1</v>
      </c>
      <c r="FF28" s="613">
        <v>0</v>
      </c>
      <c r="FG28" s="613">
        <v>4.8263441543224886E-2</v>
      </c>
      <c r="FH28" s="613">
        <v>0.69221986983986172</v>
      </c>
      <c r="FI28" s="613">
        <v>0.47026512519104424</v>
      </c>
      <c r="FJ28" s="613">
        <v>0.4871358447430299</v>
      </c>
      <c r="FK28" s="613">
        <v>0.27114088616143028</v>
      </c>
      <c r="FL28" s="613">
        <v>0.3846772876984656</v>
      </c>
      <c r="FM28" s="613">
        <v>0.70029941337911861</v>
      </c>
      <c r="FN28" s="613">
        <v>0.39832470907510659</v>
      </c>
      <c r="FO28" s="613">
        <v>0.43220377204579941</v>
      </c>
      <c r="FP28" s="613">
        <v>0.54682872329893273</v>
      </c>
      <c r="FQ28" s="613">
        <v>0.35090251649773974</v>
      </c>
      <c r="FR28" s="613">
        <v>0.48101424113988839</v>
      </c>
      <c r="FS28" s="613">
        <v>0.2491748706347808</v>
      </c>
      <c r="FT28" s="613">
        <v>0.43898372194354551</v>
      </c>
    </row>
    <row r="29" spans="1:206" s="613" customFormat="1" x14ac:dyDescent="0.2">
      <c r="A29" s="1488" t="s">
        <v>923</v>
      </c>
      <c r="B29" s="613">
        <v>0.32182674062800487</v>
      </c>
      <c r="C29" s="613">
        <v>1</v>
      </c>
      <c r="D29" s="613">
        <v>0.66416367860222203</v>
      </c>
      <c r="E29" s="613">
        <v>0.70537933098082484</v>
      </c>
      <c r="F29" s="613">
        <v>1</v>
      </c>
      <c r="G29" s="613">
        <v>1</v>
      </c>
      <c r="H29" s="613">
        <v>1</v>
      </c>
      <c r="I29" s="613">
        <v>1</v>
      </c>
      <c r="J29" s="613">
        <v>1</v>
      </c>
      <c r="K29" s="613">
        <v>1</v>
      </c>
      <c r="L29" s="613">
        <v>1</v>
      </c>
      <c r="M29" s="613">
        <v>1</v>
      </c>
      <c r="N29" s="613">
        <v>1</v>
      </c>
      <c r="O29" s="613">
        <v>1</v>
      </c>
      <c r="P29" s="613">
        <v>1</v>
      </c>
      <c r="Q29" s="613">
        <v>1</v>
      </c>
      <c r="R29" s="613">
        <v>0.61426817135197498</v>
      </c>
      <c r="S29" s="613">
        <v>0.2664192137276345</v>
      </c>
      <c r="T29" s="613">
        <v>1</v>
      </c>
      <c r="U29" s="613">
        <v>1</v>
      </c>
      <c r="V29" s="613">
        <v>0.33173138758268533</v>
      </c>
      <c r="W29" s="613">
        <v>0.64144977122857316</v>
      </c>
      <c r="X29" s="613">
        <v>0.80619924337781457</v>
      </c>
      <c r="Y29" s="613">
        <v>0.2152818394308238</v>
      </c>
      <c r="Z29" s="613">
        <v>0.52515053297864478</v>
      </c>
      <c r="AA29" s="613">
        <v>0.54681065515509031</v>
      </c>
      <c r="AB29" s="613">
        <v>0.46967434608944786</v>
      </c>
      <c r="AC29" s="613">
        <v>1</v>
      </c>
      <c r="AD29" s="613">
        <v>0.50927349193432248</v>
      </c>
      <c r="AE29" s="613">
        <v>0.17033201107602597</v>
      </c>
      <c r="AF29" s="613">
        <v>1</v>
      </c>
      <c r="AG29" s="613">
        <v>0.24555876868043763</v>
      </c>
      <c r="AH29" s="613">
        <v>1</v>
      </c>
      <c r="AI29" s="613">
        <v>1</v>
      </c>
      <c r="AJ29" s="613">
        <v>0.508642605545228</v>
      </c>
      <c r="AK29" s="613">
        <v>0.3953309608741209</v>
      </c>
      <c r="AL29" s="613">
        <v>0.51416349136831174</v>
      </c>
      <c r="AM29" s="613">
        <v>0.49115344994015186</v>
      </c>
      <c r="AN29" s="613">
        <v>0.32907122431135083</v>
      </c>
      <c r="AO29" s="613">
        <v>4.7862288274292349E-2</v>
      </c>
      <c r="AP29" s="613">
        <v>0.48689540130698256</v>
      </c>
      <c r="AQ29" s="613">
        <v>0.13642381066689713</v>
      </c>
      <c r="AR29" s="613">
        <v>7.1265609855688888E-2</v>
      </c>
      <c r="AS29" s="613">
        <v>0.12351137142687782</v>
      </c>
      <c r="AT29" s="613">
        <v>1</v>
      </c>
      <c r="AU29" s="613">
        <v>0.4053933303858453</v>
      </c>
      <c r="AV29" s="613">
        <v>0.24674436674974801</v>
      </c>
      <c r="AW29" s="613">
        <v>0.67006664434068186</v>
      </c>
      <c r="AX29" s="613">
        <v>0.58827337567472426</v>
      </c>
      <c r="AY29" s="613">
        <v>0.31835684509587897</v>
      </c>
      <c r="AZ29" s="613">
        <v>0.32032216401223501</v>
      </c>
      <c r="BA29" s="613">
        <v>0.45447096205793192</v>
      </c>
      <c r="BB29" s="613">
        <v>0.22055722353826027</v>
      </c>
      <c r="BC29" s="613">
        <v>0.27344590881670422</v>
      </c>
      <c r="BD29" s="613">
        <v>1</v>
      </c>
      <c r="BE29" s="613">
        <v>0.18793614229144462</v>
      </c>
      <c r="BF29" s="613">
        <v>0.38603459317138661</v>
      </c>
      <c r="BG29" s="613">
        <v>0.12362731093569973</v>
      </c>
      <c r="BH29" s="613">
        <v>0.29704040103714402</v>
      </c>
      <c r="BI29" s="613">
        <v>0.26008135788368836</v>
      </c>
      <c r="BJ29" s="613">
        <v>0.33223260003002658</v>
      </c>
      <c r="BK29" s="613">
        <v>0.45363614741007535</v>
      </c>
      <c r="BL29" s="613">
        <v>1</v>
      </c>
      <c r="BM29" s="613">
        <v>0.199088961268506</v>
      </c>
      <c r="BN29" s="613">
        <v>0.42530540481561352</v>
      </c>
      <c r="BO29" s="613">
        <v>0.31994418613086661</v>
      </c>
      <c r="BP29" s="613">
        <v>0.33293949325253491</v>
      </c>
      <c r="BQ29" s="613">
        <v>0.33231209467660627</v>
      </c>
      <c r="BR29" s="613">
        <v>0.2237855697449013</v>
      </c>
      <c r="BS29" s="613">
        <v>0.22365844321815073</v>
      </c>
      <c r="BT29" s="613">
        <v>1</v>
      </c>
      <c r="BU29" s="613">
        <v>0.24873363178155697</v>
      </c>
      <c r="BV29" s="613">
        <v>0.16452475653557583</v>
      </c>
      <c r="BW29" s="613">
        <v>0.77455862807640719</v>
      </c>
      <c r="BX29" s="613">
        <v>0.24543634371079967</v>
      </c>
      <c r="BY29" s="613">
        <v>1</v>
      </c>
      <c r="BZ29" s="613">
        <v>0.34275534412583736</v>
      </c>
      <c r="CA29" s="613">
        <v>0.30011056306535527</v>
      </c>
      <c r="CB29" s="613">
        <v>0.66685553237927453</v>
      </c>
      <c r="CC29" s="613">
        <v>1</v>
      </c>
      <c r="CD29" s="613">
        <v>1</v>
      </c>
      <c r="CE29" s="613">
        <v>0.24549632140097852</v>
      </c>
      <c r="CF29" s="613">
        <v>0.23594558271909599</v>
      </c>
      <c r="CG29" s="613">
        <v>0.40528294736054071</v>
      </c>
      <c r="CH29" s="613">
        <v>1</v>
      </c>
      <c r="CI29" s="613">
        <v>0.63591949631435107</v>
      </c>
      <c r="CJ29" s="613">
        <v>0.60070368642686267</v>
      </c>
      <c r="CK29" s="613">
        <v>0.49998785452737665</v>
      </c>
      <c r="CL29" s="613">
        <v>0.2119105250427078</v>
      </c>
      <c r="CM29" s="613">
        <v>0.27701164720001253</v>
      </c>
      <c r="CN29" s="613">
        <v>0</v>
      </c>
      <c r="CO29" s="613">
        <v>5.9839672131077291E-2</v>
      </c>
      <c r="CP29" s="613">
        <v>1</v>
      </c>
      <c r="CQ29" s="613">
        <v>0.60605751830042154</v>
      </c>
      <c r="CR29" s="613">
        <v>1</v>
      </c>
      <c r="CS29" s="613">
        <v>0.28554023103409759</v>
      </c>
      <c r="CT29" s="613">
        <v>1</v>
      </c>
      <c r="CU29" s="613">
        <v>0.59035698527200431</v>
      </c>
      <c r="CV29" s="613">
        <v>0.44390836740128348</v>
      </c>
      <c r="CW29" s="613">
        <v>0.7683361082827187</v>
      </c>
      <c r="CX29" s="613">
        <v>0.36465853910042079</v>
      </c>
      <c r="CY29" s="613">
        <v>0.62888359726137788</v>
      </c>
      <c r="CZ29" s="613">
        <v>0.83163411652106811</v>
      </c>
      <c r="DA29" s="613">
        <v>1</v>
      </c>
      <c r="DB29" s="613">
        <v>0.11455845936148491</v>
      </c>
      <c r="DC29" s="613">
        <v>1</v>
      </c>
      <c r="DD29" s="613">
        <v>6.991049223122256E-2</v>
      </c>
      <c r="DE29" s="613">
        <v>0.62560674156706308</v>
      </c>
      <c r="DF29" s="613">
        <v>0.4107935519478772</v>
      </c>
      <c r="DG29" s="613">
        <v>0.17357470539029476</v>
      </c>
      <c r="DH29" s="613">
        <v>0.22620890314215761</v>
      </c>
      <c r="DI29" s="613">
        <v>0.3701966360218098</v>
      </c>
      <c r="DJ29" s="613">
        <v>0.42015699725375727</v>
      </c>
      <c r="DK29" s="613">
        <v>0.30387303178384445</v>
      </c>
      <c r="DL29" s="613">
        <v>0.26808445811813808</v>
      </c>
      <c r="DM29" s="613">
        <v>0.56393267645157219</v>
      </c>
      <c r="DN29" s="613">
        <v>0.51205078503842483</v>
      </c>
      <c r="DO29" s="613">
        <v>0.59296751923266777</v>
      </c>
      <c r="DP29" s="613">
        <v>0.39058060947508516</v>
      </c>
      <c r="DQ29" s="613">
        <v>1</v>
      </c>
      <c r="DR29" s="613">
        <v>1</v>
      </c>
      <c r="DS29" s="613">
        <v>0.49002755504263062</v>
      </c>
      <c r="DT29" s="613">
        <v>0.20925340290183694</v>
      </c>
      <c r="DU29" s="613">
        <v>0.78395164964663711</v>
      </c>
      <c r="DV29" s="613">
        <v>0.50484387672228026</v>
      </c>
      <c r="DW29" s="613">
        <v>0.11680715628681664</v>
      </c>
      <c r="DX29" s="613">
        <v>0.27003784814226284</v>
      </c>
      <c r="DY29" s="613">
        <v>0.34361390445377732</v>
      </c>
      <c r="DZ29" s="613">
        <v>0.48947061348278526</v>
      </c>
      <c r="EA29" s="613">
        <v>0.58884467599203316</v>
      </c>
      <c r="EB29" s="613">
        <v>0.33062480527073562</v>
      </c>
      <c r="EC29" s="613">
        <v>0.29267806315041528</v>
      </c>
      <c r="ED29" s="613">
        <v>0.57537922890094484</v>
      </c>
      <c r="EE29" s="613">
        <v>0.50639081575982337</v>
      </c>
      <c r="EF29" s="613">
        <v>0.81665116468467747</v>
      </c>
      <c r="EG29" s="613">
        <v>0.34989636838182764</v>
      </c>
      <c r="EH29" s="613">
        <v>0.49818306554186248</v>
      </c>
      <c r="EI29" s="613">
        <v>0.17601912430572828</v>
      </c>
      <c r="EJ29" s="613">
        <v>0.33068974199346718</v>
      </c>
      <c r="EK29" s="613">
        <v>1</v>
      </c>
      <c r="EL29" s="613">
        <v>0.29409255847612581</v>
      </c>
      <c r="EM29" s="613">
        <v>1</v>
      </c>
      <c r="EN29" s="613">
        <v>0.53253660062183217</v>
      </c>
      <c r="EO29" s="613">
        <v>0.29922097765849165</v>
      </c>
      <c r="EP29" s="613">
        <v>0.2574193800441914</v>
      </c>
      <c r="EQ29" s="613">
        <v>0.28892000961608078</v>
      </c>
      <c r="ER29" s="613">
        <v>0.35317452962070917</v>
      </c>
      <c r="ES29" s="613">
        <v>0.10785755281857592</v>
      </c>
      <c r="ET29" s="613">
        <v>0.30607880323717424</v>
      </c>
      <c r="EU29" s="613">
        <v>1</v>
      </c>
      <c r="EV29" s="613">
        <v>0.32774179887743909</v>
      </c>
      <c r="EW29" s="613">
        <v>0.56524131200867389</v>
      </c>
      <c r="EX29" s="613">
        <v>0.40673984451723572</v>
      </c>
      <c r="EY29" s="613">
        <v>0.30092750185955014</v>
      </c>
      <c r="EZ29" s="613">
        <v>0.74152419279619208</v>
      </c>
      <c r="FA29" s="613">
        <v>0.66681205194320892</v>
      </c>
      <c r="FB29" s="613">
        <v>0.7254621852605615</v>
      </c>
      <c r="FC29" s="613">
        <v>0.55330767329178965</v>
      </c>
      <c r="FD29" s="613">
        <v>0.37071049703647985</v>
      </c>
      <c r="FE29" s="613">
        <v>0.6098177760937401</v>
      </c>
      <c r="FF29" s="613">
        <v>0.11877710867522689</v>
      </c>
      <c r="FG29" s="613">
        <v>0.35616503918237707</v>
      </c>
      <c r="FH29" s="613">
        <v>0.51931788425028313</v>
      </c>
      <c r="FI29" s="613">
        <v>1</v>
      </c>
      <c r="FJ29" s="613">
        <v>0.40878628994662758</v>
      </c>
      <c r="FK29" s="613">
        <v>0.45882790481498908</v>
      </c>
      <c r="FL29" s="613">
        <v>0.18420774723240885</v>
      </c>
      <c r="FM29" s="613">
        <v>0.47260368219159971</v>
      </c>
      <c r="FN29" s="613">
        <v>0.37837175484435887</v>
      </c>
      <c r="FO29" s="613">
        <v>6.5149533547622929E-2</v>
      </c>
      <c r="FP29" s="613">
        <v>0.37183692746171304</v>
      </c>
      <c r="FQ29" s="613">
        <v>0.35028975040082333</v>
      </c>
      <c r="FR29" s="613">
        <v>0.29819219988507534</v>
      </c>
      <c r="FS29" s="613">
        <v>1</v>
      </c>
      <c r="FT29" s="613">
        <v>0.19966260485487169</v>
      </c>
    </row>
    <row r="30" spans="1:206" s="613" customFormat="1" x14ac:dyDescent="0.2">
      <c r="A30" s="1488" t="s">
        <v>194</v>
      </c>
      <c r="B30" s="613">
        <v>0.41259597854414137</v>
      </c>
      <c r="C30" s="613">
        <v>0.42749293577194103</v>
      </c>
      <c r="D30" s="613">
        <v>0.27960570511348809</v>
      </c>
      <c r="E30" s="613">
        <v>0.24051575186340801</v>
      </c>
      <c r="F30" s="613">
        <v>0.14469297335289341</v>
      </c>
      <c r="G30" s="613">
        <v>0.10134911876389861</v>
      </c>
      <c r="H30" s="613">
        <v>0.22254213083068036</v>
      </c>
      <c r="I30" s="613">
        <v>0.18957837277680667</v>
      </c>
      <c r="J30" s="613">
        <v>0.40096679518469336</v>
      </c>
      <c r="K30" s="613">
        <v>0.62380831905236689</v>
      </c>
      <c r="L30" s="613">
        <v>0.68853582866475649</v>
      </c>
      <c r="M30" s="613">
        <v>0.35756725980571613</v>
      </c>
      <c r="N30" s="613">
        <v>0.32672324679870862</v>
      </c>
      <c r="O30" s="613">
        <v>0.78637481991044766</v>
      </c>
      <c r="P30" s="613">
        <v>0.60500466906360695</v>
      </c>
      <c r="Q30" s="613">
        <v>0.23236897261088679</v>
      </c>
      <c r="R30" s="613">
        <v>0.68272480171722016</v>
      </c>
      <c r="S30" s="613">
        <v>0.61549782996901714</v>
      </c>
      <c r="T30" s="613">
        <v>0.21654149871594461</v>
      </c>
      <c r="U30" s="613">
        <v>0.1899884485734902</v>
      </c>
      <c r="V30" s="613">
        <v>0.41709013976827813</v>
      </c>
      <c r="W30" s="613">
        <v>0.60359440395939534</v>
      </c>
      <c r="X30" s="613">
        <v>0.82250508655481658</v>
      </c>
      <c r="Y30" s="613">
        <v>0.50426660432671633</v>
      </c>
      <c r="Z30" s="613">
        <v>0.75614141342378249</v>
      </c>
      <c r="AA30" s="613">
        <v>0.78240515606181482</v>
      </c>
      <c r="AB30" s="613">
        <v>0.62710465817652583</v>
      </c>
      <c r="AC30" s="613">
        <v>0.55018839431688094</v>
      </c>
      <c r="AD30" s="613">
        <v>0.24809383981887592</v>
      </c>
      <c r="AE30" s="613">
        <v>0.20074488108752031</v>
      </c>
      <c r="AF30" s="613">
        <v>0.915615578331888</v>
      </c>
      <c r="AG30" s="613">
        <v>0.34817523262137612</v>
      </c>
      <c r="AH30" s="613">
        <v>0.43774915853085111</v>
      </c>
      <c r="AI30" s="613">
        <v>0.21899689446744802</v>
      </c>
      <c r="AJ30" s="613">
        <v>0.11043357519135991</v>
      </c>
      <c r="AK30" s="613">
        <v>0.43878398063283802</v>
      </c>
      <c r="AL30" s="613">
        <v>0.53095278051202577</v>
      </c>
      <c r="AM30" s="613">
        <v>0.59666955409149247</v>
      </c>
      <c r="AN30" s="613">
        <v>0.71558673225551628</v>
      </c>
      <c r="AO30" s="613">
        <v>5.5759687487022588E-3</v>
      </c>
      <c r="AP30" s="613">
        <v>0.79847094134780483</v>
      </c>
      <c r="AQ30" s="613">
        <v>0.20690110190727096</v>
      </c>
      <c r="AR30" s="613">
        <v>0.23232322883261095</v>
      </c>
      <c r="AS30" s="613">
        <v>0.11519666573405357</v>
      </c>
      <c r="AT30" s="613">
        <v>0.33508894027174657</v>
      </c>
      <c r="AU30" s="613">
        <v>0.55916328483810185</v>
      </c>
      <c r="AV30" s="613">
        <v>0.45014184670632729</v>
      </c>
      <c r="AW30" s="613">
        <v>0.4563788942284297</v>
      </c>
      <c r="AX30" s="613">
        <v>0.66910476945608466</v>
      </c>
      <c r="AY30" s="613">
        <v>0.45525523748641938</v>
      </c>
      <c r="AZ30" s="613">
        <v>0.32437816637744654</v>
      </c>
      <c r="BA30" s="613">
        <v>0.52549267448517711</v>
      </c>
      <c r="BB30" s="613">
        <v>5.7223229182363854E-2</v>
      </c>
      <c r="BC30" s="613">
        <v>0.42740712280480009</v>
      </c>
      <c r="BD30" s="613">
        <v>0.45231500766942112</v>
      </c>
      <c r="BE30" s="613">
        <v>5.6379651716726042E-2</v>
      </c>
      <c r="BF30" s="613">
        <v>0.41374491595659646</v>
      </c>
      <c r="BG30" s="613">
        <v>0.13505080700745328</v>
      </c>
      <c r="BH30" s="613">
        <v>0.26098381800146259</v>
      </c>
      <c r="BI30" s="613">
        <v>0.23273901510687575</v>
      </c>
      <c r="BJ30" s="613">
        <v>0.48715079814930279</v>
      </c>
      <c r="BK30" s="613">
        <v>0.35723103439661524</v>
      </c>
      <c r="BL30" s="613">
        <v>0.12209362064953974</v>
      </c>
      <c r="BM30" s="613">
        <v>8.7905182628087386E-2</v>
      </c>
      <c r="BN30" s="613">
        <v>0.4087022121900174</v>
      </c>
      <c r="BO30" s="613">
        <v>0.22257844675874339</v>
      </c>
      <c r="BP30" s="613">
        <v>0.24535677389277108</v>
      </c>
      <c r="BQ30" s="613">
        <v>6.6781568969369624E-4</v>
      </c>
      <c r="BR30" s="613">
        <v>4.5008180107544399E-2</v>
      </c>
      <c r="BS30" s="613">
        <v>0.3651642045725082</v>
      </c>
      <c r="BT30" s="613">
        <v>0</v>
      </c>
      <c r="BU30" s="613">
        <v>0.1297226454602132</v>
      </c>
      <c r="BV30" s="613">
        <v>0.43469371509575644</v>
      </c>
      <c r="BW30" s="613">
        <v>0.68209125092966216</v>
      </c>
      <c r="BX30" s="613">
        <v>0.25767679170099755</v>
      </c>
      <c r="BY30" s="613">
        <v>0.51597364301461746</v>
      </c>
      <c r="BZ30" s="613">
        <v>0.60946976074605053</v>
      </c>
      <c r="CA30" s="613">
        <v>0.27051534213498285</v>
      </c>
      <c r="CB30" s="613">
        <v>0.75762573264189004</v>
      </c>
      <c r="CC30" s="613">
        <v>0.53782560765297827</v>
      </c>
      <c r="CD30" s="613">
        <v>0.49119030621031551</v>
      </c>
      <c r="CE30" s="613">
        <v>0.42165860990306525</v>
      </c>
      <c r="CF30" s="613">
        <v>0.24638711528104437</v>
      </c>
      <c r="CG30" s="613">
        <v>0.80312723913490103</v>
      </c>
      <c r="CH30" s="613">
        <v>0.45429862448240588</v>
      </c>
      <c r="CI30" s="613">
        <v>0.53594911330594441</v>
      </c>
      <c r="CJ30" s="613">
        <v>0.19068959153671508</v>
      </c>
      <c r="CK30" s="613">
        <v>7.3327816102253363E-2</v>
      </c>
      <c r="CL30" s="613">
        <v>0.303615892595619</v>
      </c>
      <c r="CM30" s="613">
        <v>0.26156091256151404</v>
      </c>
      <c r="CN30" s="613">
        <v>0.15241991318965736</v>
      </c>
      <c r="CO30" s="613">
        <v>0.17992448118277987</v>
      </c>
      <c r="CP30" s="613">
        <v>0.82587191816194028</v>
      </c>
      <c r="CQ30" s="613">
        <v>1</v>
      </c>
      <c r="CR30" s="613">
        <v>4.7609413874604552E-2</v>
      </c>
      <c r="CS30" s="613">
        <v>0.10103660571526921</v>
      </c>
      <c r="CT30" s="613">
        <v>3.8077367711691623E-2</v>
      </c>
      <c r="CU30" s="613">
        <v>0.36310355561662844</v>
      </c>
      <c r="CV30" s="613">
        <v>0.32864589901117475</v>
      </c>
      <c r="CW30" s="613">
        <v>0.60629928939794231</v>
      </c>
      <c r="CX30" s="613">
        <v>0.3280928711262775</v>
      </c>
      <c r="CY30" s="613">
        <v>0.35702391540095996</v>
      </c>
      <c r="CZ30" s="613">
        <v>0.67448297701106696</v>
      </c>
      <c r="DA30" s="613">
        <v>0.72574015574099549</v>
      </c>
      <c r="DB30" s="613">
        <v>0.45555723571247975</v>
      </c>
      <c r="DC30" s="613">
        <v>0.41296375274110769</v>
      </c>
      <c r="DD30" s="613">
        <v>0.12277605757495903</v>
      </c>
      <c r="DE30" s="613">
        <v>0.30868444760209818</v>
      </c>
      <c r="DF30" s="613">
        <v>0.55581747089282074</v>
      </c>
      <c r="DG30" s="613">
        <v>0.29620223859119782</v>
      </c>
      <c r="DH30" s="613">
        <v>0.4537604559562356</v>
      </c>
      <c r="DI30" s="613">
        <v>0.60881357328653529</v>
      </c>
      <c r="DJ30" s="613">
        <v>0.48666094260973092</v>
      </c>
      <c r="DK30" s="613">
        <v>0.4957234817024207</v>
      </c>
      <c r="DL30" s="613">
        <v>0.36394567601636413</v>
      </c>
      <c r="DM30" s="613">
        <v>0.41573240612049323</v>
      </c>
      <c r="DN30" s="613">
        <v>0.62385990960921311</v>
      </c>
      <c r="DO30" s="613">
        <v>0.15924261446165919</v>
      </c>
      <c r="DP30" s="613">
        <v>0.53492964439790258</v>
      </c>
      <c r="DQ30" s="613">
        <v>0.72656075249579777</v>
      </c>
      <c r="DR30" s="613">
        <v>0.68507802764233161</v>
      </c>
      <c r="DS30" s="613">
        <v>0.73220922065692107</v>
      </c>
      <c r="DT30" s="613">
        <v>0.46001336126675202</v>
      </c>
      <c r="DU30" s="613">
        <v>0.96209204005797377</v>
      </c>
      <c r="DV30" s="613">
        <v>0.64473924404131222</v>
      </c>
      <c r="DW30" s="613">
        <v>0.1741152016157711</v>
      </c>
      <c r="DX30" s="613">
        <v>0.12421380206323457</v>
      </c>
      <c r="DY30" s="613">
        <v>0.22892130927151308</v>
      </c>
      <c r="DZ30" s="613">
        <v>0.70288976449162255</v>
      </c>
      <c r="EA30" s="613">
        <v>0.79695075445918373</v>
      </c>
      <c r="EB30" s="613">
        <v>4.5955287632217741E-2</v>
      </c>
      <c r="EC30" s="613">
        <v>0.24991004259459634</v>
      </c>
      <c r="ED30" s="613">
        <v>0.694254496803281</v>
      </c>
      <c r="EE30" s="613">
        <v>0.76466772259131455</v>
      </c>
      <c r="EF30" s="613">
        <v>0.69525527698500789</v>
      </c>
      <c r="EG30" s="613">
        <v>0.43462694097288807</v>
      </c>
      <c r="EH30" s="613">
        <v>0.55987193248172162</v>
      </c>
      <c r="EI30" s="613">
        <v>0.35484012484309618</v>
      </c>
      <c r="EJ30" s="613">
        <v>0.82724209631526568</v>
      </c>
      <c r="EK30" s="613">
        <v>0.53486922938321368</v>
      </c>
      <c r="EL30" s="613">
        <v>0.54008461947717179</v>
      </c>
      <c r="EM30" s="613">
        <v>0.32471907992956767</v>
      </c>
      <c r="EN30" s="613">
        <v>0.28975665290149649</v>
      </c>
      <c r="EO30" s="613">
        <v>0.30637452647913616</v>
      </c>
      <c r="EP30" s="613">
        <v>0.13634046542417599</v>
      </c>
      <c r="EQ30" s="613">
        <v>0.6767946202107733</v>
      </c>
      <c r="ER30" s="613">
        <v>0.73288274941629095</v>
      </c>
      <c r="ES30" s="613">
        <v>0.38283649871117564</v>
      </c>
      <c r="ET30" s="613">
        <v>0.64730168086493012</v>
      </c>
      <c r="EU30" s="613">
        <v>0.60266157884661775</v>
      </c>
      <c r="EV30" s="613">
        <v>0.63573878406764783</v>
      </c>
      <c r="EW30" s="613">
        <v>0.63529258600324767</v>
      </c>
      <c r="EX30" s="613">
        <v>0.25729983488450797</v>
      </c>
      <c r="EY30" s="613">
        <v>0.57121647478228754</v>
      </c>
      <c r="EZ30" s="613">
        <v>0.34841603928432524</v>
      </c>
      <c r="FA30" s="613">
        <v>0.42018383758638511</v>
      </c>
      <c r="FB30" s="613">
        <v>0.22506956441656753</v>
      </c>
      <c r="FC30" s="613">
        <v>0.37287938419826322</v>
      </c>
      <c r="FD30" s="613">
        <v>0.76973623737712171</v>
      </c>
      <c r="FE30" s="613">
        <v>0.56813796401101546</v>
      </c>
      <c r="FF30" s="613">
        <v>3.1735413148039869E-2</v>
      </c>
      <c r="FG30" s="613">
        <v>6.5279776810015983E-2</v>
      </c>
      <c r="FH30" s="613">
        <v>0.16854594725682343</v>
      </c>
      <c r="FI30" s="613">
        <v>0.49101810180686134</v>
      </c>
      <c r="FJ30" s="613">
        <v>0.5860575756612223</v>
      </c>
      <c r="FK30" s="613">
        <v>0.5835809499121043</v>
      </c>
      <c r="FL30" s="613">
        <v>0.17928482252480946</v>
      </c>
      <c r="FM30" s="613">
        <v>0.25766719369827096</v>
      </c>
      <c r="FN30" s="613">
        <v>0.82806590960059701</v>
      </c>
      <c r="FO30" s="613">
        <v>2.8824038617578655E-2</v>
      </c>
      <c r="FP30" s="613">
        <v>0.81937222253289499</v>
      </c>
      <c r="FQ30" s="613">
        <v>0.66567783892584131</v>
      </c>
      <c r="FR30" s="613">
        <v>0.22964696107807614</v>
      </c>
      <c r="FS30" s="613">
        <v>0.21449450195346506</v>
      </c>
      <c r="FT30" s="613">
        <v>0.28136164893508897</v>
      </c>
    </row>
    <row r="31" spans="1:206" s="613" customFormat="1" x14ac:dyDescent="0.2">
      <c r="A31" s="1488" t="s">
        <v>1281</v>
      </c>
      <c r="B31" s="613">
        <v>0.31023430613235631</v>
      </c>
      <c r="C31" s="613">
        <v>0.14657450467830044</v>
      </c>
      <c r="D31" s="613">
        <v>0.29541634376422521</v>
      </c>
      <c r="E31" s="613">
        <v>0.32261681732928443</v>
      </c>
      <c r="F31" s="613">
        <v>6.8786205364092384E-2</v>
      </c>
      <c r="G31" s="613">
        <v>5.0682920537585427E-2</v>
      </c>
      <c r="H31" s="613">
        <v>0.30839003405475041</v>
      </c>
      <c r="I31" s="613">
        <v>0.2995909767575099</v>
      </c>
      <c r="J31" s="613">
        <v>0.37315928028650508</v>
      </c>
      <c r="K31" s="613">
        <v>0.55525970975948402</v>
      </c>
      <c r="L31" s="613">
        <v>0.58686415261313729</v>
      </c>
      <c r="M31" s="613">
        <v>0.4011241423257299</v>
      </c>
      <c r="N31" s="613">
        <v>0.3817604915873048</v>
      </c>
      <c r="O31" s="613">
        <v>0.64586596341791636</v>
      </c>
      <c r="P31" s="613">
        <v>0.55265591527135627</v>
      </c>
      <c r="Q31" s="613">
        <v>0.21884818919200635</v>
      </c>
      <c r="R31" s="613">
        <v>0.49684901509020518</v>
      </c>
      <c r="S31" s="613">
        <v>0.43044042810442162</v>
      </c>
      <c r="T31" s="613">
        <v>0.22139582421799797</v>
      </c>
      <c r="U31" s="613">
        <v>0.19326200547693007</v>
      </c>
      <c r="V31" s="613">
        <v>0.31051734646029089</v>
      </c>
      <c r="W31" s="613">
        <v>0.47154223477155416</v>
      </c>
      <c r="X31" s="613">
        <v>0.61971408681692197</v>
      </c>
      <c r="Y31" s="613">
        <v>0.30636952819497987</v>
      </c>
      <c r="Z31" s="613">
        <v>0.54289803522548508</v>
      </c>
      <c r="AA31" s="613">
        <v>0.55428067507187095</v>
      </c>
      <c r="AB31" s="613">
        <v>0.46929682421023705</v>
      </c>
      <c r="AC31" s="613">
        <v>0.34791899388762304</v>
      </c>
      <c r="AD31" s="613">
        <v>0.24982457967466046</v>
      </c>
      <c r="AE31" s="613">
        <v>0.53494601453657586</v>
      </c>
      <c r="AF31" s="613">
        <v>0.56351543857175046</v>
      </c>
      <c r="AG31" s="613">
        <v>0.20545020016443216</v>
      </c>
      <c r="AH31" s="613">
        <v>0.26747235066558184</v>
      </c>
      <c r="AI31" s="613">
        <v>0.24279270427944796</v>
      </c>
      <c r="AJ31" s="613">
        <v>0.15238343886305208</v>
      </c>
      <c r="AK31" s="613">
        <v>0.36999738350974726</v>
      </c>
      <c r="AL31" s="613">
        <v>0.51038845792733667</v>
      </c>
      <c r="AM31" s="613">
        <v>0.42817339701909923</v>
      </c>
      <c r="AN31" s="613">
        <v>0.58045616868505767</v>
      </c>
      <c r="AO31" s="613">
        <v>7.751624464357168E-2</v>
      </c>
      <c r="AP31" s="613">
        <v>0.66122517141591985</v>
      </c>
      <c r="AQ31" s="613">
        <v>0.57196259099090896</v>
      </c>
      <c r="AR31" s="613">
        <v>0.18946197126806039</v>
      </c>
      <c r="AS31" s="613">
        <v>8.8926862604621307E-2</v>
      </c>
      <c r="AT31" s="613">
        <v>0.47466233999803287</v>
      </c>
      <c r="AU31" s="613">
        <v>0.44996899606456314</v>
      </c>
      <c r="AV31" s="613">
        <v>0.31865372164461792</v>
      </c>
      <c r="AW31" s="613">
        <v>0.44153391714817808</v>
      </c>
      <c r="AX31" s="613">
        <v>0.95112113318196134</v>
      </c>
      <c r="AY31" s="613">
        <v>0.25579345458455993</v>
      </c>
      <c r="AZ31" s="613">
        <v>0.2923868762212386</v>
      </c>
      <c r="BA31" s="613">
        <v>0.39646431637086649</v>
      </c>
      <c r="BB31" s="613">
        <v>8.7684081135348257E-2</v>
      </c>
      <c r="BC31" s="613">
        <v>0.61207884402093704</v>
      </c>
      <c r="BD31" s="613">
        <v>0.43126613259179042</v>
      </c>
      <c r="BE31" s="613">
        <v>1.6453845308403815E-2</v>
      </c>
      <c r="BF31" s="613">
        <v>0.42954447865780088</v>
      </c>
      <c r="BG31" s="613">
        <v>0.17413567896304633</v>
      </c>
      <c r="BH31" s="613">
        <v>0.18172298325004413</v>
      </c>
      <c r="BI31" s="613">
        <v>0.24769046643783543</v>
      </c>
      <c r="BJ31" s="613">
        <v>0.39888492144065757</v>
      </c>
      <c r="BK31" s="613">
        <v>0.30754736552298162</v>
      </c>
      <c r="BL31" s="613">
        <v>0.19289490717100402</v>
      </c>
      <c r="BM31" s="613">
        <v>0.17147176669107131</v>
      </c>
      <c r="BN31" s="613">
        <v>0.43802356578861185</v>
      </c>
      <c r="BO31" s="613">
        <v>0.33589220150259813</v>
      </c>
      <c r="BP31" s="613">
        <v>0.26156979844728168</v>
      </c>
      <c r="BQ31" s="613">
        <v>0.15693140996336002</v>
      </c>
      <c r="BR31" s="613">
        <v>0.20553828204446356</v>
      </c>
      <c r="BS31" s="613">
        <v>0.20104492728636697</v>
      </c>
      <c r="BT31" s="613">
        <v>0.12911088586548086</v>
      </c>
      <c r="BU31" s="613">
        <v>0.11414090852314099</v>
      </c>
      <c r="BV31" s="613">
        <v>0.45031997314488614</v>
      </c>
      <c r="BW31" s="613">
        <v>0.65744219836395801</v>
      </c>
      <c r="BX31" s="613">
        <v>0.42865348529226405</v>
      </c>
      <c r="BY31" s="613">
        <v>0.48447305170203636</v>
      </c>
      <c r="BZ31" s="613">
        <v>0.55559792655249929</v>
      </c>
      <c r="CA31" s="613">
        <v>0.28875572004070488</v>
      </c>
      <c r="CB31" s="613">
        <v>0.60219345877686992</v>
      </c>
      <c r="CC31" s="613">
        <v>0.31669334618777889</v>
      </c>
      <c r="CD31" s="613">
        <v>0.35069855791327403</v>
      </c>
      <c r="CE31" s="613">
        <v>0.70323133903605906</v>
      </c>
      <c r="CF31" s="613">
        <v>0.24378696019318291</v>
      </c>
      <c r="CG31" s="613">
        <v>0.65732467466177846</v>
      </c>
      <c r="CH31" s="613">
        <v>0.28170913632407613</v>
      </c>
      <c r="CI31" s="613">
        <v>0.50142955876343154</v>
      </c>
      <c r="CJ31" s="613">
        <v>0.33784663018298589</v>
      </c>
      <c r="CK31" s="613">
        <v>0.17564077971422568</v>
      </c>
      <c r="CL31" s="613">
        <v>0.32339847507633823</v>
      </c>
      <c r="CM31" s="613">
        <v>0.23567176300174153</v>
      </c>
      <c r="CN31" s="613">
        <v>0.19679106599934895</v>
      </c>
      <c r="CO31" s="613">
        <v>0.183372488199708</v>
      </c>
      <c r="CP31" s="613">
        <v>0.6486650870614058</v>
      </c>
      <c r="CQ31" s="613">
        <v>1</v>
      </c>
      <c r="CR31" s="613">
        <v>0.2192277546919327</v>
      </c>
      <c r="CS31" s="613">
        <v>0.2232130223017722</v>
      </c>
      <c r="CT31" s="613">
        <v>0.10949348982203762</v>
      </c>
      <c r="CU31" s="613">
        <v>0.27215298079483236</v>
      </c>
      <c r="CV31" s="613">
        <v>0.24596290328057199</v>
      </c>
      <c r="CW31" s="613">
        <v>0.43772262632400472</v>
      </c>
      <c r="CX31" s="613">
        <v>0.38353317938745574</v>
      </c>
      <c r="CY31" s="613">
        <v>0.44871779441951681</v>
      </c>
      <c r="CZ31" s="613">
        <v>0.66979382547830169</v>
      </c>
      <c r="DA31" s="613">
        <v>0.62762234535128192</v>
      </c>
      <c r="DB31" s="613">
        <v>0.4599465983573785</v>
      </c>
      <c r="DC31" s="613">
        <v>0.42801787585062229</v>
      </c>
      <c r="DD31" s="613">
        <v>0.14926546753365399</v>
      </c>
      <c r="DE31" s="613">
        <v>0.25813696375040573</v>
      </c>
      <c r="DF31" s="613">
        <v>0.58944568862280944</v>
      </c>
      <c r="DG31" s="613">
        <v>0.30656870625761418</v>
      </c>
      <c r="DH31" s="613">
        <v>0.38035900026445374</v>
      </c>
      <c r="DI31" s="613">
        <v>0.52268719363948513</v>
      </c>
      <c r="DJ31" s="613">
        <v>0.51513508547531595</v>
      </c>
      <c r="DK31" s="613">
        <v>0.41519295733162315</v>
      </c>
      <c r="DL31" s="613">
        <v>0.46498959182908067</v>
      </c>
      <c r="DM31" s="613">
        <v>0.75613578259962211</v>
      </c>
      <c r="DN31" s="613">
        <v>0.6394758591575791</v>
      </c>
      <c r="DO31" s="613">
        <v>0.27014777350722646</v>
      </c>
      <c r="DP31" s="613">
        <v>0.52539118337684909</v>
      </c>
      <c r="DQ31" s="613">
        <v>0.65079016351860208</v>
      </c>
      <c r="DR31" s="613">
        <v>0.52083514099007744</v>
      </c>
      <c r="DS31" s="613">
        <v>0.74710216922653072</v>
      </c>
      <c r="DT31" s="613">
        <v>0.39580487790693875</v>
      </c>
      <c r="DU31" s="613">
        <v>0.6829392719439189</v>
      </c>
      <c r="DV31" s="613">
        <v>0.73867813622974188</v>
      </c>
      <c r="DW31" s="613">
        <v>0.17346396996109376</v>
      </c>
      <c r="DX31" s="613">
        <v>0.21784805773368024</v>
      </c>
      <c r="DY31" s="613">
        <v>0.12546091788720473</v>
      </c>
      <c r="DZ31" s="613">
        <v>0.58913888861951524</v>
      </c>
      <c r="EA31" s="613">
        <v>0.67727004100309074</v>
      </c>
      <c r="EB31" s="613">
        <v>0.1129942827199848</v>
      </c>
      <c r="EC31" s="613">
        <v>0.24867380232691444</v>
      </c>
      <c r="ED31" s="613">
        <v>0.53571167939700481</v>
      </c>
      <c r="EE31" s="613">
        <v>0.58494934855137948</v>
      </c>
      <c r="EF31" s="613">
        <v>0.57793819871917018</v>
      </c>
      <c r="EG31" s="613">
        <v>0.2777093686968034</v>
      </c>
      <c r="EH31" s="613">
        <v>0.35514996799678711</v>
      </c>
      <c r="EI31" s="613">
        <v>0.53024458142471309</v>
      </c>
      <c r="EJ31" s="613">
        <v>0.68174868995247051</v>
      </c>
      <c r="EK31" s="613">
        <v>0.51297956249029886</v>
      </c>
      <c r="EL31" s="613">
        <v>0.56154927852777492</v>
      </c>
      <c r="EM31" s="613">
        <v>0.40948480943646837</v>
      </c>
      <c r="EN31" s="613">
        <v>0.32470768592642452</v>
      </c>
      <c r="EO31" s="613">
        <v>0.30693966001985418</v>
      </c>
      <c r="EP31" s="613">
        <v>0.11169371280198852</v>
      </c>
      <c r="EQ31" s="613">
        <v>0.62948996652708777</v>
      </c>
      <c r="ER31" s="613">
        <v>0.64220458650762735</v>
      </c>
      <c r="ES31" s="613">
        <v>0.31198518926207786</v>
      </c>
      <c r="ET31" s="613">
        <v>0.63578172718564385</v>
      </c>
      <c r="EU31" s="613">
        <v>0.44677117390812743</v>
      </c>
      <c r="EV31" s="613">
        <v>0.79106979673060063</v>
      </c>
      <c r="EW31" s="613">
        <v>0.43784527125558675</v>
      </c>
      <c r="EX31" s="613">
        <v>0.68659717955592481</v>
      </c>
      <c r="EY31" s="613">
        <v>0.37584128421506358</v>
      </c>
      <c r="EZ31" s="613">
        <v>0.26918555557433921</v>
      </c>
      <c r="FA31" s="613">
        <v>0.21792164911903589</v>
      </c>
      <c r="FB31" s="613">
        <v>0.311069426401829</v>
      </c>
      <c r="FC31" s="613">
        <v>0.24949958893069593</v>
      </c>
      <c r="FD31" s="613">
        <v>0.66754047453124354</v>
      </c>
      <c r="FE31" s="613">
        <v>0.49409189335429715</v>
      </c>
      <c r="FF31" s="613">
        <v>0</v>
      </c>
      <c r="FG31" s="613">
        <v>0.25804673679611012</v>
      </c>
      <c r="FH31" s="613">
        <v>0.15095160101686383</v>
      </c>
      <c r="FI31" s="613">
        <v>0.34942284984357164</v>
      </c>
      <c r="FJ31" s="613">
        <v>0.51901218750049227</v>
      </c>
      <c r="FK31" s="613">
        <v>0.53775090466006636</v>
      </c>
      <c r="FL31" s="613">
        <v>0.14966676342323201</v>
      </c>
      <c r="FM31" s="613">
        <v>0.30872685647085979</v>
      </c>
      <c r="FN31" s="613">
        <v>0.57146310513391463</v>
      </c>
      <c r="FO31" s="613">
        <v>0.10582876083901774</v>
      </c>
      <c r="FP31" s="613">
        <v>0.6109855224155708</v>
      </c>
      <c r="FQ31" s="613">
        <v>0.57523098058067645</v>
      </c>
      <c r="FR31" s="613">
        <v>0.24150857451850505</v>
      </c>
      <c r="FS31" s="613">
        <v>0.33316409954022969</v>
      </c>
      <c r="FT31" s="613">
        <v>0.1355417706698735</v>
      </c>
    </row>
    <row r="32" spans="1:206" s="613" customFormat="1" x14ac:dyDescent="0.2">
      <c r="A32" s="1488" t="s">
        <v>1006</v>
      </c>
      <c r="B32" s="613">
        <v>0.14454504804261314</v>
      </c>
      <c r="C32" s="613">
        <v>0.64032016198723274</v>
      </c>
      <c r="D32" s="613">
        <v>0.18907908416773705</v>
      </c>
      <c r="E32" s="613">
        <v>0.15826610443921743</v>
      </c>
      <c r="F32" s="613">
        <v>0.28259066935483679</v>
      </c>
      <c r="G32" s="613">
        <v>0.28138508308922727</v>
      </c>
      <c r="H32" s="613">
        <v>0.70591737775958718</v>
      </c>
      <c r="I32" s="613">
        <v>0.68001828185820834</v>
      </c>
      <c r="J32" s="613">
        <v>0.56768991454038753</v>
      </c>
      <c r="K32" s="613">
        <v>0.39615094307547272</v>
      </c>
      <c r="L32" s="613">
        <v>0.40608995263260744</v>
      </c>
      <c r="M32" s="613">
        <v>0.56653217058940553</v>
      </c>
      <c r="N32" s="613">
        <v>0.67551438334693803</v>
      </c>
      <c r="O32" s="613">
        <v>0.49749462344369039</v>
      </c>
      <c r="P32" s="613">
        <v>0.34647345718513872</v>
      </c>
      <c r="Q32" s="613">
        <v>0.39416884626344817</v>
      </c>
      <c r="R32" s="613">
        <v>0.66125324885658199</v>
      </c>
      <c r="S32" s="613">
        <v>0.86437023120792034</v>
      </c>
      <c r="T32" s="613">
        <v>0.25248446201433411</v>
      </c>
      <c r="U32" s="613">
        <v>0.22365574162101809</v>
      </c>
      <c r="V32" s="613">
        <v>0.28546868170660239</v>
      </c>
      <c r="W32" s="613">
        <v>0.46456839027237795</v>
      </c>
      <c r="X32" s="613">
        <v>0.10789787230149273</v>
      </c>
      <c r="Y32" s="613">
        <v>0.14371082274596311</v>
      </c>
      <c r="Z32" s="613">
        <v>0.32993979614135138</v>
      </c>
      <c r="AA32" s="613">
        <v>0.18372690913670142</v>
      </c>
      <c r="AB32" s="613">
        <v>0.19453160472531739</v>
      </c>
      <c r="AC32" s="613">
        <v>0.249596579599621</v>
      </c>
      <c r="AD32" s="613">
        <v>0.3398033959080653</v>
      </c>
      <c r="AE32" s="613">
        <v>0.65415050973952316</v>
      </c>
      <c r="AF32" s="613">
        <v>0.38640954040781467</v>
      </c>
      <c r="AG32" s="613">
        <v>0.43679453207718616</v>
      </c>
      <c r="AH32" s="613">
        <v>0.16803749530274642</v>
      </c>
      <c r="AI32" s="613">
        <v>0.33472896678314368</v>
      </c>
      <c r="AJ32" s="613">
        <v>0.25262617668746318</v>
      </c>
      <c r="AK32" s="613">
        <v>0.35211403863045077</v>
      </c>
      <c r="AL32" s="613">
        <v>0.48586076710218346</v>
      </c>
      <c r="AM32" s="613">
        <v>0.29155902715972903</v>
      </c>
      <c r="AN32" s="613">
        <v>0.43142202007673297</v>
      </c>
      <c r="AO32" s="613">
        <v>0.61329998315168111</v>
      </c>
      <c r="AP32" s="613">
        <v>0.33016536815706671</v>
      </c>
      <c r="AQ32" s="613">
        <v>0.8946939554572807</v>
      </c>
      <c r="AR32" s="613">
        <v>0.63729635957866015</v>
      </c>
      <c r="AS32" s="613">
        <v>0.77764997370730193</v>
      </c>
      <c r="AT32" s="613">
        <v>0.90127124394738756</v>
      </c>
      <c r="AU32" s="613">
        <v>0.8364341339300484</v>
      </c>
      <c r="AV32" s="613">
        <v>0.82029864831496868</v>
      </c>
      <c r="AW32" s="613">
        <v>0.60271365121723097</v>
      </c>
      <c r="AX32" s="613">
        <v>0.36206521912369588</v>
      </c>
      <c r="AY32" s="613">
        <v>0.35584017081446334</v>
      </c>
      <c r="AZ32" s="613">
        <v>0.44913612513662932</v>
      </c>
      <c r="BA32" s="613">
        <v>0.32499402115311998</v>
      </c>
      <c r="BB32" s="613">
        <v>0.33854322443065532</v>
      </c>
      <c r="BC32" s="613">
        <v>0.80416639117272426</v>
      </c>
      <c r="BD32" s="613">
        <v>0.95226132501535221</v>
      </c>
      <c r="BE32" s="613">
        <v>0.33527352510256947</v>
      </c>
      <c r="BF32" s="613">
        <v>0.23035683388719383</v>
      </c>
      <c r="BG32" s="613">
        <v>0.54806467861399877</v>
      </c>
      <c r="BH32" s="613">
        <v>0.61653072209799742</v>
      </c>
      <c r="BI32" s="613">
        <v>0.39167171962041125</v>
      </c>
      <c r="BJ32" s="613">
        <v>0.64417352798588645</v>
      </c>
      <c r="BK32" s="613">
        <v>0.41138071386302183</v>
      </c>
      <c r="BL32" s="613">
        <v>0.45703677451884522</v>
      </c>
      <c r="BM32" s="613">
        <v>0.34179805181600614</v>
      </c>
      <c r="BN32" s="613">
        <v>0.54308125984954092</v>
      </c>
      <c r="BO32" s="613">
        <v>0.59599901757393203</v>
      </c>
      <c r="BP32" s="613">
        <v>0.38739188512474626</v>
      </c>
      <c r="BQ32" s="613">
        <v>0.28167028663332422</v>
      </c>
      <c r="BR32" s="613">
        <v>0.35517142953480685</v>
      </c>
      <c r="BS32" s="613">
        <v>0.54906002377837726</v>
      </c>
      <c r="BT32" s="613">
        <v>0.37676019580470599</v>
      </c>
      <c r="BU32" s="613">
        <v>0.39941520478201792</v>
      </c>
      <c r="BV32" s="613">
        <v>0.29667072845451276</v>
      </c>
      <c r="BW32" s="613">
        <v>0.39368940612891656</v>
      </c>
      <c r="BX32" s="613">
        <v>0.30181978062157538</v>
      </c>
      <c r="BY32" s="613">
        <v>1</v>
      </c>
      <c r="BZ32" s="613">
        <v>0.43851701030720558</v>
      </c>
      <c r="CA32" s="613">
        <v>0.25762403126665595</v>
      </c>
      <c r="CB32" s="613">
        <v>0.30488811143779021</v>
      </c>
      <c r="CC32" s="613">
        <v>0.55402754156461775</v>
      </c>
      <c r="CD32" s="613">
        <v>0.32346468038342552</v>
      </c>
      <c r="CE32" s="613">
        <v>0.24575718968985172</v>
      </c>
      <c r="CF32" s="613">
        <v>0.45613319357704019</v>
      </c>
      <c r="CG32" s="613">
        <v>0.9668663776646802</v>
      </c>
      <c r="CH32" s="613">
        <v>0.29793332885515034</v>
      </c>
      <c r="CI32" s="613">
        <v>0.4110943324312199</v>
      </c>
      <c r="CJ32" s="613">
        <v>0.38423978964682387</v>
      </c>
      <c r="CK32" s="613">
        <v>0.38251098081067619</v>
      </c>
      <c r="CL32" s="613">
        <v>0.24317289692881019</v>
      </c>
      <c r="CM32" s="613">
        <v>0.45670043882919625</v>
      </c>
      <c r="CN32" s="613">
        <v>0.4234455736271408</v>
      </c>
      <c r="CO32" s="613">
        <v>0.44889239557757843</v>
      </c>
      <c r="CP32" s="613">
        <v>0.5264239636540734</v>
      </c>
      <c r="CQ32" s="613">
        <v>0.35585020164811143</v>
      </c>
      <c r="CR32" s="613">
        <v>0.35262420116115345</v>
      </c>
      <c r="CS32" s="613">
        <v>0.25534294001787289</v>
      </c>
      <c r="CT32" s="613">
        <v>0.17360489242067925</v>
      </c>
      <c r="CU32" s="613">
        <v>0.2382844054920607</v>
      </c>
      <c r="CV32" s="613">
        <v>0.15332870394729739</v>
      </c>
      <c r="CW32" s="613">
        <v>0.25930393987613509</v>
      </c>
      <c r="CX32" s="613">
        <v>0.57949254686336671</v>
      </c>
      <c r="CY32" s="613">
        <v>0.48311214209420161</v>
      </c>
      <c r="CZ32" s="613">
        <v>0.41312979520212945</v>
      </c>
      <c r="DA32" s="613">
        <v>0.33571036747571059</v>
      </c>
      <c r="DB32" s="613">
        <v>0.35281547678236436</v>
      </c>
      <c r="DC32" s="613">
        <v>0.33778413435801286</v>
      </c>
      <c r="DD32" s="613">
        <v>0.44304396426759507</v>
      </c>
      <c r="DE32" s="613">
        <v>0.35956985321503226</v>
      </c>
      <c r="DF32" s="613">
        <v>0.35288686942043512</v>
      </c>
      <c r="DG32" s="613">
        <v>0.21978648970777864</v>
      </c>
      <c r="DH32" s="613">
        <v>0.34187736270076047</v>
      </c>
      <c r="DI32" s="613">
        <v>0.39828077754863689</v>
      </c>
      <c r="DJ32" s="613">
        <v>0.52106108305272958</v>
      </c>
      <c r="DK32" s="613">
        <v>0.57311303351927101</v>
      </c>
      <c r="DL32" s="613">
        <v>0.65310424324686378</v>
      </c>
      <c r="DM32" s="613">
        <v>0.33614524048593986</v>
      </c>
      <c r="DN32" s="613">
        <v>0.35146520518144236</v>
      </c>
      <c r="DO32" s="613">
        <v>0.96989125277303467</v>
      </c>
      <c r="DP32" s="613">
        <v>0.50925784257470952</v>
      </c>
      <c r="DQ32" s="613">
        <v>0.4438617433708496</v>
      </c>
      <c r="DR32" s="613">
        <v>0.37351349336334244</v>
      </c>
      <c r="DS32" s="613">
        <v>0.30700732709907141</v>
      </c>
      <c r="DT32" s="613">
        <v>0.28131304549229785</v>
      </c>
      <c r="DU32" s="613">
        <v>0.21310951797592095</v>
      </c>
      <c r="DV32" s="613">
        <v>0.83211039229578598</v>
      </c>
      <c r="DW32" s="613">
        <v>0.73805659693169479</v>
      </c>
      <c r="DX32" s="613">
        <v>0.45872039543985627</v>
      </c>
      <c r="DY32" s="613">
        <v>0.33949527852034328</v>
      </c>
      <c r="DZ32" s="613">
        <v>0.23460003210424801</v>
      </c>
      <c r="EA32" s="613">
        <v>0.73556531291772898</v>
      </c>
      <c r="EB32" s="613">
        <v>0.39241732018337994</v>
      </c>
      <c r="EC32" s="613">
        <v>0.39846965225872116</v>
      </c>
      <c r="ED32" s="613">
        <v>0.1733410548814821</v>
      </c>
      <c r="EE32" s="613">
        <v>0.26821837010066418</v>
      </c>
      <c r="EF32" s="613">
        <v>0.56885203562588937</v>
      </c>
      <c r="EG32" s="613">
        <v>0.37001290115493973</v>
      </c>
      <c r="EH32" s="613">
        <v>0.63069412216485454</v>
      </c>
      <c r="EI32" s="613">
        <v>0.24302461931280797</v>
      </c>
      <c r="EJ32" s="613">
        <v>0.20448233500174454</v>
      </c>
      <c r="EK32" s="613">
        <v>0.17747372599167158</v>
      </c>
      <c r="EL32" s="613">
        <v>0.4582597090668305</v>
      </c>
      <c r="EM32" s="613">
        <v>0.70720293086765162</v>
      </c>
      <c r="EN32" s="613">
        <v>0.54172772970369854</v>
      </c>
      <c r="EO32" s="613">
        <v>0.76645883598988618</v>
      </c>
      <c r="EP32" s="613">
        <v>0.22015205496747647</v>
      </c>
      <c r="EQ32" s="613">
        <v>0.40714503955289383</v>
      </c>
      <c r="ER32" s="613">
        <v>0.39492078756692978</v>
      </c>
      <c r="ES32" s="613">
        <v>0.272053446441128</v>
      </c>
      <c r="ET32" s="613">
        <v>0</v>
      </c>
      <c r="EU32" s="613">
        <v>0.23009355418057584</v>
      </c>
      <c r="EV32" s="613">
        <v>0.29795617951980791</v>
      </c>
      <c r="EW32" s="613">
        <v>0.27448907315047077</v>
      </c>
      <c r="EX32" s="613">
        <v>0.35843247308682818</v>
      </c>
      <c r="EY32" s="613">
        <v>0.24750948250692845</v>
      </c>
      <c r="EZ32" s="613">
        <v>0.33253652325893257</v>
      </c>
      <c r="FA32" s="613">
        <v>0.37583058509144857</v>
      </c>
      <c r="FB32" s="613">
        <v>0.2345599450400852</v>
      </c>
      <c r="FC32" s="613">
        <v>0.36210277547935965</v>
      </c>
      <c r="FD32" s="613">
        <v>0.36259181846751076</v>
      </c>
      <c r="FE32" s="613">
        <v>0.18326857320519896</v>
      </c>
      <c r="FF32" s="613">
        <v>0.23871210854472424</v>
      </c>
      <c r="FG32" s="613">
        <v>0.86457493700391419</v>
      </c>
      <c r="FH32" s="613">
        <v>0.74842476208757447</v>
      </c>
      <c r="FI32" s="613">
        <v>0.48142652560066357</v>
      </c>
      <c r="FJ32" s="613">
        <v>0.3044309347253894</v>
      </c>
      <c r="FK32" s="613">
        <v>0.3449617907454357</v>
      </c>
      <c r="FL32" s="613">
        <v>0.28664548030547499</v>
      </c>
      <c r="FM32" s="613">
        <v>0.55130178287349185</v>
      </c>
      <c r="FN32" s="613">
        <v>0.78603314860158091</v>
      </c>
      <c r="FO32" s="613">
        <v>8.2579009096069064E-2</v>
      </c>
      <c r="FP32" s="613">
        <v>0.61906455989637788</v>
      </c>
      <c r="FQ32" s="613">
        <v>0.21510249350724961</v>
      </c>
      <c r="FR32" s="613">
        <v>0.5369675380864245</v>
      </c>
      <c r="FS32" s="613">
        <v>0.71381350718786973</v>
      </c>
      <c r="FT32" s="613">
        <v>0.53615234341678253</v>
      </c>
    </row>
    <row r="35" spans="1:176" x14ac:dyDescent="0.2">
      <c r="A35" s="1496" t="s">
        <v>2316</v>
      </c>
      <c r="B35" t="s">
        <v>1858</v>
      </c>
      <c r="C35" s="613" t="s">
        <v>1861</v>
      </c>
      <c r="D35" s="613" t="s">
        <v>1862</v>
      </c>
      <c r="E35" s="613" t="s">
        <v>1864</v>
      </c>
      <c r="F35" s="613" t="s">
        <v>1880</v>
      </c>
      <c r="G35" s="613" t="s">
        <v>1881</v>
      </c>
      <c r="H35" s="613" t="s">
        <v>1868</v>
      </c>
      <c r="I35" s="613" t="s">
        <v>1869</v>
      </c>
      <c r="J35" s="613" t="s">
        <v>1871</v>
      </c>
      <c r="K35" s="613" t="s">
        <v>1872</v>
      </c>
      <c r="L35" s="613" t="s">
        <v>1876</v>
      </c>
      <c r="M35" s="613" t="s">
        <v>1870</v>
      </c>
      <c r="N35" s="613" t="s">
        <v>1877</v>
      </c>
      <c r="O35" s="613" t="s">
        <v>1878</v>
      </c>
      <c r="P35" s="613" t="s">
        <v>1867</v>
      </c>
      <c r="Q35" s="613" t="s">
        <v>1879</v>
      </c>
      <c r="R35" s="613" t="s">
        <v>1888</v>
      </c>
      <c r="S35" s="613" t="s">
        <v>1889</v>
      </c>
      <c r="T35" s="613" t="s">
        <v>1890</v>
      </c>
      <c r="U35" s="613" t="s">
        <v>1891</v>
      </c>
      <c r="V35" s="613" t="s">
        <v>1892</v>
      </c>
      <c r="W35" s="613" t="s">
        <v>1893</v>
      </c>
      <c r="X35" s="613" t="s">
        <v>1894</v>
      </c>
      <c r="Y35" s="613" t="s">
        <v>1895</v>
      </c>
      <c r="Z35" s="613" t="s">
        <v>1863</v>
      </c>
      <c r="AA35" s="613" t="s">
        <v>1873</v>
      </c>
      <c r="AB35" s="613" t="s">
        <v>1874</v>
      </c>
      <c r="AC35" s="613" t="s">
        <v>1866</v>
      </c>
      <c r="AD35" s="613" t="s">
        <v>1859</v>
      </c>
      <c r="AE35" s="613">
        <v>189590</v>
      </c>
      <c r="AF35" s="613">
        <v>5257</v>
      </c>
      <c r="AG35" s="613">
        <v>3042</v>
      </c>
      <c r="AH35" s="613">
        <v>3185</v>
      </c>
      <c r="AI35" s="613">
        <v>5321</v>
      </c>
      <c r="AJ35" s="613">
        <v>11912</v>
      </c>
      <c r="AK35" s="613">
        <v>6919</v>
      </c>
      <c r="AL35" s="613">
        <v>7111</v>
      </c>
      <c r="AM35" s="613">
        <v>305377</v>
      </c>
      <c r="AN35" s="613">
        <v>209695</v>
      </c>
      <c r="AO35" s="613">
        <v>753655</v>
      </c>
      <c r="AP35" s="613">
        <v>2803</v>
      </c>
      <c r="AQ35" s="613">
        <v>1039</v>
      </c>
      <c r="AR35" s="613">
        <v>1232</v>
      </c>
      <c r="AS35" s="613">
        <v>37882</v>
      </c>
      <c r="AT35" s="613">
        <v>92831</v>
      </c>
      <c r="AU35" s="613">
        <v>148287</v>
      </c>
      <c r="AV35" s="613">
        <v>196557</v>
      </c>
      <c r="AW35" s="613" t="s">
        <v>1896</v>
      </c>
      <c r="AX35" s="613">
        <v>20031</v>
      </c>
      <c r="AY35" s="613">
        <v>23420</v>
      </c>
      <c r="AZ35" s="613">
        <v>23467</v>
      </c>
      <c r="BA35" s="613">
        <v>23669</v>
      </c>
      <c r="BB35" s="613">
        <v>12</v>
      </c>
      <c r="BC35" s="613">
        <v>52</v>
      </c>
      <c r="BD35" s="613">
        <v>19555</v>
      </c>
      <c r="BE35" s="613">
        <v>25411</v>
      </c>
      <c r="BF35" s="613">
        <v>644242</v>
      </c>
      <c r="BG35" s="613">
        <v>5062</v>
      </c>
      <c r="BH35" s="613">
        <v>282535</v>
      </c>
      <c r="BI35" s="613">
        <v>4507</v>
      </c>
      <c r="BJ35" s="613">
        <v>4647</v>
      </c>
      <c r="BK35" s="613">
        <v>272004</v>
      </c>
      <c r="BL35" s="613">
        <v>6926</v>
      </c>
      <c r="BM35" s="613">
        <v>436864</v>
      </c>
      <c r="BN35" s="613">
        <v>15082</v>
      </c>
      <c r="BO35" s="613">
        <v>15434</v>
      </c>
      <c r="BP35" s="613">
        <v>15186</v>
      </c>
      <c r="BQ35" s="613">
        <v>17152</v>
      </c>
      <c r="BR35" s="613">
        <v>6174</v>
      </c>
      <c r="BS35" s="613">
        <v>228332</v>
      </c>
      <c r="BT35" s="613">
        <v>17902</v>
      </c>
      <c r="BU35" s="613">
        <v>588706</v>
      </c>
      <c r="BV35" s="613">
        <v>11568</v>
      </c>
      <c r="BW35" s="613">
        <v>11491</v>
      </c>
      <c r="BX35" s="613">
        <v>421060</v>
      </c>
      <c r="BY35" s="613">
        <v>11488</v>
      </c>
      <c r="BZ35" s="613">
        <v>11698</v>
      </c>
      <c r="CA35" s="613">
        <v>421953</v>
      </c>
      <c r="CB35" s="613">
        <v>423143</v>
      </c>
      <c r="CC35" s="613">
        <v>10763</v>
      </c>
      <c r="CD35" s="613">
        <v>11808</v>
      </c>
      <c r="CE35" s="613">
        <v>368499</v>
      </c>
      <c r="CF35" s="613">
        <v>3410</v>
      </c>
      <c r="CG35" s="613">
        <v>286841</v>
      </c>
      <c r="CH35" s="613">
        <v>495717</v>
      </c>
      <c r="CI35" s="613">
        <v>22720</v>
      </c>
      <c r="CJ35" s="613">
        <v>715354</v>
      </c>
      <c r="CK35" s="613">
        <v>715420</v>
      </c>
      <c r="CL35" s="613">
        <v>728347</v>
      </c>
      <c r="CM35" s="613">
        <v>8245</v>
      </c>
      <c r="CN35" s="613">
        <v>321809</v>
      </c>
      <c r="CO35" s="613">
        <v>359454</v>
      </c>
      <c r="CP35" s="613">
        <v>2882</v>
      </c>
      <c r="CQ35" s="613">
        <v>205184</v>
      </c>
      <c r="CR35" s="613">
        <v>18237</v>
      </c>
      <c r="CS35" s="613">
        <v>488834</v>
      </c>
      <c r="CT35" s="613">
        <v>586891</v>
      </c>
      <c r="CU35" s="613">
        <v>692585</v>
      </c>
      <c r="CV35" s="613">
        <v>693500</v>
      </c>
      <c r="CW35" s="613">
        <v>708592</v>
      </c>
      <c r="CX35" s="613">
        <v>22645</v>
      </c>
      <c r="CY35" s="613">
        <v>2939</v>
      </c>
      <c r="CZ35" s="613">
        <v>2966</v>
      </c>
      <c r="DA35" s="613">
        <v>872</v>
      </c>
      <c r="DB35" s="613">
        <v>3350</v>
      </c>
      <c r="DC35" s="613">
        <v>2137</v>
      </c>
      <c r="DD35" s="613">
        <v>5824</v>
      </c>
      <c r="DE35" s="613">
        <v>16930</v>
      </c>
      <c r="DF35" s="613">
        <v>6846</v>
      </c>
      <c r="DG35" s="613">
        <v>6786</v>
      </c>
      <c r="DH35" s="613">
        <v>25368</v>
      </c>
      <c r="DI35" s="613">
        <v>40430</v>
      </c>
      <c r="DJ35" s="613">
        <v>2658</v>
      </c>
      <c r="DK35" s="613">
        <v>57</v>
      </c>
      <c r="DL35" s="613">
        <v>4104</v>
      </c>
      <c r="DM35" s="613">
        <v>14076</v>
      </c>
      <c r="DN35" s="613">
        <v>841</v>
      </c>
      <c r="DO35" s="613">
        <v>3014</v>
      </c>
      <c r="DP35" s="613">
        <v>2944</v>
      </c>
      <c r="DQ35" s="613">
        <v>2953</v>
      </c>
      <c r="DR35" s="613">
        <v>1828</v>
      </c>
      <c r="DS35" s="613">
        <v>177552</v>
      </c>
      <c r="DT35" s="613" t="s">
        <v>1897</v>
      </c>
      <c r="DU35" s="613" t="s">
        <v>1875</v>
      </c>
      <c r="DV35" s="613">
        <v>6497</v>
      </c>
      <c r="DW35" s="613">
        <v>1340</v>
      </c>
      <c r="DX35" s="613">
        <v>23929</v>
      </c>
      <c r="DY35" s="613">
        <v>25577</v>
      </c>
      <c r="DZ35" s="613">
        <v>662856</v>
      </c>
      <c r="EA35" s="613">
        <v>444845</v>
      </c>
      <c r="EB35" s="613">
        <v>505036</v>
      </c>
      <c r="EC35" s="613">
        <v>13871</v>
      </c>
      <c r="ED35" s="613">
        <v>421244</v>
      </c>
      <c r="EE35" s="613">
        <v>636534</v>
      </c>
      <c r="EF35" s="613">
        <v>421050</v>
      </c>
      <c r="EG35" s="613">
        <v>20957</v>
      </c>
      <c r="EH35" s="613">
        <v>309237</v>
      </c>
      <c r="EI35" s="613">
        <v>368504</v>
      </c>
      <c r="EJ35" s="613">
        <v>206100</v>
      </c>
      <c r="EK35" s="613">
        <v>1094</v>
      </c>
      <c r="EL35" s="613">
        <v>10576</v>
      </c>
      <c r="EM35" s="613">
        <v>7544</v>
      </c>
      <c r="EN35" s="613">
        <v>34259</v>
      </c>
      <c r="EO35" s="613">
        <v>99916</v>
      </c>
      <c r="EP35" s="613">
        <v>166</v>
      </c>
      <c r="EQ35" s="613">
        <v>840</v>
      </c>
      <c r="ER35" s="613">
        <v>842</v>
      </c>
      <c r="ES35" s="613">
        <v>107527</v>
      </c>
      <c r="ET35" s="613">
        <v>25701</v>
      </c>
      <c r="EU35" s="613" t="s">
        <v>1865</v>
      </c>
      <c r="EV35" s="613">
        <v>25256</v>
      </c>
      <c r="EW35" s="613">
        <v>752362</v>
      </c>
      <c r="EX35" s="613">
        <v>753469</v>
      </c>
      <c r="EY35" s="613">
        <v>421057</v>
      </c>
      <c r="EZ35" s="613" t="s">
        <v>1860</v>
      </c>
      <c r="FA35" s="613">
        <v>148810</v>
      </c>
      <c r="FB35" s="613">
        <v>23981</v>
      </c>
      <c r="FC35" s="613">
        <v>738519</v>
      </c>
      <c r="FD35" s="613">
        <v>752536</v>
      </c>
      <c r="FE35" s="613">
        <v>2778</v>
      </c>
      <c r="FF35" s="613">
        <v>11537</v>
      </c>
      <c r="FG35" s="613">
        <v>191518</v>
      </c>
      <c r="FH35" s="613">
        <v>186633</v>
      </c>
      <c r="FI35" s="613">
        <v>21071</v>
      </c>
      <c r="FJ35" s="613">
        <v>421059</v>
      </c>
      <c r="FK35" s="613">
        <v>6920</v>
      </c>
      <c r="FL35" s="613" t="s">
        <v>1898</v>
      </c>
      <c r="FM35" s="613">
        <v>15949</v>
      </c>
      <c r="FN35" s="613">
        <v>212872</v>
      </c>
      <c r="FO35" s="613">
        <v>208930</v>
      </c>
      <c r="FP35" s="613">
        <v>842121</v>
      </c>
      <c r="FQ35" s="613">
        <v>735360</v>
      </c>
      <c r="FR35" s="613" t="s">
        <v>1882</v>
      </c>
      <c r="FS35" s="613">
        <v>7374</v>
      </c>
      <c r="FT35" s="613">
        <v>3934</v>
      </c>
    </row>
    <row r="36" spans="1:176" x14ac:dyDescent="0.2">
      <c r="A36" s="1486" t="s">
        <v>2368</v>
      </c>
      <c r="B36">
        <v>1</v>
      </c>
      <c r="C36" s="613">
        <v>1</v>
      </c>
      <c r="D36" s="613">
        <v>1</v>
      </c>
      <c r="E36" s="613">
        <v>1</v>
      </c>
      <c r="F36" s="613">
        <v>1</v>
      </c>
      <c r="G36" s="613">
        <v>1</v>
      </c>
      <c r="H36" s="613">
        <v>1</v>
      </c>
      <c r="I36" s="613">
        <v>1</v>
      </c>
      <c r="J36" s="613">
        <v>1</v>
      </c>
      <c r="K36" s="613">
        <v>1</v>
      </c>
      <c r="L36" s="613">
        <v>0.41966060540572381</v>
      </c>
      <c r="M36" s="613">
        <v>1</v>
      </c>
      <c r="N36" s="613">
        <v>1</v>
      </c>
      <c r="O36" s="613">
        <v>1</v>
      </c>
      <c r="P36" s="613">
        <v>1</v>
      </c>
      <c r="Q36" s="613">
        <v>1</v>
      </c>
      <c r="R36" s="613">
        <v>1</v>
      </c>
      <c r="S36" s="613">
        <v>1</v>
      </c>
      <c r="T36" s="613">
        <v>1</v>
      </c>
      <c r="U36" s="613">
        <v>1</v>
      </c>
      <c r="V36" s="613">
        <v>1</v>
      </c>
      <c r="W36" s="613">
        <v>1</v>
      </c>
      <c r="X36" s="613">
        <v>1</v>
      </c>
      <c r="Y36" s="613">
        <v>1</v>
      </c>
      <c r="Z36" s="613">
        <v>1</v>
      </c>
      <c r="AA36" s="613">
        <v>1</v>
      </c>
      <c r="AB36" s="613">
        <v>1</v>
      </c>
      <c r="AC36" s="613">
        <v>1</v>
      </c>
      <c r="AD36" s="613">
        <v>1</v>
      </c>
      <c r="AE36" s="613">
        <v>0.58367969914371787</v>
      </c>
      <c r="AF36" s="613">
        <v>1</v>
      </c>
      <c r="AG36" s="613">
        <v>1</v>
      </c>
      <c r="AH36" s="613">
        <v>1</v>
      </c>
      <c r="AI36" s="613">
        <v>1</v>
      </c>
      <c r="AJ36" s="613">
        <v>1</v>
      </c>
      <c r="AK36" s="613">
        <v>0.51436132482044117</v>
      </c>
      <c r="AL36" s="613">
        <v>0.58105550664323635</v>
      </c>
      <c r="AM36" s="613">
        <v>0.63680148261314096</v>
      </c>
      <c r="AN36" s="613">
        <v>0.44885272542696836</v>
      </c>
      <c r="AO36" s="613">
        <v>0.83945533270865846</v>
      </c>
      <c r="AP36" s="613">
        <v>0.47464800536152618</v>
      </c>
      <c r="AQ36" s="613">
        <v>0.93555334423577241</v>
      </c>
      <c r="AR36" s="613">
        <v>0.50151872353761184</v>
      </c>
      <c r="AS36" s="613">
        <v>1</v>
      </c>
      <c r="AT36" s="613">
        <v>0.30814696273280234</v>
      </c>
      <c r="AU36" s="613">
        <v>0.51449429879433684</v>
      </c>
      <c r="AV36" s="613">
        <v>0.47796961203662686</v>
      </c>
      <c r="AW36" s="613">
        <v>1</v>
      </c>
      <c r="AX36" s="613">
        <v>0.39835558882840405</v>
      </c>
      <c r="AY36" s="613">
        <v>0.20591815282066173</v>
      </c>
      <c r="AZ36" s="613">
        <v>1</v>
      </c>
      <c r="BA36" s="613">
        <v>0.50535168265293107</v>
      </c>
      <c r="BB36" s="613">
        <v>1</v>
      </c>
      <c r="BC36" s="613">
        <v>1</v>
      </c>
      <c r="BD36" s="613">
        <v>1</v>
      </c>
      <c r="BE36" s="613">
        <v>1</v>
      </c>
      <c r="BF36" s="613">
        <v>1</v>
      </c>
      <c r="BG36" s="613">
        <v>1</v>
      </c>
      <c r="BH36" s="613">
        <v>0.73021851709921426</v>
      </c>
      <c r="BI36" s="613">
        <v>1</v>
      </c>
      <c r="BJ36" s="613">
        <v>1</v>
      </c>
      <c r="BK36" s="613">
        <v>1</v>
      </c>
      <c r="BL36" s="613">
        <v>0.66257788277249485</v>
      </c>
      <c r="BM36" s="613">
        <v>1</v>
      </c>
      <c r="BN36" s="613">
        <v>1</v>
      </c>
      <c r="BO36" s="613">
        <v>0.42702060467907571</v>
      </c>
      <c r="BP36" s="613">
        <v>1</v>
      </c>
      <c r="BQ36" s="613">
        <v>1</v>
      </c>
      <c r="BR36" s="613">
        <v>0.47925677192581645</v>
      </c>
      <c r="BS36" s="613">
        <v>0.63901251926578129</v>
      </c>
      <c r="BT36" s="613">
        <v>0.36088223063390218</v>
      </c>
      <c r="BU36" s="613">
        <v>1</v>
      </c>
      <c r="BV36" s="613">
        <v>1</v>
      </c>
      <c r="BW36" s="613">
        <v>1</v>
      </c>
      <c r="BX36" s="613">
        <v>1</v>
      </c>
      <c r="BY36" s="613">
        <v>0.39097576672311557</v>
      </c>
      <c r="BZ36" s="613">
        <v>1</v>
      </c>
      <c r="CA36" s="613">
        <v>0.51782616713717611</v>
      </c>
      <c r="CB36" s="613">
        <v>0.39729406495137998</v>
      </c>
      <c r="CC36" s="613">
        <v>0.45859675179027198</v>
      </c>
      <c r="CD36" s="613">
        <v>1</v>
      </c>
      <c r="CE36" s="613">
        <v>1</v>
      </c>
      <c r="CF36" s="613">
        <v>0.37179448071605442</v>
      </c>
      <c r="CG36" s="613">
        <v>1</v>
      </c>
      <c r="CH36" s="613">
        <v>1</v>
      </c>
      <c r="CI36" s="613">
        <v>1</v>
      </c>
      <c r="CJ36" s="613">
        <v>1</v>
      </c>
      <c r="CK36" s="613">
        <v>0.33120278876551901</v>
      </c>
      <c r="CL36" s="613">
        <v>1</v>
      </c>
      <c r="CM36" s="613">
        <v>1</v>
      </c>
      <c r="CN36" s="613">
        <v>0.38944542196692256</v>
      </c>
      <c r="CO36" s="613">
        <v>0.57535927746746607</v>
      </c>
      <c r="CP36" s="613">
        <v>0.92015498207606672</v>
      </c>
      <c r="CQ36" s="613">
        <v>1</v>
      </c>
      <c r="CR36" s="613">
        <v>1</v>
      </c>
      <c r="CS36" s="613">
        <v>1</v>
      </c>
      <c r="CT36" s="613">
        <v>1</v>
      </c>
      <c r="CU36" s="613">
        <v>1</v>
      </c>
      <c r="CV36" s="613">
        <v>1</v>
      </c>
      <c r="CW36" s="613">
        <v>1</v>
      </c>
      <c r="CX36" s="613">
        <v>0.29136328752299501</v>
      </c>
      <c r="CY36" s="613">
        <v>1</v>
      </c>
      <c r="CZ36" s="613">
        <v>0.41734879197358593</v>
      </c>
      <c r="DA36" s="613">
        <v>0.44124813869972618</v>
      </c>
      <c r="DB36" s="613">
        <v>1</v>
      </c>
      <c r="DC36" s="613">
        <v>1</v>
      </c>
      <c r="DD36" s="613">
        <v>1</v>
      </c>
      <c r="DE36" s="613">
        <v>0.3863144136315167</v>
      </c>
      <c r="DF36" s="613">
        <v>0.46894576371289537</v>
      </c>
      <c r="DG36" s="613">
        <v>1</v>
      </c>
      <c r="DH36" s="613">
        <v>0.30537915515417752</v>
      </c>
      <c r="DI36" s="613">
        <v>0.32779257078242663</v>
      </c>
      <c r="DJ36" s="613">
        <v>0.60542788216711929</v>
      </c>
      <c r="DK36" s="613">
        <v>1</v>
      </c>
      <c r="DL36" s="613">
        <v>0.47696627497181282</v>
      </c>
      <c r="DM36" s="613">
        <v>0.26120239738086176</v>
      </c>
      <c r="DN36" s="613">
        <v>1</v>
      </c>
      <c r="DO36" s="613">
        <v>0.3340012232973808</v>
      </c>
      <c r="DP36" s="613">
        <v>1</v>
      </c>
      <c r="DQ36" s="613">
        <v>0.37547202178805905</v>
      </c>
      <c r="DR36" s="613">
        <v>1</v>
      </c>
      <c r="DS36" s="613">
        <v>0.5129840958563664</v>
      </c>
      <c r="DT36" s="613">
        <v>1</v>
      </c>
      <c r="DU36" s="613">
        <v>0.19116554256173168</v>
      </c>
      <c r="DV36" s="613">
        <v>1</v>
      </c>
      <c r="DW36" s="613">
        <v>1</v>
      </c>
      <c r="DX36" s="613">
        <v>0.21201012537974087</v>
      </c>
      <c r="DY36" s="613">
        <v>0.33923437955305058</v>
      </c>
      <c r="DZ36" s="613">
        <v>1</v>
      </c>
      <c r="EA36" s="613">
        <v>0.2490529395819964</v>
      </c>
      <c r="EB36" s="613">
        <v>0.44304744390455075</v>
      </c>
      <c r="EC36" s="613">
        <v>0.44301076871640915</v>
      </c>
      <c r="ED36" s="613">
        <v>1</v>
      </c>
      <c r="EE36" s="613">
        <v>1</v>
      </c>
      <c r="EF36" s="613">
        <v>0.36844132914803018</v>
      </c>
      <c r="EG36" s="613">
        <v>1</v>
      </c>
      <c r="EH36" s="613">
        <v>1</v>
      </c>
      <c r="EI36" s="613">
        <v>1</v>
      </c>
      <c r="EJ36" s="613">
        <v>1</v>
      </c>
      <c r="EK36" s="613">
        <v>0.31236908538851976</v>
      </c>
      <c r="EL36" s="613">
        <v>1</v>
      </c>
      <c r="EM36" s="613">
        <v>0.44606580529925527</v>
      </c>
      <c r="EN36" s="613">
        <v>0.28188720764107816</v>
      </c>
      <c r="EO36" s="613">
        <v>0.59148351752392148</v>
      </c>
      <c r="EP36" s="613">
        <v>0.60068971999985832</v>
      </c>
      <c r="EQ36" s="613">
        <v>1</v>
      </c>
      <c r="ER36" s="613">
        <v>1</v>
      </c>
      <c r="ES36" s="613">
        <v>1</v>
      </c>
      <c r="ET36" s="613">
        <v>0.54777060163956193</v>
      </c>
      <c r="EU36" s="613">
        <v>1</v>
      </c>
      <c r="EV36" s="613">
        <v>0.56982667497113049</v>
      </c>
      <c r="EW36" s="613">
        <v>1</v>
      </c>
      <c r="EX36" s="613">
        <v>0.30728599142973367</v>
      </c>
      <c r="EY36" s="613">
        <v>0.6507973519577186</v>
      </c>
      <c r="EZ36" s="613">
        <v>0.48949216808084262</v>
      </c>
      <c r="FA36" s="613">
        <v>1</v>
      </c>
      <c r="FB36" s="613">
        <v>1</v>
      </c>
      <c r="FC36" s="613">
        <v>1</v>
      </c>
      <c r="FD36" s="613">
        <v>1</v>
      </c>
      <c r="FE36" s="613">
        <v>0.46342963068004361</v>
      </c>
      <c r="FF36" s="613">
        <v>1</v>
      </c>
      <c r="FG36" s="613">
        <v>0.44741444830767901</v>
      </c>
      <c r="FH36" s="613">
        <v>0.2958235742330011</v>
      </c>
      <c r="FI36" s="613">
        <v>0.86159596895954671</v>
      </c>
      <c r="FJ36" s="613">
        <v>1</v>
      </c>
      <c r="FK36" s="613">
        <v>0.54981224615268265</v>
      </c>
      <c r="FL36" s="613">
        <v>1</v>
      </c>
      <c r="FM36" s="613">
        <v>0.80186663217324949</v>
      </c>
      <c r="FN36" s="613">
        <v>0.54849877941895497</v>
      </c>
      <c r="FO36" s="613">
        <v>1</v>
      </c>
      <c r="FP36" s="613">
        <v>0.61260223807679981</v>
      </c>
      <c r="FQ36" s="613">
        <v>0.23825826451349627</v>
      </c>
      <c r="FR36" s="613">
        <v>1</v>
      </c>
      <c r="FS36" s="613">
        <v>0.23276523382707937</v>
      </c>
      <c r="FT36" s="613">
        <v>0.36366144912848219</v>
      </c>
    </row>
    <row r="37" spans="1:176" x14ac:dyDescent="0.2">
      <c r="A37" s="1486" t="s">
        <v>2276</v>
      </c>
      <c r="B37">
        <v>1</v>
      </c>
      <c r="C37" s="613">
        <v>1</v>
      </c>
      <c r="D37" s="613">
        <v>1</v>
      </c>
      <c r="E37" s="613">
        <v>1</v>
      </c>
      <c r="F37" s="613">
        <v>1</v>
      </c>
      <c r="G37" s="613">
        <v>1</v>
      </c>
      <c r="H37" s="613">
        <v>1</v>
      </c>
      <c r="I37" s="613">
        <v>1</v>
      </c>
      <c r="J37" s="613">
        <v>1</v>
      </c>
      <c r="K37" s="613">
        <v>1</v>
      </c>
      <c r="L37" s="613">
        <v>0.60669162624615247</v>
      </c>
      <c r="M37" s="613">
        <v>1</v>
      </c>
      <c r="N37" s="613">
        <v>1</v>
      </c>
      <c r="O37" s="613">
        <v>1</v>
      </c>
      <c r="P37" s="613">
        <v>1</v>
      </c>
      <c r="Q37" s="613">
        <v>1</v>
      </c>
      <c r="R37" s="613">
        <v>1</v>
      </c>
      <c r="S37" s="613">
        <v>1</v>
      </c>
      <c r="T37" s="613">
        <v>1</v>
      </c>
      <c r="U37" s="613">
        <v>1</v>
      </c>
      <c r="V37" s="613">
        <v>1</v>
      </c>
      <c r="W37" s="613">
        <v>1</v>
      </c>
      <c r="X37" s="613">
        <v>1</v>
      </c>
      <c r="Y37" s="613">
        <v>1</v>
      </c>
      <c r="Z37" s="613">
        <v>1</v>
      </c>
      <c r="AA37" s="613">
        <v>1</v>
      </c>
      <c r="AB37" s="613">
        <v>1</v>
      </c>
      <c r="AC37" s="613">
        <v>1</v>
      </c>
      <c r="AD37" s="613">
        <v>1</v>
      </c>
      <c r="AE37" s="613">
        <v>0.43175871232518215</v>
      </c>
      <c r="AF37" s="613">
        <v>1</v>
      </c>
      <c r="AG37" s="613">
        <v>1</v>
      </c>
      <c r="AH37" s="613">
        <v>1</v>
      </c>
      <c r="AI37" s="613">
        <v>1</v>
      </c>
      <c r="AJ37" s="613">
        <v>1</v>
      </c>
      <c r="AK37" s="613">
        <v>0.77106731517182636</v>
      </c>
      <c r="AL37" s="613">
        <v>0.51305258955223887</v>
      </c>
      <c r="AM37" s="613">
        <v>0.59059287435954411</v>
      </c>
      <c r="AN37" s="613">
        <v>0.64621358966832365</v>
      </c>
      <c r="AO37" s="613">
        <v>0.49751243781094523</v>
      </c>
      <c r="AP37" s="613">
        <v>0.89194294899893778</v>
      </c>
      <c r="AQ37" s="613">
        <v>0.61638276363289224</v>
      </c>
      <c r="AR37" s="613">
        <v>0.49751243781094523</v>
      </c>
      <c r="AS37" s="613">
        <v>1</v>
      </c>
      <c r="AT37" s="613">
        <v>0.29850746268656714</v>
      </c>
      <c r="AU37" s="613">
        <v>0.68545690806505843</v>
      </c>
      <c r="AV37" s="613">
        <v>0.39426981380266701</v>
      </c>
      <c r="AW37" s="613">
        <v>1</v>
      </c>
      <c r="AX37" s="613">
        <v>0.63520903518281668</v>
      </c>
      <c r="AY37" s="613">
        <v>0.71285250079515561</v>
      </c>
      <c r="AZ37" s="613">
        <v>1</v>
      </c>
      <c r="BA37" s="613">
        <v>0.78664236548816668</v>
      </c>
      <c r="BB37" s="613">
        <v>1</v>
      </c>
      <c r="BC37" s="613">
        <v>1</v>
      </c>
      <c r="BD37" s="613">
        <v>1</v>
      </c>
      <c r="BE37" s="613">
        <v>1</v>
      </c>
      <c r="BF37" s="613">
        <v>1</v>
      </c>
      <c r="BG37" s="613">
        <v>1</v>
      </c>
      <c r="BH37" s="613">
        <v>0.93173250965174126</v>
      </c>
      <c r="BI37" s="613">
        <v>1</v>
      </c>
      <c r="BJ37" s="613">
        <v>1</v>
      </c>
      <c r="BK37" s="613">
        <v>1</v>
      </c>
      <c r="BL37" s="613">
        <v>0.27489357894326927</v>
      </c>
      <c r="BM37" s="613">
        <v>1</v>
      </c>
      <c r="BN37" s="613">
        <v>1</v>
      </c>
      <c r="BO37" s="613">
        <v>0.49742279601990053</v>
      </c>
      <c r="BP37" s="613">
        <v>1</v>
      </c>
      <c r="BQ37" s="613">
        <v>1</v>
      </c>
      <c r="BR37" s="613">
        <v>0.49751243781094523</v>
      </c>
      <c r="BS37" s="613">
        <v>0.73439338515248109</v>
      </c>
      <c r="BT37" s="613">
        <v>0.39646420051705422</v>
      </c>
      <c r="BU37" s="613">
        <v>1</v>
      </c>
      <c r="BV37" s="613">
        <v>1</v>
      </c>
      <c r="BW37" s="613">
        <v>1</v>
      </c>
      <c r="BX37" s="613">
        <v>1</v>
      </c>
      <c r="BY37" s="613">
        <v>0.2388059701492537</v>
      </c>
      <c r="BZ37" s="613">
        <v>1</v>
      </c>
      <c r="CA37" s="613">
        <v>0.35820895522388063</v>
      </c>
      <c r="CB37" s="613">
        <v>0.57701382186887884</v>
      </c>
      <c r="CC37" s="613">
        <v>0.53796523819844422</v>
      </c>
      <c r="CD37" s="613">
        <v>1</v>
      </c>
      <c r="CE37" s="613">
        <v>1</v>
      </c>
      <c r="CF37" s="613">
        <v>0.38841187025691759</v>
      </c>
      <c r="CG37" s="613">
        <v>1</v>
      </c>
      <c r="CH37" s="613">
        <v>1</v>
      </c>
      <c r="CI37" s="613">
        <v>1</v>
      </c>
      <c r="CJ37" s="613">
        <v>1</v>
      </c>
      <c r="CK37" s="613">
        <v>0.73215770789886592</v>
      </c>
      <c r="CL37" s="613">
        <v>1</v>
      </c>
      <c r="CM37" s="613">
        <v>1</v>
      </c>
      <c r="CN37" s="613">
        <v>0.2388059701492537</v>
      </c>
      <c r="CO37" s="613">
        <v>0.47375909040156311</v>
      </c>
      <c r="CP37" s="613">
        <v>0.58706467661691542</v>
      </c>
      <c r="CQ37" s="613">
        <v>1</v>
      </c>
      <c r="CR37" s="613">
        <v>1</v>
      </c>
      <c r="CS37" s="613">
        <v>1</v>
      </c>
      <c r="CT37" s="613">
        <v>1</v>
      </c>
      <c r="CU37" s="613">
        <v>1</v>
      </c>
      <c r="CV37" s="613">
        <v>1</v>
      </c>
      <c r="CW37" s="613">
        <v>1</v>
      </c>
      <c r="CX37" s="613">
        <v>0.41180563102917384</v>
      </c>
      <c r="CY37" s="613">
        <v>1</v>
      </c>
      <c r="CZ37" s="613">
        <v>0.44872834794145239</v>
      </c>
      <c r="DA37" s="613">
        <v>0.46440337296450551</v>
      </c>
      <c r="DB37" s="613">
        <v>1</v>
      </c>
      <c r="DC37" s="613">
        <v>1</v>
      </c>
      <c r="DD37" s="613">
        <v>1</v>
      </c>
      <c r="DE37" s="613">
        <v>0.44776119402985076</v>
      </c>
      <c r="DF37" s="613">
        <v>0.51129153938742244</v>
      </c>
      <c r="DG37" s="613">
        <v>1</v>
      </c>
      <c r="DH37" s="613">
        <v>0.63347581810390452</v>
      </c>
      <c r="DI37" s="613">
        <v>0.60893887938121016</v>
      </c>
      <c r="DJ37" s="613">
        <v>0.58646674324093184</v>
      </c>
      <c r="DK37" s="613">
        <v>1</v>
      </c>
      <c r="DL37" s="613">
        <v>0.39267099322379484</v>
      </c>
      <c r="DM37" s="613">
        <v>0.9554874040292981</v>
      </c>
      <c r="DN37" s="613">
        <v>1</v>
      </c>
      <c r="DO37" s="613">
        <v>0.4770271806410501</v>
      </c>
      <c r="DP37" s="613">
        <v>1</v>
      </c>
      <c r="DQ37" s="613">
        <v>0.45764738785013004</v>
      </c>
      <c r="DR37" s="613">
        <v>1</v>
      </c>
      <c r="DS37" s="613">
        <v>0.6620941176471834</v>
      </c>
      <c r="DT37" s="613">
        <v>1</v>
      </c>
      <c r="DU37" s="613">
        <v>0.76637297111191016</v>
      </c>
      <c r="DV37" s="613">
        <v>1</v>
      </c>
      <c r="DW37" s="613">
        <v>1</v>
      </c>
      <c r="DX37" s="613">
        <v>0.42263011484038004</v>
      </c>
      <c r="DY37" s="613">
        <v>0.68042654794148527</v>
      </c>
      <c r="DZ37" s="613">
        <v>1</v>
      </c>
      <c r="EA37" s="613">
        <v>0.49494007160912551</v>
      </c>
      <c r="EB37" s="613">
        <v>0.34825870646766161</v>
      </c>
      <c r="EC37" s="613">
        <v>0.46042047010002141</v>
      </c>
      <c r="ED37" s="613">
        <v>1</v>
      </c>
      <c r="EE37" s="613">
        <v>1</v>
      </c>
      <c r="EF37" s="613">
        <v>0.95849819846984197</v>
      </c>
      <c r="EG37" s="613">
        <v>1</v>
      </c>
      <c r="EH37" s="613">
        <v>1</v>
      </c>
      <c r="EI37" s="613">
        <v>1</v>
      </c>
      <c r="EJ37" s="613">
        <v>1</v>
      </c>
      <c r="EK37" s="613">
        <v>0.68408376402675941</v>
      </c>
      <c r="EL37" s="613">
        <v>1</v>
      </c>
      <c r="EM37" s="613">
        <v>0.73406720156920025</v>
      </c>
      <c r="EN37" s="613">
        <v>1</v>
      </c>
      <c r="EO37" s="613">
        <v>0.80708884980179563</v>
      </c>
      <c r="EP37" s="613">
        <v>0.7200917097007451</v>
      </c>
      <c r="EQ37" s="613">
        <v>1</v>
      </c>
      <c r="ER37" s="613">
        <v>1</v>
      </c>
      <c r="ES37" s="613">
        <v>1</v>
      </c>
      <c r="ET37" s="613">
        <v>0.96238519042809378</v>
      </c>
      <c r="EU37" s="613">
        <v>1</v>
      </c>
      <c r="EV37" s="613">
        <v>0.81502208370353046</v>
      </c>
      <c r="EW37" s="613">
        <v>1</v>
      </c>
      <c r="EX37" s="613">
        <v>0.4761029257102482</v>
      </c>
      <c r="EY37" s="613">
        <v>0.83187562465428144</v>
      </c>
      <c r="EZ37" s="613">
        <v>0.64297918784633479</v>
      </c>
      <c r="FA37" s="613">
        <v>1</v>
      </c>
      <c r="FB37" s="613">
        <v>1</v>
      </c>
      <c r="FC37" s="613">
        <v>1</v>
      </c>
      <c r="FD37" s="613">
        <v>1</v>
      </c>
      <c r="FE37" s="613">
        <v>0.77613414951159887</v>
      </c>
      <c r="FF37" s="613">
        <v>1</v>
      </c>
      <c r="FG37" s="613">
        <v>0.61107449032506445</v>
      </c>
      <c r="FH37" s="613">
        <v>0.48610859910418791</v>
      </c>
      <c r="FI37" s="613">
        <v>1</v>
      </c>
      <c r="FJ37" s="613">
        <v>1</v>
      </c>
      <c r="FK37" s="613">
        <v>0.47178313596774002</v>
      </c>
      <c r="FL37" s="613">
        <v>1</v>
      </c>
      <c r="FM37" s="613">
        <v>0.58706467661691542</v>
      </c>
      <c r="FN37" s="613">
        <v>0.72047397793233647</v>
      </c>
      <c r="FO37" s="613">
        <v>1</v>
      </c>
      <c r="FP37" s="613">
        <v>0.93419984364798625</v>
      </c>
      <c r="FQ37" s="613">
        <v>0.57824579578811774</v>
      </c>
      <c r="FR37" s="613">
        <v>1</v>
      </c>
      <c r="FS37" s="613">
        <v>0.58706467661691542</v>
      </c>
      <c r="FT37" s="613">
        <v>0.63417377850644918</v>
      </c>
    </row>
    <row r="38" spans="1:176" x14ac:dyDescent="0.2">
      <c r="A38" s="1486" t="s">
        <v>2277</v>
      </c>
      <c r="B38">
        <v>0.45719328826293704</v>
      </c>
      <c r="C38" s="613">
        <v>1</v>
      </c>
      <c r="D38" s="613">
        <v>0.77928992545443077</v>
      </c>
      <c r="E38" s="613">
        <v>0.79744122585625554</v>
      </c>
      <c r="F38" s="613">
        <v>1</v>
      </c>
      <c r="G38" s="613">
        <v>1</v>
      </c>
      <c r="H38" s="613">
        <v>1</v>
      </c>
      <c r="I38" s="613">
        <v>1</v>
      </c>
      <c r="J38" s="613">
        <v>1</v>
      </c>
      <c r="K38" s="613">
        <v>1</v>
      </c>
      <c r="L38" s="613">
        <v>1</v>
      </c>
      <c r="M38" s="613">
        <v>1</v>
      </c>
      <c r="N38" s="613">
        <v>1</v>
      </c>
      <c r="O38" s="613">
        <v>1</v>
      </c>
      <c r="P38" s="613">
        <v>1</v>
      </c>
      <c r="Q38" s="613">
        <v>1</v>
      </c>
      <c r="R38" s="613">
        <v>0.80862577537787483</v>
      </c>
      <c r="S38" s="613">
        <v>0.61555973437722789</v>
      </c>
      <c r="T38" s="613">
        <v>1</v>
      </c>
      <c r="U38" s="613">
        <v>1</v>
      </c>
      <c r="V38" s="613">
        <v>0.73755772600932257</v>
      </c>
      <c r="W38" s="613">
        <v>0.75403585261388462</v>
      </c>
      <c r="X38" s="613">
        <v>0.89932872336528114</v>
      </c>
      <c r="Y38" s="613">
        <v>0.50426660432671633</v>
      </c>
      <c r="Z38" s="613">
        <v>0.75614141342378249</v>
      </c>
      <c r="AA38" s="613">
        <v>0.78240515606181482</v>
      </c>
      <c r="AB38" s="613">
        <v>0.73792496303074018</v>
      </c>
      <c r="AC38" s="613">
        <v>1</v>
      </c>
      <c r="AD38" s="613">
        <v>0.59486674096082204</v>
      </c>
      <c r="AE38" s="613">
        <v>0.5357118875282475</v>
      </c>
      <c r="AF38" s="613">
        <v>1</v>
      </c>
      <c r="AG38" s="613">
        <v>0.41121827364990204</v>
      </c>
      <c r="AH38" s="613">
        <v>1</v>
      </c>
      <c r="AI38" s="613">
        <v>1</v>
      </c>
      <c r="AJ38" s="613">
        <v>0.57874032903493744</v>
      </c>
      <c r="AK38" s="613">
        <v>0.67297881211055022</v>
      </c>
      <c r="AL38" s="613">
        <v>0.56266027451599687</v>
      </c>
      <c r="AM38" s="613">
        <v>0.64440014390446076</v>
      </c>
      <c r="AN38" s="613">
        <v>0.79346356361314818</v>
      </c>
      <c r="AO38" s="613">
        <v>0.81858844050652446</v>
      </c>
      <c r="AP38" s="613">
        <v>0.79847094134780483</v>
      </c>
      <c r="AQ38" s="613">
        <v>0.70915985827222161</v>
      </c>
      <c r="AR38" s="613">
        <v>0.33406168178830437</v>
      </c>
      <c r="AS38" s="613">
        <v>0.33201276096328081</v>
      </c>
      <c r="AT38" s="613">
        <v>1</v>
      </c>
      <c r="AU38" s="613">
        <v>0.8401454466876398</v>
      </c>
      <c r="AV38" s="613">
        <v>0.45014184670632729</v>
      </c>
      <c r="AW38" s="613">
        <v>0.85526600861994651</v>
      </c>
      <c r="AX38" s="613">
        <v>0.95112113318196134</v>
      </c>
      <c r="AY38" s="613">
        <v>0.69205393458317011</v>
      </c>
      <c r="AZ38" s="613">
        <v>0.32437816637744654</v>
      </c>
      <c r="BA38" s="613">
        <v>1</v>
      </c>
      <c r="BB38" s="613">
        <v>0.43541439870384196</v>
      </c>
      <c r="BC38" s="613">
        <v>0.61207884402093704</v>
      </c>
      <c r="BD38" s="613">
        <v>1</v>
      </c>
      <c r="BE38" s="613">
        <v>0.41021266367753229</v>
      </c>
      <c r="BF38" s="613">
        <v>0.52080546455275234</v>
      </c>
      <c r="BG38" s="613">
        <v>0.27539041331110842</v>
      </c>
      <c r="BH38" s="613">
        <v>0.81431125365478563</v>
      </c>
      <c r="BI38" s="613">
        <v>0.31354339912306123</v>
      </c>
      <c r="BJ38" s="613">
        <v>0.73980887130556228</v>
      </c>
      <c r="BK38" s="613">
        <v>0.71895241451971803</v>
      </c>
      <c r="BL38" s="613">
        <v>1</v>
      </c>
      <c r="BM38" s="613">
        <v>0.27042313822710068</v>
      </c>
      <c r="BN38" s="613">
        <v>0.73027808580893516</v>
      </c>
      <c r="BO38" s="613">
        <v>0.54485117643707603</v>
      </c>
      <c r="BP38" s="613">
        <v>0.39797381502362117</v>
      </c>
      <c r="BQ38" s="613">
        <v>0.47465848304536989</v>
      </c>
      <c r="BR38" s="613">
        <v>0.58362757707864943</v>
      </c>
      <c r="BS38" s="613">
        <v>0.54915425462960454</v>
      </c>
      <c r="BT38" s="613">
        <v>1</v>
      </c>
      <c r="BU38" s="613">
        <v>0.30174656845424896</v>
      </c>
      <c r="BV38" s="613">
        <v>0.63876973301771356</v>
      </c>
      <c r="BW38" s="613">
        <v>0.96934534029209396</v>
      </c>
      <c r="BX38" s="613">
        <v>0.51039269841056867</v>
      </c>
      <c r="BY38" s="613">
        <v>1</v>
      </c>
      <c r="BZ38" s="613">
        <v>0.62258441056676905</v>
      </c>
      <c r="CA38" s="613">
        <v>0.704909218832381</v>
      </c>
      <c r="CB38" s="613">
        <v>0.83207796319636773</v>
      </c>
      <c r="CC38" s="613">
        <v>1</v>
      </c>
      <c r="CD38" s="613">
        <v>1</v>
      </c>
      <c r="CE38" s="613">
        <v>0.70323133903605906</v>
      </c>
      <c r="CF38" s="613">
        <v>0.36940563015813005</v>
      </c>
      <c r="CG38" s="613">
        <v>0.80312723913490103</v>
      </c>
      <c r="CH38" s="613">
        <v>1</v>
      </c>
      <c r="CI38" s="613">
        <v>0.85826012784558725</v>
      </c>
      <c r="CJ38" s="613">
        <v>0.79641655845534698</v>
      </c>
      <c r="CK38" s="613">
        <v>0.7184640749248411</v>
      </c>
      <c r="CL38" s="613">
        <v>0.4329583834730607</v>
      </c>
      <c r="CM38" s="613">
        <v>0.44636577538487532</v>
      </c>
      <c r="CN38" s="613">
        <v>0.30824689700783192</v>
      </c>
      <c r="CO38" s="613">
        <v>0.45023912233986096</v>
      </c>
      <c r="CP38" s="613">
        <v>1</v>
      </c>
      <c r="CQ38" s="613">
        <v>1</v>
      </c>
      <c r="CR38" s="613">
        <v>1</v>
      </c>
      <c r="CS38" s="613">
        <v>0.39441159842832063</v>
      </c>
      <c r="CT38" s="613">
        <v>1</v>
      </c>
      <c r="CU38" s="613">
        <v>0.67914566354194927</v>
      </c>
      <c r="CV38" s="613">
        <v>0.78256231764202289</v>
      </c>
      <c r="CW38" s="613">
        <v>0.89061071953442306</v>
      </c>
      <c r="CX38" s="613">
        <v>0.42226144657055675</v>
      </c>
      <c r="CY38" s="613">
        <v>0.62888359726137788</v>
      </c>
      <c r="CZ38" s="613">
        <v>0.97028003370295079</v>
      </c>
      <c r="DA38" s="613">
        <v>1</v>
      </c>
      <c r="DB38" s="613">
        <v>0.51715439495382931</v>
      </c>
      <c r="DC38" s="613">
        <v>1</v>
      </c>
      <c r="DD38" s="613">
        <v>0.31804645699379958</v>
      </c>
      <c r="DE38" s="613">
        <v>0.63043845544810706</v>
      </c>
      <c r="DF38" s="613">
        <v>0.84559631170989769</v>
      </c>
      <c r="DG38" s="613">
        <v>0.52924775841782068</v>
      </c>
      <c r="DH38" s="613">
        <v>0.46651000924220648</v>
      </c>
      <c r="DI38" s="613">
        <v>0.60881357328653529</v>
      </c>
      <c r="DJ38" s="613">
        <v>0.88091802066879199</v>
      </c>
      <c r="DK38" s="613">
        <v>0.88433507935387645</v>
      </c>
      <c r="DL38" s="613">
        <v>0.94145978551878029</v>
      </c>
      <c r="DM38" s="613">
        <v>1</v>
      </c>
      <c r="DN38" s="613">
        <v>0.70808501772996868</v>
      </c>
      <c r="DO38" s="613">
        <v>0.59296751923266777</v>
      </c>
      <c r="DP38" s="613">
        <v>0.72989710111990957</v>
      </c>
      <c r="DQ38" s="613">
        <v>1</v>
      </c>
      <c r="DR38" s="613">
        <v>1</v>
      </c>
      <c r="DS38" s="613">
        <v>0.74710216922653072</v>
      </c>
      <c r="DT38" s="613">
        <v>0.48953836190548505</v>
      </c>
      <c r="DU38" s="613">
        <v>0.96612528613169946</v>
      </c>
      <c r="DV38" s="613">
        <v>0.95549859622773081</v>
      </c>
      <c r="DW38" s="613">
        <v>0.3256963992678914</v>
      </c>
      <c r="DX38" s="613">
        <v>0.44330317734082197</v>
      </c>
      <c r="DY38" s="613">
        <v>0.73320581412055519</v>
      </c>
      <c r="DZ38" s="613">
        <v>0.70288976449162255</v>
      </c>
      <c r="EA38" s="613">
        <v>0.81862037598028148</v>
      </c>
      <c r="EB38" s="613">
        <v>0.50647028295989882</v>
      </c>
      <c r="EC38" s="613">
        <v>0.4983348499628984</v>
      </c>
      <c r="ED38" s="613">
        <v>0.74768712272929871</v>
      </c>
      <c r="EE38" s="613">
        <v>0.76466772259131455</v>
      </c>
      <c r="EF38" s="613">
        <v>0.86773960823887009</v>
      </c>
      <c r="EG38" s="613">
        <v>0.58793004918141867</v>
      </c>
      <c r="EH38" s="613">
        <v>0.77641196593067396</v>
      </c>
      <c r="EI38" s="613">
        <v>0.64672098684147339</v>
      </c>
      <c r="EJ38" s="613">
        <v>0.83981525468745433</v>
      </c>
      <c r="EK38" s="613">
        <v>1</v>
      </c>
      <c r="EL38" s="613">
        <v>0.6370923001949963</v>
      </c>
      <c r="EM38" s="613">
        <v>1</v>
      </c>
      <c r="EN38" s="613">
        <v>0.74069782388530814</v>
      </c>
      <c r="EO38" s="613">
        <v>0.6873654770188633</v>
      </c>
      <c r="EP38" s="613">
        <v>0.89272134803754499</v>
      </c>
      <c r="EQ38" s="613">
        <v>0.6767946202107733</v>
      </c>
      <c r="ER38" s="613">
        <v>0.82304735176681154</v>
      </c>
      <c r="ES38" s="613">
        <v>0.41391421998647798</v>
      </c>
      <c r="ET38" s="613">
        <v>0.71370783558827455</v>
      </c>
      <c r="EU38" s="613">
        <v>1</v>
      </c>
      <c r="EV38" s="613">
        <v>0.79106979673060063</v>
      </c>
      <c r="EW38" s="613">
        <v>0.80942629480036177</v>
      </c>
      <c r="EX38" s="613">
        <v>0.68659717955592481</v>
      </c>
      <c r="EY38" s="613">
        <v>0.87775928528129699</v>
      </c>
      <c r="EZ38" s="613">
        <v>0.74152419279619208</v>
      </c>
      <c r="FA38" s="613">
        <v>0.66681205194320892</v>
      </c>
      <c r="FB38" s="613">
        <v>0.74740790544363123</v>
      </c>
      <c r="FC38" s="613">
        <v>0.57291349119671675</v>
      </c>
      <c r="FD38" s="613">
        <v>0.76973623737712171</v>
      </c>
      <c r="FE38" s="613">
        <v>1</v>
      </c>
      <c r="FF38" s="613">
        <v>0.29693529324623991</v>
      </c>
      <c r="FG38" s="613">
        <v>0.82546572200209789</v>
      </c>
      <c r="FH38" s="613">
        <v>0.69221986983986172</v>
      </c>
      <c r="FI38" s="613">
        <v>1</v>
      </c>
      <c r="FJ38" s="613">
        <v>0.5860575756612223</v>
      </c>
      <c r="FK38" s="613">
        <v>0.68236300158803753</v>
      </c>
      <c r="FL38" s="613">
        <v>0.3846772876984656</v>
      </c>
      <c r="FM38" s="613">
        <v>0.70029941337911861</v>
      </c>
      <c r="FN38" s="613">
        <v>0.82806590960059701</v>
      </c>
      <c r="FO38" s="613">
        <v>0.43220377204579941</v>
      </c>
      <c r="FP38" s="613">
        <v>0.89165646139243093</v>
      </c>
      <c r="FQ38" s="613">
        <v>0.66567783892584131</v>
      </c>
      <c r="FR38" s="613">
        <v>0.48101424113988839</v>
      </c>
      <c r="FS38" s="613">
        <v>1</v>
      </c>
      <c r="FT38" s="613">
        <v>0.45478470816689343</v>
      </c>
    </row>
    <row r="39" spans="1:176" x14ac:dyDescent="0.2">
      <c r="A39" s="1486" t="s">
        <v>2278</v>
      </c>
      <c r="B39">
        <v>0.14454504804261314</v>
      </c>
      <c r="C39" s="613">
        <v>0.64032016198723274</v>
      </c>
      <c r="D39" s="613">
        <v>0.18907908416773705</v>
      </c>
      <c r="E39" s="613">
        <v>0.15826610443921743</v>
      </c>
      <c r="F39" s="613">
        <v>0.28259066935483679</v>
      </c>
      <c r="G39" s="613">
        <v>0.28138508308922727</v>
      </c>
      <c r="H39" s="613">
        <v>0.70591737775958718</v>
      </c>
      <c r="I39" s="613">
        <v>0.68001828185820834</v>
      </c>
      <c r="J39" s="613">
        <v>0.56768991454038753</v>
      </c>
      <c r="K39" s="613">
        <v>0.39615094307547272</v>
      </c>
      <c r="L39" s="613">
        <v>0.40608995263260744</v>
      </c>
      <c r="M39" s="613">
        <v>0.56653217058940553</v>
      </c>
      <c r="N39" s="613">
        <v>0.67551438334693803</v>
      </c>
      <c r="O39" s="613">
        <v>0.49749462344369039</v>
      </c>
      <c r="P39" s="613">
        <v>0.34647345718513872</v>
      </c>
      <c r="Q39" s="613">
        <v>0.39416884626344817</v>
      </c>
      <c r="R39" s="613">
        <v>0.66125324885658199</v>
      </c>
      <c r="S39" s="613">
        <v>0.86437023120792034</v>
      </c>
      <c r="T39" s="613">
        <v>0.25248446201433411</v>
      </c>
      <c r="U39" s="613">
        <v>0.22365574162101809</v>
      </c>
      <c r="V39" s="613">
        <v>0.28546868170660239</v>
      </c>
      <c r="W39" s="613">
        <v>0.46456839027237795</v>
      </c>
      <c r="X39" s="613">
        <v>0.10789787230149273</v>
      </c>
      <c r="Y39" s="613">
        <v>0.14371082274596311</v>
      </c>
      <c r="Z39" s="613">
        <v>0.32993979614135138</v>
      </c>
      <c r="AA39" s="613">
        <v>0.18372690913670142</v>
      </c>
      <c r="AB39" s="613">
        <v>0.19453160472531739</v>
      </c>
      <c r="AC39" s="613">
        <v>0.249596579599621</v>
      </c>
      <c r="AD39" s="613">
        <v>0.3398033959080653</v>
      </c>
      <c r="AE39" s="613">
        <v>0.65415050973952316</v>
      </c>
      <c r="AF39" s="613">
        <v>0.38640954040781467</v>
      </c>
      <c r="AG39" s="613">
        <v>0.43679453207718616</v>
      </c>
      <c r="AH39" s="613">
        <v>0.16803749530274642</v>
      </c>
      <c r="AI39" s="613">
        <v>0.33472896678314368</v>
      </c>
      <c r="AJ39" s="613">
        <v>0.25262617668746318</v>
      </c>
      <c r="AK39" s="613">
        <v>0.35211403863045077</v>
      </c>
      <c r="AL39" s="613">
        <v>0.48586076710218346</v>
      </c>
      <c r="AM39" s="613">
        <v>0.29155902715972903</v>
      </c>
      <c r="AN39" s="613">
        <v>0.43142202007673297</v>
      </c>
      <c r="AO39" s="613">
        <v>0.61329998315168111</v>
      </c>
      <c r="AP39" s="613">
        <v>0.33016536815706671</v>
      </c>
      <c r="AQ39" s="613">
        <v>0.8946939554572807</v>
      </c>
      <c r="AR39" s="613">
        <v>0.63729635957866015</v>
      </c>
      <c r="AS39" s="613">
        <v>0.77764997370730193</v>
      </c>
      <c r="AT39" s="613">
        <v>0.90127124394738756</v>
      </c>
      <c r="AU39" s="613">
        <v>0.8364341339300484</v>
      </c>
      <c r="AV39" s="613">
        <v>0.82029864831496868</v>
      </c>
      <c r="AW39" s="613">
        <v>0.60271365121723097</v>
      </c>
      <c r="AX39" s="613">
        <v>0.36206521912369588</v>
      </c>
      <c r="AY39" s="613">
        <v>0.35584017081446334</v>
      </c>
      <c r="AZ39" s="613">
        <v>0.44913612513662932</v>
      </c>
      <c r="BA39" s="613">
        <v>0.32499402115311998</v>
      </c>
      <c r="BB39" s="613">
        <v>0.33854322443065532</v>
      </c>
      <c r="BC39" s="613">
        <v>0.80416639117272426</v>
      </c>
      <c r="BD39" s="613">
        <v>0.95226132501535221</v>
      </c>
      <c r="BE39" s="613">
        <v>0.33527352510256947</v>
      </c>
      <c r="BF39" s="613">
        <v>0.23035683388719383</v>
      </c>
      <c r="BG39" s="613">
        <v>0.54806467861399877</v>
      </c>
      <c r="BH39" s="613">
        <v>0.61653072209799742</v>
      </c>
      <c r="BI39" s="613">
        <v>0.39167171962041125</v>
      </c>
      <c r="BJ39" s="613">
        <v>0.64417352798588645</v>
      </c>
      <c r="BK39" s="613">
        <v>0.41138071386302183</v>
      </c>
      <c r="BL39" s="613">
        <v>0.45703677451884522</v>
      </c>
      <c r="BM39" s="613">
        <v>0.34179805181600614</v>
      </c>
      <c r="BN39" s="613">
        <v>0.54308125984954092</v>
      </c>
      <c r="BO39" s="613">
        <v>0.59599901757393203</v>
      </c>
      <c r="BP39" s="613">
        <v>0.38739188512474626</v>
      </c>
      <c r="BQ39" s="613">
        <v>0.28167028663332422</v>
      </c>
      <c r="BR39" s="613">
        <v>0.35517142953480685</v>
      </c>
      <c r="BS39" s="613">
        <v>0.54906002377837726</v>
      </c>
      <c r="BT39" s="613">
        <v>0.37676019580470599</v>
      </c>
      <c r="BU39" s="613">
        <v>0.39941520478201792</v>
      </c>
      <c r="BV39" s="613">
        <v>0.29667072845451276</v>
      </c>
      <c r="BW39" s="613">
        <v>0.39368940612891656</v>
      </c>
      <c r="BX39" s="613">
        <v>0.30181978062157538</v>
      </c>
      <c r="BY39" s="613">
        <v>1</v>
      </c>
      <c r="BZ39" s="613">
        <v>0.43851701030720558</v>
      </c>
      <c r="CA39" s="613">
        <v>0.25762403126665595</v>
      </c>
      <c r="CB39" s="613">
        <v>0.30488811143779021</v>
      </c>
      <c r="CC39" s="613">
        <v>0.55402754156461775</v>
      </c>
      <c r="CD39" s="613">
        <v>0.32346468038342552</v>
      </c>
      <c r="CE39" s="613">
        <v>0.24575718968985172</v>
      </c>
      <c r="CF39" s="613">
        <v>0.45613319357704019</v>
      </c>
      <c r="CG39" s="613">
        <v>0.9668663776646802</v>
      </c>
      <c r="CH39" s="613">
        <v>0.29793332885515034</v>
      </c>
      <c r="CI39" s="613">
        <v>0.4110943324312199</v>
      </c>
      <c r="CJ39" s="613">
        <v>0.38423978964682387</v>
      </c>
      <c r="CK39" s="613">
        <v>0.38251098081067619</v>
      </c>
      <c r="CL39" s="613">
        <v>0.24317289692881019</v>
      </c>
      <c r="CM39" s="613">
        <v>0.45670043882919625</v>
      </c>
      <c r="CN39" s="613">
        <v>0.4234455736271408</v>
      </c>
      <c r="CO39" s="613">
        <v>0.44889239557757843</v>
      </c>
      <c r="CP39" s="613">
        <v>0.5264239636540734</v>
      </c>
      <c r="CQ39" s="613">
        <v>0.35585020164811143</v>
      </c>
      <c r="CR39" s="613">
        <v>0.35262420116115345</v>
      </c>
      <c r="CS39" s="613">
        <v>0.25534294001787289</v>
      </c>
      <c r="CT39" s="613">
        <v>0.17360489242067925</v>
      </c>
      <c r="CU39" s="613">
        <v>0.2382844054920607</v>
      </c>
      <c r="CV39" s="613">
        <v>0.15332870394729739</v>
      </c>
      <c r="CW39" s="613">
        <v>0.25930393987613509</v>
      </c>
      <c r="CX39" s="613">
        <v>0.57949254686336671</v>
      </c>
      <c r="CY39" s="613">
        <v>0.48311214209420161</v>
      </c>
      <c r="CZ39" s="613">
        <v>0.41312979520212945</v>
      </c>
      <c r="DA39" s="613">
        <v>0.33571036747571059</v>
      </c>
      <c r="DB39" s="613">
        <v>0.35281547678236436</v>
      </c>
      <c r="DC39" s="613">
        <v>0.33778413435801286</v>
      </c>
      <c r="DD39" s="613">
        <v>0.44304396426759507</v>
      </c>
      <c r="DE39" s="613">
        <v>0.35956985321503226</v>
      </c>
      <c r="DF39" s="613">
        <v>0.35288686942043512</v>
      </c>
      <c r="DG39" s="613">
        <v>0.21978648970777864</v>
      </c>
      <c r="DH39" s="613">
        <v>0.34187736270076047</v>
      </c>
      <c r="DI39" s="613">
        <v>0.39828077754863689</v>
      </c>
      <c r="DJ39" s="613">
        <v>0.52106108305272958</v>
      </c>
      <c r="DK39" s="613">
        <v>0.57311303351927101</v>
      </c>
      <c r="DL39" s="613">
        <v>0.65310424324686378</v>
      </c>
      <c r="DM39" s="613">
        <v>0.33614524048593986</v>
      </c>
      <c r="DN39" s="613">
        <v>0.35146520518144236</v>
      </c>
      <c r="DO39" s="613">
        <v>0.96989125277303467</v>
      </c>
      <c r="DP39" s="613">
        <v>0.50925784257470952</v>
      </c>
      <c r="DQ39" s="613">
        <v>0.4438617433708496</v>
      </c>
      <c r="DR39" s="613">
        <v>0.37351349336334244</v>
      </c>
      <c r="DS39" s="613">
        <v>0.30700732709907141</v>
      </c>
      <c r="DT39" s="613">
        <v>0.28131304549229785</v>
      </c>
      <c r="DU39" s="613">
        <v>0.21310951797592095</v>
      </c>
      <c r="DV39" s="613">
        <v>0.83211039229578598</v>
      </c>
      <c r="DW39" s="613">
        <v>0.73805659693169479</v>
      </c>
      <c r="DX39" s="613">
        <v>0.45872039543985627</v>
      </c>
      <c r="DY39" s="613">
        <v>0.33949527852034328</v>
      </c>
      <c r="DZ39" s="613">
        <v>0.23460003210424801</v>
      </c>
      <c r="EA39" s="613">
        <v>0.73556531291772898</v>
      </c>
      <c r="EB39" s="613">
        <v>0.39241732018337994</v>
      </c>
      <c r="EC39" s="613">
        <v>0.39846965225872116</v>
      </c>
      <c r="ED39" s="613">
        <v>0.1733410548814821</v>
      </c>
      <c r="EE39" s="613">
        <v>0.26821837010066418</v>
      </c>
      <c r="EF39" s="613">
        <v>0.56885203562588937</v>
      </c>
      <c r="EG39" s="613">
        <v>0.37001290115493973</v>
      </c>
      <c r="EH39" s="613">
        <v>0.63069412216485454</v>
      </c>
      <c r="EI39" s="613">
        <v>0.24302461931280797</v>
      </c>
      <c r="EJ39" s="613">
        <v>0.20448233500174454</v>
      </c>
      <c r="EK39" s="613">
        <v>0.17747372599167158</v>
      </c>
      <c r="EL39" s="613">
        <v>0.4582597090668305</v>
      </c>
      <c r="EM39" s="613">
        <v>0.70720293086765162</v>
      </c>
      <c r="EN39" s="613">
        <v>0.54172772970369854</v>
      </c>
      <c r="EO39" s="613">
        <v>0.76645883598988618</v>
      </c>
      <c r="EP39" s="613">
        <v>0.22015205496747647</v>
      </c>
      <c r="EQ39" s="613">
        <v>0.40714503955289383</v>
      </c>
      <c r="ER39" s="613">
        <v>0.39492078756692978</v>
      </c>
      <c r="ES39" s="613">
        <v>0.272053446441128</v>
      </c>
      <c r="ET39" s="613">
        <v>0</v>
      </c>
      <c r="EU39" s="613">
        <v>0.23009355418057584</v>
      </c>
      <c r="EV39" s="613">
        <v>0.29795617951980791</v>
      </c>
      <c r="EW39" s="613">
        <v>0.27448907315047077</v>
      </c>
      <c r="EX39" s="613">
        <v>0.35843247308682818</v>
      </c>
      <c r="EY39" s="613">
        <v>0.24750948250692845</v>
      </c>
      <c r="EZ39" s="613">
        <v>0.33253652325893257</v>
      </c>
      <c r="FA39" s="613">
        <v>0.37583058509144857</v>
      </c>
      <c r="FB39" s="613">
        <v>0.2345599450400852</v>
      </c>
      <c r="FC39" s="613">
        <v>0.36210277547935965</v>
      </c>
      <c r="FD39" s="613">
        <v>0.36259181846751076</v>
      </c>
      <c r="FE39" s="613">
        <v>0.18326857320519896</v>
      </c>
      <c r="FF39" s="613">
        <v>0.23871210854472424</v>
      </c>
      <c r="FG39" s="613">
        <v>0.86457493700391419</v>
      </c>
      <c r="FH39" s="613">
        <v>0.74842476208757447</v>
      </c>
      <c r="FI39" s="613">
        <v>0.48142652560066357</v>
      </c>
      <c r="FJ39" s="613">
        <v>0.3044309347253894</v>
      </c>
      <c r="FK39" s="613">
        <v>0.3449617907454357</v>
      </c>
      <c r="FL39" s="613">
        <v>0.28664548030547499</v>
      </c>
      <c r="FM39" s="613">
        <v>0.55130178287349185</v>
      </c>
      <c r="FN39" s="613">
        <v>0.78603314860158091</v>
      </c>
      <c r="FO39" s="613">
        <v>8.2579009096069064E-2</v>
      </c>
      <c r="FP39" s="613">
        <v>0.61906455989637788</v>
      </c>
      <c r="FQ39" s="613">
        <v>0.21510249350724961</v>
      </c>
      <c r="FR39" s="613">
        <v>0.5369675380864245</v>
      </c>
      <c r="FS39" s="613">
        <v>0.71381350718786973</v>
      </c>
      <c r="FT39" s="613">
        <v>0.53615234341678253</v>
      </c>
    </row>
    <row r="40" spans="1:176" x14ac:dyDescent="0.2">
      <c r="A40" s="1486" t="s">
        <v>2369</v>
      </c>
      <c r="B40" s="615">
        <v>16</v>
      </c>
      <c r="C40" s="615">
        <v>16</v>
      </c>
      <c r="D40" s="615">
        <v>16</v>
      </c>
      <c r="E40" s="615">
        <v>17</v>
      </c>
      <c r="F40" s="615">
        <v>16</v>
      </c>
      <c r="G40" s="615">
        <v>16</v>
      </c>
      <c r="H40" s="615">
        <v>16</v>
      </c>
      <c r="I40" s="615">
        <v>16</v>
      </c>
      <c r="J40" s="615">
        <v>16</v>
      </c>
      <c r="K40" s="615">
        <v>16</v>
      </c>
      <c r="L40" s="615">
        <v>16</v>
      </c>
      <c r="M40" s="615">
        <v>16</v>
      </c>
      <c r="N40" s="615">
        <v>16</v>
      </c>
      <c r="O40" s="615">
        <v>16</v>
      </c>
      <c r="P40" s="615">
        <v>2</v>
      </c>
      <c r="Q40" s="615">
        <v>2</v>
      </c>
      <c r="R40" s="615">
        <v>16</v>
      </c>
      <c r="S40" s="615">
        <v>16</v>
      </c>
      <c r="T40" s="615">
        <v>16</v>
      </c>
      <c r="U40" s="615">
        <v>16</v>
      </c>
      <c r="V40" s="615">
        <v>16</v>
      </c>
      <c r="W40" s="615">
        <v>16</v>
      </c>
      <c r="X40" s="615">
        <v>16</v>
      </c>
      <c r="Y40" s="615">
        <v>16</v>
      </c>
      <c r="Z40" s="615">
        <v>16</v>
      </c>
      <c r="AA40" s="615">
        <v>16</v>
      </c>
      <c r="AB40" s="615">
        <v>16</v>
      </c>
      <c r="AC40" s="615">
        <v>16</v>
      </c>
      <c r="AD40" s="615">
        <v>2</v>
      </c>
      <c r="AE40" s="615">
        <v>16</v>
      </c>
      <c r="AF40" s="615">
        <v>16</v>
      </c>
      <c r="AG40" s="615">
        <v>16</v>
      </c>
      <c r="AH40" s="615">
        <v>16</v>
      </c>
      <c r="AI40" s="615">
        <v>16</v>
      </c>
      <c r="AJ40" s="615">
        <v>2</v>
      </c>
      <c r="AK40" s="615">
        <v>2</v>
      </c>
      <c r="AL40" s="615">
        <v>2</v>
      </c>
      <c r="AM40" s="615">
        <v>2</v>
      </c>
      <c r="AN40" s="615">
        <v>1</v>
      </c>
      <c r="AO40" s="615">
        <v>1</v>
      </c>
      <c r="AP40" s="615">
        <v>16</v>
      </c>
      <c r="AQ40" s="615">
        <v>13</v>
      </c>
      <c r="AR40" s="615">
        <v>13</v>
      </c>
      <c r="AS40" s="615">
        <v>13</v>
      </c>
      <c r="AT40" s="615">
        <v>13</v>
      </c>
      <c r="AU40" s="615">
        <v>16</v>
      </c>
      <c r="AV40" s="615">
        <v>16</v>
      </c>
      <c r="AW40" s="615">
        <v>3</v>
      </c>
      <c r="AX40" s="615">
        <v>17</v>
      </c>
      <c r="AY40" s="615">
        <v>17</v>
      </c>
      <c r="AZ40" s="615">
        <v>17</v>
      </c>
      <c r="BA40" s="615">
        <v>17</v>
      </c>
      <c r="BB40" s="615">
        <v>13</v>
      </c>
      <c r="BC40" s="615">
        <v>13</v>
      </c>
      <c r="BD40" s="615">
        <v>14</v>
      </c>
      <c r="BE40" s="615">
        <v>13</v>
      </c>
      <c r="BF40" s="615">
        <v>14</v>
      </c>
      <c r="BG40" s="615">
        <v>16</v>
      </c>
      <c r="BH40" s="615">
        <v>16</v>
      </c>
      <c r="BI40" s="615">
        <v>16</v>
      </c>
      <c r="BJ40" s="615">
        <v>16</v>
      </c>
      <c r="BK40" s="615">
        <v>16</v>
      </c>
      <c r="BL40" s="615">
        <v>2</v>
      </c>
      <c r="BM40" s="615">
        <v>16</v>
      </c>
      <c r="BN40" s="615">
        <v>16</v>
      </c>
      <c r="BO40" s="615">
        <v>16</v>
      </c>
      <c r="BP40" s="615">
        <v>16</v>
      </c>
      <c r="BQ40" s="615">
        <v>16</v>
      </c>
      <c r="BR40" s="615">
        <v>16</v>
      </c>
      <c r="BS40" s="615">
        <v>17</v>
      </c>
      <c r="BT40" s="615">
        <v>17</v>
      </c>
      <c r="BU40" s="615">
        <v>17</v>
      </c>
      <c r="BV40" s="615">
        <v>2</v>
      </c>
      <c r="BW40" s="615">
        <v>3</v>
      </c>
      <c r="BX40" s="615">
        <v>3</v>
      </c>
      <c r="BY40" s="615">
        <v>3</v>
      </c>
      <c r="BZ40" s="615">
        <v>2</v>
      </c>
      <c r="CA40" s="615">
        <v>2</v>
      </c>
      <c r="CB40" s="615">
        <v>2</v>
      </c>
      <c r="CC40" s="615">
        <v>2</v>
      </c>
      <c r="CD40" s="615">
        <v>2</v>
      </c>
      <c r="CE40" s="615">
        <v>2</v>
      </c>
      <c r="CF40" s="615">
        <v>16</v>
      </c>
      <c r="CG40" s="615">
        <v>16</v>
      </c>
      <c r="CH40" s="615">
        <v>16</v>
      </c>
      <c r="CI40" s="615">
        <v>17</v>
      </c>
      <c r="CJ40" s="615">
        <v>17</v>
      </c>
      <c r="CK40" s="615">
        <v>17</v>
      </c>
      <c r="CL40" s="615">
        <v>3</v>
      </c>
      <c r="CM40" s="615">
        <v>2</v>
      </c>
      <c r="CN40" s="615">
        <v>2</v>
      </c>
      <c r="CO40" s="615">
        <v>2</v>
      </c>
      <c r="CP40" s="615">
        <v>16</v>
      </c>
      <c r="CQ40" s="615">
        <v>16</v>
      </c>
      <c r="CR40" s="615">
        <v>16</v>
      </c>
      <c r="CS40" s="615">
        <v>16</v>
      </c>
      <c r="CT40" s="615">
        <v>16</v>
      </c>
      <c r="CU40" s="615">
        <v>17</v>
      </c>
      <c r="CV40" s="615">
        <v>17</v>
      </c>
      <c r="CW40" s="615">
        <v>17</v>
      </c>
      <c r="CX40" s="615">
        <v>17</v>
      </c>
      <c r="CY40" s="615">
        <v>3</v>
      </c>
      <c r="CZ40" s="615">
        <v>3</v>
      </c>
      <c r="DA40" s="615">
        <v>12</v>
      </c>
      <c r="DB40" s="615">
        <v>12</v>
      </c>
      <c r="DC40" s="615">
        <v>12</v>
      </c>
      <c r="DD40" s="615">
        <v>12</v>
      </c>
      <c r="DE40" s="615">
        <v>12</v>
      </c>
      <c r="DF40" s="615">
        <v>12</v>
      </c>
      <c r="DG40" s="615">
        <v>12</v>
      </c>
      <c r="DH40" s="615">
        <v>12</v>
      </c>
      <c r="DI40" s="615">
        <v>3</v>
      </c>
      <c r="DJ40" s="615">
        <v>3</v>
      </c>
      <c r="DK40" s="615">
        <v>2</v>
      </c>
      <c r="DL40" s="615">
        <v>2</v>
      </c>
      <c r="DM40" s="615">
        <v>1</v>
      </c>
      <c r="DN40" s="615">
        <v>17</v>
      </c>
      <c r="DO40" s="615">
        <v>3</v>
      </c>
      <c r="DP40" s="615">
        <v>3</v>
      </c>
      <c r="DQ40" s="615">
        <v>3</v>
      </c>
      <c r="DR40" s="615">
        <v>3</v>
      </c>
      <c r="DS40" s="615">
        <v>3</v>
      </c>
      <c r="DT40" s="615">
        <v>16</v>
      </c>
      <c r="DU40" s="615">
        <v>16</v>
      </c>
      <c r="DV40" s="615">
        <v>1</v>
      </c>
      <c r="DW40" s="615">
        <v>13</v>
      </c>
      <c r="DX40" s="615">
        <v>17</v>
      </c>
      <c r="DY40" s="615">
        <v>13</v>
      </c>
      <c r="DZ40" s="615">
        <v>17</v>
      </c>
      <c r="EA40" s="615">
        <v>16</v>
      </c>
      <c r="EB40" s="615">
        <v>16</v>
      </c>
      <c r="EC40" s="615">
        <v>16</v>
      </c>
      <c r="ED40" s="615">
        <v>2</v>
      </c>
      <c r="EE40" s="615">
        <v>17</v>
      </c>
      <c r="EF40" s="615">
        <v>3</v>
      </c>
      <c r="EG40" s="615">
        <v>17</v>
      </c>
      <c r="EH40" s="615">
        <v>2</v>
      </c>
      <c r="EI40" s="615">
        <v>2</v>
      </c>
      <c r="EJ40" s="615">
        <v>16</v>
      </c>
      <c r="EK40" s="615">
        <v>12</v>
      </c>
      <c r="EL40" s="615">
        <v>12</v>
      </c>
      <c r="EM40" s="615">
        <v>12</v>
      </c>
      <c r="EN40" s="615">
        <v>12</v>
      </c>
      <c r="EO40" s="615">
        <v>3</v>
      </c>
      <c r="EP40" s="615">
        <v>2</v>
      </c>
      <c r="EQ40" s="615">
        <v>17</v>
      </c>
      <c r="ER40" s="615">
        <v>17</v>
      </c>
      <c r="ES40" s="615">
        <v>2</v>
      </c>
      <c r="ET40" s="615">
        <v>3</v>
      </c>
      <c r="EU40" s="615">
        <v>16</v>
      </c>
      <c r="EV40" s="615">
        <v>1</v>
      </c>
      <c r="EW40" s="615">
        <v>17</v>
      </c>
      <c r="EX40" s="615">
        <v>17</v>
      </c>
      <c r="EY40" s="615">
        <v>3</v>
      </c>
      <c r="EZ40" s="615">
        <v>2</v>
      </c>
      <c r="FA40" s="615">
        <v>1</v>
      </c>
      <c r="FB40" s="615">
        <v>17</v>
      </c>
      <c r="FC40" s="615">
        <v>17</v>
      </c>
      <c r="FD40" s="615">
        <v>17</v>
      </c>
      <c r="FE40" s="615">
        <v>1</v>
      </c>
      <c r="FF40" s="615">
        <v>12</v>
      </c>
      <c r="FG40" s="615">
        <v>3</v>
      </c>
      <c r="FH40" s="615">
        <v>1</v>
      </c>
      <c r="FI40" s="615">
        <v>17</v>
      </c>
      <c r="FJ40" s="615">
        <v>3</v>
      </c>
      <c r="FK40" s="615">
        <v>12</v>
      </c>
      <c r="FL40" s="615">
        <v>16</v>
      </c>
      <c r="FM40" s="615">
        <v>16</v>
      </c>
      <c r="FN40" s="615">
        <v>3</v>
      </c>
      <c r="FO40" s="615">
        <v>1</v>
      </c>
      <c r="FP40" s="615">
        <v>3</v>
      </c>
      <c r="FQ40" s="615">
        <v>17</v>
      </c>
      <c r="FR40" s="615">
        <v>1</v>
      </c>
      <c r="FS40" s="615">
        <v>12</v>
      </c>
      <c r="FT40" s="615">
        <v>16</v>
      </c>
    </row>
    <row r="41" spans="1:176" x14ac:dyDescent="0.2">
      <c r="A41" s="1486" t="s">
        <v>2269</v>
      </c>
      <c r="B41">
        <v>0.75161249128314245</v>
      </c>
      <c r="C41" s="613">
        <v>0.96403201619872325</v>
      </c>
      <c r="D41" s="613">
        <v>0.85269488605310295</v>
      </c>
      <c r="E41" s="613">
        <v>0.85505897820079835</v>
      </c>
      <c r="F41" s="613">
        <v>0.92825906693548366</v>
      </c>
      <c r="G41" s="613">
        <v>0.92813850830892275</v>
      </c>
      <c r="H41" s="613">
        <v>0.97059173777595864</v>
      </c>
      <c r="I41" s="613">
        <v>0.96800182818582081</v>
      </c>
      <c r="J41" s="613">
        <v>0.95676899145403871</v>
      </c>
      <c r="K41" s="613">
        <v>0.93961509430754719</v>
      </c>
      <c r="L41" s="613">
        <v>0.64851466475882358</v>
      </c>
      <c r="M41" s="613">
        <v>0.95665321705894057</v>
      </c>
      <c r="N41" s="613">
        <v>0.96755143833469381</v>
      </c>
      <c r="O41" s="613">
        <v>0.94974946234436897</v>
      </c>
      <c r="P41" s="613">
        <v>0.93464734571851382</v>
      </c>
      <c r="Q41" s="613">
        <v>0.93941688462634476</v>
      </c>
      <c r="R41" s="613">
        <v>0.90871305749902065</v>
      </c>
      <c r="S41" s="613">
        <v>0.87110494343396039</v>
      </c>
      <c r="T41" s="613">
        <v>0.92524844620143343</v>
      </c>
      <c r="U41" s="613">
        <v>0.92236557416210174</v>
      </c>
      <c r="V41" s="613">
        <v>0.84981418597345693</v>
      </c>
      <c r="W41" s="613">
        <v>0.8726675948114031</v>
      </c>
      <c r="X41" s="613">
        <v>0.88058840423973361</v>
      </c>
      <c r="Y41" s="613">
        <v>0.76565106357261115</v>
      </c>
      <c r="Z41" s="613">
        <v>0.8598364036412699</v>
      </c>
      <c r="AA41" s="613">
        <v>0.8530942377322146</v>
      </c>
      <c r="AB41" s="613">
        <v>0.84083064938175378</v>
      </c>
      <c r="AC41" s="613">
        <v>0.92495965795996204</v>
      </c>
      <c r="AD41" s="613">
        <v>0.81244036187905311</v>
      </c>
      <c r="AE41" s="613">
        <v>0.53076014067309651</v>
      </c>
      <c r="AF41" s="613">
        <v>0.93864095404078141</v>
      </c>
      <c r="AG41" s="613">
        <v>0.76704493530268925</v>
      </c>
      <c r="AH41" s="613">
        <v>0.91680374953027466</v>
      </c>
      <c r="AI41" s="613">
        <v>0.93347289667831435</v>
      </c>
      <c r="AJ41" s="613">
        <v>0.79888471637922753</v>
      </c>
      <c r="AK41" s="613">
        <v>0.62273363949389038</v>
      </c>
      <c r="AL41" s="613">
        <v>0.54561658792365997</v>
      </c>
      <c r="AM41" s="613">
        <v>0.5906942529791166</v>
      </c>
      <c r="AN41" s="613">
        <v>0.60970116562020538</v>
      </c>
      <c r="AO41" s="613">
        <v>0.70799686162300657</v>
      </c>
      <c r="AP41" s="613">
        <v>0.6825351055281873</v>
      </c>
      <c r="AQ41" s="613">
        <v>0.76779818538799394</v>
      </c>
      <c r="AR41" s="613">
        <v>0.46365748889892444</v>
      </c>
      <c r="AS41" s="613">
        <v>0.77736882565971444</v>
      </c>
      <c r="AT41" s="613">
        <v>0.57212345202054959</v>
      </c>
      <c r="AU41" s="613">
        <v>0.69567240945711539</v>
      </c>
      <c r="AV41" s="613">
        <v>0.47874424659518322</v>
      </c>
      <c r="AW41" s="613">
        <v>0.91685116770770703</v>
      </c>
      <c r="AX41" s="613">
        <v>0.63161224907032421</v>
      </c>
      <c r="AY41" s="613">
        <v>0.5188313935411426</v>
      </c>
      <c r="AZ41" s="613">
        <v>0.74222706242689684</v>
      </c>
      <c r="BA41" s="613">
        <v>0.72009761655764126</v>
      </c>
      <c r="BB41" s="613">
        <v>0.76447864205421812</v>
      </c>
      <c r="BC41" s="613">
        <v>0.8640402923235535</v>
      </c>
      <c r="BD41" s="613">
        <v>0.99522613250153524</v>
      </c>
      <c r="BE41" s="613">
        <v>0.75659115161351664</v>
      </c>
      <c r="BF41" s="613">
        <v>0.77927732275454509</v>
      </c>
      <c r="BG41" s="613">
        <v>0.73742359185473239</v>
      </c>
      <c r="BH41" s="613">
        <v>0.80453175633152207</v>
      </c>
      <c r="BI41" s="613">
        <v>0.73323019169895942</v>
      </c>
      <c r="BJ41" s="613">
        <v>0.88636001419025734</v>
      </c>
      <c r="BK41" s="613">
        <v>0.85682379574221756</v>
      </c>
      <c r="BL41" s="613">
        <v>0.62694511596661373</v>
      </c>
      <c r="BM41" s="613">
        <v>0.71530674664973082</v>
      </c>
      <c r="BN41" s="613">
        <v>0.87339155172763461</v>
      </c>
      <c r="BO41" s="613">
        <v>0.50038827489820892</v>
      </c>
      <c r="BP41" s="613">
        <v>0.75813133301956093</v>
      </c>
      <c r="BQ41" s="613">
        <v>0.77056457357694341</v>
      </c>
      <c r="BR41" s="613">
        <v>0.50363617899810398</v>
      </c>
      <c r="BS41" s="613">
        <v>0.63167405009219779</v>
      </c>
      <c r="BT41" s="613">
        <v>0.56487994892575755</v>
      </c>
      <c r="BU41" s="613">
        <v>0.73046549101447644</v>
      </c>
      <c r="BV41" s="613">
        <v>0.82129799275076532</v>
      </c>
      <c r="BW41" s="613">
        <v>0.93017254270051986</v>
      </c>
      <c r="BX41" s="613">
        <v>0.78329978758532814</v>
      </c>
      <c r="BY41" s="613">
        <v>0.58893452106171074</v>
      </c>
      <c r="BZ41" s="613">
        <v>0.8306270242007513</v>
      </c>
      <c r="CA41" s="613">
        <v>0.50004570548469696</v>
      </c>
      <c r="CB41" s="613">
        <v>0.572404566148767</v>
      </c>
      <c r="CC41" s="613">
        <v>0.65437135115307665</v>
      </c>
      <c r="CD41" s="613">
        <v>0.93234646803834254</v>
      </c>
      <c r="CE41" s="613">
        <v>0.83554512067980291</v>
      </c>
      <c r="CF41" s="613">
        <v>0.38449691369703465</v>
      </c>
      <c r="CG41" s="613">
        <v>0.93762480950693827</v>
      </c>
      <c r="CH41" s="613">
        <v>0.92979333288551502</v>
      </c>
      <c r="CI41" s="613">
        <v>0.89858747159679808</v>
      </c>
      <c r="CJ41" s="613">
        <v>0.87734894650128648</v>
      </c>
      <c r="CK41" s="613">
        <v>0.57279846955783542</v>
      </c>
      <c r="CL41" s="613">
        <v>0.75420480473479923</v>
      </c>
      <c r="CM41" s="613">
        <v>0.77957977649838217</v>
      </c>
      <c r="CN41" s="613">
        <v>0.32329404409991652</v>
      </c>
      <c r="CO41" s="613">
        <v>0.49469648662042487</v>
      </c>
      <c r="CP41" s="613">
        <v>0.804808293973302</v>
      </c>
      <c r="CQ41" s="613">
        <v>0.93558502016481115</v>
      </c>
      <c r="CR41" s="613">
        <v>0.93526242011611527</v>
      </c>
      <c r="CS41" s="613">
        <v>0.74385777353028348</v>
      </c>
      <c r="CT41" s="613">
        <v>0.91736048924206792</v>
      </c>
      <c r="CU41" s="613">
        <v>0.82757213961179077</v>
      </c>
      <c r="CV41" s="613">
        <v>0.85010156568733652</v>
      </c>
      <c r="CW41" s="613">
        <v>0.89311360984794042</v>
      </c>
      <c r="CX41" s="613">
        <v>0.39557836422315434</v>
      </c>
      <c r="CY41" s="613">
        <v>0.83697629338783353</v>
      </c>
      <c r="CZ41" s="613">
        <v>0.59222013160560971</v>
      </c>
      <c r="DA41" s="613">
        <v>0.60526649024684054</v>
      </c>
      <c r="DB41" s="613">
        <v>0.79042786616438521</v>
      </c>
      <c r="DC41" s="613">
        <v>0.93377841343580126</v>
      </c>
      <c r="DD41" s="613">
        <v>0.73971833352489935</v>
      </c>
      <c r="DE41" s="613">
        <v>0.47531120425434559</v>
      </c>
      <c r="DF41" s="613">
        <v>0.58303877138510818</v>
      </c>
      <c r="DG41" s="613">
        <v>0.78075297649612407</v>
      </c>
      <c r="DH41" s="613">
        <v>0.45579723102016256</v>
      </c>
      <c r="DI41" s="613">
        <v>0.50349158478991529</v>
      </c>
      <c r="DJ41" s="613">
        <v>0.67394990212832584</v>
      </c>
      <c r="DK41" s="613">
        <v>0.92261182715808998</v>
      </c>
      <c r="DL41" s="613">
        <v>0.6086395404390027</v>
      </c>
      <c r="DM41" s="613">
        <v>0.69862146447164197</v>
      </c>
      <c r="DN41" s="613">
        <v>0.84757202583713476</v>
      </c>
      <c r="DO41" s="613">
        <v>0.51818790222863309</v>
      </c>
      <c r="DP41" s="613">
        <v>0.86989491459344381</v>
      </c>
      <c r="DQ41" s="613">
        <v>0.59432199722854162</v>
      </c>
      <c r="DR41" s="613">
        <v>0.93735134933633424</v>
      </c>
      <c r="DS41" s="613">
        <v>0.60735484752893132</v>
      </c>
      <c r="DT41" s="613">
        <v>0.77499281312087531</v>
      </c>
      <c r="DU41" s="613">
        <v>0.59841009173919446</v>
      </c>
      <c r="DV41" s="613">
        <v>0.96986061809789781</v>
      </c>
      <c r="DW41" s="613">
        <v>0.77151457947353685</v>
      </c>
      <c r="DX41" s="613">
        <v>0.3692550648122685</v>
      </c>
      <c r="DY41" s="613">
        <v>0.55980955033656166</v>
      </c>
      <c r="DZ41" s="613">
        <v>0.83432693255791157</v>
      </c>
      <c r="EA41" s="613">
        <v>0.54234054744319393</v>
      </c>
      <c r="EB41" s="613">
        <v>0.42857466201797134</v>
      </c>
      <c r="EC41" s="613">
        <v>0.46037679185967079</v>
      </c>
      <c r="ED41" s="613">
        <v>0.84164024230693779</v>
      </c>
      <c r="EE41" s="613">
        <v>0.8562221537874608</v>
      </c>
      <c r="EF41" s="613">
        <v>0.71528894431961154</v>
      </c>
      <c r="EG41" s="613">
        <v>0.81338030486991952</v>
      </c>
      <c r="EH41" s="613">
        <v>0.89599300199568765</v>
      </c>
      <c r="EI41" s="613">
        <v>0.81831875798372278</v>
      </c>
      <c r="EJ41" s="613">
        <v>0.87239280990641077</v>
      </c>
      <c r="EK41" s="613">
        <v>0.61668322742375092</v>
      </c>
      <c r="EL41" s="613">
        <v>0.83695366096518187</v>
      </c>
      <c r="EM41" s="613">
        <v>0.72476019514730183</v>
      </c>
      <c r="EN41" s="613">
        <v>0.66094828242828574</v>
      </c>
      <c r="EO41" s="613">
        <v>0.70242723690236275</v>
      </c>
      <c r="EP41" s="613">
        <v>0.68606603881819217</v>
      </c>
      <c r="EQ41" s="613">
        <v>0.84375289001852138</v>
      </c>
      <c r="ER41" s="613">
        <v>0.8864062842867364</v>
      </c>
      <c r="ES41" s="613">
        <v>0.75137961064005621</v>
      </c>
      <c r="ET41" s="613">
        <v>0.66715908829677906</v>
      </c>
      <c r="EU41" s="613">
        <v>0.92300935541805751</v>
      </c>
      <c r="EV41" s="613">
        <v>0.68257118457355925</v>
      </c>
      <c r="EW41" s="613">
        <v>0.8702767957551556</v>
      </c>
      <c r="EX41" s="613">
        <v>0.47683907631745481</v>
      </c>
      <c r="EY41" s="613">
        <v>0.73288062681868194</v>
      </c>
      <c r="EZ41" s="613">
        <v>0.59545231694290413</v>
      </c>
      <c r="FA41" s="613">
        <v>0.83762667409210756</v>
      </c>
      <c r="FB41" s="613">
        <v>0.84767836613709791</v>
      </c>
      <c r="FC41" s="613">
        <v>0.80808432490695092</v>
      </c>
      <c r="FD41" s="613">
        <v>0.86718005305988755</v>
      </c>
      <c r="FE41" s="613">
        <v>0.69019599137801257</v>
      </c>
      <c r="FF41" s="613">
        <v>0.71295179882834436</v>
      </c>
      <c r="FG41" s="613">
        <v>0.65164389189084382</v>
      </c>
      <c r="FH41" s="613">
        <v>0.51708808916187265</v>
      </c>
      <c r="FI41" s="613">
        <v>0.90662144324793037</v>
      </c>
      <c r="FJ41" s="613">
        <v>0.80626036617090557</v>
      </c>
      <c r="FK41" s="613">
        <v>0.54568369418708162</v>
      </c>
      <c r="FL41" s="613">
        <v>0.74406773434008711</v>
      </c>
      <c r="FM41" s="613">
        <v>0.68189939493813423</v>
      </c>
      <c r="FN41" s="613">
        <v>0.70771491494572458</v>
      </c>
      <c r="FO41" s="613">
        <v>0.73791903252334667</v>
      </c>
      <c r="FP41" s="613">
        <v>0.79344401892480287</v>
      </c>
      <c r="FQ41" s="613">
        <v>0.46616481911896157</v>
      </c>
      <c r="FR41" s="613">
        <v>0.79800102615060897</v>
      </c>
      <c r="FS41" s="613">
        <v>0.61733032385198539</v>
      </c>
      <c r="FT41" s="613">
        <v>0.48940121508222567</v>
      </c>
    </row>
    <row r="42" spans="1:176" x14ac:dyDescent="0.2">
      <c r="A42" s="1486" t="s">
        <v>2270</v>
      </c>
      <c r="B42" t="s">
        <v>1228</v>
      </c>
      <c r="C42" s="613" t="s">
        <v>1227</v>
      </c>
      <c r="D42" s="613" t="s">
        <v>1227</v>
      </c>
      <c r="E42" s="613" t="s">
        <v>1227</v>
      </c>
      <c r="F42" s="613" t="s">
        <v>1227</v>
      </c>
      <c r="G42" s="613" t="s">
        <v>1227</v>
      </c>
      <c r="H42" s="613" t="s">
        <v>1227</v>
      </c>
      <c r="I42" s="613" t="s">
        <v>1227</v>
      </c>
      <c r="J42" s="613" t="s">
        <v>1227</v>
      </c>
      <c r="K42" s="613" t="s">
        <v>1227</v>
      </c>
      <c r="L42" s="613" t="s">
        <v>1234</v>
      </c>
      <c r="M42" s="613" t="s">
        <v>1227</v>
      </c>
      <c r="N42" s="613" t="s">
        <v>1227</v>
      </c>
      <c r="O42" s="613" t="s">
        <v>1227</v>
      </c>
      <c r="P42" s="613" t="s">
        <v>1227</v>
      </c>
      <c r="Q42" s="613" t="s">
        <v>1227</v>
      </c>
      <c r="R42" s="613" t="s">
        <v>1227</v>
      </c>
      <c r="S42" s="613" t="s">
        <v>1227</v>
      </c>
      <c r="T42" s="613" t="s">
        <v>1227</v>
      </c>
      <c r="U42" s="613" t="s">
        <v>1227</v>
      </c>
      <c r="V42" s="613" t="s">
        <v>1227</v>
      </c>
      <c r="W42" s="613" t="s">
        <v>1227</v>
      </c>
      <c r="X42" s="613" t="s">
        <v>1227</v>
      </c>
      <c r="Y42" s="613" t="s">
        <v>1228</v>
      </c>
      <c r="Z42" s="613" t="s">
        <v>1227</v>
      </c>
      <c r="AA42" s="613" t="s">
        <v>1227</v>
      </c>
      <c r="AB42" s="613" t="s">
        <v>1227</v>
      </c>
      <c r="AC42" s="613" t="s">
        <v>1227</v>
      </c>
      <c r="AD42" s="613" t="s">
        <v>1228</v>
      </c>
      <c r="AE42" s="613" t="s">
        <v>1234</v>
      </c>
      <c r="AF42" s="613" t="s">
        <v>1227</v>
      </c>
      <c r="AG42" s="613" t="s">
        <v>1228</v>
      </c>
      <c r="AH42" s="613" t="s">
        <v>1227</v>
      </c>
      <c r="AI42" s="613" t="s">
        <v>1227</v>
      </c>
      <c r="AJ42" s="613" t="s">
        <v>1228</v>
      </c>
      <c r="AK42" s="613" t="s">
        <v>1234</v>
      </c>
      <c r="AL42" s="613" t="s">
        <v>1234</v>
      </c>
      <c r="AM42" s="613" t="s">
        <v>1234</v>
      </c>
      <c r="AN42" s="613" t="s">
        <v>1234</v>
      </c>
      <c r="AO42" s="613" t="s">
        <v>1229</v>
      </c>
      <c r="AP42" s="613" t="s">
        <v>1234</v>
      </c>
      <c r="AQ42" s="613" t="s">
        <v>1228</v>
      </c>
      <c r="AR42" s="613" t="s">
        <v>1234</v>
      </c>
      <c r="AS42" s="613" t="s">
        <v>1228</v>
      </c>
      <c r="AT42" s="613" t="s">
        <v>1234</v>
      </c>
      <c r="AU42" s="613" t="s">
        <v>1234</v>
      </c>
      <c r="AV42" s="613" t="s">
        <v>1234</v>
      </c>
      <c r="AW42" s="613" t="s">
        <v>1227</v>
      </c>
      <c r="AX42" s="613" t="s">
        <v>1234</v>
      </c>
      <c r="AY42" s="613" t="s">
        <v>1234</v>
      </c>
      <c r="AZ42" s="613" t="s">
        <v>1229</v>
      </c>
      <c r="BA42" s="613" t="s">
        <v>1229</v>
      </c>
      <c r="BB42" s="613" t="s">
        <v>1228</v>
      </c>
      <c r="BC42" s="613" t="s">
        <v>1227</v>
      </c>
      <c r="BD42" s="613" t="s">
        <v>1227</v>
      </c>
      <c r="BE42" s="613" t="s">
        <v>1228</v>
      </c>
      <c r="BF42" s="613" t="s">
        <v>1228</v>
      </c>
      <c r="BG42" s="613" t="s">
        <v>1229</v>
      </c>
      <c r="BH42" s="613" t="s">
        <v>1228</v>
      </c>
      <c r="BI42" s="613" t="s">
        <v>1229</v>
      </c>
      <c r="BJ42" s="613" t="s">
        <v>1227</v>
      </c>
      <c r="BK42" s="613" t="s">
        <v>1227</v>
      </c>
      <c r="BL42" s="613" t="s">
        <v>1234</v>
      </c>
      <c r="BM42" s="613" t="s">
        <v>1229</v>
      </c>
      <c r="BN42" s="613" t="s">
        <v>1227</v>
      </c>
      <c r="BO42" s="613" t="s">
        <v>1234</v>
      </c>
      <c r="BP42" s="613" t="s">
        <v>1228</v>
      </c>
      <c r="BQ42" s="613" t="s">
        <v>1228</v>
      </c>
      <c r="BR42" s="613" t="s">
        <v>1234</v>
      </c>
      <c r="BS42" s="613" t="s">
        <v>1234</v>
      </c>
      <c r="BT42" s="613" t="s">
        <v>1234</v>
      </c>
      <c r="BU42" s="613" t="s">
        <v>1229</v>
      </c>
      <c r="BV42" s="613" t="s">
        <v>1227</v>
      </c>
      <c r="BW42" s="613" t="s">
        <v>1227</v>
      </c>
      <c r="BX42" s="613" t="s">
        <v>1228</v>
      </c>
      <c r="BY42" s="613" t="s">
        <v>1234</v>
      </c>
      <c r="BZ42" s="613" t="s">
        <v>1227</v>
      </c>
      <c r="CA42" s="613" t="s">
        <v>1234</v>
      </c>
      <c r="CB42" s="613" t="s">
        <v>1234</v>
      </c>
      <c r="CC42" s="613" t="s">
        <v>1234</v>
      </c>
      <c r="CD42" s="613" t="s">
        <v>1227</v>
      </c>
      <c r="CE42" s="613" t="s">
        <v>1227</v>
      </c>
      <c r="CF42" s="613" t="s">
        <v>1234</v>
      </c>
      <c r="CG42" s="613" t="s">
        <v>1227</v>
      </c>
      <c r="CH42" s="613" t="s">
        <v>1227</v>
      </c>
      <c r="CI42" s="613" t="s">
        <v>1227</v>
      </c>
      <c r="CJ42" s="613" t="s">
        <v>1227</v>
      </c>
      <c r="CK42" s="613" t="s">
        <v>1234</v>
      </c>
      <c r="CL42" s="613" t="s">
        <v>1228</v>
      </c>
      <c r="CM42" s="613" t="s">
        <v>1228</v>
      </c>
      <c r="CN42" s="613" t="s">
        <v>1234</v>
      </c>
      <c r="CO42" s="613" t="s">
        <v>1234</v>
      </c>
      <c r="CP42" s="613" t="s">
        <v>1228</v>
      </c>
      <c r="CQ42" s="613" t="s">
        <v>1227</v>
      </c>
      <c r="CR42" s="613" t="s">
        <v>1227</v>
      </c>
      <c r="CS42" s="613" t="s">
        <v>1229</v>
      </c>
      <c r="CT42" s="613" t="s">
        <v>1227</v>
      </c>
      <c r="CU42" s="613" t="s">
        <v>1227</v>
      </c>
      <c r="CV42" s="613" t="s">
        <v>1227</v>
      </c>
      <c r="CW42" s="613" t="s">
        <v>1227</v>
      </c>
      <c r="CX42" s="613" t="s">
        <v>1234</v>
      </c>
      <c r="CY42" s="613" t="s">
        <v>1227</v>
      </c>
      <c r="CZ42" s="613" t="s">
        <v>1234</v>
      </c>
      <c r="DA42" s="613" t="s">
        <v>1234</v>
      </c>
      <c r="DB42" s="613" t="s">
        <v>1228</v>
      </c>
      <c r="DC42" s="613" t="s">
        <v>1227</v>
      </c>
      <c r="DD42" s="613" t="s">
        <v>1229</v>
      </c>
      <c r="DE42" s="613" t="s">
        <v>1234</v>
      </c>
      <c r="DF42" s="613" t="s">
        <v>1234</v>
      </c>
      <c r="DG42" s="613" t="s">
        <v>1228</v>
      </c>
      <c r="DH42" s="613" t="s">
        <v>1234</v>
      </c>
      <c r="DI42" s="613" t="s">
        <v>1234</v>
      </c>
      <c r="DJ42" s="613" t="s">
        <v>1234</v>
      </c>
      <c r="DK42" s="613" t="s">
        <v>1227</v>
      </c>
      <c r="DL42" s="613" t="s">
        <v>1234</v>
      </c>
      <c r="DM42" s="613" t="s">
        <v>1234</v>
      </c>
      <c r="DN42" s="613" t="s">
        <v>1227</v>
      </c>
      <c r="DO42" s="613" t="s">
        <v>1234</v>
      </c>
      <c r="DP42" s="613" t="s">
        <v>1227</v>
      </c>
      <c r="DQ42" s="613" t="s">
        <v>1234</v>
      </c>
      <c r="DR42" s="613" t="s">
        <v>1227</v>
      </c>
      <c r="DS42" s="613" t="s">
        <v>1234</v>
      </c>
      <c r="DT42" s="613" t="s">
        <v>1228</v>
      </c>
      <c r="DU42" s="613" t="s">
        <v>1234</v>
      </c>
      <c r="DV42" s="613" t="s">
        <v>1227</v>
      </c>
      <c r="DW42" s="613" t="s">
        <v>1228</v>
      </c>
      <c r="DX42" s="613" t="s">
        <v>1234</v>
      </c>
      <c r="DY42" s="613" t="s">
        <v>1234</v>
      </c>
      <c r="DZ42" s="613" t="s">
        <v>1227</v>
      </c>
      <c r="EA42" s="613" t="s">
        <v>1234</v>
      </c>
      <c r="EB42" s="613" t="s">
        <v>1234</v>
      </c>
      <c r="EC42" s="613" t="s">
        <v>1234</v>
      </c>
      <c r="ED42" s="613" t="s">
        <v>1227</v>
      </c>
      <c r="EE42" s="613" t="s">
        <v>1227</v>
      </c>
      <c r="EF42" s="613" t="s">
        <v>1229</v>
      </c>
      <c r="EG42" s="613" t="s">
        <v>1228</v>
      </c>
      <c r="EH42" s="613" t="s">
        <v>1227</v>
      </c>
      <c r="EI42" s="613" t="s">
        <v>1228</v>
      </c>
      <c r="EJ42" s="613" t="s">
        <v>1227</v>
      </c>
      <c r="EK42" s="613" t="s">
        <v>1234</v>
      </c>
      <c r="EL42" s="613" t="s">
        <v>1227</v>
      </c>
      <c r="EM42" s="613" t="s">
        <v>1229</v>
      </c>
      <c r="EN42" s="613" t="s">
        <v>1234</v>
      </c>
      <c r="EO42" s="613" t="s">
        <v>1234</v>
      </c>
      <c r="EP42" s="613" t="s">
        <v>1234</v>
      </c>
      <c r="EQ42" s="613" t="s">
        <v>1227</v>
      </c>
      <c r="ER42" s="613" t="s">
        <v>1227</v>
      </c>
      <c r="ES42" s="613" t="s">
        <v>1228</v>
      </c>
      <c r="ET42" s="613" t="s">
        <v>1234</v>
      </c>
      <c r="EU42" s="613" t="s">
        <v>1227</v>
      </c>
      <c r="EV42" s="613" t="s">
        <v>1234</v>
      </c>
      <c r="EW42" s="613" t="s">
        <v>1227</v>
      </c>
      <c r="EX42" s="613" t="s">
        <v>1234</v>
      </c>
      <c r="EY42" s="613" t="s">
        <v>1229</v>
      </c>
      <c r="EZ42" s="613" t="s">
        <v>1234</v>
      </c>
      <c r="FA42" s="613" t="s">
        <v>1227</v>
      </c>
      <c r="FB42" s="613" t="s">
        <v>1227</v>
      </c>
      <c r="FC42" s="613" t="s">
        <v>1228</v>
      </c>
      <c r="FD42" s="613" t="s">
        <v>1227</v>
      </c>
      <c r="FE42" s="613" t="s">
        <v>1234</v>
      </c>
      <c r="FF42" s="613" t="s">
        <v>1229</v>
      </c>
      <c r="FG42" s="613" t="s">
        <v>1234</v>
      </c>
      <c r="FH42" s="613" t="s">
        <v>1234</v>
      </c>
      <c r="FI42" s="613" t="s">
        <v>1227</v>
      </c>
      <c r="FJ42" s="613" t="s">
        <v>1228</v>
      </c>
      <c r="FK42" s="613" t="s">
        <v>1234</v>
      </c>
      <c r="FL42" s="613" t="s">
        <v>1229</v>
      </c>
      <c r="FM42" s="613" t="s">
        <v>1234</v>
      </c>
      <c r="FN42" s="613" t="s">
        <v>1229</v>
      </c>
      <c r="FO42" s="613" t="s">
        <v>1229</v>
      </c>
      <c r="FP42" s="613" t="s">
        <v>1228</v>
      </c>
      <c r="FQ42" s="613" t="s">
        <v>1234</v>
      </c>
      <c r="FR42" s="613" t="s">
        <v>1228</v>
      </c>
      <c r="FS42" s="613" t="s">
        <v>1234</v>
      </c>
      <c r="FT42" s="613" t="s">
        <v>1234</v>
      </c>
    </row>
    <row r="43" spans="1:176" x14ac:dyDescent="0.2">
      <c r="A43" s="1486" t="s">
        <v>2271</v>
      </c>
      <c r="B43" s="615">
        <v>0</v>
      </c>
      <c r="C43" s="615">
        <v>0</v>
      </c>
      <c r="D43" s="615">
        <v>0</v>
      </c>
      <c r="E43" s="615">
        <v>-1</v>
      </c>
      <c r="F43" s="615">
        <v>0</v>
      </c>
      <c r="G43" s="615">
        <v>0</v>
      </c>
      <c r="H43" s="615">
        <v>0</v>
      </c>
      <c r="I43" s="615">
        <v>0</v>
      </c>
      <c r="J43" s="615">
        <v>0</v>
      </c>
      <c r="K43" s="615">
        <v>0</v>
      </c>
      <c r="L43" s="615">
        <v>0</v>
      </c>
      <c r="M43" s="615">
        <v>0</v>
      </c>
      <c r="N43" s="615">
        <v>0</v>
      </c>
      <c r="O43" s="615">
        <v>0</v>
      </c>
      <c r="P43" s="615">
        <v>0</v>
      </c>
      <c r="Q43" s="615">
        <v>0</v>
      </c>
      <c r="R43" s="615">
        <v>0</v>
      </c>
      <c r="S43" s="615">
        <v>0</v>
      </c>
      <c r="T43" s="615">
        <v>0</v>
      </c>
      <c r="U43" s="615">
        <v>0</v>
      </c>
      <c r="V43" s="615">
        <v>0</v>
      </c>
      <c r="W43" s="615">
        <v>0</v>
      </c>
      <c r="X43" s="615">
        <v>0</v>
      </c>
      <c r="Y43" s="615">
        <v>0</v>
      </c>
      <c r="Z43" s="615">
        <v>0</v>
      </c>
      <c r="AA43" s="615">
        <v>0</v>
      </c>
      <c r="AB43" s="615">
        <v>0</v>
      </c>
      <c r="AC43" s="615">
        <v>0</v>
      </c>
      <c r="AD43" s="615">
        <v>0</v>
      </c>
      <c r="AE43" s="615">
        <v>0</v>
      </c>
      <c r="AF43" s="615">
        <v>0</v>
      </c>
      <c r="AG43" s="615">
        <v>0</v>
      </c>
      <c r="AH43" s="615">
        <v>0</v>
      </c>
      <c r="AI43" s="615">
        <v>0</v>
      </c>
      <c r="AJ43" s="615">
        <v>0</v>
      </c>
      <c r="AK43" s="615">
        <v>0</v>
      </c>
      <c r="AL43" s="615">
        <v>0</v>
      </c>
      <c r="AM43" s="615">
        <v>0</v>
      </c>
      <c r="AN43" s="615">
        <v>0</v>
      </c>
      <c r="AO43" s="615">
        <v>0</v>
      </c>
      <c r="AP43" s="615">
        <v>0</v>
      </c>
      <c r="AQ43" s="615">
        <v>1</v>
      </c>
      <c r="AR43" s="615">
        <v>1</v>
      </c>
      <c r="AS43" s="615">
        <v>1</v>
      </c>
      <c r="AT43" s="615">
        <v>1</v>
      </c>
      <c r="AU43" s="615">
        <v>0</v>
      </c>
      <c r="AV43" s="615">
        <v>0</v>
      </c>
      <c r="AW43" s="615">
        <v>-1</v>
      </c>
      <c r="AX43" s="615">
        <v>-1</v>
      </c>
      <c r="AY43" s="615">
        <v>-1</v>
      </c>
      <c r="AZ43" s="615">
        <v>-1</v>
      </c>
      <c r="BA43" s="615">
        <v>-1</v>
      </c>
      <c r="BB43" s="615">
        <v>1</v>
      </c>
      <c r="BC43" s="615">
        <v>1</v>
      </c>
      <c r="BD43" s="615">
        <v>1</v>
      </c>
      <c r="BE43" s="615">
        <v>1</v>
      </c>
      <c r="BF43" s="615">
        <v>1</v>
      </c>
      <c r="BG43" s="615">
        <v>0</v>
      </c>
      <c r="BH43" s="615">
        <v>0</v>
      </c>
      <c r="BI43" s="615">
        <v>0</v>
      </c>
      <c r="BJ43" s="615">
        <v>0</v>
      </c>
      <c r="BK43" s="615">
        <v>0</v>
      </c>
      <c r="BL43" s="615">
        <v>0</v>
      </c>
      <c r="BM43" s="615">
        <v>0</v>
      </c>
      <c r="BN43" s="615">
        <v>0</v>
      </c>
      <c r="BO43" s="615">
        <v>0</v>
      </c>
      <c r="BP43" s="615">
        <v>0</v>
      </c>
      <c r="BQ43" s="615">
        <v>0</v>
      </c>
      <c r="BR43" s="615">
        <v>0</v>
      </c>
      <c r="BS43" s="615">
        <v>-1</v>
      </c>
      <c r="BT43" s="615">
        <v>-1</v>
      </c>
      <c r="BU43" s="615">
        <v>-1</v>
      </c>
      <c r="BV43" s="615">
        <v>0</v>
      </c>
      <c r="BW43" s="615">
        <v>-1</v>
      </c>
      <c r="BX43" s="615">
        <v>-1</v>
      </c>
      <c r="BY43" s="615">
        <v>-1</v>
      </c>
      <c r="BZ43" s="615">
        <v>0</v>
      </c>
      <c r="CA43" s="615">
        <v>0</v>
      </c>
      <c r="CB43" s="615">
        <v>0</v>
      </c>
      <c r="CC43" s="615">
        <v>0</v>
      </c>
      <c r="CD43" s="615">
        <v>0</v>
      </c>
      <c r="CE43" s="615">
        <v>0</v>
      </c>
      <c r="CF43" s="615">
        <v>0</v>
      </c>
      <c r="CG43" s="615">
        <v>0</v>
      </c>
      <c r="CH43" s="615">
        <v>0</v>
      </c>
      <c r="CI43" s="615">
        <v>-1</v>
      </c>
      <c r="CJ43" s="615">
        <v>-1</v>
      </c>
      <c r="CK43" s="615">
        <v>-1</v>
      </c>
      <c r="CL43" s="615">
        <v>-1</v>
      </c>
      <c r="CM43" s="615">
        <v>0</v>
      </c>
      <c r="CN43" s="615">
        <v>0</v>
      </c>
      <c r="CO43" s="615">
        <v>0</v>
      </c>
      <c r="CP43" s="615">
        <v>0</v>
      </c>
      <c r="CQ43" s="615">
        <v>0</v>
      </c>
      <c r="CR43" s="615">
        <v>0</v>
      </c>
      <c r="CS43" s="615">
        <v>0</v>
      </c>
      <c r="CT43" s="615">
        <v>0</v>
      </c>
      <c r="CU43" s="615">
        <v>-1</v>
      </c>
      <c r="CV43" s="615">
        <v>-1</v>
      </c>
      <c r="CW43" s="615">
        <v>-1</v>
      </c>
      <c r="CX43" s="615">
        <v>-1</v>
      </c>
      <c r="CY43" s="615">
        <v>-1</v>
      </c>
      <c r="CZ43" s="615">
        <v>-1</v>
      </c>
      <c r="DA43" s="615">
        <v>0</v>
      </c>
      <c r="DB43" s="615">
        <v>0</v>
      </c>
      <c r="DC43" s="615">
        <v>0</v>
      </c>
      <c r="DD43" s="615">
        <v>0</v>
      </c>
      <c r="DE43" s="615">
        <v>0</v>
      </c>
      <c r="DF43" s="615">
        <v>0</v>
      </c>
      <c r="DG43" s="615">
        <v>0</v>
      </c>
      <c r="DH43" s="615">
        <v>0</v>
      </c>
      <c r="DI43" s="615">
        <v>-1</v>
      </c>
      <c r="DJ43" s="615">
        <v>-1</v>
      </c>
      <c r="DK43" s="615">
        <v>0</v>
      </c>
      <c r="DL43" s="615">
        <v>0</v>
      </c>
      <c r="DM43" s="615">
        <v>0</v>
      </c>
      <c r="DN43" s="615">
        <v>-1</v>
      </c>
      <c r="DO43" s="615">
        <v>-1</v>
      </c>
      <c r="DP43" s="615">
        <v>-1</v>
      </c>
      <c r="DQ43" s="615">
        <v>-1</v>
      </c>
      <c r="DR43" s="615">
        <v>-1</v>
      </c>
      <c r="DS43" s="615">
        <v>-1</v>
      </c>
      <c r="DT43" s="615">
        <v>0</v>
      </c>
      <c r="DU43" s="615">
        <v>0</v>
      </c>
      <c r="DV43" s="615">
        <v>0</v>
      </c>
      <c r="DW43" s="615">
        <v>1</v>
      </c>
      <c r="DX43" s="615">
        <v>-1</v>
      </c>
      <c r="DY43" s="615">
        <v>1</v>
      </c>
      <c r="DZ43" s="615">
        <v>-1</v>
      </c>
      <c r="EA43" s="615">
        <v>0</v>
      </c>
      <c r="EB43" s="615">
        <v>0</v>
      </c>
      <c r="EC43" s="615">
        <v>0</v>
      </c>
      <c r="ED43" s="615">
        <v>0</v>
      </c>
      <c r="EE43" s="615">
        <v>-1</v>
      </c>
      <c r="EF43" s="615">
        <v>-1</v>
      </c>
      <c r="EG43" s="615">
        <v>-1</v>
      </c>
      <c r="EH43" s="615">
        <v>0</v>
      </c>
      <c r="EI43" s="615">
        <v>0</v>
      </c>
      <c r="EJ43" s="615">
        <v>0</v>
      </c>
      <c r="EK43" s="615">
        <v>0</v>
      </c>
      <c r="EL43" s="615">
        <v>0</v>
      </c>
      <c r="EM43" s="615">
        <v>0</v>
      </c>
      <c r="EN43" s="615">
        <v>0</v>
      </c>
      <c r="EO43" s="615">
        <v>-1</v>
      </c>
      <c r="EP43" s="615">
        <v>0</v>
      </c>
      <c r="EQ43" s="615">
        <v>-1</v>
      </c>
      <c r="ER43" s="615">
        <v>-1</v>
      </c>
      <c r="ES43" s="615">
        <v>0</v>
      </c>
      <c r="ET43" s="615">
        <v>-1</v>
      </c>
      <c r="EU43" s="615">
        <v>0</v>
      </c>
      <c r="EV43" s="615">
        <v>0</v>
      </c>
      <c r="EW43" s="615">
        <v>-1</v>
      </c>
      <c r="EX43" s="615">
        <v>-1</v>
      </c>
      <c r="EY43" s="615">
        <v>-1</v>
      </c>
      <c r="EZ43" s="615">
        <v>0</v>
      </c>
      <c r="FA43" s="615">
        <v>0</v>
      </c>
      <c r="FB43" s="615">
        <v>-1</v>
      </c>
      <c r="FC43" s="615">
        <v>-1</v>
      </c>
      <c r="FD43" s="615">
        <v>-1</v>
      </c>
      <c r="FE43" s="615">
        <v>0</v>
      </c>
      <c r="FF43" s="615">
        <v>0</v>
      </c>
      <c r="FG43" s="615">
        <v>-1</v>
      </c>
      <c r="FH43" s="615">
        <v>0</v>
      </c>
      <c r="FI43" s="615">
        <v>-1</v>
      </c>
      <c r="FJ43" s="615">
        <v>-1</v>
      </c>
      <c r="FK43" s="615">
        <v>0</v>
      </c>
      <c r="FL43" s="615">
        <v>0</v>
      </c>
      <c r="FM43" s="615">
        <v>0</v>
      </c>
      <c r="FN43" s="615">
        <v>-1</v>
      </c>
      <c r="FO43" s="615">
        <v>0</v>
      </c>
      <c r="FP43" s="615">
        <v>-1</v>
      </c>
      <c r="FQ43" s="615">
        <v>-1</v>
      </c>
      <c r="FR43" s="615">
        <v>0</v>
      </c>
      <c r="FS43" s="615">
        <v>0</v>
      </c>
      <c r="FT43" s="615">
        <v>0</v>
      </c>
    </row>
    <row r="44" spans="1:176" x14ac:dyDescent="0.2">
      <c r="A44" s="1486" t="s">
        <v>2272</v>
      </c>
      <c r="B44" t="s">
        <v>2371</v>
      </c>
      <c r="C44" s="613" t="s">
        <v>2370</v>
      </c>
      <c r="D44" s="613" t="s">
        <v>2370</v>
      </c>
      <c r="E44" s="613" t="s">
        <v>2371</v>
      </c>
      <c r="F44" s="613" t="s">
        <v>2370</v>
      </c>
      <c r="G44" s="613" t="s">
        <v>2370</v>
      </c>
      <c r="H44" s="613" t="s">
        <v>2370</v>
      </c>
      <c r="I44" s="613" t="s">
        <v>2370</v>
      </c>
      <c r="J44" s="613" t="s">
        <v>2370</v>
      </c>
      <c r="K44" s="613" t="s">
        <v>2370</v>
      </c>
      <c r="L44" s="613" t="s">
        <v>2373</v>
      </c>
      <c r="M44" s="613" t="s">
        <v>2370</v>
      </c>
      <c r="N44" s="613" t="s">
        <v>2370</v>
      </c>
      <c r="O44" s="613" t="s">
        <v>2370</v>
      </c>
      <c r="P44" s="613" t="s">
        <v>2370</v>
      </c>
      <c r="Q44" s="613" t="s">
        <v>2370</v>
      </c>
      <c r="R44" s="613" t="s">
        <v>2370</v>
      </c>
      <c r="S44" s="613" t="s">
        <v>2370</v>
      </c>
      <c r="T44" s="613" t="s">
        <v>2370</v>
      </c>
      <c r="U44" s="613" t="s">
        <v>2370</v>
      </c>
      <c r="V44" s="613" t="s">
        <v>2370</v>
      </c>
      <c r="W44" s="613" t="s">
        <v>2370</v>
      </c>
      <c r="X44" s="613" t="s">
        <v>2370</v>
      </c>
      <c r="Y44" s="613" t="s">
        <v>2371</v>
      </c>
      <c r="Z44" s="613" t="s">
        <v>2370</v>
      </c>
      <c r="AA44" s="613" t="s">
        <v>2370</v>
      </c>
      <c r="AB44" s="613" t="s">
        <v>2370</v>
      </c>
      <c r="AC44" s="613" t="s">
        <v>2370</v>
      </c>
      <c r="AD44" s="613" t="s">
        <v>2371</v>
      </c>
      <c r="AE44" s="613" t="s">
        <v>2373</v>
      </c>
      <c r="AF44" s="613" t="s">
        <v>2370</v>
      </c>
      <c r="AG44" s="613" t="s">
        <v>2371</v>
      </c>
      <c r="AH44" s="613" t="s">
        <v>2370</v>
      </c>
      <c r="AI44" s="613" t="s">
        <v>2370</v>
      </c>
      <c r="AJ44" s="613" t="s">
        <v>2371</v>
      </c>
      <c r="AK44" s="613" t="s">
        <v>2373</v>
      </c>
      <c r="AL44" s="613" t="s">
        <v>2373</v>
      </c>
      <c r="AM44" s="613" t="s">
        <v>2373</v>
      </c>
      <c r="AN44" s="613" t="s">
        <v>2373</v>
      </c>
      <c r="AO44" s="613" t="s">
        <v>2307</v>
      </c>
      <c r="AP44" s="613" t="s">
        <v>2373</v>
      </c>
      <c r="AQ44" s="613" t="s">
        <v>2370</v>
      </c>
      <c r="AR44" s="613" t="s">
        <v>2373</v>
      </c>
      <c r="AS44" s="613" t="s">
        <v>2370</v>
      </c>
      <c r="AT44" s="613" t="s">
        <v>2373</v>
      </c>
      <c r="AU44" s="613" t="s">
        <v>2373</v>
      </c>
      <c r="AV44" s="613" t="s">
        <v>2373</v>
      </c>
      <c r="AW44" s="613" t="s">
        <v>2370</v>
      </c>
      <c r="AX44" s="613" t="s">
        <v>2373</v>
      </c>
      <c r="AY44" s="613" t="s">
        <v>2373</v>
      </c>
      <c r="AZ44" s="613" t="s">
        <v>2373</v>
      </c>
      <c r="BA44" s="613" t="s">
        <v>2373</v>
      </c>
      <c r="BB44" s="613" t="s">
        <v>2370</v>
      </c>
      <c r="BC44" s="613" t="s">
        <v>2370</v>
      </c>
      <c r="BD44" s="613" t="s">
        <v>2370</v>
      </c>
      <c r="BE44" s="613" t="s">
        <v>2370</v>
      </c>
      <c r="BF44" s="613" t="s">
        <v>2370</v>
      </c>
      <c r="BG44" s="613" t="s">
        <v>2307</v>
      </c>
      <c r="BH44" s="613" t="s">
        <v>2371</v>
      </c>
      <c r="BI44" s="613" t="s">
        <v>2307</v>
      </c>
      <c r="BJ44" s="613" t="s">
        <v>2370</v>
      </c>
      <c r="BK44" s="613" t="s">
        <v>2370</v>
      </c>
      <c r="BL44" s="613" t="s">
        <v>2373</v>
      </c>
      <c r="BM44" s="613" t="s">
        <v>2307</v>
      </c>
      <c r="BN44" s="613" t="s">
        <v>2370</v>
      </c>
      <c r="BO44" s="613" t="s">
        <v>2373</v>
      </c>
      <c r="BP44" s="613" t="s">
        <v>2371</v>
      </c>
      <c r="BQ44" s="613" t="s">
        <v>2371</v>
      </c>
      <c r="BR44" s="613" t="s">
        <v>2373</v>
      </c>
      <c r="BS44" s="613" t="s">
        <v>2373</v>
      </c>
      <c r="BT44" s="613" t="s">
        <v>2373</v>
      </c>
      <c r="BU44" s="613" t="s">
        <v>2373</v>
      </c>
      <c r="BV44" s="613" t="s">
        <v>2370</v>
      </c>
      <c r="BW44" s="613" t="s">
        <v>2370</v>
      </c>
      <c r="BX44" s="613" t="s">
        <v>2307</v>
      </c>
      <c r="BY44" s="613" t="s">
        <v>2373</v>
      </c>
      <c r="BZ44" s="613" t="s">
        <v>2370</v>
      </c>
      <c r="CA44" s="613" t="s">
        <v>2373</v>
      </c>
      <c r="CB44" s="613" t="s">
        <v>2373</v>
      </c>
      <c r="CC44" s="613" t="s">
        <v>2373</v>
      </c>
      <c r="CD44" s="613" t="s">
        <v>2370</v>
      </c>
      <c r="CE44" s="613" t="s">
        <v>2370</v>
      </c>
      <c r="CF44" s="613" t="s">
        <v>2373</v>
      </c>
      <c r="CG44" s="613" t="s">
        <v>2370</v>
      </c>
      <c r="CH44" s="613" t="s">
        <v>2370</v>
      </c>
      <c r="CI44" s="613" t="s">
        <v>2371</v>
      </c>
      <c r="CJ44" s="613" t="s">
        <v>2371</v>
      </c>
      <c r="CK44" s="613" t="s">
        <v>2373</v>
      </c>
      <c r="CL44" s="613" t="s">
        <v>2307</v>
      </c>
      <c r="CM44" s="613" t="s">
        <v>2371</v>
      </c>
      <c r="CN44" s="613" t="s">
        <v>2373</v>
      </c>
      <c r="CO44" s="613" t="s">
        <v>2373</v>
      </c>
      <c r="CP44" s="613" t="s">
        <v>2371</v>
      </c>
      <c r="CQ44" s="613" t="s">
        <v>2370</v>
      </c>
      <c r="CR44" s="613" t="s">
        <v>2370</v>
      </c>
      <c r="CS44" s="613" t="s">
        <v>2307</v>
      </c>
      <c r="CT44" s="613" t="s">
        <v>2370</v>
      </c>
      <c r="CU44" s="613" t="s">
        <v>2371</v>
      </c>
      <c r="CV44" s="613" t="s">
        <v>2371</v>
      </c>
      <c r="CW44" s="613" t="s">
        <v>2371</v>
      </c>
      <c r="CX44" s="613" t="s">
        <v>2373</v>
      </c>
      <c r="CY44" s="613" t="s">
        <v>2370</v>
      </c>
      <c r="CZ44" s="613" t="s">
        <v>2373</v>
      </c>
      <c r="DA44" s="613" t="s">
        <v>2373</v>
      </c>
      <c r="DB44" s="613" t="s">
        <v>2371</v>
      </c>
      <c r="DC44" s="613" t="s">
        <v>2370</v>
      </c>
      <c r="DD44" s="613" t="s">
        <v>2307</v>
      </c>
      <c r="DE44" s="613" t="s">
        <v>2373</v>
      </c>
      <c r="DF44" s="613" t="s">
        <v>2373</v>
      </c>
      <c r="DG44" s="613" t="s">
        <v>2371</v>
      </c>
      <c r="DH44" s="613" t="s">
        <v>2373</v>
      </c>
      <c r="DI44" s="613" t="s">
        <v>2373</v>
      </c>
      <c r="DJ44" s="613" t="s">
        <v>2373</v>
      </c>
      <c r="DK44" s="613" t="s">
        <v>2370</v>
      </c>
      <c r="DL44" s="613" t="s">
        <v>2373</v>
      </c>
      <c r="DM44" s="613" t="s">
        <v>2373</v>
      </c>
      <c r="DN44" s="613" t="s">
        <v>2371</v>
      </c>
      <c r="DO44" s="613" t="s">
        <v>2373</v>
      </c>
      <c r="DP44" s="613" t="s">
        <v>2370</v>
      </c>
      <c r="DQ44" s="613" t="s">
        <v>2373</v>
      </c>
      <c r="DR44" s="613" t="s">
        <v>2370</v>
      </c>
      <c r="DS44" s="613" t="s">
        <v>2373</v>
      </c>
      <c r="DT44" s="613" t="s">
        <v>2371</v>
      </c>
      <c r="DU44" s="613" t="s">
        <v>2373</v>
      </c>
      <c r="DV44" s="613" t="s">
        <v>2370</v>
      </c>
      <c r="DW44" s="613" t="s">
        <v>2370</v>
      </c>
      <c r="DX44" s="613" t="s">
        <v>2373</v>
      </c>
      <c r="DY44" s="613" t="s">
        <v>2373</v>
      </c>
      <c r="DZ44" s="613" t="s">
        <v>2371</v>
      </c>
      <c r="EA44" s="613" t="s">
        <v>2373</v>
      </c>
      <c r="EB44" s="613" t="s">
        <v>2373</v>
      </c>
      <c r="EC44" s="613" t="s">
        <v>2373</v>
      </c>
      <c r="ED44" s="613" t="s">
        <v>2370</v>
      </c>
      <c r="EE44" s="613" t="s">
        <v>2371</v>
      </c>
      <c r="EF44" s="613" t="s">
        <v>2373</v>
      </c>
      <c r="EG44" s="613" t="s">
        <v>2307</v>
      </c>
      <c r="EH44" s="613" t="s">
        <v>2370</v>
      </c>
      <c r="EI44" s="613" t="s">
        <v>2371</v>
      </c>
      <c r="EJ44" s="613" t="s">
        <v>2370</v>
      </c>
      <c r="EK44" s="613" t="s">
        <v>2373</v>
      </c>
      <c r="EL44" s="613" t="s">
        <v>2370</v>
      </c>
      <c r="EM44" s="613" t="s">
        <v>2307</v>
      </c>
      <c r="EN44" s="613" t="s">
        <v>2373</v>
      </c>
      <c r="EO44" s="613" t="s">
        <v>2373</v>
      </c>
      <c r="EP44" s="613" t="s">
        <v>2373</v>
      </c>
      <c r="EQ44" s="613" t="s">
        <v>2371</v>
      </c>
      <c r="ER44" s="613" t="s">
        <v>2371</v>
      </c>
      <c r="ES44" s="613" t="s">
        <v>2371</v>
      </c>
      <c r="ET44" s="613" t="s">
        <v>2373</v>
      </c>
      <c r="EU44" s="613" t="s">
        <v>2370</v>
      </c>
      <c r="EV44" s="613" t="s">
        <v>2373</v>
      </c>
      <c r="EW44" s="613" t="s">
        <v>2371</v>
      </c>
      <c r="EX44" s="613" t="s">
        <v>2373</v>
      </c>
      <c r="EY44" s="613" t="s">
        <v>2373</v>
      </c>
      <c r="EZ44" s="613" t="s">
        <v>2373</v>
      </c>
      <c r="FA44" s="613" t="s">
        <v>2370</v>
      </c>
      <c r="FB44" s="613" t="s">
        <v>2371</v>
      </c>
      <c r="FC44" s="613" t="s">
        <v>2307</v>
      </c>
      <c r="FD44" s="613" t="s">
        <v>2371</v>
      </c>
      <c r="FE44" s="613" t="s">
        <v>2373</v>
      </c>
      <c r="FF44" s="613" t="s">
        <v>2307</v>
      </c>
      <c r="FG44" s="613" t="s">
        <v>2373</v>
      </c>
      <c r="FH44" s="613" t="s">
        <v>2373</v>
      </c>
      <c r="FI44" s="613" t="s">
        <v>2371</v>
      </c>
      <c r="FJ44" s="613" t="s">
        <v>2307</v>
      </c>
      <c r="FK44" s="613" t="s">
        <v>2373</v>
      </c>
      <c r="FL44" s="613" t="s">
        <v>2307</v>
      </c>
      <c r="FM44" s="613" t="s">
        <v>2373</v>
      </c>
      <c r="FN44" s="613" t="s">
        <v>2373</v>
      </c>
      <c r="FO44" s="613" t="s">
        <v>2307</v>
      </c>
      <c r="FP44" s="613" t="s">
        <v>2307</v>
      </c>
      <c r="FQ44" s="613" t="s">
        <v>2373</v>
      </c>
      <c r="FR44" s="613" t="s">
        <v>2371</v>
      </c>
      <c r="FS44" s="613" t="s">
        <v>2373</v>
      </c>
      <c r="FT44" s="613" t="s">
        <v>2373</v>
      </c>
    </row>
    <row r="47" spans="1:176" ht="15.75" customHeight="1" x14ac:dyDescent="0.2">
      <c r="A47" s="1497" t="s">
        <v>2317</v>
      </c>
      <c r="B47" t="s">
        <v>1858</v>
      </c>
      <c r="C47" s="613" t="s">
        <v>1861</v>
      </c>
      <c r="D47" s="613" t="s">
        <v>1862</v>
      </c>
      <c r="E47" s="613" t="s">
        <v>1864</v>
      </c>
      <c r="F47" s="613" t="s">
        <v>1880</v>
      </c>
      <c r="G47" s="613" t="s">
        <v>1881</v>
      </c>
      <c r="H47" s="613" t="s">
        <v>1868</v>
      </c>
      <c r="I47" s="613" t="s">
        <v>1869</v>
      </c>
      <c r="J47" s="613" t="s">
        <v>1871</v>
      </c>
      <c r="K47" s="613" t="s">
        <v>1872</v>
      </c>
      <c r="L47" s="613" t="s">
        <v>1876</v>
      </c>
      <c r="M47" s="613" t="s">
        <v>1870</v>
      </c>
      <c r="N47" s="613" t="s">
        <v>1877</v>
      </c>
      <c r="O47" s="613" t="s">
        <v>1878</v>
      </c>
      <c r="P47" s="613" t="s">
        <v>1867</v>
      </c>
      <c r="Q47" s="613" t="s">
        <v>1879</v>
      </c>
      <c r="R47" s="613" t="s">
        <v>1888</v>
      </c>
      <c r="S47" s="613" t="s">
        <v>1889</v>
      </c>
      <c r="T47" s="613" t="s">
        <v>1890</v>
      </c>
      <c r="U47" s="613" t="s">
        <v>1891</v>
      </c>
      <c r="V47" s="613" t="s">
        <v>1892</v>
      </c>
      <c r="W47" s="613" t="s">
        <v>1893</v>
      </c>
      <c r="X47" s="613" t="s">
        <v>1894</v>
      </c>
      <c r="Y47" s="613" t="s">
        <v>1895</v>
      </c>
      <c r="Z47" s="613" t="s">
        <v>1863</v>
      </c>
      <c r="AA47" s="613" t="s">
        <v>1873</v>
      </c>
      <c r="AB47" s="613" t="s">
        <v>1874</v>
      </c>
      <c r="AC47" s="613" t="s">
        <v>1866</v>
      </c>
      <c r="AD47" s="613" t="s">
        <v>1859</v>
      </c>
      <c r="AE47" s="613">
        <v>189590</v>
      </c>
      <c r="AF47" s="613">
        <v>5257</v>
      </c>
      <c r="AG47" s="613">
        <v>3042</v>
      </c>
      <c r="AH47" s="613">
        <v>3185</v>
      </c>
      <c r="AI47" s="613">
        <v>5321</v>
      </c>
      <c r="AJ47" s="613">
        <v>11912</v>
      </c>
      <c r="AK47" s="613">
        <v>6919</v>
      </c>
      <c r="AL47" s="613">
        <v>7111</v>
      </c>
      <c r="AM47" s="613">
        <v>305377</v>
      </c>
      <c r="AN47" s="613">
        <v>209695</v>
      </c>
      <c r="AO47" s="613">
        <v>753655</v>
      </c>
      <c r="AP47" s="613">
        <v>2803</v>
      </c>
      <c r="AQ47" s="613">
        <v>1039</v>
      </c>
      <c r="AR47" s="613">
        <v>1232</v>
      </c>
      <c r="AS47" s="613">
        <v>37882</v>
      </c>
      <c r="AT47" s="613">
        <v>92831</v>
      </c>
      <c r="AU47" s="613">
        <v>148287</v>
      </c>
      <c r="AV47" s="613">
        <v>196557</v>
      </c>
      <c r="AW47" s="613" t="s">
        <v>1896</v>
      </c>
      <c r="AX47" s="613">
        <v>20031</v>
      </c>
      <c r="AY47" s="613">
        <v>23420</v>
      </c>
      <c r="AZ47" s="613">
        <v>23467</v>
      </c>
      <c r="BA47" s="613">
        <v>23669</v>
      </c>
      <c r="BB47" s="613">
        <v>12</v>
      </c>
      <c r="BC47" s="613">
        <v>52</v>
      </c>
      <c r="BD47" s="613">
        <v>19555</v>
      </c>
      <c r="BE47" s="613">
        <v>25411</v>
      </c>
      <c r="BF47" s="613">
        <v>644242</v>
      </c>
      <c r="BG47" s="613">
        <v>5062</v>
      </c>
      <c r="BH47" s="613">
        <v>282535</v>
      </c>
      <c r="BI47" s="613">
        <v>4507</v>
      </c>
      <c r="BJ47" s="613">
        <v>4647</v>
      </c>
      <c r="BK47" s="613">
        <v>272004</v>
      </c>
      <c r="BL47" s="613">
        <v>6926</v>
      </c>
      <c r="BM47" s="613">
        <v>436864</v>
      </c>
      <c r="BN47" s="613">
        <v>15082</v>
      </c>
      <c r="BO47" s="613">
        <v>15434</v>
      </c>
      <c r="BP47" s="613">
        <v>15186</v>
      </c>
      <c r="BQ47" s="613">
        <v>17152</v>
      </c>
      <c r="BR47" s="613">
        <v>6174</v>
      </c>
      <c r="BS47" s="613">
        <v>228332</v>
      </c>
      <c r="BT47" s="613">
        <v>17902</v>
      </c>
      <c r="BU47" s="613">
        <v>588706</v>
      </c>
      <c r="BV47" s="613">
        <v>11568</v>
      </c>
      <c r="BW47" s="613">
        <v>11491</v>
      </c>
      <c r="BX47" s="613">
        <v>421060</v>
      </c>
      <c r="BY47" s="613">
        <v>11488</v>
      </c>
      <c r="BZ47" s="613">
        <v>11698</v>
      </c>
      <c r="CA47" s="613">
        <v>421953</v>
      </c>
      <c r="CB47" s="613">
        <v>423143</v>
      </c>
      <c r="CC47" s="613">
        <v>10763</v>
      </c>
      <c r="CD47" s="613">
        <v>11808</v>
      </c>
      <c r="CE47" s="613">
        <v>368499</v>
      </c>
      <c r="CF47" s="613">
        <v>3410</v>
      </c>
      <c r="CG47" s="613">
        <v>286841</v>
      </c>
      <c r="CH47" s="613">
        <v>495717</v>
      </c>
      <c r="CI47" s="613">
        <v>22720</v>
      </c>
      <c r="CJ47" s="613">
        <v>715354</v>
      </c>
      <c r="CK47" s="613">
        <v>715420</v>
      </c>
      <c r="CL47" s="613">
        <v>728347</v>
      </c>
      <c r="CM47" s="613">
        <v>8245</v>
      </c>
      <c r="CN47" s="613">
        <v>321809</v>
      </c>
      <c r="CO47" s="613">
        <v>359454</v>
      </c>
      <c r="CP47" s="613">
        <v>2882</v>
      </c>
      <c r="CQ47" s="613">
        <v>205184</v>
      </c>
      <c r="CR47" s="613">
        <v>18237</v>
      </c>
      <c r="CS47" s="613">
        <v>488834</v>
      </c>
      <c r="CT47" s="613">
        <v>586891</v>
      </c>
      <c r="CU47" s="613">
        <v>692585</v>
      </c>
      <c r="CV47" s="613">
        <v>693500</v>
      </c>
      <c r="CW47" s="613">
        <v>708592</v>
      </c>
      <c r="CX47" s="613">
        <v>22645</v>
      </c>
      <c r="CY47" s="613">
        <v>2939</v>
      </c>
      <c r="CZ47" s="613">
        <v>2966</v>
      </c>
      <c r="DA47" s="613">
        <v>872</v>
      </c>
      <c r="DB47" s="613">
        <v>3350</v>
      </c>
      <c r="DC47" s="613">
        <v>2137</v>
      </c>
      <c r="DD47" s="613">
        <v>5824</v>
      </c>
      <c r="DE47" s="613">
        <v>16930</v>
      </c>
      <c r="DF47" s="613">
        <v>6846</v>
      </c>
      <c r="DG47" s="613">
        <v>6786</v>
      </c>
      <c r="DH47" s="613">
        <v>25368</v>
      </c>
      <c r="DI47" s="613">
        <v>40430</v>
      </c>
      <c r="DJ47" s="613">
        <v>2658</v>
      </c>
      <c r="DK47" s="613">
        <v>57</v>
      </c>
      <c r="DL47" s="613">
        <v>4104</v>
      </c>
      <c r="DM47" s="613">
        <v>14076</v>
      </c>
      <c r="DN47" s="613">
        <v>841</v>
      </c>
      <c r="DO47" s="613">
        <v>3014</v>
      </c>
      <c r="DP47" s="613">
        <v>2944</v>
      </c>
      <c r="DQ47" s="613">
        <v>2953</v>
      </c>
      <c r="DR47" s="613">
        <v>1828</v>
      </c>
      <c r="DS47" s="613">
        <v>177552</v>
      </c>
      <c r="DT47" s="613" t="s">
        <v>1897</v>
      </c>
      <c r="DU47" s="613" t="s">
        <v>1875</v>
      </c>
      <c r="DV47" s="613">
        <v>6497</v>
      </c>
      <c r="DW47" s="613">
        <v>1340</v>
      </c>
      <c r="DX47" s="613">
        <v>23929</v>
      </c>
      <c r="DY47" s="613">
        <v>25577</v>
      </c>
      <c r="DZ47" s="613">
        <v>662856</v>
      </c>
      <c r="EA47" s="613">
        <v>444845</v>
      </c>
      <c r="EB47" s="613">
        <v>505036</v>
      </c>
      <c r="EC47" s="613">
        <v>13871</v>
      </c>
      <c r="ED47" s="613">
        <v>421244</v>
      </c>
      <c r="EE47" s="613">
        <v>636534</v>
      </c>
      <c r="EF47" s="613">
        <v>421050</v>
      </c>
      <c r="EG47" s="613">
        <v>20957</v>
      </c>
      <c r="EH47" s="613">
        <v>309237</v>
      </c>
      <c r="EI47" s="613">
        <v>368504</v>
      </c>
      <c r="EJ47" s="613">
        <v>206100</v>
      </c>
      <c r="EK47" s="613">
        <v>1094</v>
      </c>
      <c r="EL47" s="613">
        <v>10576</v>
      </c>
      <c r="EM47" s="613">
        <v>7544</v>
      </c>
      <c r="EN47" s="613">
        <v>34259</v>
      </c>
      <c r="EO47" s="613">
        <v>99916</v>
      </c>
      <c r="EP47" s="613">
        <v>166</v>
      </c>
      <c r="EQ47" s="613">
        <v>840</v>
      </c>
      <c r="ER47" s="613">
        <v>842</v>
      </c>
      <c r="ES47" s="613">
        <v>107527</v>
      </c>
      <c r="ET47" s="613">
        <v>25701</v>
      </c>
      <c r="EU47" s="613" t="s">
        <v>1865</v>
      </c>
      <c r="EV47" s="613">
        <v>25256</v>
      </c>
      <c r="EW47" s="613">
        <v>752362</v>
      </c>
      <c r="EX47" s="613">
        <v>753469</v>
      </c>
      <c r="EY47" s="613">
        <v>421057</v>
      </c>
      <c r="EZ47" s="613" t="s">
        <v>1860</v>
      </c>
      <c r="FA47" s="613">
        <v>148810</v>
      </c>
      <c r="FB47" s="613">
        <v>23981</v>
      </c>
      <c r="FC47" s="613">
        <v>738519</v>
      </c>
      <c r="FD47" s="613">
        <v>752536</v>
      </c>
      <c r="FE47" s="613">
        <v>2778</v>
      </c>
      <c r="FF47" s="613">
        <v>11537</v>
      </c>
      <c r="FG47" s="613">
        <v>191518</v>
      </c>
      <c r="FH47" s="613">
        <v>186633</v>
      </c>
      <c r="FI47" s="613">
        <v>21071</v>
      </c>
      <c r="FJ47" s="613">
        <v>421059</v>
      </c>
      <c r="FK47" s="613">
        <v>6920</v>
      </c>
      <c r="FL47" s="613" t="s">
        <v>1898</v>
      </c>
      <c r="FM47" s="613">
        <v>15949</v>
      </c>
      <c r="FN47" s="613">
        <v>212872</v>
      </c>
      <c r="FO47" s="613">
        <v>208930</v>
      </c>
      <c r="FP47" s="613">
        <v>842121</v>
      </c>
      <c r="FQ47" s="613">
        <v>735360</v>
      </c>
      <c r="FR47" s="613" t="s">
        <v>1882</v>
      </c>
      <c r="FS47" s="613">
        <v>7374</v>
      </c>
      <c r="FT47" s="613">
        <v>3934</v>
      </c>
    </row>
    <row r="48" spans="1:176" x14ac:dyDescent="0.2">
      <c r="A48" s="1486" t="s">
        <v>2368</v>
      </c>
      <c r="B48">
        <v>1</v>
      </c>
      <c r="C48" s="613">
        <v>1</v>
      </c>
      <c r="D48" s="613">
        <v>1</v>
      </c>
      <c r="E48" s="613">
        <v>1</v>
      </c>
      <c r="F48" s="613">
        <v>1</v>
      </c>
      <c r="G48" s="613">
        <v>1</v>
      </c>
      <c r="H48" s="613">
        <v>1</v>
      </c>
      <c r="I48" s="613">
        <v>1</v>
      </c>
      <c r="J48" s="613">
        <v>1</v>
      </c>
      <c r="K48" s="613">
        <v>1</v>
      </c>
      <c r="L48" s="613">
        <v>0.34206807381694138</v>
      </c>
      <c r="M48" s="613">
        <v>1</v>
      </c>
      <c r="N48" s="613">
        <v>1</v>
      </c>
      <c r="O48" s="613">
        <v>1</v>
      </c>
      <c r="P48" s="613">
        <v>1</v>
      </c>
      <c r="Q48" s="613">
        <v>1</v>
      </c>
      <c r="R48" s="613">
        <v>1</v>
      </c>
      <c r="S48" s="613">
        <v>1</v>
      </c>
      <c r="T48" s="613">
        <v>1</v>
      </c>
      <c r="U48" s="613">
        <v>1</v>
      </c>
      <c r="V48" s="613">
        <v>1</v>
      </c>
      <c r="W48" s="613">
        <v>1</v>
      </c>
      <c r="X48" s="613">
        <v>1</v>
      </c>
      <c r="Y48" s="613">
        <v>1</v>
      </c>
      <c r="Z48" s="613">
        <v>1</v>
      </c>
      <c r="AA48" s="613">
        <v>1</v>
      </c>
      <c r="AB48" s="613">
        <v>1</v>
      </c>
      <c r="AC48" s="613">
        <v>1</v>
      </c>
      <c r="AD48" s="613">
        <v>1</v>
      </c>
      <c r="AE48" s="613">
        <v>0.17436279918024442</v>
      </c>
      <c r="AF48" s="613">
        <v>1</v>
      </c>
      <c r="AG48" s="613">
        <v>1</v>
      </c>
      <c r="AH48" s="613">
        <v>1</v>
      </c>
      <c r="AI48" s="613">
        <v>1</v>
      </c>
      <c r="AJ48" s="613">
        <v>1</v>
      </c>
      <c r="AK48" s="613">
        <v>0.1083981561344754</v>
      </c>
      <c r="AL48" s="613">
        <v>0.33568728023993583</v>
      </c>
      <c r="AM48" s="613">
        <v>0.26061535651427586</v>
      </c>
      <c r="AN48" s="613">
        <v>0.16516466300386742</v>
      </c>
      <c r="AO48" s="613">
        <v>0.42607889860279174</v>
      </c>
      <c r="AP48" s="613">
        <v>0.21458687423310951</v>
      </c>
      <c r="AQ48" s="613">
        <v>0.51100945656599717</v>
      </c>
      <c r="AR48" s="613">
        <v>5.6600604668983895E-2</v>
      </c>
      <c r="AS48" s="613">
        <v>1</v>
      </c>
      <c r="AT48" s="613">
        <v>0.26307520951816571</v>
      </c>
      <c r="AU48" s="613">
        <v>0.4989143856037781</v>
      </c>
      <c r="AV48" s="613">
        <v>0.46454847226367002</v>
      </c>
      <c r="AW48" s="613">
        <v>1</v>
      </c>
      <c r="AX48" s="613">
        <v>0.13800227694376307</v>
      </c>
      <c r="AY48" s="613">
        <v>0.1842078229770171</v>
      </c>
      <c r="AZ48" s="613">
        <v>1</v>
      </c>
      <c r="BA48" s="613">
        <v>0.49182791534310694</v>
      </c>
      <c r="BB48" s="613">
        <v>1</v>
      </c>
      <c r="BC48" s="613">
        <v>1</v>
      </c>
      <c r="BD48" s="613">
        <v>1</v>
      </c>
      <c r="BE48" s="613">
        <v>1</v>
      </c>
      <c r="BF48" s="613">
        <v>1</v>
      </c>
      <c r="BG48" s="613">
        <v>1</v>
      </c>
      <c r="BH48" s="613">
        <v>0.32210009903179276</v>
      </c>
      <c r="BI48" s="613">
        <v>1</v>
      </c>
      <c r="BJ48" s="613">
        <v>1</v>
      </c>
      <c r="BK48" s="613">
        <v>1</v>
      </c>
      <c r="BL48" s="613">
        <v>0.25946847590308425</v>
      </c>
      <c r="BM48" s="613">
        <v>1</v>
      </c>
      <c r="BN48" s="613">
        <v>1</v>
      </c>
      <c r="BO48" s="613">
        <v>0.16775002146467022</v>
      </c>
      <c r="BP48" s="613">
        <v>1</v>
      </c>
      <c r="BQ48" s="613">
        <v>1</v>
      </c>
      <c r="BR48" s="613">
        <v>6.9085838952185882E-2</v>
      </c>
      <c r="BS48" s="613">
        <v>0.27300852611810533</v>
      </c>
      <c r="BT48" s="613">
        <v>0.32279265022954995</v>
      </c>
      <c r="BU48" s="613">
        <v>1</v>
      </c>
      <c r="BV48" s="613">
        <v>1</v>
      </c>
      <c r="BW48" s="613">
        <v>1</v>
      </c>
      <c r="BX48" s="613">
        <v>1</v>
      </c>
      <c r="BY48" s="613">
        <v>0.19102265988647435</v>
      </c>
      <c r="BZ48" s="613">
        <v>1</v>
      </c>
      <c r="CA48" s="613">
        <v>8.8817107879406693E-2</v>
      </c>
      <c r="CB48" s="613">
        <v>0.20989899429739831</v>
      </c>
      <c r="CC48" s="613">
        <v>0.1742120178889148</v>
      </c>
      <c r="CD48" s="613">
        <v>1</v>
      </c>
      <c r="CE48" s="613">
        <v>1</v>
      </c>
      <c r="CF48" s="613">
        <v>0.22398315629088802</v>
      </c>
      <c r="CG48" s="613">
        <v>1</v>
      </c>
      <c r="CH48" s="613">
        <v>1</v>
      </c>
      <c r="CI48" s="613">
        <v>1</v>
      </c>
      <c r="CJ48" s="613">
        <v>1</v>
      </c>
      <c r="CK48" s="613">
        <v>5.5608949744701083E-2</v>
      </c>
      <c r="CL48" s="613">
        <v>1</v>
      </c>
      <c r="CM48" s="613">
        <v>1</v>
      </c>
      <c r="CN48" s="613">
        <v>0.12108944583464093</v>
      </c>
      <c r="CO48" s="613">
        <v>0.14806620725066935</v>
      </c>
      <c r="CP48" s="613">
        <v>0.51358997775833148</v>
      </c>
      <c r="CQ48" s="613">
        <v>1</v>
      </c>
      <c r="CR48" s="613">
        <v>1</v>
      </c>
      <c r="CS48" s="613">
        <v>1</v>
      </c>
      <c r="CT48" s="613">
        <v>1</v>
      </c>
      <c r="CU48" s="613">
        <v>1</v>
      </c>
      <c r="CV48" s="613">
        <v>1</v>
      </c>
      <c r="CW48" s="613">
        <v>1</v>
      </c>
      <c r="CX48" s="613">
        <v>0.27198904188088646</v>
      </c>
      <c r="CY48" s="613">
        <v>1</v>
      </c>
      <c r="CZ48" s="613">
        <v>0.38242008554320039</v>
      </c>
      <c r="DA48" s="613">
        <v>0.41936177304940914</v>
      </c>
      <c r="DB48" s="613">
        <v>1</v>
      </c>
      <c r="DC48" s="613">
        <v>1</v>
      </c>
      <c r="DD48" s="613">
        <v>1</v>
      </c>
      <c r="DE48" s="613">
        <v>0.2113807971947885</v>
      </c>
      <c r="DF48" s="613">
        <v>0.44814431677277805</v>
      </c>
      <c r="DG48" s="613">
        <v>1</v>
      </c>
      <c r="DH48" s="613">
        <v>0.27817078798516359</v>
      </c>
      <c r="DI48" s="613">
        <v>0.16917195209765232</v>
      </c>
      <c r="DJ48" s="613">
        <v>0.25837321660041257</v>
      </c>
      <c r="DK48" s="613">
        <v>1</v>
      </c>
      <c r="DL48" s="613">
        <v>0.20934414626658981</v>
      </c>
      <c r="DM48" s="613">
        <v>0.23399809445347391</v>
      </c>
      <c r="DN48" s="613">
        <v>1</v>
      </c>
      <c r="DO48" s="613">
        <v>0.29407600657426169</v>
      </c>
      <c r="DP48" s="613">
        <v>1</v>
      </c>
      <c r="DQ48" s="613">
        <v>0.33803289163948103</v>
      </c>
      <c r="DR48" s="613">
        <v>1</v>
      </c>
      <c r="DS48" s="613">
        <v>0.48378852343082934</v>
      </c>
      <c r="DT48" s="613">
        <v>1</v>
      </c>
      <c r="DU48" s="613">
        <v>0.17037081383183184</v>
      </c>
      <c r="DV48" s="613">
        <v>1</v>
      </c>
      <c r="DW48" s="613">
        <v>1</v>
      </c>
      <c r="DX48" s="613">
        <v>0.17157375556802226</v>
      </c>
      <c r="DY48" s="613">
        <v>0.15004375823238666</v>
      </c>
      <c r="DZ48" s="613">
        <v>1</v>
      </c>
      <c r="EA48" s="613">
        <v>0.15604842326459079</v>
      </c>
      <c r="EB48" s="613">
        <v>0.31955982980146719</v>
      </c>
      <c r="EC48" s="613">
        <v>8.7697580547466486E-2</v>
      </c>
      <c r="ED48" s="613">
        <v>1</v>
      </c>
      <c r="EE48" s="613">
        <v>1</v>
      </c>
      <c r="EF48" s="613">
        <v>0.26372553542264121</v>
      </c>
      <c r="EG48" s="613">
        <v>1</v>
      </c>
      <c r="EH48" s="613">
        <v>1</v>
      </c>
      <c r="EI48" s="613">
        <v>1</v>
      </c>
      <c r="EJ48" s="613">
        <v>1</v>
      </c>
      <c r="EK48" s="613">
        <v>0.27395602960642101</v>
      </c>
      <c r="EL48" s="613">
        <v>1</v>
      </c>
      <c r="EM48" s="613">
        <v>0.33122346305905376</v>
      </c>
      <c r="EN48" s="613">
        <v>0.25375865856535301</v>
      </c>
      <c r="EO48" s="613">
        <v>0.56699381924162795</v>
      </c>
      <c r="EP48" s="613">
        <v>0.40446804943717968</v>
      </c>
      <c r="EQ48" s="613">
        <v>1</v>
      </c>
      <c r="ER48" s="613">
        <v>1</v>
      </c>
      <c r="ES48" s="613">
        <v>1</v>
      </c>
      <c r="ET48" s="613">
        <v>0.40500047632105074</v>
      </c>
      <c r="EU48" s="613">
        <v>1</v>
      </c>
      <c r="EV48" s="613">
        <v>0.36622752305324469</v>
      </c>
      <c r="EW48" s="613">
        <v>1</v>
      </c>
      <c r="EX48" s="613">
        <v>0.18413759378562675</v>
      </c>
      <c r="EY48" s="613">
        <v>0.58870832740290702</v>
      </c>
      <c r="EZ48" s="613">
        <v>0.21613207909734791</v>
      </c>
      <c r="FA48" s="613">
        <v>1</v>
      </c>
      <c r="FB48" s="613">
        <v>1</v>
      </c>
      <c r="FC48" s="613">
        <v>1</v>
      </c>
      <c r="FD48" s="613">
        <v>1</v>
      </c>
      <c r="FE48" s="613">
        <v>0.44367182039872705</v>
      </c>
      <c r="FF48" s="613">
        <v>1</v>
      </c>
      <c r="FG48" s="613">
        <v>0.36808595789703147</v>
      </c>
      <c r="FH48" s="613">
        <v>0.14244208784854157</v>
      </c>
      <c r="FI48" s="613">
        <v>0.45368488390240191</v>
      </c>
      <c r="FJ48" s="613">
        <v>1</v>
      </c>
      <c r="FK48" s="613">
        <v>0.53217834732491243</v>
      </c>
      <c r="FL48" s="613">
        <v>1</v>
      </c>
      <c r="FM48" s="613">
        <v>0.39433419514484891</v>
      </c>
      <c r="FN48" s="613">
        <v>0.33880608235495807</v>
      </c>
      <c r="FO48" s="613">
        <v>1</v>
      </c>
      <c r="FP48" s="613">
        <v>0.58937856238266051</v>
      </c>
      <c r="FQ48" s="613">
        <v>0.15598460953841023</v>
      </c>
      <c r="FR48" s="613">
        <v>1</v>
      </c>
      <c r="FS48" s="613">
        <v>9.7214110325416145E-2</v>
      </c>
      <c r="FT48" s="613">
        <v>0.28578257752392161</v>
      </c>
    </row>
    <row r="49" spans="1:176" x14ac:dyDescent="0.2">
      <c r="A49" s="1486" t="s">
        <v>2276</v>
      </c>
      <c r="B49">
        <v>1</v>
      </c>
      <c r="C49" s="613">
        <v>1</v>
      </c>
      <c r="D49" s="613">
        <v>1</v>
      </c>
      <c r="E49" s="613">
        <v>1</v>
      </c>
      <c r="F49" s="613">
        <v>1</v>
      </c>
      <c r="G49" s="613">
        <v>1</v>
      </c>
      <c r="H49" s="613">
        <v>1</v>
      </c>
      <c r="I49" s="613">
        <v>1</v>
      </c>
      <c r="J49" s="613">
        <v>1</v>
      </c>
      <c r="K49" s="613">
        <v>1</v>
      </c>
      <c r="L49" s="613">
        <v>0.44101124237320893</v>
      </c>
      <c r="M49" s="613">
        <v>1</v>
      </c>
      <c r="N49" s="613">
        <v>1</v>
      </c>
      <c r="O49" s="613">
        <v>1</v>
      </c>
      <c r="P49" s="613">
        <v>1</v>
      </c>
      <c r="Q49" s="613">
        <v>1</v>
      </c>
      <c r="R49" s="613">
        <v>1</v>
      </c>
      <c r="S49" s="613">
        <v>1</v>
      </c>
      <c r="T49" s="613">
        <v>1</v>
      </c>
      <c r="U49" s="613">
        <v>1</v>
      </c>
      <c r="V49" s="613">
        <v>1</v>
      </c>
      <c r="W49" s="613">
        <v>1</v>
      </c>
      <c r="X49" s="613">
        <v>1</v>
      </c>
      <c r="Y49" s="613">
        <v>1</v>
      </c>
      <c r="Z49" s="613">
        <v>1</v>
      </c>
      <c r="AA49" s="613">
        <v>1</v>
      </c>
      <c r="AB49" s="613">
        <v>1</v>
      </c>
      <c r="AC49" s="613">
        <v>1</v>
      </c>
      <c r="AD49" s="613">
        <v>1</v>
      </c>
      <c r="AE49" s="613">
        <v>0.19238818030253771</v>
      </c>
      <c r="AF49" s="613">
        <v>1</v>
      </c>
      <c r="AG49" s="613">
        <v>1</v>
      </c>
      <c r="AH49" s="613">
        <v>1</v>
      </c>
      <c r="AI49" s="613">
        <v>1</v>
      </c>
      <c r="AJ49" s="613">
        <v>1</v>
      </c>
      <c r="AK49" s="613">
        <v>0.6708589714558304</v>
      </c>
      <c r="AL49" s="613">
        <v>0.20450435515131105</v>
      </c>
      <c r="AM49" s="613">
        <v>0.41138731445118504</v>
      </c>
      <c r="AN49" s="613">
        <v>0.55216840856953775</v>
      </c>
      <c r="AO49" s="613">
        <v>0.21315851012143003</v>
      </c>
      <c r="AP49" s="613">
        <v>0.84642412742093909</v>
      </c>
      <c r="AQ49" s="613">
        <v>0.32130467365116155</v>
      </c>
      <c r="AR49" s="613">
        <v>0.14394021404466883</v>
      </c>
      <c r="AS49" s="613">
        <v>1</v>
      </c>
      <c r="AT49" s="613">
        <v>0</v>
      </c>
      <c r="AU49" s="613">
        <v>0.55295624524169562</v>
      </c>
      <c r="AV49" s="613">
        <v>0.22558482584372802</v>
      </c>
      <c r="AW49" s="613">
        <v>1</v>
      </c>
      <c r="AX49" s="613">
        <v>0.49099879613277903</v>
      </c>
      <c r="AY49" s="613">
        <v>0.59933650534361327</v>
      </c>
      <c r="AZ49" s="613">
        <v>1</v>
      </c>
      <c r="BA49" s="613">
        <v>0.70229719676524693</v>
      </c>
      <c r="BB49" s="613">
        <v>1</v>
      </c>
      <c r="BC49" s="613">
        <v>1</v>
      </c>
      <c r="BD49" s="613">
        <v>1</v>
      </c>
      <c r="BE49" s="613">
        <v>1</v>
      </c>
      <c r="BF49" s="613">
        <v>1</v>
      </c>
      <c r="BG49" s="613">
        <v>1</v>
      </c>
      <c r="BH49" s="613">
        <v>0.66730562167588603</v>
      </c>
      <c r="BI49" s="613">
        <v>1</v>
      </c>
      <c r="BJ49" s="613">
        <v>1</v>
      </c>
      <c r="BK49" s="613">
        <v>1</v>
      </c>
      <c r="BL49" s="613">
        <v>6.2220514814206866E-2</v>
      </c>
      <c r="BM49" s="613">
        <v>1</v>
      </c>
      <c r="BN49" s="613">
        <v>1</v>
      </c>
      <c r="BO49" s="613">
        <v>0.11643309062420214</v>
      </c>
      <c r="BP49" s="613">
        <v>1</v>
      </c>
      <c r="BQ49" s="613">
        <v>1</v>
      </c>
      <c r="BR49" s="613">
        <v>0.11654679105219361</v>
      </c>
      <c r="BS49" s="613">
        <v>0.62939299557422546</v>
      </c>
      <c r="BT49" s="613">
        <v>0.15787264997711761</v>
      </c>
      <c r="BU49" s="613">
        <v>1</v>
      </c>
      <c r="BV49" s="613">
        <v>1</v>
      </c>
      <c r="BW49" s="613">
        <v>1</v>
      </c>
      <c r="BX49" s="613">
        <v>1</v>
      </c>
      <c r="BY49" s="613">
        <v>3.1480578844217767E-2</v>
      </c>
      <c r="BZ49" s="613">
        <v>1</v>
      </c>
      <c r="CA49" s="613">
        <v>2.8896440964577188E-2</v>
      </c>
      <c r="CB49" s="613">
        <v>0.39186444332080289</v>
      </c>
      <c r="CC49" s="613">
        <v>0.33572352573130954</v>
      </c>
      <c r="CD49" s="613">
        <v>1</v>
      </c>
      <c r="CE49" s="613">
        <v>1</v>
      </c>
      <c r="CF49" s="613">
        <v>0.11768739666601188</v>
      </c>
      <c r="CG49" s="613">
        <v>1</v>
      </c>
      <c r="CH49" s="613">
        <v>1</v>
      </c>
      <c r="CI49" s="613">
        <v>1</v>
      </c>
      <c r="CJ49" s="613">
        <v>1</v>
      </c>
      <c r="CK49" s="613">
        <v>0.40071863439371702</v>
      </c>
      <c r="CL49" s="613">
        <v>1</v>
      </c>
      <c r="CM49" s="613">
        <v>1</v>
      </c>
      <c r="CN49" s="613">
        <v>0</v>
      </c>
      <c r="CO49" s="613">
        <v>4.1692246011585131E-2</v>
      </c>
      <c r="CP49" s="613">
        <v>0.32063454056012847</v>
      </c>
      <c r="CQ49" s="613">
        <v>1</v>
      </c>
      <c r="CR49" s="613">
        <v>1</v>
      </c>
      <c r="CS49" s="613">
        <v>1</v>
      </c>
      <c r="CT49" s="613">
        <v>1</v>
      </c>
      <c r="CU49" s="613">
        <v>1</v>
      </c>
      <c r="CV49" s="613">
        <v>1</v>
      </c>
      <c r="CW49" s="613">
        <v>1</v>
      </c>
      <c r="CX49" s="613">
        <v>0.17927890000205343</v>
      </c>
      <c r="CY49" s="613">
        <v>1</v>
      </c>
      <c r="CZ49" s="613">
        <v>0.25792473985513981</v>
      </c>
      <c r="DA49" s="613">
        <v>0.29975096415113361</v>
      </c>
      <c r="DB49" s="613">
        <v>1</v>
      </c>
      <c r="DC49" s="613">
        <v>1</v>
      </c>
      <c r="DD49" s="613">
        <v>1</v>
      </c>
      <c r="DE49" s="613">
        <v>0.1209429086644027</v>
      </c>
      <c r="DF49" s="613">
        <v>0.36105342886623137</v>
      </c>
      <c r="DG49" s="613">
        <v>1</v>
      </c>
      <c r="DH49" s="613">
        <v>0.15246393756390297</v>
      </c>
      <c r="DI49" s="613">
        <v>0.28489405546570407</v>
      </c>
      <c r="DJ49" s="613">
        <v>0.49925399768916495</v>
      </c>
      <c r="DK49" s="613">
        <v>1</v>
      </c>
      <c r="DL49" s="613">
        <v>0.21454193926048667</v>
      </c>
      <c r="DM49" s="613">
        <v>0.47473195964007153</v>
      </c>
      <c r="DN49" s="613">
        <v>1</v>
      </c>
      <c r="DO49" s="613">
        <v>0.29601823433999597</v>
      </c>
      <c r="DP49" s="613">
        <v>1</v>
      </c>
      <c r="DQ49" s="613">
        <v>0.26993079682498278</v>
      </c>
      <c r="DR49" s="613">
        <v>1</v>
      </c>
      <c r="DS49" s="613">
        <v>0.47369662061788798</v>
      </c>
      <c r="DT49" s="613">
        <v>1</v>
      </c>
      <c r="DU49" s="613">
        <v>0.53964697803451012</v>
      </c>
      <c r="DV49" s="613">
        <v>1</v>
      </c>
      <c r="DW49" s="613">
        <v>1</v>
      </c>
      <c r="DX49" s="613">
        <v>3.2693118575881162E-2</v>
      </c>
      <c r="DY49" s="613">
        <v>0.4487939014277369</v>
      </c>
      <c r="DZ49" s="613">
        <v>1</v>
      </c>
      <c r="EA49" s="613">
        <v>0.25918077664872385</v>
      </c>
      <c r="EB49" s="613">
        <v>3.4131302246741316E-3</v>
      </c>
      <c r="EC49" s="613">
        <v>0.23312364753157905</v>
      </c>
      <c r="ED49" s="613">
        <v>1</v>
      </c>
      <c r="EE49" s="613">
        <v>1</v>
      </c>
      <c r="EF49" s="613">
        <v>0.50441585891749052</v>
      </c>
      <c r="EG49" s="613">
        <v>1</v>
      </c>
      <c r="EH49" s="613">
        <v>1</v>
      </c>
      <c r="EI49" s="613">
        <v>1</v>
      </c>
      <c r="EJ49" s="613">
        <v>1</v>
      </c>
      <c r="EK49" s="613">
        <v>0.54084229555777641</v>
      </c>
      <c r="EL49" s="613">
        <v>1</v>
      </c>
      <c r="EM49" s="613">
        <v>0.61348902221750534</v>
      </c>
      <c r="EN49" s="613">
        <v>0.43067646354333811</v>
      </c>
      <c r="EO49" s="613">
        <v>0.62203536977799145</v>
      </c>
      <c r="EP49" s="613">
        <v>0.59757033978662843</v>
      </c>
      <c r="EQ49" s="613">
        <v>1</v>
      </c>
      <c r="ER49" s="613">
        <v>1</v>
      </c>
      <c r="ES49" s="613">
        <v>1</v>
      </c>
      <c r="ET49" s="613">
        <v>0.57468425828284841</v>
      </c>
      <c r="EU49" s="613">
        <v>1</v>
      </c>
      <c r="EV49" s="613">
        <v>0.76585037690713753</v>
      </c>
      <c r="EW49" s="613">
        <v>1</v>
      </c>
      <c r="EX49" s="613">
        <v>0.12334931551914918</v>
      </c>
      <c r="EY49" s="613">
        <v>0.77368518931549191</v>
      </c>
      <c r="EZ49" s="613">
        <v>0.48670414881068674</v>
      </c>
      <c r="FA49" s="613">
        <v>1</v>
      </c>
      <c r="FB49" s="613">
        <v>1</v>
      </c>
      <c r="FC49" s="613">
        <v>1</v>
      </c>
      <c r="FD49" s="613">
        <v>1</v>
      </c>
      <c r="FE49" s="613">
        <v>0.47571012463570539</v>
      </c>
      <c r="FF49" s="613">
        <v>1</v>
      </c>
      <c r="FG49" s="613">
        <v>0.48552340613064326</v>
      </c>
      <c r="FH49" s="613">
        <v>0.1839118268627763</v>
      </c>
      <c r="FI49" s="613">
        <v>0.75838439528486612</v>
      </c>
      <c r="FJ49" s="613">
        <v>1</v>
      </c>
      <c r="FK49" s="613">
        <v>0.30939940416542389</v>
      </c>
      <c r="FL49" s="613">
        <v>1</v>
      </c>
      <c r="FM49" s="613">
        <v>0.23013363220262595</v>
      </c>
      <c r="FN49" s="613">
        <v>0.62372571713321223</v>
      </c>
      <c r="FO49" s="613">
        <v>1</v>
      </c>
      <c r="FP49" s="613">
        <v>0.9114253962449218</v>
      </c>
      <c r="FQ49" s="613">
        <v>0.41151668110120421</v>
      </c>
      <c r="FR49" s="613">
        <v>1</v>
      </c>
      <c r="FS49" s="613">
        <v>0.2127088008416898</v>
      </c>
      <c r="FT49" s="613">
        <v>0.48007019756979474</v>
      </c>
    </row>
    <row r="50" spans="1:176" x14ac:dyDescent="0.2">
      <c r="A50" s="1486" t="s">
        <v>2277</v>
      </c>
      <c r="B50">
        <v>0.43152805322401194</v>
      </c>
      <c r="C50" s="613">
        <v>1</v>
      </c>
      <c r="D50" s="613">
        <v>0.64116506062944401</v>
      </c>
      <c r="E50" s="613">
        <v>0.68173922176271196</v>
      </c>
      <c r="F50" s="613">
        <v>1</v>
      </c>
      <c r="G50" s="613">
        <v>1</v>
      </c>
      <c r="H50" s="613">
        <v>1</v>
      </c>
      <c r="I50" s="613">
        <v>1</v>
      </c>
      <c r="J50" s="613">
        <v>1</v>
      </c>
      <c r="K50" s="613">
        <v>1</v>
      </c>
      <c r="L50" s="613">
        <v>1</v>
      </c>
      <c r="M50" s="613">
        <v>1</v>
      </c>
      <c r="N50" s="613">
        <v>1</v>
      </c>
      <c r="O50" s="613">
        <v>1</v>
      </c>
      <c r="P50" s="613">
        <v>1</v>
      </c>
      <c r="Q50" s="613">
        <v>1</v>
      </c>
      <c r="R50" s="613">
        <v>0.63797270673842144</v>
      </c>
      <c r="S50" s="613">
        <v>0.54438046422022668</v>
      </c>
      <c r="T50" s="613">
        <v>1</v>
      </c>
      <c r="U50" s="613">
        <v>1</v>
      </c>
      <c r="V50" s="613">
        <v>0.43402767028510769</v>
      </c>
      <c r="W50" s="613">
        <v>0.6168956679045341</v>
      </c>
      <c r="X50" s="613">
        <v>0.79292745209020765</v>
      </c>
      <c r="Y50" s="613">
        <v>0.48251453296505886</v>
      </c>
      <c r="Z50" s="613">
        <v>0.62260531713584533</v>
      </c>
      <c r="AA50" s="613">
        <v>0.63721300384580826</v>
      </c>
      <c r="AB50" s="613">
        <v>0.57197330309889904</v>
      </c>
      <c r="AC50" s="613">
        <v>1</v>
      </c>
      <c r="AD50" s="613">
        <v>0.46518095487824851</v>
      </c>
      <c r="AE50" s="613">
        <v>0.49498113020909745</v>
      </c>
      <c r="AF50" s="613">
        <v>1</v>
      </c>
      <c r="AG50" s="613">
        <v>0.39569774194540658</v>
      </c>
      <c r="AH50" s="613">
        <v>1</v>
      </c>
      <c r="AI50" s="613">
        <v>1</v>
      </c>
      <c r="AJ50" s="613">
        <v>0.46449338236963106</v>
      </c>
      <c r="AK50" s="613">
        <v>0.5015726774810968</v>
      </c>
      <c r="AL50" s="613">
        <v>0.48730418142622439</v>
      </c>
      <c r="AM50" s="613">
        <v>0.52458636599346797</v>
      </c>
      <c r="AN50" s="613">
        <v>0.61511652039329412</v>
      </c>
      <c r="AO50" s="613">
        <v>0.40368041274585853</v>
      </c>
      <c r="AP50" s="613">
        <v>0.64614866703142859</v>
      </c>
      <c r="AQ50" s="613">
        <v>0.44585932646409615</v>
      </c>
      <c r="AR50" s="613">
        <v>0.22653583750687578</v>
      </c>
      <c r="AS50" s="613">
        <v>0.15118913047837401</v>
      </c>
      <c r="AT50" s="613">
        <v>1</v>
      </c>
      <c r="AU50" s="613">
        <v>0.61661616317419921</v>
      </c>
      <c r="AV50" s="613">
        <v>0.45241076925293638</v>
      </c>
      <c r="AW50" s="613">
        <v>0.62638796642513817</v>
      </c>
      <c r="AX50" s="613">
        <v>0.78391175993891515</v>
      </c>
      <c r="AY50" s="613">
        <v>0.46049934336120468</v>
      </c>
      <c r="AZ50" s="613">
        <v>0.37566664733641097</v>
      </c>
      <c r="BA50" s="613">
        <v>0.77636091477580804</v>
      </c>
      <c r="BB50" s="613">
        <v>0.17832528325773425</v>
      </c>
      <c r="BC50" s="613">
        <v>0.47833385057824834</v>
      </c>
      <c r="BD50" s="613">
        <v>1</v>
      </c>
      <c r="BE50" s="613">
        <v>0.15111518604616542</v>
      </c>
      <c r="BF50" s="613">
        <v>0.37530938132102032</v>
      </c>
      <c r="BG50" s="613">
        <v>0.27715961573407583</v>
      </c>
      <c r="BH50" s="613">
        <v>0.41389663658570641</v>
      </c>
      <c r="BI50" s="613">
        <v>0.33149302734417901</v>
      </c>
      <c r="BJ50" s="613">
        <v>0.47299485643327438</v>
      </c>
      <c r="BK50" s="613">
        <v>0.41622026139884283</v>
      </c>
      <c r="BL50" s="613">
        <v>1</v>
      </c>
      <c r="BM50" s="613">
        <v>0.25093759093848994</v>
      </c>
      <c r="BN50" s="613">
        <v>0.42936237105880243</v>
      </c>
      <c r="BO50" s="613">
        <v>0.35566259806426365</v>
      </c>
      <c r="BP50" s="613">
        <v>0.33851092535919131</v>
      </c>
      <c r="BQ50" s="613">
        <v>0.32621331674967669</v>
      </c>
      <c r="BR50" s="613">
        <v>0.26442738663360782</v>
      </c>
      <c r="BS50" s="613">
        <v>0.39860114349122799</v>
      </c>
      <c r="BT50" s="613">
        <v>1</v>
      </c>
      <c r="BU50" s="613">
        <v>0.26620942879904558</v>
      </c>
      <c r="BV50" s="613">
        <v>0.48530502792289054</v>
      </c>
      <c r="BW50" s="613">
        <v>0.7447132641440114</v>
      </c>
      <c r="BX50" s="613">
        <v>0.38593248457321722</v>
      </c>
      <c r="BY50" s="613">
        <v>1</v>
      </c>
      <c r="BZ50" s="613">
        <v>0.53184812948246551</v>
      </c>
      <c r="CA50" s="613">
        <v>0.36772332906279254</v>
      </c>
      <c r="CB50" s="613">
        <v>0.63692198580667536</v>
      </c>
      <c r="CC50" s="613">
        <v>1</v>
      </c>
      <c r="CD50" s="613">
        <v>1</v>
      </c>
      <c r="CE50" s="613">
        <v>0.60501986729728241</v>
      </c>
      <c r="CF50" s="613">
        <v>0.33908399312076803</v>
      </c>
      <c r="CG50" s="613">
        <v>0.64873846317128647</v>
      </c>
      <c r="CH50" s="613">
        <v>1</v>
      </c>
      <c r="CI50" s="613">
        <v>0.68083263825738149</v>
      </c>
      <c r="CJ50" s="613">
        <v>0.62246622509375227</v>
      </c>
      <c r="CK50" s="613">
        <v>0.54889662188791721</v>
      </c>
      <c r="CL50" s="613">
        <v>0.33328924172807489</v>
      </c>
      <c r="CM50" s="613">
        <v>0.33447383393966473</v>
      </c>
      <c r="CN50" s="613">
        <v>0.27255638637181373</v>
      </c>
      <c r="CO50" s="613">
        <v>0.28816017098430557</v>
      </c>
      <c r="CP50" s="613">
        <v>1</v>
      </c>
      <c r="CQ50" s="613">
        <v>0.82047420987097552</v>
      </c>
      <c r="CR50" s="613">
        <v>1</v>
      </c>
      <c r="CS50" s="613">
        <v>0.30937722867335038</v>
      </c>
      <c r="CT50" s="613">
        <v>1</v>
      </c>
      <c r="CU50" s="613">
        <v>0.55748758191057024</v>
      </c>
      <c r="CV50" s="613">
        <v>0.60939093931462163</v>
      </c>
      <c r="CW50" s="613">
        <v>0.74974759675594205</v>
      </c>
      <c r="CX50" s="613">
        <v>0.38228336604856011</v>
      </c>
      <c r="CY50" s="613">
        <v>0.5797528454099844</v>
      </c>
      <c r="CZ50" s="613">
        <v>0.80934476908074515</v>
      </c>
      <c r="DA50" s="613">
        <v>1</v>
      </c>
      <c r="DB50" s="613">
        <v>0.44849508213428146</v>
      </c>
      <c r="DC50" s="613">
        <v>1</v>
      </c>
      <c r="DD50" s="613">
        <v>0.26105023998753146</v>
      </c>
      <c r="DE50" s="613">
        <v>0.59487878484990031</v>
      </c>
      <c r="DF50" s="613">
        <v>0.6173395269823837</v>
      </c>
      <c r="DG50" s="613">
        <v>0.36924943459638443</v>
      </c>
      <c r="DH50" s="613">
        <v>0.44748301438553845</v>
      </c>
      <c r="DI50" s="613">
        <v>0.51319026499992404</v>
      </c>
      <c r="DJ50" s="613">
        <v>0.45008145321612564</v>
      </c>
      <c r="DK50" s="613">
        <v>0.46731803255045778</v>
      </c>
      <c r="DL50" s="613">
        <v>0.50122229648897187</v>
      </c>
      <c r="DM50" s="613">
        <v>0.76507560836637889</v>
      </c>
      <c r="DN50" s="613">
        <v>0.56338983019540934</v>
      </c>
      <c r="DO50" s="613">
        <v>0.5390819683368715</v>
      </c>
      <c r="DP50" s="613">
        <v>0.46963883833010411</v>
      </c>
      <c r="DQ50" s="613">
        <v>1</v>
      </c>
      <c r="DR50" s="613">
        <v>1</v>
      </c>
      <c r="DS50" s="613">
        <v>0.62214636818355007</v>
      </c>
      <c r="DT50" s="613">
        <v>0.45790122786878912</v>
      </c>
      <c r="DU50" s="613">
        <v>0.76915630692508352</v>
      </c>
      <c r="DV50" s="613">
        <v>0.7698757795459984</v>
      </c>
      <c r="DW50" s="613">
        <v>0.18909101664481548</v>
      </c>
      <c r="DX50" s="613">
        <v>0.26504365217431891</v>
      </c>
      <c r="DY50" s="613">
        <v>0.49984812102268561</v>
      </c>
      <c r="DZ50" s="613">
        <v>0.58850842299468775</v>
      </c>
      <c r="EA50" s="613">
        <v>0.64530315106229885</v>
      </c>
      <c r="EB50" s="613">
        <v>0.35590971985110176</v>
      </c>
      <c r="EC50" s="613">
        <v>0.34104341753363965</v>
      </c>
      <c r="ED50" s="613">
        <v>0.5799478764115864</v>
      </c>
      <c r="EE50" s="613">
        <v>0.62324693659372088</v>
      </c>
      <c r="EF50" s="613">
        <v>0.79237827870161437</v>
      </c>
      <c r="EG50" s="613">
        <v>0.43766090343306208</v>
      </c>
      <c r="EH50" s="613">
        <v>0.60005894111926628</v>
      </c>
      <c r="EI50" s="613">
        <v>0.48152425313635489</v>
      </c>
      <c r="EJ50" s="613">
        <v>0.66215095672184987</v>
      </c>
      <c r="EK50" s="613">
        <v>1</v>
      </c>
      <c r="EL50" s="613">
        <v>0.507413269540124</v>
      </c>
      <c r="EM50" s="613">
        <v>1</v>
      </c>
      <c r="EN50" s="613">
        <v>0.5095619495822914</v>
      </c>
      <c r="EO50" s="613">
        <v>0.42941449015836014</v>
      </c>
      <c r="EP50" s="613">
        <v>0.66335557270980594</v>
      </c>
      <c r="EQ50" s="613">
        <v>0.5738347990622461</v>
      </c>
      <c r="ER50" s="613">
        <v>0.63167138468871575</v>
      </c>
      <c r="ES50" s="613">
        <v>0.40327542811508305</v>
      </c>
      <c r="ET50" s="613">
        <v>0.53957283195526184</v>
      </c>
      <c r="EU50" s="613">
        <v>1</v>
      </c>
      <c r="EV50" s="613">
        <v>0.66670740477069967</v>
      </c>
      <c r="EW50" s="613">
        <v>0.62151955280350279</v>
      </c>
      <c r="EX50" s="613">
        <v>0.59673313866955691</v>
      </c>
      <c r="EY50" s="613">
        <v>0.63412949477697866</v>
      </c>
      <c r="EZ50" s="613">
        <v>0.71829974104982919</v>
      </c>
      <c r="FA50" s="613">
        <v>0.6357593128802016</v>
      </c>
      <c r="FB50" s="613">
        <v>0.70343350700608376</v>
      </c>
      <c r="FC50" s="613">
        <v>0.51746546498566504</v>
      </c>
      <c r="FD50" s="613">
        <v>0.62609702544789647</v>
      </c>
      <c r="FE50" s="613">
        <v>0.81237896029601064</v>
      </c>
      <c r="FF50" s="613">
        <v>0.20976999836133545</v>
      </c>
      <c r="FG50" s="613">
        <v>0.38787080820182435</v>
      </c>
      <c r="FH50" s="613">
        <v>0.51841891871165025</v>
      </c>
      <c r="FI50" s="613">
        <v>1</v>
      </c>
      <c r="FJ50" s="613">
        <v>0.49977657440732898</v>
      </c>
      <c r="FK50" s="613">
        <v>0.5206066872241355</v>
      </c>
      <c r="FL50" s="613">
        <v>0.30176222662265056</v>
      </c>
      <c r="FM50" s="613">
        <v>0.53684974855721046</v>
      </c>
      <c r="FN50" s="613">
        <v>0.64243017130704072</v>
      </c>
      <c r="FO50" s="613">
        <v>0.27007818638309872</v>
      </c>
      <c r="FP50" s="613">
        <v>0.64907199998626086</v>
      </c>
      <c r="FQ50" s="613">
        <v>0.56758369478940984</v>
      </c>
      <c r="FR50" s="613">
        <v>0.3166969447713841</v>
      </c>
      <c r="FS50" s="613">
        <v>1</v>
      </c>
      <c r="FT50" s="613">
        <v>0.35853655315710931</v>
      </c>
    </row>
    <row r="51" spans="1:176" x14ac:dyDescent="0.2">
      <c r="A51" s="1486" t="s">
        <v>2278</v>
      </c>
      <c r="B51">
        <v>0</v>
      </c>
      <c r="C51" s="613">
        <v>0.47710317306465816</v>
      </c>
      <c r="D51" s="613">
        <v>4.7222405267184795E-3</v>
      </c>
      <c r="E51" s="613">
        <v>2.7875650978949184E-2</v>
      </c>
      <c r="F51" s="613">
        <v>0.10261467981269401</v>
      </c>
      <c r="G51" s="613">
        <v>0.10135261394059854</v>
      </c>
      <c r="H51" s="613">
        <v>0.54577350358548127</v>
      </c>
      <c r="I51" s="613">
        <v>0.51866108037059677</v>
      </c>
      <c r="J51" s="613">
        <v>0.40107032564484435</v>
      </c>
      <c r="K51" s="613">
        <v>0.22149505360010907</v>
      </c>
      <c r="L51" s="613">
        <v>0.2318996883594048</v>
      </c>
      <c r="M51" s="613">
        <v>0.39985834341608151</v>
      </c>
      <c r="N51" s="613">
        <v>0.51394618209694887</v>
      </c>
      <c r="O51" s="613">
        <v>0.32758650801844003</v>
      </c>
      <c r="P51" s="613">
        <v>5.5683989016164032E-2</v>
      </c>
      <c r="Q51" s="613">
        <v>0.11194412059777763</v>
      </c>
      <c r="R51" s="613">
        <v>0.49901693841603967</v>
      </c>
      <c r="S51" s="613">
        <v>0.71164959588832444</v>
      </c>
      <c r="T51" s="613">
        <v>7.1098049351191336E-2</v>
      </c>
      <c r="U51" s="613">
        <v>4.0918753864450125E-2</v>
      </c>
      <c r="V51" s="613">
        <v>0.10562752200594522</v>
      </c>
      <c r="W51" s="613">
        <v>0.29311773845165873</v>
      </c>
      <c r="X51" s="613">
        <v>0</v>
      </c>
      <c r="Y51" s="613">
        <v>0</v>
      </c>
      <c r="Z51" s="613">
        <v>0.15218203031711333</v>
      </c>
      <c r="AA51" s="613">
        <v>0</v>
      </c>
      <c r="AB51" s="613">
        <v>1.0430202129235466E-2</v>
      </c>
      <c r="AC51" s="613">
        <v>6.8074874699818419E-2</v>
      </c>
      <c r="AD51" s="613">
        <v>4.7816173439915108E-2</v>
      </c>
      <c r="AE51" s="613">
        <v>0.49158144840280077</v>
      </c>
      <c r="AF51" s="613">
        <v>0.21129728326720373</v>
      </c>
      <c r="AG51" s="613">
        <v>0.26404272361076842</v>
      </c>
      <c r="AH51" s="613">
        <v>0</v>
      </c>
      <c r="AI51" s="613">
        <v>0.15719556522130515</v>
      </c>
      <c r="AJ51" s="613">
        <v>0</v>
      </c>
      <c r="AK51" s="613">
        <v>6.2337459308418774E-2</v>
      </c>
      <c r="AL51" s="613">
        <v>0.22010131631513327</v>
      </c>
      <c r="AM51" s="613">
        <v>0</v>
      </c>
      <c r="AN51" s="613">
        <v>0.13014069690108623</v>
      </c>
      <c r="AO51" s="613">
        <v>0.33140354144884432</v>
      </c>
      <c r="AP51" s="613">
        <v>0.15241816998696114</v>
      </c>
      <c r="AQ51" s="613">
        <v>0.73435499346175159</v>
      </c>
      <c r="AR51" s="613">
        <v>0.47855489927934663</v>
      </c>
      <c r="AS51" s="613">
        <v>0.61803742859511301</v>
      </c>
      <c r="AT51" s="613">
        <v>0.74089146094308556</v>
      </c>
      <c r="AU51" s="613">
        <v>0.68240474134768669</v>
      </c>
      <c r="AV51" s="613">
        <v>0.66551333647241318</v>
      </c>
      <c r="AW51" s="613">
        <v>0.49694822637870467</v>
      </c>
      <c r="AX51" s="613">
        <v>0.23036098508225264</v>
      </c>
      <c r="AY51" s="613">
        <v>0.22417606622892189</v>
      </c>
      <c r="AZ51" s="613">
        <v>0.31687059294783054</v>
      </c>
      <c r="BA51" s="613">
        <v>0.19352876469550997</v>
      </c>
      <c r="BB51" s="613">
        <v>0.18165593312044814</v>
      </c>
      <c r="BC51" s="613">
        <v>0.64438927567387738</v>
      </c>
      <c r="BD51" s="613">
        <v>0.80961331180583396</v>
      </c>
      <c r="BE51" s="613">
        <v>0.17840652671780671</v>
      </c>
      <c r="BF51" s="613">
        <v>6.5678538054095709E-2</v>
      </c>
      <c r="BG51" s="613">
        <v>0.38052568176405593</v>
      </c>
      <c r="BH51" s="613">
        <v>0.45219923955369462</v>
      </c>
      <c r="BI51" s="613">
        <v>0.21680598636586637</v>
      </c>
      <c r="BJ51" s="613">
        <v>0.48113706251605731</v>
      </c>
      <c r="BK51" s="613">
        <v>0.23743831249339478</v>
      </c>
      <c r="BL51" s="613">
        <v>0.18610135013845436</v>
      </c>
      <c r="BM51" s="613">
        <v>0.16459582451540544</v>
      </c>
      <c r="BN51" s="613">
        <v>0.3753087985526315</v>
      </c>
      <c r="BO51" s="613">
        <v>0.43070566060796056</v>
      </c>
      <c r="BP51" s="613">
        <v>0.21232564911479057</v>
      </c>
      <c r="BQ51" s="613">
        <v>0.10165117877156357</v>
      </c>
      <c r="BR51" s="613">
        <v>0.17859572157379389</v>
      </c>
      <c r="BS51" s="613">
        <v>0.41615033728187173</v>
      </c>
      <c r="BT51" s="613">
        <v>0.24496123134682193</v>
      </c>
      <c r="BU51" s="613">
        <v>0.26747019596615512</v>
      </c>
      <c r="BV51" s="613">
        <v>0</v>
      </c>
      <c r="BW51" s="613">
        <v>0.31075584759067371</v>
      </c>
      <c r="BX51" s="613">
        <v>0.22892120633003787</v>
      </c>
      <c r="BY51" s="613">
        <v>0.85083870596695299</v>
      </c>
      <c r="BZ51" s="613">
        <v>0.16425596022672509</v>
      </c>
      <c r="CA51" s="613">
        <v>0</v>
      </c>
      <c r="CB51" s="613">
        <v>6.6310916853252596E-3</v>
      </c>
      <c r="CC51" s="613">
        <v>0.30050891492920606</v>
      </c>
      <c r="CD51" s="613">
        <v>2.8543486854183401E-2</v>
      </c>
      <c r="CE51" s="613">
        <v>0</v>
      </c>
      <c r="CF51" s="613">
        <v>0.28428736755471101</v>
      </c>
      <c r="CG51" s="613">
        <v>0.81894750741436062</v>
      </c>
      <c r="CH51" s="613">
        <v>0.11867611605735562</v>
      </c>
      <c r="CI51" s="613">
        <v>0.27907403471562692</v>
      </c>
      <c r="CJ51" s="613">
        <v>0.25239260836935223</v>
      </c>
      <c r="CK51" s="613">
        <v>0.25067494421104586</v>
      </c>
      <c r="CL51" s="613">
        <v>0.1766803632706726</v>
      </c>
      <c r="CM51" s="613">
        <v>0.18570461807439304</v>
      </c>
      <c r="CN51" s="613">
        <v>0.14647811991280651</v>
      </c>
      <c r="CO51" s="613">
        <v>0.17649447115621389</v>
      </c>
      <c r="CP51" s="613">
        <v>0.35787113718456959</v>
      </c>
      <c r="CQ51" s="613">
        <v>0.1793062929725969</v>
      </c>
      <c r="CR51" s="613">
        <v>0.17592916000908007</v>
      </c>
      <c r="CS51" s="613">
        <v>7.4090442046190946E-2</v>
      </c>
      <c r="CT51" s="613">
        <v>0</v>
      </c>
      <c r="CU51" s="613">
        <v>0.10737811814201037</v>
      </c>
      <c r="CV51" s="613">
        <v>2.2970079187059626E-2</v>
      </c>
      <c r="CW51" s="613">
        <v>0.12826215117151857</v>
      </c>
      <c r="CX51" s="613">
        <v>0.44638667866152293</v>
      </c>
      <c r="CY51" s="613">
        <v>0.39041087478656555</v>
      </c>
      <c r="CZ51" s="613">
        <v>0.32807274919975271</v>
      </c>
      <c r="DA51" s="613">
        <v>5.2440985027634522E-2</v>
      </c>
      <c r="DB51" s="613">
        <v>7.1424810436632777E-2</v>
      </c>
      <c r="DC51" s="613">
        <v>5.4742521236893077E-2</v>
      </c>
      <c r="DD51" s="613">
        <v>0.17156341947032708</v>
      </c>
      <c r="DE51" s="613">
        <v>7.892104449428608E-2</v>
      </c>
      <c r="DF51" s="613">
        <v>7.150404438669565E-2</v>
      </c>
      <c r="DG51" s="613">
        <v>0</v>
      </c>
      <c r="DH51" s="613">
        <v>5.9285323672400275E-2</v>
      </c>
      <c r="DI51" s="613">
        <v>0.31484570025908504</v>
      </c>
      <c r="DJ51" s="613">
        <v>0.42421462605269017</v>
      </c>
      <c r="DK51" s="613">
        <v>0.32302162128129513</v>
      </c>
      <c r="DL51" s="613">
        <v>0.41737698920287564</v>
      </c>
      <c r="DM51" s="613">
        <v>2.4709146230536314E-2</v>
      </c>
      <c r="DN51" s="613">
        <v>0.21982930358834696</v>
      </c>
      <c r="DO51" s="613">
        <v>0.82401875851948048</v>
      </c>
      <c r="DP51" s="613">
        <v>0.41370066188991467</v>
      </c>
      <c r="DQ51" s="613">
        <v>0.35544782490882587</v>
      </c>
      <c r="DR51" s="613">
        <v>0.29278376406297163</v>
      </c>
      <c r="DS51" s="613">
        <v>0.23354211343251474</v>
      </c>
      <c r="DT51" s="613">
        <v>0.10127720150833566</v>
      </c>
      <c r="DU51" s="613">
        <v>2.98784580999376E-2</v>
      </c>
      <c r="DV51" s="613">
        <v>0.57353515880621475</v>
      </c>
      <c r="DW51" s="613">
        <v>0.57868978250064151</v>
      </c>
      <c r="DX51" s="613">
        <v>0.32639307874218654</v>
      </c>
      <c r="DY51" s="613">
        <v>0.18260207842136919</v>
      </c>
      <c r="DZ51" s="613">
        <v>0.10371749587901588</v>
      </c>
      <c r="EA51" s="613">
        <v>0.57681039261496303</v>
      </c>
      <c r="EB51" s="613">
        <v>0.21758651701023485</v>
      </c>
      <c r="EC51" s="613">
        <v>0.22392239025030938</v>
      </c>
      <c r="ED51" s="613">
        <v>0</v>
      </c>
      <c r="EE51" s="613">
        <v>0.13711911497702348</v>
      </c>
      <c r="EF51" s="613">
        <v>0.46678533903568886</v>
      </c>
      <c r="EG51" s="613">
        <v>0.23825743278731132</v>
      </c>
      <c r="EH51" s="613">
        <v>0.39094264439097609</v>
      </c>
      <c r="EI51" s="613">
        <v>0</v>
      </c>
      <c r="EJ51" s="613">
        <v>2.0847106703008478E-2</v>
      </c>
      <c r="EK51" s="613">
        <v>0</v>
      </c>
      <c r="EL51" s="613">
        <v>0.18845036462560866</v>
      </c>
      <c r="EM51" s="613">
        <v>0.46473592203984776</v>
      </c>
      <c r="EN51" s="613">
        <v>0.2810859802535422</v>
      </c>
      <c r="EO51" s="613">
        <v>0.64280740867128927</v>
      </c>
      <c r="EP51" s="613">
        <v>0</v>
      </c>
      <c r="EQ51" s="613">
        <v>0.27515020075208046</v>
      </c>
      <c r="ER51" s="613">
        <v>0.26300475178203431</v>
      </c>
      <c r="ES51" s="613">
        <v>0</v>
      </c>
      <c r="ET51" s="613">
        <v>0</v>
      </c>
      <c r="EU51" s="613">
        <v>4.7658166674745817E-2</v>
      </c>
      <c r="EV51" s="613">
        <v>0</v>
      </c>
      <c r="EW51" s="613">
        <v>0.14334939425997559</v>
      </c>
      <c r="EX51" s="613">
        <v>0.22675165735712277</v>
      </c>
      <c r="EY51" s="613">
        <v>0.18054326053537295</v>
      </c>
      <c r="EZ51" s="613">
        <v>3.9244376053887163E-2</v>
      </c>
      <c r="FA51" s="613">
        <v>6.8624226469648913E-2</v>
      </c>
      <c r="FB51" s="613">
        <v>0.10367766723406423</v>
      </c>
      <c r="FC51" s="613">
        <v>0.23039829933278833</v>
      </c>
      <c r="FD51" s="613">
        <v>0.23088418973030042</v>
      </c>
      <c r="FE51" s="613">
        <v>0</v>
      </c>
      <c r="FF51" s="613">
        <v>0</v>
      </c>
      <c r="FG51" s="613">
        <v>0.73020621849591061</v>
      </c>
      <c r="FH51" s="613">
        <v>0.48093016313372716</v>
      </c>
      <c r="FI51" s="613">
        <v>0.34895283499491736</v>
      </c>
      <c r="FJ51" s="613">
        <v>0.23124714222214385</v>
      </c>
      <c r="FK51" s="613">
        <v>6.2708525619666153E-2</v>
      </c>
      <c r="FL51" s="613">
        <v>0.10685945155950234</v>
      </c>
      <c r="FM51" s="613">
        <v>0.38391443869241709</v>
      </c>
      <c r="FN51" s="613">
        <v>0.66024360525591108</v>
      </c>
      <c r="FO51" s="613">
        <v>0</v>
      </c>
      <c r="FP51" s="613">
        <v>0.51151311372481112</v>
      </c>
      <c r="FQ51" s="613">
        <v>8.4345647168497628E-2</v>
      </c>
      <c r="FR51" s="613">
        <v>0.24693544665943717</v>
      </c>
      <c r="FS51" s="613">
        <v>0.47207256189791996</v>
      </c>
      <c r="FT51" s="613">
        <v>0.36805527451222225</v>
      </c>
    </row>
    <row r="52" spans="1:176" x14ac:dyDescent="0.2">
      <c r="A52" s="1486" t="s">
        <v>2369</v>
      </c>
      <c r="B52" s="615">
        <v>16</v>
      </c>
      <c r="C52" s="615">
        <v>16</v>
      </c>
      <c r="D52" s="615">
        <v>16</v>
      </c>
      <c r="E52" s="615">
        <v>17</v>
      </c>
      <c r="F52" s="615">
        <v>16</v>
      </c>
      <c r="G52" s="615">
        <v>16</v>
      </c>
      <c r="H52" s="615">
        <v>16</v>
      </c>
      <c r="I52" s="615">
        <v>16</v>
      </c>
      <c r="J52" s="615">
        <v>16</v>
      </c>
      <c r="K52" s="615">
        <v>16</v>
      </c>
      <c r="L52" s="615">
        <v>16</v>
      </c>
      <c r="M52" s="615">
        <v>16</v>
      </c>
      <c r="N52" s="615">
        <v>16</v>
      </c>
      <c r="O52" s="615">
        <v>16</v>
      </c>
      <c r="P52" s="615">
        <v>2</v>
      </c>
      <c r="Q52" s="615">
        <v>2</v>
      </c>
      <c r="R52" s="615">
        <v>16</v>
      </c>
      <c r="S52" s="615">
        <v>16</v>
      </c>
      <c r="T52" s="615">
        <v>16</v>
      </c>
      <c r="U52" s="615">
        <v>16</v>
      </c>
      <c r="V52" s="615">
        <v>16</v>
      </c>
      <c r="W52" s="615">
        <v>16</v>
      </c>
      <c r="X52" s="615">
        <v>16</v>
      </c>
      <c r="Y52" s="615">
        <v>16</v>
      </c>
      <c r="Z52" s="615">
        <v>16</v>
      </c>
      <c r="AA52" s="615">
        <v>16</v>
      </c>
      <c r="AB52" s="615">
        <v>16</v>
      </c>
      <c r="AC52" s="615">
        <v>16</v>
      </c>
      <c r="AD52" s="615">
        <v>2</v>
      </c>
      <c r="AE52" s="615">
        <v>16</v>
      </c>
      <c r="AF52" s="615">
        <v>16</v>
      </c>
      <c r="AG52" s="615">
        <v>16</v>
      </c>
      <c r="AH52" s="615">
        <v>16</v>
      </c>
      <c r="AI52" s="615">
        <v>16</v>
      </c>
      <c r="AJ52" s="615">
        <v>2</v>
      </c>
      <c r="AK52" s="615">
        <v>2</v>
      </c>
      <c r="AL52" s="615">
        <v>2</v>
      </c>
      <c r="AM52" s="615">
        <v>2</v>
      </c>
      <c r="AN52" s="615">
        <v>1</v>
      </c>
      <c r="AO52" s="615">
        <v>1</v>
      </c>
      <c r="AP52" s="615">
        <v>16</v>
      </c>
      <c r="AQ52" s="615">
        <v>13</v>
      </c>
      <c r="AR52" s="615">
        <v>13</v>
      </c>
      <c r="AS52" s="615">
        <v>13</v>
      </c>
      <c r="AT52" s="615">
        <v>13</v>
      </c>
      <c r="AU52" s="615">
        <v>16</v>
      </c>
      <c r="AV52" s="615">
        <v>16</v>
      </c>
      <c r="AW52" s="615">
        <v>3</v>
      </c>
      <c r="AX52" s="615">
        <v>17</v>
      </c>
      <c r="AY52" s="615">
        <v>17</v>
      </c>
      <c r="AZ52" s="615">
        <v>17</v>
      </c>
      <c r="BA52" s="615">
        <v>17</v>
      </c>
      <c r="BB52" s="615">
        <v>13</v>
      </c>
      <c r="BC52" s="615">
        <v>13</v>
      </c>
      <c r="BD52" s="615">
        <v>14</v>
      </c>
      <c r="BE52" s="615">
        <v>13</v>
      </c>
      <c r="BF52" s="615">
        <v>14</v>
      </c>
      <c r="BG52" s="615">
        <v>16</v>
      </c>
      <c r="BH52" s="615">
        <v>16</v>
      </c>
      <c r="BI52" s="615">
        <v>16</v>
      </c>
      <c r="BJ52" s="615">
        <v>16</v>
      </c>
      <c r="BK52" s="615">
        <v>16</v>
      </c>
      <c r="BL52" s="615">
        <v>2</v>
      </c>
      <c r="BM52" s="615">
        <v>16</v>
      </c>
      <c r="BN52" s="615">
        <v>16</v>
      </c>
      <c r="BO52" s="615">
        <v>16</v>
      </c>
      <c r="BP52" s="615">
        <v>16</v>
      </c>
      <c r="BQ52" s="615">
        <v>16</v>
      </c>
      <c r="BR52" s="615">
        <v>16</v>
      </c>
      <c r="BS52" s="615">
        <v>17</v>
      </c>
      <c r="BT52" s="615">
        <v>17</v>
      </c>
      <c r="BU52" s="615">
        <v>17</v>
      </c>
      <c r="BV52" s="615">
        <v>2</v>
      </c>
      <c r="BW52" s="615">
        <v>3</v>
      </c>
      <c r="BX52" s="615">
        <v>3</v>
      </c>
      <c r="BY52" s="615">
        <v>3</v>
      </c>
      <c r="BZ52" s="615">
        <v>2</v>
      </c>
      <c r="CA52" s="615">
        <v>2</v>
      </c>
      <c r="CB52" s="615">
        <v>2</v>
      </c>
      <c r="CC52" s="615">
        <v>2</v>
      </c>
      <c r="CD52" s="615">
        <v>2</v>
      </c>
      <c r="CE52" s="615">
        <v>2</v>
      </c>
      <c r="CF52" s="615">
        <v>16</v>
      </c>
      <c r="CG52" s="615">
        <v>16</v>
      </c>
      <c r="CH52" s="615">
        <v>16</v>
      </c>
      <c r="CI52" s="615">
        <v>17</v>
      </c>
      <c r="CJ52" s="615">
        <v>17</v>
      </c>
      <c r="CK52" s="615">
        <v>17</v>
      </c>
      <c r="CL52" s="615">
        <v>3</v>
      </c>
      <c r="CM52" s="615">
        <v>2</v>
      </c>
      <c r="CN52" s="615">
        <v>2</v>
      </c>
      <c r="CO52" s="615">
        <v>2</v>
      </c>
      <c r="CP52" s="615">
        <v>16</v>
      </c>
      <c r="CQ52" s="615">
        <v>16</v>
      </c>
      <c r="CR52" s="615">
        <v>16</v>
      </c>
      <c r="CS52" s="615">
        <v>16</v>
      </c>
      <c r="CT52" s="615">
        <v>16</v>
      </c>
      <c r="CU52" s="615">
        <v>17</v>
      </c>
      <c r="CV52" s="615">
        <v>17</v>
      </c>
      <c r="CW52" s="615">
        <v>17</v>
      </c>
      <c r="CX52" s="615">
        <v>17</v>
      </c>
      <c r="CY52" s="615">
        <v>3</v>
      </c>
      <c r="CZ52" s="615">
        <v>3</v>
      </c>
      <c r="DA52" s="615">
        <v>12</v>
      </c>
      <c r="DB52" s="615">
        <v>12</v>
      </c>
      <c r="DC52" s="615">
        <v>12</v>
      </c>
      <c r="DD52" s="615">
        <v>12</v>
      </c>
      <c r="DE52" s="615">
        <v>12</v>
      </c>
      <c r="DF52" s="615">
        <v>12</v>
      </c>
      <c r="DG52" s="615">
        <v>12</v>
      </c>
      <c r="DH52" s="615">
        <v>12</v>
      </c>
      <c r="DI52" s="615">
        <v>3</v>
      </c>
      <c r="DJ52" s="615">
        <v>3</v>
      </c>
      <c r="DK52" s="615">
        <v>2</v>
      </c>
      <c r="DL52" s="615">
        <v>2</v>
      </c>
      <c r="DM52" s="615">
        <v>1</v>
      </c>
      <c r="DN52" s="615">
        <v>17</v>
      </c>
      <c r="DO52" s="615">
        <v>3</v>
      </c>
      <c r="DP52" s="615">
        <v>3</v>
      </c>
      <c r="DQ52" s="615">
        <v>3</v>
      </c>
      <c r="DR52" s="615">
        <v>3</v>
      </c>
      <c r="DS52" s="615">
        <v>3</v>
      </c>
      <c r="DT52" s="615">
        <v>16</v>
      </c>
      <c r="DU52" s="615">
        <v>16</v>
      </c>
      <c r="DV52" s="615">
        <v>1</v>
      </c>
      <c r="DW52" s="615">
        <v>13</v>
      </c>
      <c r="DX52" s="615">
        <v>17</v>
      </c>
      <c r="DY52" s="615">
        <v>13</v>
      </c>
      <c r="DZ52" s="615">
        <v>17</v>
      </c>
      <c r="EA52" s="615">
        <v>16</v>
      </c>
      <c r="EB52" s="615">
        <v>16</v>
      </c>
      <c r="EC52" s="615">
        <v>16</v>
      </c>
      <c r="ED52" s="615">
        <v>2</v>
      </c>
      <c r="EE52" s="615">
        <v>17</v>
      </c>
      <c r="EF52" s="615">
        <v>3</v>
      </c>
      <c r="EG52" s="615">
        <v>17</v>
      </c>
      <c r="EH52" s="615">
        <v>2</v>
      </c>
      <c r="EI52" s="615">
        <v>2</v>
      </c>
      <c r="EJ52" s="615">
        <v>16</v>
      </c>
      <c r="EK52" s="615">
        <v>12</v>
      </c>
      <c r="EL52" s="615">
        <v>12</v>
      </c>
      <c r="EM52" s="615">
        <v>12</v>
      </c>
      <c r="EN52" s="615">
        <v>12</v>
      </c>
      <c r="EO52" s="615">
        <v>3</v>
      </c>
      <c r="EP52" s="615">
        <v>2</v>
      </c>
      <c r="EQ52" s="615">
        <v>17</v>
      </c>
      <c r="ER52" s="615">
        <v>17</v>
      </c>
      <c r="ES52" s="615">
        <v>2</v>
      </c>
      <c r="ET52" s="615">
        <v>3</v>
      </c>
      <c r="EU52" s="615">
        <v>16</v>
      </c>
      <c r="EV52" s="615">
        <v>1</v>
      </c>
      <c r="EW52" s="615">
        <v>17</v>
      </c>
      <c r="EX52" s="615">
        <v>17</v>
      </c>
      <c r="EY52" s="615">
        <v>3</v>
      </c>
      <c r="EZ52" s="615">
        <v>2</v>
      </c>
      <c r="FA52" s="615">
        <v>1</v>
      </c>
      <c r="FB52" s="615">
        <v>17</v>
      </c>
      <c r="FC52" s="615">
        <v>17</v>
      </c>
      <c r="FD52" s="615">
        <v>17</v>
      </c>
      <c r="FE52" s="615">
        <v>1</v>
      </c>
      <c r="FF52" s="615">
        <v>12</v>
      </c>
      <c r="FG52" s="615">
        <v>3</v>
      </c>
      <c r="FH52" s="615">
        <v>1</v>
      </c>
      <c r="FI52" s="615">
        <v>17</v>
      </c>
      <c r="FJ52" s="615">
        <v>3</v>
      </c>
      <c r="FK52" s="615">
        <v>12</v>
      </c>
      <c r="FL52" s="615">
        <v>16</v>
      </c>
      <c r="FM52" s="615">
        <v>16</v>
      </c>
      <c r="FN52" s="615">
        <v>3</v>
      </c>
      <c r="FO52" s="615">
        <v>1</v>
      </c>
      <c r="FP52" s="615">
        <v>3</v>
      </c>
      <c r="FQ52" s="615">
        <v>17</v>
      </c>
      <c r="FR52" s="615">
        <v>1</v>
      </c>
      <c r="FS52" s="615">
        <v>12</v>
      </c>
      <c r="FT52" s="615">
        <v>16</v>
      </c>
    </row>
    <row r="53" spans="1:176" x14ac:dyDescent="0.2">
      <c r="A53" s="1486" t="s">
        <v>2269</v>
      </c>
      <c r="B53">
        <v>0.72945841596720351</v>
      </c>
      <c r="C53" s="613">
        <v>0.94771031730646582</v>
      </c>
      <c r="D53" s="613">
        <v>0.79282174224150503</v>
      </c>
      <c r="E53" s="613">
        <v>0.80730933162670848</v>
      </c>
      <c r="F53" s="613">
        <v>0.91026146798126939</v>
      </c>
      <c r="G53" s="613">
        <v>0.91013526139405987</v>
      </c>
      <c r="H53" s="613">
        <v>0.95457735035854807</v>
      </c>
      <c r="I53" s="613">
        <v>0.95186610803705962</v>
      </c>
      <c r="J53" s="613">
        <v>0.94010703256448436</v>
      </c>
      <c r="K53" s="613">
        <v>0.92214950536001083</v>
      </c>
      <c r="L53" s="613">
        <v>0.5581137636929856</v>
      </c>
      <c r="M53" s="613">
        <v>0.9399858343416081</v>
      </c>
      <c r="N53" s="613">
        <v>0.95139461820969484</v>
      </c>
      <c r="O53" s="613">
        <v>0.93275865080184395</v>
      </c>
      <c r="P53" s="613">
        <v>0.90556839890161633</v>
      </c>
      <c r="Q53" s="613">
        <v>0.91119441205977769</v>
      </c>
      <c r="R53" s="613">
        <v>0.84129350586313034</v>
      </c>
      <c r="S53" s="613">
        <v>0.83447909885490046</v>
      </c>
      <c r="T53" s="613">
        <v>0.90710980493511906</v>
      </c>
      <c r="U53" s="613">
        <v>0.90409187538644498</v>
      </c>
      <c r="V53" s="613">
        <v>0.7407710532861268</v>
      </c>
      <c r="W53" s="613">
        <v>0.81438047421652604</v>
      </c>
      <c r="X53" s="613">
        <v>0.83787823562706232</v>
      </c>
      <c r="Y53" s="613">
        <v>0.74475435988951766</v>
      </c>
      <c r="Z53" s="613">
        <v>0.80199979817246492</v>
      </c>
      <c r="AA53" s="613">
        <v>0.79116390115374247</v>
      </c>
      <c r="AB53" s="613">
        <v>0.77263501114259325</v>
      </c>
      <c r="AC53" s="613">
        <v>0.90680748746998185</v>
      </c>
      <c r="AD53" s="613">
        <v>0.74433590380746606</v>
      </c>
      <c r="AE53" s="613">
        <v>0.30767777774784394</v>
      </c>
      <c r="AF53" s="613">
        <v>0.92112972832672035</v>
      </c>
      <c r="AG53" s="613">
        <v>0.74511359494469875</v>
      </c>
      <c r="AH53" s="613">
        <v>0.89999999999999991</v>
      </c>
      <c r="AI53" s="613">
        <v>0.91571955652213044</v>
      </c>
      <c r="AJ53" s="613">
        <v>0.73934801471088929</v>
      </c>
      <c r="AK53" s="613">
        <v>0.39048268745226267</v>
      </c>
      <c r="AL53" s="613">
        <v>0.33025887667675469</v>
      </c>
      <c r="AM53" s="613">
        <v>0.35897671108767865</v>
      </c>
      <c r="AN53" s="613">
        <v>0.41274894728011841</v>
      </c>
      <c r="AO53" s="613">
        <v>0.34601570058590853</v>
      </c>
      <c r="AP53" s="613">
        <v>0.52738971760433928</v>
      </c>
      <c r="AQ53" s="613">
        <v>0.45688753635055163</v>
      </c>
      <c r="AR53" s="613">
        <v>0.17597848679409323</v>
      </c>
      <c r="AS53" s="613">
        <v>0.70716048200302351</v>
      </c>
      <c r="AT53" s="613">
        <v>0.45301170894975828</v>
      </c>
      <c r="AU53" s="613">
        <v>0.56878651234067057</v>
      </c>
      <c r="AV53" s="613">
        <v>0.40931455385534166</v>
      </c>
      <c r="AW53" s="613">
        <v>0.83761121256541193</v>
      </c>
      <c r="AX53" s="613">
        <v>0.44690994841286241</v>
      </c>
      <c r="AY53" s="613">
        <v>0.39563070812744267</v>
      </c>
      <c r="AZ53" s="613">
        <v>0.74438705349570633</v>
      </c>
      <c r="BA53" s="613">
        <v>0.6104986845347995</v>
      </c>
      <c r="BB53" s="613">
        <v>0.67166317828936506</v>
      </c>
      <c r="BC53" s="613">
        <v>0.80793908274086224</v>
      </c>
      <c r="BD53" s="613">
        <v>0.98096133118058337</v>
      </c>
      <c r="BE53" s="613">
        <v>0.66317520848563027</v>
      </c>
      <c r="BF53" s="613">
        <v>0.71916066820171565</v>
      </c>
      <c r="BG53" s="613">
        <v>0.72120045289662826</v>
      </c>
      <c r="BH53" s="613">
        <v>0.46621063114338501</v>
      </c>
      <c r="BI53" s="613">
        <v>0.72112850683984031</v>
      </c>
      <c r="BJ53" s="613">
        <v>0.79001216318158807</v>
      </c>
      <c r="BK53" s="613">
        <v>0.74860990966899232</v>
      </c>
      <c r="BL53" s="613">
        <v>0.41511683222903278</v>
      </c>
      <c r="BM53" s="613">
        <v>0.69174085973308752</v>
      </c>
      <c r="BN53" s="613">
        <v>0.76633959117290384</v>
      </c>
      <c r="BO53" s="613">
        <v>0.23502427910673684</v>
      </c>
      <c r="BP53" s="613">
        <v>0.72278584251923639</v>
      </c>
      <c r="BQ53" s="613">
        <v>0.70802911290205939</v>
      </c>
      <c r="BR53" s="613">
        <v>0.15287757714877559</v>
      </c>
      <c r="BS53" s="613">
        <v>0.43191583328325478</v>
      </c>
      <c r="BT53" s="613">
        <v>0.46869571319668246</v>
      </c>
      <c r="BU53" s="613">
        <v>0.70660984823632911</v>
      </c>
      <c r="BV53" s="613">
        <v>0.74559150837686716</v>
      </c>
      <c r="BW53" s="613">
        <v>0.85448956400227072</v>
      </c>
      <c r="BX53" s="613">
        <v>0.73867186600496892</v>
      </c>
      <c r="BY53" s="613">
        <v>0.45183484221590292</v>
      </c>
      <c r="BZ53" s="613">
        <v>0.77598003486741218</v>
      </c>
      <c r="CA53" s="613">
        <v>0.14563106337203291</v>
      </c>
      <c r="CB53" s="613">
        <v>0.37226873619599549</v>
      </c>
      <c r="CC53" s="613">
        <v>0.48303155457898789</v>
      </c>
      <c r="CD53" s="613">
        <v>0.90285434868541836</v>
      </c>
      <c r="CE53" s="613">
        <v>0.78150596018918472</v>
      </c>
      <c r="CF53" s="613">
        <v>0.23265510057877148</v>
      </c>
      <c r="CG53" s="613">
        <v>0.87651628969282203</v>
      </c>
      <c r="CH53" s="613">
        <v>0.91186761160573548</v>
      </c>
      <c r="CI53" s="613">
        <v>0.83215719494877716</v>
      </c>
      <c r="CJ53" s="613">
        <v>0.81197912836506092</v>
      </c>
      <c r="CK53" s="613">
        <v>0.32663475622900517</v>
      </c>
      <c r="CL53" s="613">
        <v>0.71765480884548971</v>
      </c>
      <c r="CM53" s="613">
        <v>0.71891261198933865</v>
      </c>
      <c r="CN53" s="613">
        <v>0.13274156165321704</v>
      </c>
      <c r="CO53" s="613">
        <v>0.1610250343895894</v>
      </c>
      <c r="CP53" s="613">
        <v>0.58605446921399496</v>
      </c>
      <c r="CQ53" s="613">
        <v>0.86407289225855233</v>
      </c>
      <c r="CR53" s="613">
        <v>0.91759291600090798</v>
      </c>
      <c r="CS53" s="613">
        <v>0.70022221280662422</v>
      </c>
      <c r="CT53" s="613">
        <v>0.89999999999999991</v>
      </c>
      <c r="CU53" s="613">
        <v>0.77798408638737204</v>
      </c>
      <c r="CV53" s="613">
        <v>0.78511428971309238</v>
      </c>
      <c r="CW53" s="613">
        <v>0.83775049414393443</v>
      </c>
      <c r="CX53" s="613">
        <v>0.29470406024560231</v>
      </c>
      <c r="CY53" s="613">
        <v>0.8129669411016518</v>
      </c>
      <c r="CZ53" s="613">
        <v>0.46771415326370086</v>
      </c>
      <c r="DA53" s="613">
        <v>0.52097791966292628</v>
      </c>
      <c r="DB53" s="613">
        <v>0.74169100568394764</v>
      </c>
      <c r="DC53" s="613">
        <v>0.90547425212368926</v>
      </c>
      <c r="DD53" s="613">
        <v>0.69547141394329215</v>
      </c>
      <c r="DE53" s="613">
        <v>0.28605285166215605</v>
      </c>
      <c r="DF53" s="613">
        <v>0.4351115862250875</v>
      </c>
      <c r="DG53" s="613">
        <v>0.71077483037891531</v>
      </c>
      <c r="DH53" s="613">
        <v>0.2693638543476215</v>
      </c>
      <c r="DI53" s="613">
        <v>0.32166145179489264</v>
      </c>
      <c r="DJ53" s="613">
        <v>0.40473406285697994</v>
      </c>
      <c r="DK53" s="613">
        <v>0.77249757189326684</v>
      </c>
      <c r="DL53" s="613">
        <v>0.31927021352510204</v>
      </c>
      <c r="DM53" s="613">
        <v>0.44461261336103092</v>
      </c>
      <c r="DN53" s="613">
        <v>0.79099987941745742</v>
      </c>
      <c r="DO53" s="613">
        <v>0.42115473862728681</v>
      </c>
      <c r="DP53" s="613">
        <v>0.78226171768802266</v>
      </c>
      <c r="DQ53" s="613">
        <v>0.51793388903022175</v>
      </c>
      <c r="DR53" s="613">
        <v>0.92927837640629718</v>
      </c>
      <c r="DS53" s="613">
        <v>0.49724366501293166</v>
      </c>
      <c r="DT53" s="613">
        <v>0.74749808851147026</v>
      </c>
      <c r="DU53" s="613">
        <v>0.44674007544742139</v>
      </c>
      <c r="DV53" s="613">
        <v>0.88831624974442092</v>
      </c>
      <c r="DW53" s="613">
        <v>0.71459628324350877</v>
      </c>
      <c r="DX53" s="613">
        <v>0.17343246576968535</v>
      </c>
      <c r="DY53" s="613">
        <v>0.34786594204697968</v>
      </c>
      <c r="DZ53" s="613">
        <v>0.78692427648630792</v>
      </c>
      <c r="EA53" s="613">
        <v>0.37584074455418032</v>
      </c>
      <c r="EB53" s="613">
        <v>0.22542345566419641</v>
      </c>
      <c r="EC53" s="613">
        <v>0.2209516327088365</v>
      </c>
      <c r="ED53" s="613">
        <v>0.77398436292347594</v>
      </c>
      <c r="EE53" s="613">
        <v>0.80068599247581862</v>
      </c>
      <c r="EF53" s="613">
        <v>0.51483443581609267</v>
      </c>
      <c r="EG53" s="613">
        <v>0.75512401430864973</v>
      </c>
      <c r="EH53" s="613">
        <v>0.81911194677487742</v>
      </c>
      <c r="EI53" s="613">
        <v>0.74445727594090649</v>
      </c>
      <c r="EJ53" s="613">
        <v>0.80072999768685582</v>
      </c>
      <c r="EK53" s="613">
        <v>0.54443949754925924</v>
      </c>
      <c r="EL53" s="613">
        <v>0.77106901732459809</v>
      </c>
      <c r="EM53" s="613">
        <v>0.62988733778695249</v>
      </c>
      <c r="EN53" s="613">
        <v>0.38630771953264897</v>
      </c>
      <c r="EO53" s="613">
        <v>0.54981384462052274</v>
      </c>
      <c r="EP53" s="613">
        <v>0.49961818858008422</v>
      </c>
      <c r="EQ53" s="613">
        <v>0.79966545979388182</v>
      </c>
      <c r="ER53" s="613">
        <v>0.81580189058481811</v>
      </c>
      <c r="ES53" s="613">
        <v>0.72098262843452487</v>
      </c>
      <c r="ET53" s="613">
        <v>0.45577726996774826</v>
      </c>
      <c r="EU53" s="613">
        <v>0.90476581666747458</v>
      </c>
      <c r="EV53" s="613">
        <v>0.5396355914193246</v>
      </c>
      <c r="EW53" s="613">
        <v>0.80079080526704838</v>
      </c>
      <c r="EX53" s="613">
        <v>0.29394118012801213</v>
      </c>
      <c r="EY53" s="613">
        <v>0.61701122950215059</v>
      </c>
      <c r="EZ53" s="613">
        <v>0.43026522829274788</v>
      </c>
      <c r="FA53" s="613">
        <v>0.79759021651102535</v>
      </c>
      <c r="FB53" s="613">
        <v>0.82139781882523155</v>
      </c>
      <c r="FC53" s="613">
        <v>0.7782794694289783</v>
      </c>
      <c r="FD53" s="613">
        <v>0.81091752660739891</v>
      </c>
      <c r="FE53" s="613">
        <v>0.51952827159913295</v>
      </c>
      <c r="FF53" s="613">
        <v>0.66293099950840062</v>
      </c>
      <c r="FG53" s="613">
        <v>0.44546467351844077</v>
      </c>
      <c r="FH53" s="613">
        <v>0.30152486634026315</v>
      </c>
      <c r="FI53" s="613">
        <v>0.69851606725567217</v>
      </c>
      <c r="FJ53" s="613">
        <v>0.77305768654441309</v>
      </c>
      <c r="FK53" s="613">
        <v>0.41492618417630817</v>
      </c>
      <c r="FL53" s="613">
        <v>0.70121461314274536</v>
      </c>
      <c r="FM53" s="613">
        <v>0.38678671664064729</v>
      </c>
      <c r="FN53" s="613">
        <v>0.54751295176415438</v>
      </c>
      <c r="FO53" s="613">
        <v>0.68102345591492963</v>
      </c>
      <c r="FP53" s="613">
        <v>0.69611409895663401</v>
      </c>
      <c r="FQ53" s="613">
        <v>0.34896006034555704</v>
      </c>
      <c r="FR53" s="613">
        <v>0.71970262809735897</v>
      </c>
      <c r="FS53" s="613">
        <v>0.44018412953992375</v>
      </c>
      <c r="FT53" s="613">
        <v>0.37412232592646993</v>
      </c>
    </row>
    <row r="54" spans="1:176" x14ac:dyDescent="0.2">
      <c r="A54" s="1486" t="s">
        <v>2270</v>
      </c>
      <c r="B54" t="s">
        <v>1229</v>
      </c>
      <c r="C54" s="613" t="s">
        <v>1227</v>
      </c>
      <c r="D54" s="613" t="s">
        <v>1228</v>
      </c>
      <c r="E54" s="613" t="s">
        <v>1228</v>
      </c>
      <c r="F54" s="613" t="s">
        <v>1227</v>
      </c>
      <c r="G54" s="613" t="s">
        <v>1227</v>
      </c>
      <c r="H54" s="613" t="s">
        <v>1227</v>
      </c>
      <c r="I54" s="613" t="s">
        <v>1227</v>
      </c>
      <c r="J54" s="613" t="s">
        <v>1227</v>
      </c>
      <c r="K54" s="613" t="s">
        <v>1227</v>
      </c>
      <c r="L54" s="613" t="s">
        <v>1234</v>
      </c>
      <c r="M54" s="613" t="s">
        <v>1227</v>
      </c>
      <c r="N54" s="613" t="s">
        <v>1227</v>
      </c>
      <c r="O54" s="613" t="s">
        <v>1227</v>
      </c>
      <c r="P54" s="613" t="s">
        <v>1227</v>
      </c>
      <c r="Q54" s="613" t="s">
        <v>1227</v>
      </c>
      <c r="R54" s="613" t="s">
        <v>1227</v>
      </c>
      <c r="S54" s="613" t="s">
        <v>1227</v>
      </c>
      <c r="T54" s="613" t="s">
        <v>1227</v>
      </c>
      <c r="U54" s="613" t="s">
        <v>1227</v>
      </c>
      <c r="V54" s="613" t="s">
        <v>1229</v>
      </c>
      <c r="W54" s="613" t="s">
        <v>1228</v>
      </c>
      <c r="X54" s="613" t="s">
        <v>1227</v>
      </c>
      <c r="Y54" s="613" t="s">
        <v>1228</v>
      </c>
      <c r="Z54" s="613" t="s">
        <v>1228</v>
      </c>
      <c r="AA54" s="613" t="s">
        <v>1228</v>
      </c>
      <c r="AB54" s="613" t="s">
        <v>1228</v>
      </c>
      <c r="AC54" s="613" t="s">
        <v>1227</v>
      </c>
      <c r="AD54" s="613" t="s">
        <v>1228</v>
      </c>
      <c r="AE54" s="613" t="s">
        <v>1234</v>
      </c>
      <c r="AF54" s="613" t="s">
        <v>1227</v>
      </c>
      <c r="AG54" s="613" t="s">
        <v>1228</v>
      </c>
      <c r="AH54" s="613" t="s">
        <v>1227</v>
      </c>
      <c r="AI54" s="613" t="s">
        <v>1227</v>
      </c>
      <c r="AJ54" s="613" t="s">
        <v>1229</v>
      </c>
      <c r="AK54" s="613" t="s">
        <v>1234</v>
      </c>
      <c r="AL54" s="613" t="s">
        <v>1234</v>
      </c>
      <c r="AM54" s="613" t="s">
        <v>1234</v>
      </c>
      <c r="AN54" s="613" t="s">
        <v>1234</v>
      </c>
      <c r="AO54" s="613" t="s">
        <v>1234</v>
      </c>
      <c r="AP54" s="613" t="s">
        <v>1234</v>
      </c>
      <c r="AQ54" s="613" t="s">
        <v>1234</v>
      </c>
      <c r="AR54" s="613" t="s">
        <v>1234</v>
      </c>
      <c r="AS54" s="613" t="s">
        <v>1229</v>
      </c>
      <c r="AT54" s="613" t="s">
        <v>1234</v>
      </c>
      <c r="AU54" s="613" t="s">
        <v>1234</v>
      </c>
      <c r="AV54" s="613" t="s">
        <v>1234</v>
      </c>
      <c r="AW54" s="613" t="s">
        <v>1227</v>
      </c>
      <c r="AX54" s="613" t="s">
        <v>1234</v>
      </c>
      <c r="AY54" s="613" t="s">
        <v>1234</v>
      </c>
      <c r="AZ54" s="613" t="s">
        <v>1228</v>
      </c>
      <c r="BA54" s="613" t="s">
        <v>1234</v>
      </c>
      <c r="BB54" s="613" t="s">
        <v>1234</v>
      </c>
      <c r="BC54" s="613" t="s">
        <v>1228</v>
      </c>
      <c r="BD54" s="613" t="s">
        <v>1227</v>
      </c>
      <c r="BE54" s="613" t="s">
        <v>1234</v>
      </c>
      <c r="BF54" s="613" t="s">
        <v>1229</v>
      </c>
      <c r="BG54" s="613" t="s">
        <v>1229</v>
      </c>
      <c r="BH54" s="613" t="s">
        <v>1234</v>
      </c>
      <c r="BI54" s="613" t="s">
        <v>1229</v>
      </c>
      <c r="BJ54" s="613" t="s">
        <v>1228</v>
      </c>
      <c r="BK54" s="613" t="s">
        <v>1228</v>
      </c>
      <c r="BL54" s="613" t="s">
        <v>1234</v>
      </c>
      <c r="BM54" s="613" t="s">
        <v>1234</v>
      </c>
      <c r="BN54" s="613" t="s">
        <v>1228</v>
      </c>
      <c r="BO54" s="613" t="s">
        <v>1234</v>
      </c>
      <c r="BP54" s="613" t="s">
        <v>1229</v>
      </c>
      <c r="BQ54" s="613" t="s">
        <v>1229</v>
      </c>
      <c r="BR54" s="613" t="s">
        <v>1234</v>
      </c>
      <c r="BS54" s="613" t="s">
        <v>1234</v>
      </c>
      <c r="BT54" s="613" t="s">
        <v>1234</v>
      </c>
      <c r="BU54" s="613" t="s">
        <v>1234</v>
      </c>
      <c r="BV54" s="613" t="s">
        <v>1228</v>
      </c>
      <c r="BW54" s="613" t="s">
        <v>1227</v>
      </c>
      <c r="BX54" s="613" t="s">
        <v>1229</v>
      </c>
      <c r="BY54" s="613" t="s">
        <v>1234</v>
      </c>
      <c r="BZ54" s="613" t="s">
        <v>1228</v>
      </c>
      <c r="CA54" s="613" t="s">
        <v>1234</v>
      </c>
      <c r="CB54" s="613" t="s">
        <v>1234</v>
      </c>
      <c r="CC54" s="613" t="s">
        <v>1234</v>
      </c>
      <c r="CD54" s="613" t="s">
        <v>1227</v>
      </c>
      <c r="CE54" s="613" t="s">
        <v>1228</v>
      </c>
      <c r="CF54" s="613" t="s">
        <v>1234</v>
      </c>
      <c r="CG54" s="613" t="s">
        <v>1227</v>
      </c>
      <c r="CH54" s="613" t="s">
        <v>1227</v>
      </c>
      <c r="CI54" s="613" t="s">
        <v>1227</v>
      </c>
      <c r="CJ54" s="613" t="s">
        <v>1228</v>
      </c>
      <c r="CK54" s="613" t="s">
        <v>1234</v>
      </c>
      <c r="CL54" s="613" t="s">
        <v>1229</v>
      </c>
      <c r="CM54" s="613" t="s">
        <v>1229</v>
      </c>
      <c r="CN54" s="613" t="s">
        <v>1234</v>
      </c>
      <c r="CO54" s="613" t="s">
        <v>1234</v>
      </c>
      <c r="CP54" s="613" t="s">
        <v>1234</v>
      </c>
      <c r="CQ54" s="613" t="s">
        <v>1227</v>
      </c>
      <c r="CR54" s="613" t="s">
        <v>1227</v>
      </c>
      <c r="CS54" s="613" t="s">
        <v>1234</v>
      </c>
      <c r="CT54" s="613" t="s">
        <v>1227</v>
      </c>
      <c r="CU54" s="613" t="s">
        <v>1228</v>
      </c>
      <c r="CV54" s="613" t="s">
        <v>1228</v>
      </c>
      <c r="CW54" s="613" t="s">
        <v>1227</v>
      </c>
      <c r="CX54" s="613" t="s">
        <v>1234</v>
      </c>
      <c r="CY54" s="613" t="s">
        <v>1228</v>
      </c>
      <c r="CZ54" s="613" t="s">
        <v>1234</v>
      </c>
      <c r="DA54" s="613" t="s">
        <v>1234</v>
      </c>
      <c r="DB54" s="613" t="s">
        <v>1229</v>
      </c>
      <c r="DC54" s="613" t="s">
        <v>1227</v>
      </c>
      <c r="DD54" s="613" t="s">
        <v>1234</v>
      </c>
      <c r="DE54" s="613" t="s">
        <v>1234</v>
      </c>
      <c r="DF54" s="613" t="s">
        <v>1234</v>
      </c>
      <c r="DG54" s="613" t="s">
        <v>1229</v>
      </c>
      <c r="DH54" s="613" t="s">
        <v>1234</v>
      </c>
      <c r="DI54" s="613" t="s">
        <v>1234</v>
      </c>
      <c r="DJ54" s="613" t="s">
        <v>1234</v>
      </c>
      <c r="DK54" s="613" t="s">
        <v>1228</v>
      </c>
      <c r="DL54" s="613" t="s">
        <v>1234</v>
      </c>
      <c r="DM54" s="613" t="s">
        <v>1234</v>
      </c>
      <c r="DN54" s="613" t="s">
        <v>1228</v>
      </c>
      <c r="DO54" s="613" t="s">
        <v>1234</v>
      </c>
      <c r="DP54" s="613" t="s">
        <v>1228</v>
      </c>
      <c r="DQ54" s="613" t="s">
        <v>1234</v>
      </c>
      <c r="DR54" s="613" t="s">
        <v>1227</v>
      </c>
      <c r="DS54" s="613" t="s">
        <v>1234</v>
      </c>
      <c r="DT54" s="613" t="s">
        <v>1228</v>
      </c>
      <c r="DU54" s="613" t="s">
        <v>1234</v>
      </c>
      <c r="DV54" s="613" t="s">
        <v>1227</v>
      </c>
      <c r="DW54" s="613" t="s">
        <v>1229</v>
      </c>
      <c r="DX54" s="613" t="s">
        <v>1234</v>
      </c>
      <c r="DY54" s="613" t="s">
        <v>1234</v>
      </c>
      <c r="DZ54" s="613" t="s">
        <v>1228</v>
      </c>
      <c r="EA54" s="613" t="s">
        <v>1234</v>
      </c>
      <c r="EB54" s="613" t="s">
        <v>1234</v>
      </c>
      <c r="EC54" s="613" t="s">
        <v>1234</v>
      </c>
      <c r="ED54" s="613" t="s">
        <v>1228</v>
      </c>
      <c r="EE54" s="613" t="s">
        <v>1228</v>
      </c>
      <c r="EF54" s="613" t="s">
        <v>1234</v>
      </c>
      <c r="EG54" s="613" t="s">
        <v>1228</v>
      </c>
      <c r="EH54" s="613" t="s">
        <v>1228</v>
      </c>
      <c r="EI54" s="613" t="s">
        <v>1228</v>
      </c>
      <c r="EJ54" s="613" t="s">
        <v>1228</v>
      </c>
      <c r="EK54" s="613" t="s">
        <v>1234</v>
      </c>
      <c r="EL54" s="613" t="s">
        <v>1228</v>
      </c>
      <c r="EM54" s="613" t="s">
        <v>1234</v>
      </c>
      <c r="EN54" s="613" t="s">
        <v>1234</v>
      </c>
      <c r="EO54" s="613" t="s">
        <v>1234</v>
      </c>
      <c r="EP54" s="613" t="s">
        <v>1234</v>
      </c>
      <c r="EQ54" s="613" t="s">
        <v>1228</v>
      </c>
      <c r="ER54" s="613" t="s">
        <v>1228</v>
      </c>
      <c r="ES54" s="613" t="s">
        <v>1229</v>
      </c>
      <c r="ET54" s="613" t="s">
        <v>1234</v>
      </c>
      <c r="EU54" s="613" t="s">
        <v>1227</v>
      </c>
      <c r="EV54" s="613" t="s">
        <v>1234</v>
      </c>
      <c r="EW54" s="613" t="s">
        <v>1228</v>
      </c>
      <c r="EX54" s="613" t="s">
        <v>1234</v>
      </c>
      <c r="EY54" s="613" t="s">
        <v>1234</v>
      </c>
      <c r="EZ54" s="613" t="s">
        <v>1234</v>
      </c>
      <c r="FA54" s="613" t="s">
        <v>1228</v>
      </c>
      <c r="FB54" s="613" t="s">
        <v>1227</v>
      </c>
      <c r="FC54" s="613" t="s">
        <v>1228</v>
      </c>
      <c r="FD54" s="613" t="s">
        <v>1228</v>
      </c>
      <c r="FE54" s="613" t="s">
        <v>1234</v>
      </c>
      <c r="FF54" s="613" t="s">
        <v>1234</v>
      </c>
      <c r="FG54" s="613" t="s">
        <v>1234</v>
      </c>
      <c r="FH54" s="613" t="s">
        <v>1234</v>
      </c>
      <c r="FI54" s="613" t="s">
        <v>1234</v>
      </c>
      <c r="FJ54" s="613" t="s">
        <v>1228</v>
      </c>
      <c r="FK54" s="613" t="s">
        <v>1234</v>
      </c>
      <c r="FL54" s="613" t="s">
        <v>1234</v>
      </c>
      <c r="FM54" s="613" t="s">
        <v>1234</v>
      </c>
      <c r="FN54" s="613" t="s">
        <v>1234</v>
      </c>
      <c r="FO54" s="613" t="s">
        <v>1234</v>
      </c>
      <c r="FP54" s="613" t="s">
        <v>1234</v>
      </c>
      <c r="FQ54" s="613" t="s">
        <v>1234</v>
      </c>
      <c r="FR54" s="613" t="s">
        <v>1229</v>
      </c>
      <c r="FS54" s="613" t="s">
        <v>1234</v>
      </c>
      <c r="FT54" s="613" t="s">
        <v>1234</v>
      </c>
    </row>
    <row r="55" spans="1:176" x14ac:dyDescent="0.2">
      <c r="A55" s="1486" t="s">
        <v>2271</v>
      </c>
      <c r="B55" s="615">
        <v>0</v>
      </c>
      <c r="C55" s="615">
        <v>0</v>
      </c>
      <c r="D55" s="615">
        <v>0</v>
      </c>
      <c r="E55" s="615">
        <v>-1</v>
      </c>
      <c r="F55" s="615">
        <v>0</v>
      </c>
      <c r="G55" s="615">
        <v>0</v>
      </c>
      <c r="H55" s="615">
        <v>0</v>
      </c>
      <c r="I55" s="615">
        <v>0</v>
      </c>
      <c r="J55" s="615">
        <v>0</v>
      </c>
      <c r="K55" s="615">
        <v>0</v>
      </c>
      <c r="L55" s="615">
        <v>0</v>
      </c>
      <c r="M55" s="615">
        <v>0</v>
      </c>
      <c r="N55" s="615">
        <v>0</v>
      </c>
      <c r="O55" s="615">
        <v>0</v>
      </c>
      <c r="P55" s="615">
        <v>0</v>
      </c>
      <c r="Q55" s="615">
        <v>0</v>
      </c>
      <c r="R55" s="615">
        <v>0</v>
      </c>
      <c r="S55" s="615">
        <v>0</v>
      </c>
      <c r="T55" s="615">
        <v>0</v>
      </c>
      <c r="U55" s="615">
        <v>0</v>
      </c>
      <c r="V55" s="615">
        <v>0</v>
      </c>
      <c r="W55" s="615">
        <v>0</v>
      </c>
      <c r="X55" s="615">
        <v>0</v>
      </c>
      <c r="Y55" s="615">
        <v>0</v>
      </c>
      <c r="Z55" s="615">
        <v>0</v>
      </c>
      <c r="AA55" s="615">
        <v>0</v>
      </c>
      <c r="AB55" s="615">
        <v>0</v>
      </c>
      <c r="AC55" s="615">
        <v>0</v>
      </c>
      <c r="AD55" s="615">
        <v>0</v>
      </c>
      <c r="AE55" s="615">
        <v>0</v>
      </c>
      <c r="AF55" s="615">
        <v>0</v>
      </c>
      <c r="AG55" s="615">
        <v>0</v>
      </c>
      <c r="AH55" s="615">
        <v>0</v>
      </c>
      <c r="AI55" s="615">
        <v>0</v>
      </c>
      <c r="AJ55" s="615">
        <v>0</v>
      </c>
      <c r="AK55" s="615">
        <v>0</v>
      </c>
      <c r="AL55" s="615">
        <v>0</v>
      </c>
      <c r="AM55" s="615">
        <v>0</v>
      </c>
      <c r="AN55" s="615">
        <v>0</v>
      </c>
      <c r="AO55" s="615">
        <v>0</v>
      </c>
      <c r="AP55" s="615">
        <v>0</v>
      </c>
      <c r="AQ55" s="615">
        <v>1</v>
      </c>
      <c r="AR55" s="615">
        <v>1</v>
      </c>
      <c r="AS55" s="615">
        <v>1</v>
      </c>
      <c r="AT55" s="615">
        <v>1</v>
      </c>
      <c r="AU55" s="615">
        <v>0</v>
      </c>
      <c r="AV55" s="615">
        <v>0</v>
      </c>
      <c r="AW55" s="615">
        <v>-1</v>
      </c>
      <c r="AX55" s="615">
        <v>-1</v>
      </c>
      <c r="AY55" s="615">
        <v>-1</v>
      </c>
      <c r="AZ55" s="615">
        <v>-1</v>
      </c>
      <c r="BA55" s="615">
        <v>-1</v>
      </c>
      <c r="BB55" s="615">
        <v>1</v>
      </c>
      <c r="BC55" s="615">
        <v>1</v>
      </c>
      <c r="BD55" s="615">
        <v>1</v>
      </c>
      <c r="BE55" s="615">
        <v>1</v>
      </c>
      <c r="BF55" s="615">
        <v>1</v>
      </c>
      <c r="BG55" s="615">
        <v>0</v>
      </c>
      <c r="BH55" s="615">
        <v>0</v>
      </c>
      <c r="BI55" s="615">
        <v>0</v>
      </c>
      <c r="BJ55" s="615">
        <v>0</v>
      </c>
      <c r="BK55" s="615">
        <v>0</v>
      </c>
      <c r="BL55" s="615">
        <v>0</v>
      </c>
      <c r="BM55" s="615">
        <v>0</v>
      </c>
      <c r="BN55" s="615">
        <v>0</v>
      </c>
      <c r="BO55" s="615">
        <v>0</v>
      </c>
      <c r="BP55" s="615">
        <v>0</v>
      </c>
      <c r="BQ55" s="615">
        <v>0</v>
      </c>
      <c r="BR55" s="615">
        <v>0</v>
      </c>
      <c r="BS55" s="615">
        <v>-1</v>
      </c>
      <c r="BT55" s="615">
        <v>-1</v>
      </c>
      <c r="BU55" s="615">
        <v>-1</v>
      </c>
      <c r="BV55" s="615">
        <v>0</v>
      </c>
      <c r="BW55" s="615">
        <v>-1</v>
      </c>
      <c r="BX55" s="615">
        <v>-1</v>
      </c>
      <c r="BY55" s="615">
        <v>-1</v>
      </c>
      <c r="BZ55" s="615">
        <v>0</v>
      </c>
      <c r="CA55" s="615">
        <v>0</v>
      </c>
      <c r="CB55" s="615">
        <v>0</v>
      </c>
      <c r="CC55" s="615">
        <v>0</v>
      </c>
      <c r="CD55" s="615">
        <v>0</v>
      </c>
      <c r="CE55" s="615">
        <v>0</v>
      </c>
      <c r="CF55" s="615">
        <v>0</v>
      </c>
      <c r="CG55" s="615">
        <v>0</v>
      </c>
      <c r="CH55" s="615">
        <v>0</v>
      </c>
      <c r="CI55" s="615">
        <v>-1</v>
      </c>
      <c r="CJ55" s="615">
        <v>-1</v>
      </c>
      <c r="CK55" s="615">
        <v>-1</v>
      </c>
      <c r="CL55" s="615">
        <v>-1</v>
      </c>
      <c r="CM55" s="615">
        <v>0</v>
      </c>
      <c r="CN55" s="615">
        <v>0</v>
      </c>
      <c r="CO55" s="615">
        <v>0</v>
      </c>
      <c r="CP55" s="615">
        <v>0</v>
      </c>
      <c r="CQ55" s="615">
        <v>0</v>
      </c>
      <c r="CR55" s="615">
        <v>0</v>
      </c>
      <c r="CS55" s="615">
        <v>0</v>
      </c>
      <c r="CT55" s="615">
        <v>0</v>
      </c>
      <c r="CU55" s="615">
        <v>-1</v>
      </c>
      <c r="CV55" s="615">
        <v>-1</v>
      </c>
      <c r="CW55" s="615">
        <v>-1</v>
      </c>
      <c r="CX55" s="615">
        <v>-1</v>
      </c>
      <c r="CY55" s="615">
        <v>-1</v>
      </c>
      <c r="CZ55" s="615">
        <v>-1</v>
      </c>
      <c r="DA55" s="615">
        <v>0</v>
      </c>
      <c r="DB55" s="615">
        <v>0</v>
      </c>
      <c r="DC55" s="615">
        <v>0</v>
      </c>
      <c r="DD55" s="615">
        <v>0</v>
      </c>
      <c r="DE55" s="615">
        <v>0</v>
      </c>
      <c r="DF55" s="615">
        <v>0</v>
      </c>
      <c r="DG55" s="615">
        <v>0</v>
      </c>
      <c r="DH55" s="615">
        <v>0</v>
      </c>
      <c r="DI55" s="615">
        <v>-1</v>
      </c>
      <c r="DJ55" s="615">
        <v>-1</v>
      </c>
      <c r="DK55" s="615">
        <v>0</v>
      </c>
      <c r="DL55" s="615">
        <v>0</v>
      </c>
      <c r="DM55" s="615">
        <v>0</v>
      </c>
      <c r="DN55" s="615">
        <v>-1</v>
      </c>
      <c r="DO55" s="615">
        <v>-1</v>
      </c>
      <c r="DP55" s="615">
        <v>-1</v>
      </c>
      <c r="DQ55" s="615">
        <v>-1</v>
      </c>
      <c r="DR55" s="615">
        <v>-1</v>
      </c>
      <c r="DS55" s="615">
        <v>-1</v>
      </c>
      <c r="DT55" s="615">
        <v>0</v>
      </c>
      <c r="DU55" s="615">
        <v>0</v>
      </c>
      <c r="DV55" s="615">
        <v>0</v>
      </c>
      <c r="DW55" s="615">
        <v>1</v>
      </c>
      <c r="DX55" s="615">
        <v>-1</v>
      </c>
      <c r="DY55" s="615">
        <v>1</v>
      </c>
      <c r="DZ55" s="615">
        <v>-1</v>
      </c>
      <c r="EA55" s="615">
        <v>0</v>
      </c>
      <c r="EB55" s="615">
        <v>0</v>
      </c>
      <c r="EC55" s="615">
        <v>0</v>
      </c>
      <c r="ED55" s="615">
        <v>0</v>
      </c>
      <c r="EE55" s="615">
        <v>-1</v>
      </c>
      <c r="EF55" s="615">
        <v>-1</v>
      </c>
      <c r="EG55" s="615">
        <v>-1</v>
      </c>
      <c r="EH55" s="615">
        <v>0</v>
      </c>
      <c r="EI55" s="615">
        <v>0</v>
      </c>
      <c r="EJ55" s="615">
        <v>0</v>
      </c>
      <c r="EK55" s="615">
        <v>0</v>
      </c>
      <c r="EL55" s="615">
        <v>0</v>
      </c>
      <c r="EM55" s="615">
        <v>0</v>
      </c>
      <c r="EN55" s="615">
        <v>0</v>
      </c>
      <c r="EO55" s="615">
        <v>-1</v>
      </c>
      <c r="EP55" s="615">
        <v>0</v>
      </c>
      <c r="EQ55" s="615">
        <v>-1</v>
      </c>
      <c r="ER55" s="615">
        <v>-1</v>
      </c>
      <c r="ES55" s="615">
        <v>0</v>
      </c>
      <c r="ET55" s="615">
        <v>-1</v>
      </c>
      <c r="EU55" s="615">
        <v>0</v>
      </c>
      <c r="EV55" s="615">
        <v>0</v>
      </c>
      <c r="EW55" s="615">
        <v>-1</v>
      </c>
      <c r="EX55" s="615">
        <v>-1</v>
      </c>
      <c r="EY55" s="615">
        <v>-1</v>
      </c>
      <c r="EZ55" s="615">
        <v>0</v>
      </c>
      <c r="FA55" s="615">
        <v>0</v>
      </c>
      <c r="FB55" s="615">
        <v>-1</v>
      </c>
      <c r="FC55" s="615">
        <v>-1</v>
      </c>
      <c r="FD55" s="615">
        <v>-1</v>
      </c>
      <c r="FE55" s="615">
        <v>0</v>
      </c>
      <c r="FF55" s="615">
        <v>0</v>
      </c>
      <c r="FG55" s="615">
        <v>-1</v>
      </c>
      <c r="FH55" s="615">
        <v>0</v>
      </c>
      <c r="FI55" s="615">
        <v>-1</v>
      </c>
      <c r="FJ55" s="615">
        <v>-1</v>
      </c>
      <c r="FK55" s="615">
        <v>0</v>
      </c>
      <c r="FL55" s="615">
        <v>0</v>
      </c>
      <c r="FM55" s="615">
        <v>0</v>
      </c>
      <c r="FN55" s="615">
        <v>-1</v>
      </c>
      <c r="FO55" s="615">
        <v>0</v>
      </c>
      <c r="FP55" s="615">
        <v>-1</v>
      </c>
      <c r="FQ55" s="615">
        <v>-1</v>
      </c>
      <c r="FR55" s="615">
        <v>0</v>
      </c>
      <c r="FS55" s="615">
        <v>0</v>
      </c>
      <c r="FT55" s="615">
        <v>0</v>
      </c>
    </row>
    <row r="56" spans="1:176" x14ac:dyDescent="0.2">
      <c r="A56" s="1486" t="s">
        <v>2272</v>
      </c>
      <c r="B56" t="s">
        <v>2307</v>
      </c>
      <c r="C56" s="613" t="s">
        <v>2370</v>
      </c>
      <c r="D56" s="613" t="s">
        <v>2371</v>
      </c>
      <c r="E56" s="613" t="s">
        <v>2307</v>
      </c>
      <c r="F56" s="613" t="s">
        <v>2370</v>
      </c>
      <c r="G56" s="613" t="s">
        <v>2370</v>
      </c>
      <c r="H56" s="613" t="s">
        <v>2370</v>
      </c>
      <c r="I56" s="613" t="s">
        <v>2370</v>
      </c>
      <c r="J56" s="613" t="s">
        <v>2370</v>
      </c>
      <c r="K56" s="613" t="s">
        <v>2370</v>
      </c>
      <c r="L56" s="613" t="s">
        <v>2373</v>
      </c>
      <c r="M56" s="613" t="s">
        <v>2370</v>
      </c>
      <c r="N56" s="613" t="s">
        <v>2370</v>
      </c>
      <c r="O56" s="613" t="s">
        <v>2370</v>
      </c>
      <c r="P56" s="613" t="s">
        <v>2370</v>
      </c>
      <c r="Q56" s="613" t="s">
        <v>2370</v>
      </c>
      <c r="R56" s="613" t="s">
        <v>2370</v>
      </c>
      <c r="S56" s="613" t="s">
        <v>2370</v>
      </c>
      <c r="T56" s="613" t="s">
        <v>2370</v>
      </c>
      <c r="U56" s="613" t="s">
        <v>2370</v>
      </c>
      <c r="V56" s="613" t="s">
        <v>2307</v>
      </c>
      <c r="W56" s="613" t="s">
        <v>2371</v>
      </c>
      <c r="X56" s="613" t="s">
        <v>2370</v>
      </c>
      <c r="Y56" s="613" t="s">
        <v>2371</v>
      </c>
      <c r="Z56" s="613" t="s">
        <v>2371</v>
      </c>
      <c r="AA56" s="613" t="s">
        <v>2371</v>
      </c>
      <c r="AB56" s="613" t="s">
        <v>2371</v>
      </c>
      <c r="AC56" s="613" t="s">
        <v>2370</v>
      </c>
      <c r="AD56" s="613" t="s">
        <v>2371</v>
      </c>
      <c r="AE56" s="613" t="s">
        <v>2373</v>
      </c>
      <c r="AF56" s="613" t="s">
        <v>2370</v>
      </c>
      <c r="AG56" s="613" t="s">
        <v>2371</v>
      </c>
      <c r="AH56" s="613" t="s">
        <v>2370</v>
      </c>
      <c r="AI56" s="613" t="s">
        <v>2370</v>
      </c>
      <c r="AJ56" s="613" t="s">
        <v>2307</v>
      </c>
      <c r="AK56" s="613" t="s">
        <v>2373</v>
      </c>
      <c r="AL56" s="613" t="s">
        <v>2373</v>
      </c>
      <c r="AM56" s="613" t="s">
        <v>2373</v>
      </c>
      <c r="AN56" s="613" t="s">
        <v>2373</v>
      </c>
      <c r="AO56" s="613" t="s">
        <v>2373</v>
      </c>
      <c r="AP56" s="613" t="s">
        <v>2373</v>
      </c>
      <c r="AQ56" s="613" t="s">
        <v>2373</v>
      </c>
      <c r="AR56" s="613" t="s">
        <v>2373</v>
      </c>
      <c r="AS56" s="613" t="s">
        <v>2371</v>
      </c>
      <c r="AT56" s="613" t="s">
        <v>2373</v>
      </c>
      <c r="AU56" s="613" t="s">
        <v>2373</v>
      </c>
      <c r="AV56" s="613" t="s">
        <v>2373</v>
      </c>
      <c r="AW56" s="613" t="s">
        <v>2370</v>
      </c>
      <c r="AX56" s="613" t="s">
        <v>2373</v>
      </c>
      <c r="AY56" s="613" t="s">
        <v>2373</v>
      </c>
      <c r="AZ56" s="613" t="s">
        <v>2307</v>
      </c>
      <c r="BA56" s="613" t="s">
        <v>2373</v>
      </c>
      <c r="BB56" s="613" t="s">
        <v>2307</v>
      </c>
      <c r="BC56" s="613" t="s">
        <v>2370</v>
      </c>
      <c r="BD56" s="613" t="s">
        <v>2370</v>
      </c>
      <c r="BE56" s="613" t="s">
        <v>2307</v>
      </c>
      <c r="BF56" s="613" t="s">
        <v>2371</v>
      </c>
      <c r="BG56" s="613" t="s">
        <v>2307</v>
      </c>
      <c r="BH56" s="613" t="s">
        <v>2373</v>
      </c>
      <c r="BI56" s="613" t="s">
        <v>2307</v>
      </c>
      <c r="BJ56" s="613" t="s">
        <v>2371</v>
      </c>
      <c r="BK56" s="613" t="s">
        <v>2371</v>
      </c>
      <c r="BL56" s="613" t="s">
        <v>2373</v>
      </c>
      <c r="BM56" s="613" t="s">
        <v>2373</v>
      </c>
      <c r="BN56" s="613" t="s">
        <v>2371</v>
      </c>
      <c r="BO56" s="613" t="s">
        <v>2373</v>
      </c>
      <c r="BP56" s="613" t="s">
        <v>2307</v>
      </c>
      <c r="BQ56" s="613" t="s">
        <v>2307</v>
      </c>
      <c r="BR56" s="613" t="s">
        <v>2373</v>
      </c>
      <c r="BS56" s="613" t="s">
        <v>2373</v>
      </c>
      <c r="BT56" s="613" t="s">
        <v>2373</v>
      </c>
      <c r="BU56" s="613" t="s">
        <v>2373</v>
      </c>
      <c r="BV56" s="613" t="s">
        <v>2371</v>
      </c>
      <c r="BW56" s="613" t="s">
        <v>2370</v>
      </c>
      <c r="BX56" s="613" t="s">
        <v>2373</v>
      </c>
      <c r="BY56" s="613" t="s">
        <v>2373</v>
      </c>
      <c r="BZ56" s="613" t="s">
        <v>2371</v>
      </c>
      <c r="CA56" s="613" t="s">
        <v>2373</v>
      </c>
      <c r="CB56" s="613" t="s">
        <v>2373</v>
      </c>
      <c r="CC56" s="613" t="s">
        <v>2373</v>
      </c>
      <c r="CD56" s="613" t="s">
        <v>2370</v>
      </c>
      <c r="CE56" s="613" t="s">
        <v>2371</v>
      </c>
      <c r="CF56" s="613" t="s">
        <v>2373</v>
      </c>
      <c r="CG56" s="613" t="s">
        <v>2370</v>
      </c>
      <c r="CH56" s="613" t="s">
        <v>2370</v>
      </c>
      <c r="CI56" s="613" t="s">
        <v>2371</v>
      </c>
      <c r="CJ56" s="613" t="s">
        <v>2307</v>
      </c>
      <c r="CK56" s="613" t="s">
        <v>2373</v>
      </c>
      <c r="CL56" s="613" t="s">
        <v>2373</v>
      </c>
      <c r="CM56" s="613" t="s">
        <v>2307</v>
      </c>
      <c r="CN56" s="613" t="s">
        <v>2373</v>
      </c>
      <c r="CO56" s="613" t="s">
        <v>2373</v>
      </c>
      <c r="CP56" s="613" t="s">
        <v>2373</v>
      </c>
      <c r="CQ56" s="613" t="s">
        <v>2370</v>
      </c>
      <c r="CR56" s="613" t="s">
        <v>2370</v>
      </c>
      <c r="CS56" s="613" t="s">
        <v>2373</v>
      </c>
      <c r="CT56" s="613" t="s">
        <v>2370</v>
      </c>
      <c r="CU56" s="613" t="s">
        <v>2307</v>
      </c>
      <c r="CV56" s="613" t="s">
        <v>2307</v>
      </c>
      <c r="CW56" s="613" t="s">
        <v>2371</v>
      </c>
      <c r="CX56" s="613" t="s">
        <v>2373</v>
      </c>
      <c r="CY56" s="613" t="s">
        <v>2307</v>
      </c>
      <c r="CZ56" s="613" t="s">
        <v>2373</v>
      </c>
      <c r="DA56" s="613" t="s">
        <v>2373</v>
      </c>
      <c r="DB56" s="613" t="s">
        <v>2307</v>
      </c>
      <c r="DC56" s="613" t="s">
        <v>2370</v>
      </c>
      <c r="DD56" s="613" t="s">
        <v>2373</v>
      </c>
      <c r="DE56" s="613" t="s">
        <v>2373</v>
      </c>
      <c r="DF56" s="613" t="s">
        <v>2373</v>
      </c>
      <c r="DG56" s="613" t="s">
        <v>2307</v>
      </c>
      <c r="DH56" s="613" t="s">
        <v>2373</v>
      </c>
      <c r="DI56" s="613" t="s">
        <v>2373</v>
      </c>
      <c r="DJ56" s="613" t="s">
        <v>2373</v>
      </c>
      <c r="DK56" s="613" t="s">
        <v>2371</v>
      </c>
      <c r="DL56" s="613" t="s">
        <v>2373</v>
      </c>
      <c r="DM56" s="613" t="s">
        <v>2373</v>
      </c>
      <c r="DN56" s="613" t="s">
        <v>2307</v>
      </c>
      <c r="DO56" s="613" t="s">
        <v>2373</v>
      </c>
      <c r="DP56" s="613" t="s">
        <v>2307</v>
      </c>
      <c r="DQ56" s="613" t="s">
        <v>2373</v>
      </c>
      <c r="DR56" s="613" t="s">
        <v>2370</v>
      </c>
      <c r="DS56" s="613" t="s">
        <v>2373</v>
      </c>
      <c r="DT56" s="613" t="s">
        <v>2371</v>
      </c>
      <c r="DU56" s="613" t="s">
        <v>2373</v>
      </c>
      <c r="DV56" s="613" t="s">
        <v>2370</v>
      </c>
      <c r="DW56" s="613" t="s">
        <v>2371</v>
      </c>
      <c r="DX56" s="613" t="s">
        <v>2373</v>
      </c>
      <c r="DY56" s="613" t="s">
        <v>2373</v>
      </c>
      <c r="DZ56" s="613" t="s">
        <v>2307</v>
      </c>
      <c r="EA56" s="613" t="s">
        <v>2373</v>
      </c>
      <c r="EB56" s="613" t="s">
        <v>2373</v>
      </c>
      <c r="EC56" s="613" t="s">
        <v>2373</v>
      </c>
      <c r="ED56" s="613" t="s">
        <v>2371</v>
      </c>
      <c r="EE56" s="613" t="s">
        <v>2307</v>
      </c>
      <c r="EF56" s="613" t="s">
        <v>2373</v>
      </c>
      <c r="EG56" s="613" t="s">
        <v>2307</v>
      </c>
      <c r="EH56" s="613" t="s">
        <v>2371</v>
      </c>
      <c r="EI56" s="613" t="s">
        <v>2371</v>
      </c>
      <c r="EJ56" s="613" t="s">
        <v>2371</v>
      </c>
      <c r="EK56" s="613" t="s">
        <v>2373</v>
      </c>
      <c r="EL56" s="613" t="s">
        <v>2371</v>
      </c>
      <c r="EM56" s="613" t="s">
        <v>2373</v>
      </c>
      <c r="EN56" s="613" t="s">
        <v>2373</v>
      </c>
      <c r="EO56" s="613" t="s">
        <v>2373</v>
      </c>
      <c r="EP56" s="613" t="s">
        <v>2373</v>
      </c>
      <c r="EQ56" s="613" t="s">
        <v>2307</v>
      </c>
      <c r="ER56" s="613" t="s">
        <v>2307</v>
      </c>
      <c r="ES56" s="613" t="s">
        <v>2307</v>
      </c>
      <c r="ET56" s="613" t="s">
        <v>2373</v>
      </c>
      <c r="EU56" s="613" t="s">
        <v>2370</v>
      </c>
      <c r="EV56" s="613" t="s">
        <v>2373</v>
      </c>
      <c r="EW56" s="613" t="s">
        <v>2307</v>
      </c>
      <c r="EX56" s="613" t="s">
        <v>2373</v>
      </c>
      <c r="EY56" s="613" t="s">
        <v>2373</v>
      </c>
      <c r="EZ56" s="613" t="s">
        <v>2373</v>
      </c>
      <c r="FA56" s="613" t="s">
        <v>2371</v>
      </c>
      <c r="FB56" s="613" t="s">
        <v>2371</v>
      </c>
      <c r="FC56" s="613" t="s">
        <v>2307</v>
      </c>
      <c r="FD56" s="613" t="s">
        <v>2307</v>
      </c>
      <c r="FE56" s="613" t="s">
        <v>2373</v>
      </c>
      <c r="FF56" s="613" t="s">
        <v>2373</v>
      </c>
      <c r="FG56" s="613" t="s">
        <v>2373</v>
      </c>
      <c r="FH56" s="613" t="s">
        <v>2373</v>
      </c>
      <c r="FI56" s="613" t="s">
        <v>2373</v>
      </c>
      <c r="FJ56" s="613" t="s">
        <v>2307</v>
      </c>
      <c r="FK56" s="613" t="s">
        <v>2373</v>
      </c>
      <c r="FL56" s="613" t="s">
        <v>2373</v>
      </c>
      <c r="FM56" s="613" t="s">
        <v>2373</v>
      </c>
      <c r="FN56" s="613" t="s">
        <v>2373</v>
      </c>
      <c r="FO56" s="613" t="s">
        <v>2373</v>
      </c>
      <c r="FP56" s="613" t="s">
        <v>2373</v>
      </c>
      <c r="FQ56" s="613" t="s">
        <v>2373</v>
      </c>
      <c r="FR56" s="613" t="s">
        <v>2307</v>
      </c>
      <c r="FS56" s="613" t="s">
        <v>2373</v>
      </c>
      <c r="FT56" s="613" t="s">
        <v>2373</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29"/>
  <sheetViews>
    <sheetView zoomScaleNormal="100" workbookViewId="0">
      <selection activeCell="G19" sqref="G19"/>
    </sheetView>
  </sheetViews>
  <sheetFormatPr defaultColWidth="9.33203125" defaultRowHeight="12.75" x14ac:dyDescent="0.2"/>
  <cols>
    <col min="1" max="1" width="5.83203125" style="1096" customWidth="1"/>
    <col min="2" max="2" width="18.83203125" style="25" customWidth="1"/>
    <col min="3" max="3" width="69.83203125" style="39" customWidth="1"/>
    <col min="4" max="4" width="6.83203125" style="200" customWidth="1"/>
    <col min="5" max="5" width="8.5" style="328" customWidth="1"/>
    <col min="6" max="6" width="8.5" style="329" customWidth="1"/>
    <col min="7" max="7" width="10.83203125" style="345" customWidth="1"/>
    <col min="8" max="8" width="12.33203125" style="167" customWidth="1"/>
    <col min="9" max="9" width="69.83203125" style="39" customWidth="1"/>
    <col min="10" max="10" width="3.83203125" style="39" customWidth="1"/>
    <col min="11" max="11" width="93.33203125" style="39" customWidth="1"/>
    <col min="12" max="12" width="78.1640625" style="39" customWidth="1"/>
    <col min="13" max="16384" width="9.33203125" style="39"/>
  </cols>
  <sheetData>
    <row r="1" spans="1:11" ht="63" customHeight="1" thickBot="1" x14ac:dyDescent="0.25">
      <c r="A1" s="2113" t="s">
        <v>2375</v>
      </c>
      <c r="B1" s="2114"/>
      <c r="C1" s="77" t="s">
        <v>1048</v>
      </c>
      <c r="D1" s="94" t="s">
        <v>658</v>
      </c>
      <c r="E1" s="2111"/>
      <c r="F1" s="2112"/>
      <c r="G1" s="2112"/>
      <c r="H1" s="2112"/>
      <c r="I1" s="390" t="s">
        <v>1432</v>
      </c>
    </row>
    <row r="2" spans="1:11" s="708" customFormat="1" ht="42" customHeight="1" thickBot="1" x14ac:dyDescent="0.25">
      <c r="A2" s="1605" t="s">
        <v>110</v>
      </c>
      <c r="B2" s="1606" t="s">
        <v>1096</v>
      </c>
      <c r="C2" s="1607" t="s">
        <v>1395</v>
      </c>
      <c r="D2" s="1605"/>
      <c r="E2" s="1608"/>
      <c r="F2" s="1609"/>
      <c r="G2" s="1610" t="s">
        <v>1111</v>
      </c>
      <c r="H2" s="1611" t="s">
        <v>2395</v>
      </c>
      <c r="I2" s="1606" t="s">
        <v>304</v>
      </c>
    </row>
    <row r="3" spans="1:11" s="155" customFormat="1" ht="30" customHeight="1" thickBot="1" x14ac:dyDescent="0.25">
      <c r="A3" s="709" t="str">
        <f>OF!A2</f>
        <v>OF1</v>
      </c>
      <c r="B3" s="710" t="str">
        <f>OF!C2</f>
        <v xml:space="preserve">Aquifer Vulnerability Index </v>
      </c>
      <c r="C3" s="711"/>
      <c r="D3" s="712"/>
      <c r="E3" s="713"/>
      <c r="F3" s="713"/>
      <c r="G3" s="740" t="str">
        <f>IF((AqVul=""),"", AqVul)</f>
        <v/>
      </c>
      <c r="H3" s="741" t="s">
        <v>1297</v>
      </c>
      <c r="I3" s="711" t="s">
        <v>1333</v>
      </c>
    </row>
    <row r="4" spans="1:11" s="155" customFormat="1" ht="42" customHeight="1" thickBot="1" x14ac:dyDescent="0.25">
      <c r="A4" s="709" t="str">
        <f>OF!A5</f>
        <v>OF4</v>
      </c>
      <c r="B4" s="710" t="str">
        <f>OF!C5</f>
        <v>Channel Connection</v>
      </c>
      <c r="C4" s="711" t="s">
        <v>1396</v>
      </c>
      <c r="D4" s="712"/>
      <c r="E4" s="713"/>
      <c r="F4" s="713"/>
      <c r="G4" s="740" t="str">
        <f>IF((ChannConn=""),"",1-ChannConn)</f>
        <v/>
      </c>
      <c r="H4" s="741" t="s">
        <v>1330</v>
      </c>
      <c r="I4" s="711" t="s">
        <v>1331</v>
      </c>
    </row>
    <row r="5" spans="1:11" s="155" customFormat="1" ht="42" customHeight="1" thickBot="1" x14ac:dyDescent="0.25">
      <c r="A5" s="709" t="str">
        <f>OF!A15</f>
        <v>OF14</v>
      </c>
      <c r="B5" s="710" t="str">
        <f>OF!C15</f>
        <v>% of the Wetland that is Fen</v>
      </c>
      <c r="C5" s="711" t="s">
        <v>1396</v>
      </c>
      <c r="D5" s="712"/>
      <c r="E5" s="713"/>
      <c r="F5" s="713"/>
      <c r="G5" s="740" t="str">
        <f>IF((FenPct=""),"",1-FenPct)</f>
        <v/>
      </c>
      <c r="H5" s="741" t="s">
        <v>1287</v>
      </c>
      <c r="I5" s="711" t="s">
        <v>1305</v>
      </c>
      <c r="J5" s="150"/>
      <c r="K5" s="150"/>
    </row>
    <row r="6" spans="1:11" s="155" customFormat="1" ht="51.75" thickBot="1" x14ac:dyDescent="0.25">
      <c r="A6" s="709" t="str">
        <f>OF!A19</f>
        <v>OF18</v>
      </c>
      <c r="B6" s="710" t="str">
        <f>OF!C19</f>
        <v>Groundwater Discharge Area or Spring</v>
      </c>
      <c r="C6" s="711" t="s">
        <v>1396</v>
      </c>
      <c r="D6" s="712"/>
      <c r="E6" s="713"/>
      <c r="F6" s="713"/>
      <c r="G6" s="740" t="str">
        <f>IF((GWDspring=""),"",1-GWDspring)</f>
        <v/>
      </c>
      <c r="H6" s="741" t="s">
        <v>1029</v>
      </c>
      <c r="I6" s="711" t="s">
        <v>1304</v>
      </c>
    </row>
    <row r="7" spans="1:11" s="155" customFormat="1" ht="30" customHeight="1" thickBot="1" x14ac:dyDescent="0.25">
      <c r="A7" s="709" t="str">
        <f>OF!A23</f>
        <v>OF22</v>
      </c>
      <c r="B7" s="710" t="str">
        <f>OF!C23</f>
        <v>L/G Index (Residence Time)</v>
      </c>
      <c r="C7" s="711"/>
      <c r="D7" s="712"/>
      <c r="E7" s="713"/>
      <c r="F7" s="713"/>
      <c r="G7" s="740" t="str">
        <f>IF((LGIndex=""),"",LGIndex)</f>
        <v/>
      </c>
      <c r="H7" s="741" t="s">
        <v>1024</v>
      </c>
      <c r="I7" s="711" t="s">
        <v>1311</v>
      </c>
    </row>
    <row r="8" spans="1:11" s="150" customFormat="1" ht="30" customHeight="1" thickBot="1" x14ac:dyDescent="0.25">
      <c r="A8" s="709" t="str">
        <f>OF!A31</f>
        <v>OF30</v>
      </c>
      <c r="B8" s="710" t="str">
        <f>OF!C31</f>
        <v>% of AA that is Open Water (macro scale)</v>
      </c>
      <c r="C8" s="711"/>
      <c r="D8" s="712"/>
      <c r="E8" s="713"/>
      <c r="F8" s="713"/>
      <c r="G8" s="740" t="str">
        <f>IF((OWpct=""),"",OWpct)</f>
        <v/>
      </c>
      <c r="H8" s="741" t="s">
        <v>1205</v>
      </c>
      <c r="I8" s="711" t="s">
        <v>1308</v>
      </c>
      <c r="J8" s="155"/>
      <c r="K8" s="155"/>
    </row>
    <row r="9" spans="1:11" s="150" customFormat="1" ht="57" customHeight="1" thickBot="1" x14ac:dyDescent="0.25">
      <c r="A9" s="709" t="str">
        <f>OF!A36</f>
        <v>OF35</v>
      </c>
      <c r="B9" s="710" t="str">
        <f>OF!C36</f>
        <v>Climate Moisture Surplus (P-PET)</v>
      </c>
      <c r="C9" s="711" t="s">
        <v>1396</v>
      </c>
      <c r="D9" s="712"/>
      <c r="E9" s="713"/>
      <c r="F9" s="713"/>
      <c r="G9" s="740" t="str">
        <f>IF((PPET=""),"",1-PPET)</f>
        <v/>
      </c>
      <c r="H9" s="741" t="s">
        <v>1019</v>
      </c>
      <c r="I9" s="711" t="s">
        <v>1736</v>
      </c>
      <c r="J9" s="155"/>
      <c r="K9" s="155"/>
    </row>
    <row r="10" spans="1:11" s="155" customFormat="1" ht="39" thickBot="1" x14ac:dyDescent="0.25">
      <c r="A10" s="709" t="str">
        <f>OF!A43</f>
        <v>OF42</v>
      </c>
      <c r="B10" s="710" t="str">
        <f>OF!C43</f>
        <v>Riparian or Floodway Location</v>
      </c>
      <c r="C10" s="711" t="s">
        <v>1396</v>
      </c>
      <c r="D10" s="712"/>
      <c r="E10" s="713"/>
      <c r="F10" s="713"/>
      <c r="G10" s="740" t="str">
        <f>IF((RipFloodpl=""),"",1-RipFloodpl)</f>
        <v/>
      </c>
      <c r="H10" s="741" t="s">
        <v>1077</v>
      </c>
      <c r="I10" s="711" t="s">
        <v>1332</v>
      </c>
    </row>
    <row r="11" spans="1:11" s="155" customFormat="1" ht="39" thickBot="1" x14ac:dyDescent="0.25">
      <c r="A11" s="709" t="str">
        <f>OF!A48</f>
        <v>OF47</v>
      </c>
      <c r="B11" s="710" t="str">
        <f>OF!C48</f>
        <v>Soil Texture (macroscale)</v>
      </c>
      <c r="C11" s="711" t="s">
        <v>1485</v>
      </c>
      <c r="D11" s="712"/>
      <c r="E11" s="713"/>
      <c r="F11" s="713"/>
      <c r="G11" s="740" t="str">
        <f>IF((SoilTex_WS=""),"",SoilTex_WS)</f>
        <v/>
      </c>
      <c r="H11" s="742" t="s">
        <v>1397</v>
      </c>
      <c r="I11" s="711" t="s">
        <v>1737</v>
      </c>
    </row>
    <row r="12" spans="1:11" s="155" customFormat="1" ht="102.75" customHeight="1" thickBot="1" x14ac:dyDescent="0.25">
      <c r="A12" s="709" t="str">
        <f>OF!A52</f>
        <v>OF51</v>
      </c>
      <c r="B12" s="710" t="str">
        <f>OF!C52</f>
        <v>Subzero Days</v>
      </c>
      <c r="C12" s="711" t="s">
        <v>1396</v>
      </c>
      <c r="D12" s="712"/>
      <c r="E12" s="713"/>
      <c r="F12" s="713"/>
      <c r="G12" s="740" t="str">
        <f>IF((Sub0Days=""),"",1-Sub0Days)</f>
        <v/>
      </c>
      <c r="H12" s="741" t="s">
        <v>1066</v>
      </c>
      <c r="I12" s="711" t="s">
        <v>1807</v>
      </c>
    </row>
    <row r="13" spans="1:11" s="155" customFormat="1" ht="40.5" customHeight="1" thickBot="1" x14ac:dyDescent="0.25">
      <c r="A13" s="709" t="str">
        <f>OF!A63</f>
        <v>OF62</v>
      </c>
      <c r="B13" s="710" t="str">
        <f>OF!C63</f>
        <v>AA Size</v>
      </c>
      <c r="C13" s="711"/>
      <c r="D13" s="712"/>
      <c r="E13" s="713"/>
      <c r="F13" s="713"/>
      <c r="G13" s="740" t="str">
        <f>IF((WetArea=""),"",WetArea)</f>
        <v/>
      </c>
      <c r="H13" s="741" t="s">
        <v>1009</v>
      </c>
      <c r="I13" s="711" t="s">
        <v>1306</v>
      </c>
    </row>
    <row r="14" spans="1:11" s="155" customFormat="1" ht="44.25" customHeight="1" thickBot="1" x14ac:dyDescent="0.25">
      <c r="A14" s="709" t="str">
        <f>OF!A68</f>
        <v>OF67</v>
      </c>
      <c r="B14" s="710" t="str">
        <f>OF!C68</f>
        <v>Perimeter-Area Ratio</v>
      </c>
      <c r="C14" s="711"/>
      <c r="D14" s="712"/>
      <c r="E14" s="713"/>
      <c r="F14" s="713"/>
      <c r="G14" s="740" t="str">
        <f>IF((WetPerim2Area=""),"",WetPerim2Area)</f>
        <v/>
      </c>
      <c r="H14" s="741" t="s">
        <v>1012</v>
      </c>
      <c r="I14" s="711" t="s">
        <v>1805</v>
      </c>
      <c r="J14" s="150"/>
      <c r="K14" s="150"/>
    </row>
    <row r="15" spans="1:11" s="155" customFormat="1" ht="39" thickBot="1" x14ac:dyDescent="0.25">
      <c r="A15" s="709" t="str">
        <f>OF!A69</f>
        <v>OF68</v>
      </c>
      <c r="B15" s="710" t="str">
        <f>OF!C69</f>
        <v>Wetland Vegetated Area</v>
      </c>
      <c r="C15" s="711"/>
      <c r="D15" s="712"/>
      <c r="E15" s="713"/>
      <c r="F15" s="713"/>
      <c r="G15" s="740" t="str">
        <f>IF((WetVegArea=""),"",WetVegArea)</f>
        <v/>
      </c>
      <c r="H15" s="741" t="s">
        <v>1011</v>
      </c>
      <c r="I15" s="711" t="s">
        <v>1307</v>
      </c>
    </row>
    <row r="16" spans="1:11" s="155" customFormat="1" ht="51.75" thickBot="1" x14ac:dyDescent="0.25">
      <c r="A16" s="709" t="str">
        <f>OF!A70</f>
        <v>OF69</v>
      </c>
      <c r="B16" s="710" t="str">
        <f>OF!C70</f>
        <v>% of Wetland Classified as Swamp or Forested (macro scale)</v>
      </c>
      <c r="C16" s="711"/>
      <c r="D16" s="712"/>
      <c r="E16" s="713"/>
      <c r="F16" s="713"/>
      <c r="G16" s="740" t="str">
        <f>IF((WetWooded=""),"",WetWooded)</f>
        <v/>
      </c>
      <c r="H16" s="741" t="s">
        <v>1211</v>
      </c>
      <c r="I16" s="711" t="s">
        <v>1310</v>
      </c>
    </row>
    <row r="17" spans="1:10" s="155" customFormat="1" ht="30" customHeight="1" thickBot="1" x14ac:dyDescent="0.25">
      <c r="A17" s="709" t="str">
        <f>OF!A71</f>
        <v>OF70</v>
      </c>
      <c r="B17" s="710" t="str">
        <f>OF!C71</f>
        <v>Wind Energy - Summer</v>
      </c>
      <c r="C17" s="711"/>
      <c r="D17" s="712"/>
      <c r="E17" s="713"/>
      <c r="F17" s="713"/>
      <c r="G17" s="740" t="str">
        <f>IF((WindSumm=""),"",WindSumm)</f>
        <v/>
      </c>
      <c r="H17" s="741" t="s">
        <v>1022</v>
      </c>
      <c r="I17" s="711" t="s">
        <v>1309</v>
      </c>
    </row>
    <row r="18" spans="1:10" s="2" customFormat="1" ht="42" customHeight="1" thickBot="1" x14ac:dyDescent="0.25">
      <c r="A18" s="1622" t="s">
        <v>110</v>
      </c>
      <c r="B18" s="1613" t="s">
        <v>1110</v>
      </c>
      <c r="C18" s="1623" t="s">
        <v>1109</v>
      </c>
      <c r="D18" s="1624" t="s">
        <v>45</v>
      </c>
      <c r="E18" s="1625" t="s">
        <v>2028</v>
      </c>
      <c r="F18" s="1626" t="s">
        <v>2027</v>
      </c>
      <c r="G18" s="1627" t="s">
        <v>1111</v>
      </c>
      <c r="H18" s="1628" t="s">
        <v>1108</v>
      </c>
      <c r="I18" s="1629" t="s">
        <v>1503</v>
      </c>
      <c r="J18" s="59"/>
    </row>
    <row r="19" spans="1:10" ht="30" customHeight="1" thickBot="1" x14ac:dyDescent="0.25">
      <c r="A19" s="2089" t="str">
        <f>F!A39</f>
        <v>F8</v>
      </c>
      <c r="B19" s="2087" t="str">
        <f>F!B39</f>
        <v>% Flooded Only Seasonally</v>
      </c>
      <c r="C19" s="682" t="str">
        <f>F!C39</f>
        <v>The percentage of the AA that is covered by surface water only during the wettest time of year (and for &gt;2 consecutive days during that time) is:</v>
      </c>
      <c r="D19" s="718"/>
      <c r="E19" s="704"/>
      <c r="F19" s="409"/>
      <c r="G19" s="410">
        <f>IF((AllSat+AllSat1&gt;0),"",MAX(F20:F24)/MAX(E20:E24))</f>
        <v>0</v>
      </c>
      <c r="H19" s="2077" t="s">
        <v>843</v>
      </c>
      <c r="I19" s="2092" t="s">
        <v>1718</v>
      </c>
    </row>
    <row r="20" spans="1:10" ht="15" customHeight="1" x14ac:dyDescent="0.2">
      <c r="A20" s="2090"/>
      <c r="B20" s="2083"/>
      <c r="C20" s="672" t="str">
        <f>F!C40</f>
        <v xml:space="preserve">&lt;1%. </v>
      </c>
      <c r="D20" s="719">
        <f>F!D40</f>
        <v>0</v>
      </c>
      <c r="E20" s="706">
        <v>0</v>
      </c>
      <c r="F20" s="699">
        <f>D20*E20</f>
        <v>0</v>
      </c>
      <c r="G20" s="406"/>
      <c r="H20" s="2078"/>
      <c r="I20" s="2093"/>
    </row>
    <row r="21" spans="1:10" ht="15" customHeight="1" x14ac:dyDescent="0.2">
      <c r="A21" s="2090"/>
      <c r="B21" s="2083"/>
      <c r="C21" s="673" t="str">
        <f>F!C41</f>
        <v xml:space="preserve">1-25% </v>
      </c>
      <c r="D21" s="719">
        <f>F!D41</f>
        <v>0</v>
      </c>
      <c r="E21" s="706">
        <v>1</v>
      </c>
      <c r="F21" s="699">
        <f>D21*E21</f>
        <v>0</v>
      </c>
      <c r="G21" s="700"/>
      <c r="H21" s="2078"/>
      <c r="I21" s="2093"/>
    </row>
    <row r="22" spans="1:10" ht="15" customHeight="1" x14ac:dyDescent="0.2">
      <c r="A22" s="2090"/>
      <c r="B22" s="2083"/>
      <c r="C22" s="673" t="str">
        <f>F!C42</f>
        <v xml:space="preserve">25-50% </v>
      </c>
      <c r="D22" s="719">
        <f>F!D42</f>
        <v>0</v>
      </c>
      <c r="E22" s="706">
        <v>2</v>
      </c>
      <c r="F22" s="699">
        <f>D22*E22</f>
        <v>0</v>
      </c>
      <c r="G22" s="700"/>
      <c r="H22" s="2078"/>
      <c r="I22" s="2093"/>
    </row>
    <row r="23" spans="1:10" ht="15" customHeight="1" x14ac:dyDescent="0.2">
      <c r="A23" s="2090"/>
      <c r="B23" s="2083"/>
      <c r="C23" s="673" t="str">
        <f>F!C43</f>
        <v xml:space="preserve">50-95% </v>
      </c>
      <c r="D23" s="719">
        <f>F!D43</f>
        <v>0</v>
      </c>
      <c r="E23" s="706">
        <v>3</v>
      </c>
      <c r="F23" s="699">
        <f>D23*E23</f>
        <v>0</v>
      </c>
      <c r="G23" s="700"/>
      <c r="H23" s="2078"/>
      <c r="I23" s="2093"/>
    </row>
    <row r="24" spans="1:10" ht="15" customHeight="1" thickBot="1" x14ac:dyDescent="0.25">
      <c r="A24" s="2091"/>
      <c r="B24" s="2088"/>
      <c r="C24" s="674" t="str">
        <f>F!C44</f>
        <v xml:space="preserve">&gt;95% </v>
      </c>
      <c r="D24" s="119">
        <f>F!D44</f>
        <v>0</v>
      </c>
      <c r="E24" s="407">
        <v>4</v>
      </c>
      <c r="F24" s="408">
        <f>D24*E24</f>
        <v>0</v>
      </c>
      <c r="G24" s="327"/>
      <c r="H24" s="2079"/>
      <c r="I24" s="2094"/>
    </row>
    <row r="25" spans="1:10" ht="30" customHeight="1" thickBot="1" x14ac:dyDescent="0.25">
      <c r="A25" s="2089" t="str">
        <f>F!A45</f>
        <v>F9</v>
      </c>
      <c r="B25" s="2087" t="str">
        <f>F!B45</f>
        <v>Annual Water Fluctuation Range</v>
      </c>
      <c r="C25" s="675" t="str">
        <f>F!C45</f>
        <v>The annual fluctuation in surface water level within most of the parts of the AA that contain surface water is:</v>
      </c>
      <c r="D25" s="718"/>
      <c r="E25" s="704"/>
      <c r="F25" s="409"/>
      <c r="G25" s="410">
        <f>IF((AllSat+AllSat1&gt;0=1),"",MAX(F26:F29)/MAX(E26:E29))</f>
        <v>0</v>
      </c>
      <c r="H25" s="2077" t="s">
        <v>844</v>
      </c>
      <c r="I25" s="2092" t="s">
        <v>2030</v>
      </c>
    </row>
    <row r="26" spans="1:10" ht="15" customHeight="1" x14ac:dyDescent="0.2">
      <c r="A26" s="2090"/>
      <c r="B26" s="2083"/>
      <c r="C26" s="676" t="str">
        <f>F!C46</f>
        <v xml:space="preserve">&lt;10 cm change (stable) </v>
      </c>
      <c r="D26" s="705">
        <f>F!D46</f>
        <v>0</v>
      </c>
      <c r="E26" s="706">
        <v>1</v>
      </c>
      <c r="F26" s="699">
        <f>D26*E26</f>
        <v>0</v>
      </c>
      <c r="G26" s="406"/>
      <c r="H26" s="2078"/>
      <c r="I26" s="2093"/>
    </row>
    <row r="27" spans="1:10" ht="15" customHeight="1" x14ac:dyDescent="0.2">
      <c r="A27" s="2090"/>
      <c r="B27" s="2083"/>
      <c r="C27" s="677" t="str">
        <f>F!C47</f>
        <v>10 cm - 50 cm change</v>
      </c>
      <c r="D27" s="705">
        <f>F!D47</f>
        <v>0</v>
      </c>
      <c r="E27" s="706">
        <v>2</v>
      </c>
      <c r="F27" s="699">
        <f>D27*E27</f>
        <v>0</v>
      </c>
      <c r="G27" s="700"/>
      <c r="H27" s="2078"/>
      <c r="I27" s="2093"/>
    </row>
    <row r="28" spans="1:10" ht="15" customHeight="1" x14ac:dyDescent="0.2">
      <c r="A28" s="2090"/>
      <c r="B28" s="2083"/>
      <c r="C28" s="677" t="str">
        <f>F!C49</f>
        <v>1-2 m change</v>
      </c>
      <c r="D28" s="705">
        <f>F!D49</f>
        <v>0</v>
      </c>
      <c r="E28" s="706">
        <v>3</v>
      </c>
      <c r="F28" s="699">
        <f>D28*E28</f>
        <v>0</v>
      </c>
      <c r="G28" s="700"/>
      <c r="H28" s="2078"/>
      <c r="I28" s="2093"/>
    </row>
    <row r="29" spans="1:10" ht="15" customHeight="1" thickBot="1" x14ac:dyDescent="0.25">
      <c r="A29" s="2091"/>
      <c r="B29" s="2088"/>
      <c r="C29" s="674" t="str">
        <f>F!C50</f>
        <v>&gt;2 m change</v>
      </c>
      <c r="D29" s="119">
        <f>F!D50</f>
        <v>0</v>
      </c>
      <c r="E29" s="407">
        <v>4</v>
      </c>
      <c r="F29" s="408">
        <f>D29*E29</f>
        <v>0</v>
      </c>
      <c r="G29" s="327"/>
      <c r="H29" s="2079"/>
      <c r="I29" s="2094"/>
    </row>
    <row r="30" spans="1:10" ht="45" customHeight="1" thickBot="1" x14ac:dyDescent="0.25">
      <c r="A30" s="2115" t="str">
        <f>F!A62</f>
        <v>F12</v>
      </c>
      <c r="B30" s="2087" t="str">
        <f>F!B62</f>
        <v xml:space="preserve">% of Water Ponded vs. Flowing </v>
      </c>
      <c r="C30" s="675" t="str">
        <f>F!C62</f>
        <v>The percentage of the AA's surface water that is ponded (stagnant, or flows so slowly that fine sediment is not held in suspension) during most of the time it is present, and which is either open or shaded by emergent vegetation is:</v>
      </c>
      <c r="D30" s="703"/>
      <c r="E30" s="704"/>
      <c r="F30" s="412"/>
      <c r="G30" s="410">
        <f>IF((AllSat+AllSat1&gt;0=1),"",IF((SmallAA=1),"",MAX(F31:F37)/MAX(E31:E37)))</f>
        <v>0</v>
      </c>
      <c r="H30" s="2077" t="s">
        <v>845</v>
      </c>
      <c r="I30" s="2092" t="s">
        <v>1719</v>
      </c>
    </row>
    <row r="31" spans="1:10" ht="27" customHeight="1" x14ac:dyDescent="0.2">
      <c r="A31" s="2116"/>
      <c r="B31" s="2083"/>
      <c r="C31" s="676" t="str">
        <f>F!C63</f>
        <v>&lt;1% or none, or occupies &lt;0.01 hectare cumulatively.  Nearly all water is flowing.  Enter "1" and SKIP to F21 (Stained Surface Water).</v>
      </c>
      <c r="D31" s="705">
        <f>F!D63</f>
        <v>0</v>
      </c>
      <c r="E31" s="706">
        <v>0</v>
      </c>
      <c r="F31" s="699">
        <f t="shared" ref="F31:F44" si="0">D31*E31</f>
        <v>0</v>
      </c>
      <c r="G31" s="700"/>
      <c r="H31" s="2078"/>
      <c r="I31" s="2093"/>
    </row>
    <row r="32" spans="1:10" ht="15" customHeight="1" x14ac:dyDescent="0.2">
      <c r="A32" s="2116"/>
      <c r="B32" s="2083"/>
      <c r="C32" s="677" t="str">
        <f>F!C64</f>
        <v>1-5% of the water, and mainly in small pools.  The rest is flowing.</v>
      </c>
      <c r="D32" s="705">
        <f>F!D64</f>
        <v>0</v>
      </c>
      <c r="E32" s="706">
        <v>2</v>
      </c>
      <c r="F32" s="699">
        <f t="shared" si="0"/>
        <v>0</v>
      </c>
      <c r="G32" s="700"/>
      <c r="H32" s="2078"/>
      <c r="I32" s="2093"/>
    </row>
    <row r="33" spans="1:9" ht="15" customHeight="1" x14ac:dyDescent="0.2">
      <c r="A33" s="2116"/>
      <c r="B33" s="2083"/>
      <c r="C33" s="677" t="str">
        <f>F!C65</f>
        <v>1-5% of the water, and mainly in a single large pool or pond.  The rest is flowing.</v>
      </c>
      <c r="D33" s="705">
        <f>F!D65</f>
        <v>0</v>
      </c>
      <c r="E33" s="706">
        <v>1</v>
      </c>
      <c r="F33" s="699">
        <f t="shared" si="0"/>
        <v>0</v>
      </c>
      <c r="G33" s="700"/>
      <c r="H33" s="2078"/>
      <c r="I33" s="2093"/>
    </row>
    <row r="34" spans="1:9" ht="15" customHeight="1" x14ac:dyDescent="0.2">
      <c r="A34" s="2116"/>
      <c r="B34" s="2083"/>
      <c r="C34" s="677" t="str">
        <f>F!C66</f>
        <v>5-30% of the water</v>
      </c>
      <c r="D34" s="705">
        <f>F!D66</f>
        <v>0</v>
      </c>
      <c r="E34" s="706">
        <v>3</v>
      </c>
      <c r="F34" s="699">
        <f t="shared" si="0"/>
        <v>0</v>
      </c>
      <c r="G34" s="700"/>
      <c r="H34" s="2078"/>
      <c r="I34" s="2093"/>
    </row>
    <row r="35" spans="1:9" ht="15" customHeight="1" x14ac:dyDescent="0.2">
      <c r="A35" s="2116"/>
      <c r="B35" s="2083"/>
      <c r="C35" s="677" t="str">
        <f>F!C67</f>
        <v>30-70% of the water</v>
      </c>
      <c r="D35" s="705">
        <f>F!D67</f>
        <v>0</v>
      </c>
      <c r="E35" s="706">
        <v>4</v>
      </c>
      <c r="F35" s="699">
        <f t="shared" si="0"/>
        <v>0</v>
      </c>
      <c r="G35" s="700"/>
      <c r="H35" s="2078"/>
      <c r="I35" s="2093"/>
    </row>
    <row r="36" spans="1:9" ht="15" customHeight="1" x14ac:dyDescent="0.2">
      <c r="A36" s="2116"/>
      <c r="B36" s="2083"/>
      <c r="C36" s="677" t="str">
        <f>F!C68</f>
        <v>70-95% of the water</v>
      </c>
      <c r="D36" s="705">
        <f>F!D68</f>
        <v>0</v>
      </c>
      <c r="E36" s="706">
        <v>5</v>
      </c>
      <c r="F36" s="699">
        <f t="shared" si="0"/>
        <v>0</v>
      </c>
      <c r="G36" s="700"/>
      <c r="H36" s="2078"/>
      <c r="I36" s="2093"/>
    </row>
    <row r="37" spans="1:9" ht="15" customHeight="1" thickBot="1" x14ac:dyDescent="0.25">
      <c r="A37" s="2117"/>
      <c r="B37" s="2088"/>
      <c r="C37" s="674" t="str">
        <f>F!C69</f>
        <v>&gt;95% of the water.  Little or no visibly flowing water within the AA.</v>
      </c>
      <c r="D37" s="119">
        <f>F!D69</f>
        <v>0</v>
      </c>
      <c r="E37" s="407">
        <v>6</v>
      </c>
      <c r="F37" s="408">
        <f t="shared" si="0"/>
        <v>0</v>
      </c>
      <c r="G37" s="327"/>
      <c r="H37" s="2079"/>
      <c r="I37" s="2094"/>
    </row>
    <row r="38" spans="1:9" ht="30" customHeight="1" thickBot="1" x14ac:dyDescent="0.25">
      <c r="A38" s="2089" t="str">
        <f>F!A71</f>
        <v>F14</v>
      </c>
      <c r="B38" s="2087" t="str">
        <f>F!B71</f>
        <v xml:space="preserve">% of Ponded Water That Is Open </v>
      </c>
      <c r="C38" s="735" t="str">
        <f>F!C71</f>
        <v>In ducks-eye aerial view, the percentage of the ponded water that is open (lacking emergent vegetation during most of the growing season, and unhidden by a forest or shrub canopy) is:</v>
      </c>
      <c r="D38" s="727"/>
      <c r="E38" s="704"/>
      <c r="F38" s="721"/>
      <c r="G38" s="410">
        <f>IF((AllSat+AllSat1&gt;0=1),"",IF((SmallAA=1),"",MAX(F39:F44)/MAX(E39:E44)))</f>
        <v>0</v>
      </c>
      <c r="H38" s="2077" t="s">
        <v>985</v>
      </c>
      <c r="I38" s="2095" t="s">
        <v>1794</v>
      </c>
    </row>
    <row r="39" spans="1:9" ht="27" customHeight="1" x14ac:dyDescent="0.2">
      <c r="A39" s="2090"/>
      <c r="B39" s="2083"/>
      <c r="C39" s="701" t="str">
        <f>F!C72</f>
        <v>&lt;1% or none, or largest pool occupies &lt;0.01 hectares.  Enter "1" and SKIP to F20 (Floating Algae &amp; Duckweed).</v>
      </c>
      <c r="D39" s="705">
        <f>F!D72</f>
        <v>0</v>
      </c>
      <c r="E39" s="706">
        <v>0</v>
      </c>
      <c r="F39" s="722">
        <f t="shared" si="0"/>
        <v>0</v>
      </c>
      <c r="G39" s="326"/>
      <c r="H39" s="2078"/>
      <c r="I39" s="2096"/>
    </row>
    <row r="40" spans="1:9" ht="15" customHeight="1" x14ac:dyDescent="0.2">
      <c r="A40" s="2090"/>
      <c r="B40" s="2083"/>
      <c r="C40" s="681" t="str">
        <f>F!C73</f>
        <v>1-5% of the ponded water.  Enter "1" and SKIP to F20.</v>
      </c>
      <c r="D40" s="705">
        <f>F!D73</f>
        <v>0</v>
      </c>
      <c r="E40" s="706">
        <v>1</v>
      </c>
      <c r="F40" s="722">
        <f t="shared" si="0"/>
        <v>0</v>
      </c>
      <c r="G40" s="326"/>
      <c r="H40" s="2078"/>
      <c r="I40" s="2096"/>
    </row>
    <row r="41" spans="1:9" ht="15" customHeight="1" x14ac:dyDescent="0.2">
      <c r="A41" s="2090"/>
      <c r="B41" s="2083"/>
      <c r="C41" s="681" t="str">
        <f>F!C74</f>
        <v>5-30% of the ponded water.</v>
      </c>
      <c r="D41" s="705">
        <f>F!D74</f>
        <v>0</v>
      </c>
      <c r="E41" s="706">
        <v>2</v>
      </c>
      <c r="F41" s="722">
        <f t="shared" si="0"/>
        <v>0</v>
      </c>
      <c r="G41" s="326"/>
      <c r="H41" s="2078"/>
      <c r="I41" s="2096"/>
    </row>
    <row r="42" spans="1:9" ht="15" customHeight="1" x14ac:dyDescent="0.2">
      <c r="A42" s="2090"/>
      <c r="B42" s="2083"/>
      <c r="C42" s="681" t="str">
        <f>F!C75</f>
        <v>30-70% of the ponded water.</v>
      </c>
      <c r="D42" s="705">
        <f>F!D75</f>
        <v>0</v>
      </c>
      <c r="E42" s="706">
        <v>3</v>
      </c>
      <c r="F42" s="722">
        <f t="shared" si="0"/>
        <v>0</v>
      </c>
      <c r="G42" s="326"/>
      <c r="H42" s="2078"/>
      <c r="I42" s="2096"/>
    </row>
    <row r="43" spans="1:9" ht="15" customHeight="1" x14ac:dyDescent="0.2">
      <c r="A43" s="2090"/>
      <c r="B43" s="2083"/>
      <c r="C43" s="681" t="str">
        <f>F!C76</f>
        <v>70-99% of the ponded water.</v>
      </c>
      <c r="D43" s="705">
        <f>F!D76</f>
        <v>0</v>
      </c>
      <c r="E43" s="706">
        <v>4</v>
      </c>
      <c r="F43" s="722">
        <f t="shared" si="0"/>
        <v>0</v>
      </c>
      <c r="G43" s="326"/>
      <c r="H43" s="2078"/>
      <c r="I43" s="2096"/>
    </row>
    <row r="44" spans="1:9" ht="15" customHeight="1" thickBot="1" x14ac:dyDescent="0.25">
      <c r="A44" s="2091"/>
      <c r="B44" s="2088"/>
      <c r="C44" s="723" t="str">
        <f>F!C77</f>
        <v xml:space="preserve">100% of the ponded water. </v>
      </c>
      <c r="D44" s="119">
        <f>F!D77</f>
        <v>0</v>
      </c>
      <c r="E44" s="407">
        <v>5</v>
      </c>
      <c r="F44" s="408">
        <f t="shared" si="0"/>
        <v>0</v>
      </c>
      <c r="G44" s="327"/>
      <c r="H44" s="2079"/>
      <c r="I44" s="2097"/>
    </row>
    <row r="45" spans="1:9" ht="30" customHeight="1" thickBot="1" x14ac:dyDescent="0.25">
      <c r="A45" s="2089" t="str">
        <f>F!A84</f>
        <v>F16</v>
      </c>
      <c r="B45" s="2087" t="str">
        <f>F!B84</f>
        <v>Predominant Width of Vegetated Zone within Wetland</v>
      </c>
      <c r="C45" s="90" t="str">
        <f>F!C84</f>
        <v>At the driest time of year (or lowest water level), the average width of vegetated area in the AA that separates adjoining uplands from open water within the AA is:</v>
      </c>
      <c r="D45" s="732"/>
      <c r="E45" s="411"/>
      <c r="F45" s="412"/>
      <c r="G45" s="410">
        <f>IF((AllSat+AllSat1&gt;0=1),"",IF((SmallAA=1),"",MAX(F46:F51)/MAX(E46:E51)))</f>
        <v>0</v>
      </c>
      <c r="H45" s="2077" t="s">
        <v>1302</v>
      </c>
      <c r="I45" s="2095" t="s">
        <v>1793</v>
      </c>
    </row>
    <row r="46" spans="1:9" ht="15" customHeight="1" x14ac:dyDescent="0.2">
      <c r="A46" s="2090"/>
      <c r="B46" s="2083"/>
      <c r="C46" s="729" t="str">
        <f>F!C85</f>
        <v>&lt;1 m</v>
      </c>
      <c r="D46" s="720">
        <f>F!D85</f>
        <v>0</v>
      </c>
      <c r="E46" s="706">
        <v>0</v>
      </c>
      <c r="F46" s="699">
        <f t="shared" ref="F46:F51" si="1">D46*E46</f>
        <v>0</v>
      </c>
      <c r="G46" s="326"/>
      <c r="H46" s="2078"/>
      <c r="I46" s="2096"/>
    </row>
    <row r="47" spans="1:9" ht="15" customHeight="1" x14ac:dyDescent="0.2">
      <c r="A47" s="2090"/>
      <c r="B47" s="2083"/>
      <c r="C47" s="678" t="str">
        <f>F!C86</f>
        <v>1 - 9 m</v>
      </c>
      <c r="D47" s="720">
        <f>F!D86</f>
        <v>0</v>
      </c>
      <c r="E47" s="706">
        <v>1</v>
      </c>
      <c r="F47" s="699">
        <f t="shared" si="1"/>
        <v>0</v>
      </c>
      <c r="G47" s="326"/>
      <c r="H47" s="2078"/>
      <c r="I47" s="2096"/>
    </row>
    <row r="48" spans="1:9" ht="15" customHeight="1" x14ac:dyDescent="0.2">
      <c r="A48" s="2090"/>
      <c r="B48" s="2083"/>
      <c r="C48" s="678" t="str">
        <f>F!C87</f>
        <v>10 - 29 m</v>
      </c>
      <c r="D48" s="720">
        <f>F!D87</f>
        <v>0</v>
      </c>
      <c r="E48" s="706">
        <v>2</v>
      </c>
      <c r="F48" s="699">
        <f t="shared" si="1"/>
        <v>0</v>
      </c>
      <c r="G48" s="326"/>
      <c r="H48" s="2078"/>
      <c r="I48" s="2096"/>
    </row>
    <row r="49" spans="1:9" ht="15" customHeight="1" x14ac:dyDescent="0.2">
      <c r="A49" s="2090"/>
      <c r="B49" s="2083"/>
      <c r="C49" s="678" t="str">
        <f>F!C88</f>
        <v>30 - 49 m</v>
      </c>
      <c r="D49" s="720">
        <f>F!D88</f>
        <v>0</v>
      </c>
      <c r="E49" s="706">
        <v>3</v>
      </c>
      <c r="F49" s="699">
        <f t="shared" si="1"/>
        <v>0</v>
      </c>
      <c r="G49" s="326"/>
      <c r="H49" s="2078"/>
      <c r="I49" s="2096"/>
    </row>
    <row r="50" spans="1:9" ht="15" customHeight="1" x14ac:dyDescent="0.2">
      <c r="A50" s="2090"/>
      <c r="B50" s="2083"/>
      <c r="C50" s="678" t="str">
        <f>F!C89</f>
        <v>50 - 100 m</v>
      </c>
      <c r="D50" s="720">
        <f>F!D89</f>
        <v>0</v>
      </c>
      <c r="E50" s="706">
        <v>4</v>
      </c>
      <c r="F50" s="699">
        <f t="shared" si="1"/>
        <v>0</v>
      </c>
      <c r="G50" s="326"/>
      <c r="H50" s="2078"/>
      <c r="I50" s="2096"/>
    </row>
    <row r="51" spans="1:9" ht="15" customHeight="1" thickBot="1" x14ac:dyDescent="0.25">
      <c r="A51" s="2091"/>
      <c r="B51" s="2088"/>
      <c r="C51" s="679" t="str">
        <f>F!C90</f>
        <v>&gt; 100 m</v>
      </c>
      <c r="D51" s="121">
        <f>F!D90</f>
        <v>0</v>
      </c>
      <c r="E51" s="407">
        <v>5</v>
      </c>
      <c r="F51" s="408">
        <f t="shared" si="1"/>
        <v>0</v>
      </c>
      <c r="G51" s="327"/>
      <c r="H51" s="2079"/>
      <c r="I51" s="2097"/>
    </row>
    <row r="52" spans="1:9" ht="30" customHeight="1" thickBot="1" x14ac:dyDescent="0.25">
      <c r="A52" s="2089" t="str">
        <f>F!A109</f>
        <v>F25</v>
      </c>
      <c r="B52" s="2087" t="str">
        <f>F!B109</f>
        <v>Through Flow Pattern</v>
      </c>
      <c r="C52" s="89" t="str">
        <f>F!C109</f>
        <v>During its travel through the AA at the time of peak annual flow, most of the water arriving in channels [select only the ONE encountered by most of the incoming water]:</v>
      </c>
      <c r="D52" s="718"/>
      <c r="E52" s="704"/>
      <c r="F52" s="724"/>
      <c r="G52" s="410" t="str">
        <f>IF((AllSat=1),"", IF((Inflows=0),"",MAX(F53:F57)/MAX(E53:E57)))</f>
        <v/>
      </c>
      <c r="H52" s="2077" t="s">
        <v>846</v>
      </c>
      <c r="I52" s="2092" t="s">
        <v>1720</v>
      </c>
    </row>
    <row r="53" spans="1:9" ht="42" customHeight="1" x14ac:dyDescent="0.2">
      <c r="A53" s="2090"/>
      <c r="B53" s="2083"/>
      <c r="C53" s="683" t="str">
        <f>F!C110</f>
        <v>Does not bump into plant stems as it travels through the AA.  Nearly all the water continues to travel in unvegetated (often incised) channels that have little contact with wetland vegetation, or through a zone of open water such as an instream pond or lake.</v>
      </c>
      <c r="D53" s="733">
        <f>F!D110</f>
        <v>0</v>
      </c>
      <c r="E53" s="706">
        <v>0</v>
      </c>
      <c r="F53" s="722">
        <f>D53*E53</f>
        <v>0</v>
      </c>
      <c r="G53" s="416"/>
      <c r="H53" s="2078"/>
      <c r="I53" s="2093"/>
    </row>
    <row r="54" spans="1:9" ht="15" customHeight="1" x14ac:dyDescent="0.2">
      <c r="A54" s="2090"/>
      <c r="B54" s="2083"/>
      <c r="C54" s="684" t="str">
        <f>F!C111</f>
        <v>bumps into herbaceous vegetation but mostly remains in fairly straight channels.</v>
      </c>
      <c r="D54" s="733">
        <f>F!D111</f>
        <v>0</v>
      </c>
      <c r="E54" s="706">
        <v>3</v>
      </c>
      <c r="F54" s="722">
        <f>D54*E54</f>
        <v>0</v>
      </c>
      <c r="G54" s="326"/>
      <c r="H54" s="2078"/>
      <c r="I54" s="2093"/>
    </row>
    <row r="55" spans="1:9" ht="27" customHeight="1" x14ac:dyDescent="0.2">
      <c r="A55" s="2090"/>
      <c r="B55" s="2083"/>
      <c r="C55" s="684" t="str">
        <f>F!C112</f>
        <v>bumps into herbaceous vegetation and mostly spreads throughout, or is in widely  meandering, multi-branched, or braided channels.</v>
      </c>
      <c r="D55" s="733">
        <f>F!D112</f>
        <v>0</v>
      </c>
      <c r="E55" s="706">
        <v>4</v>
      </c>
      <c r="F55" s="722">
        <f>D55*E55</f>
        <v>0</v>
      </c>
      <c r="G55" s="326"/>
      <c r="H55" s="2078"/>
      <c r="I55" s="2093"/>
    </row>
    <row r="56" spans="1:9" ht="15" customHeight="1" x14ac:dyDescent="0.2">
      <c r="A56" s="2090"/>
      <c r="B56" s="2083"/>
      <c r="C56" s="684" t="str">
        <f>F!C113</f>
        <v>bumps into tree trunks and/or shrub stems but mostly remains in fairly straight channels.</v>
      </c>
      <c r="D56" s="733">
        <f>F!D113</f>
        <v>0</v>
      </c>
      <c r="E56" s="706">
        <v>6</v>
      </c>
      <c r="F56" s="722">
        <f>D56*E56</f>
        <v>0</v>
      </c>
      <c r="G56" s="326"/>
      <c r="H56" s="2078"/>
      <c r="I56" s="2093"/>
    </row>
    <row r="57" spans="1:9" ht="27" customHeight="1" thickBot="1" x14ac:dyDescent="0.25">
      <c r="A57" s="2091"/>
      <c r="B57" s="2088"/>
      <c r="C57" s="734" t="str">
        <f>F!C114</f>
        <v>bumps into tree trunks and/or shrub stems and follows a fairly indirect path from entrance to exit (meandering, multi-branched, or braided)</v>
      </c>
      <c r="D57" s="121">
        <f>F!D114</f>
        <v>0</v>
      </c>
      <c r="E57" s="407">
        <v>8</v>
      </c>
      <c r="F57" s="408">
        <f>D57*E57</f>
        <v>0</v>
      </c>
      <c r="G57" s="327"/>
      <c r="H57" s="2079"/>
      <c r="I57" s="2094"/>
    </row>
    <row r="58" spans="1:9" ht="30" customHeight="1" thickBot="1" x14ac:dyDescent="0.25">
      <c r="A58" s="2089" t="str">
        <f>F!A115</f>
        <v>F26</v>
      </c>
      <c r="B58" s="2087" t="str">
        <f>F!B115</f>
        <v>Channel Connection &amp; Outflow Duration</v>
      </c>
      <c r="C58" s="682" t="str">
        <f>F!C115</f>
        <v>The most persistent surface water connection (outlet channel or pipe, ditch, or overbank water exchange) between the AA and the closest off-site downslope water body is:</v>
      </c>
      <c r="D58" s="718"/>
      <c r="E58" s="704"/>
      <c r="F58" s="409"/>
      <c r="G58" s="410">
        <f>IF((AllSat+AllSat1&gt;0),"", MAX(F59:F63)/MAX(E59:E63))</f>
        <v>0</v>
      </c>
      <c r="H58" s="2077" t="s">
        <v>847</v>
      </c>
      <c r="I58" s="2092" t="s">
        <v>1721</v>
      </c>
    </row>
    <row r="59" spans="1:9" ht="15" customHeight="1" x14ac:dyDescent="0.2">
      <c r="A59" s="2090"/>
      <c r="B59" s="2083"/>
      <c r="C59" s="683" t="str">
        <f>F!C116</f>
        <v>persistent (&gt;9 months/year, including times when frozen)</v>
      </c>
      <c r="D59" s="720">
        <f>F!D116</f>
        <v>0</v>
      </c>
      <c r="E59" s="706">
        <v>1</v>
      </c>
      <c r="F59" s="699">
        <f>D59*E59</f>
        <v>0</v>
      </c>
      <c r="G59" s="406"/>
      <c r="H59" s="2078"/>
      <c r="I59" s="2093"/>
    </row>
    <row r="60" spans="1:9" ht="25.5" customHeight="1" x14ac:dyDescent="0.2">
      <c r="A60" s="2090"/>
      <c r="B60" s="2083"/>
      <c r="C60" s="684" t="str">
        <f>F!C117</f>
        <v>seasonal (14 days to 9 months/year, not necessarily consecutive, including times when frozen)</v>
      </c>
      <c r="D60" s="720">
        <f>F!D117</f>
        <v>0</v>
      </c>
      <c r="E60" s="706">
        <v>2</v>
      </c>
      <c r="F60" s="699">
        <f>D60*E60</f>
        <v>0</v>
      </c>
      <c r="G60" s="700"/>
      <c r="H60" s="2078"/>
      <c r="I60" s="2093"/>
    </row>
    <row r="61" spans="1:9" ht="15" customHeight="1" x14ac:dyDescent="0.2">
      <c r="A61" s="2090"/>
      <c r="B61" s="2083"/>
      <c r="C61" s="684" t="str">
        <f>F!C118</f>
        <v>temporary (&lt;14 days, not necessarily consecutive -- must be unfrozen)</v>
      </c>
      <c r="D61" s="697">
        <f>F!D118</f>
        <v>0</v>
      </c>
      <c r="E61" s="706">
        <v>3</v>
      </c>
      <c r="F61" s="699">
        <f>D61*E61</f>
        <v>0</v>
      </c>
      <c r="G61" s="700"/>
      <c r="H61" s="2080"/>
      <c r="I61" s="2093"/>
    </row>
    <row r="62" spans="1:9" ht="41.25" customHeight="1" x14ac:dyDescent="0.2">
      <c r="A62" s="2090"/>
      <c r="B62" s="2083"/>
      <c r="C62" s="685" t="str">
        <f>F!C119</f>
        <v xml:space="preserve">none -- but maps show a stream or other water body that is downslope from the AA and within a distance that is less than the AA's length.  If so, mark "1" here and SKIP TO F28 (Groundwater). </v>
      </c>
      <c r="D62" s="697">
        <f>F!D119</f>
        <v>0</v>
      </c>
      <c r="E62" s="725">
        <v>9</v>
      </c>
      <c r="F62" s="699">
        <f>D62*E62</f>
        <v>0</v>
      </c>
      <c r="G62" s="700"/>
      <c r="H62" s="652" t="s">
        <v>1207</v>
      </c>
      <c r="I62" s="2093"/>
    </row>
    <row r="63" spans="1:9" ht="42" customHeight="1" thickBot="1" x14ac:dyDescent="0.25">
      <c r="A63" s="2091"/>
      <c r="B63" s="2088"/>
      <c r="C63" s="686" t="str">
        <f>F!C120</f>
        <v xml:space="preserve">no surface water flows out of the wetland except possibly during extreme events (&lt;once per 10 years). Or, water flows only into a wetland, ditch, or lake that lacks an outlet.  If so, mark "1" here and SKIP TO F28 (Groundwater). </v>
      </c>
      <c r="D63" s="283">
        <f>F!D120</f>
        <v>0</v>
      </c>
      <c r="E63" s="407">
        <v>10</v>
      </c>
      <c r="F63" s="408">
        <f>D63*E63</f>
        <v>0</v>
      </c>
      <c r="G63" s="327"/>
      <c r="H63" s="653" t="s">
        <v>1206</v>
      </c>
      <c r="I63" s="2094"/>
    </row>
    <row r="64" spans="1:9" ht="30" customHeight="1" thickBot="1" x14ac:dyDescent="0.25">
      <c r="A64" s="2089" t="str">
        <f>F!A121</f>
        <v>F27</v>
      </c>
      <c r="B64" s="2087" t="str">
        <f>F!B121</f>
        <v>Outflow Confinement</v>
      </c>
      <c r="C64" s="682" t="str">
        <f>F!C121</f>
        <v>During major runoff events, in the places where surface water exits the AA or connected waters nearby, it:</v>
      </c>
      <c r="D64" s="718"/>
      <c r="E64" s="704"/>
      <c r="F64" s="724"/>
      <c r="G64" s="410">
        <f>IF((OutNone + OutNone1&gt;0),"",MAX(F65:F67)/MAX(E65:E67))</f>
        <v>0</v>
      </c>
      <c r="H64" s="2077" t="s">
        <v>848</v>
      </c>
      <c r="I64" s="2092" t="s">
        <v>2032</v>
      </c>
    </row>
    <row r="65" spans="1:9" ht="42" customHeight="1" x14ac:dyDescent="0.2">
      <c r="A65" s="2090"/>
      <c r="B65" s="2083"/>
      <c r="C65" s="687" t="str">
        <f>F!C122</f>
        <v>mostly passes through a pipe, culvert, narrowly breached dike, berm, beaver dam, or other partial obstruction (other than natural topography) that does not appear to drain the wetland artificially during most of the growing season.</v>
      </c>
      <c r="D65" s="284">
        <f>F!D122</f>
        <v>0</v>
      </c>
      <c r="E65" s="706">
        <v>2</v>
      </c>
      <c r="F65" s="722">
        <f>D65*E65</f>
        <v>0</v>
      </c>
      <c r="G65" s="416"/>
      <c r="H65" s="2078"/>
      <c r="I65" s="2093"/>
    </row>
    <row r="66" spans="1:9" ht="27" customHeight="1" x14ac:dyDescent="0.2">
      <c r="A66" s="2090"/>
      <c r="B66" s="2083"/>
      <c r="C66" s="688" t="str">
        <f>F!C123</f>
        <v>leaves through natural exits (channels or diffuse outflow), not mainly through artificial or temporary features</v>
      </c>
      <c r="D66" s="697">
        <f>F!D123</f>
        <v>0</v>
      </c>
      <c r="E66" s="706">
        <v>1</v>
      </c>
      <c r="F66" s="722">
        <f>D66*E66</f>
        <v>0</v>
      </c>
      <c r="G66" s="406"/>
      <c r="H66" s="2078"/>
      <c r="I66" s="2093"/>
    </row>
    <row r="67" spans="1:9" ht="41.25" customHeight="1" thickBot="1" x14ac:dyDescent="0.25">
      <c r="A67" s="2091"/>
      <c r="B67" s="2088"/>
      <c r="C67" s="726" t="str">
        <f>F!C124</f>
        <v>exported more quickly than usual due to ditches or pipes within the AA (or connected to its outlet or within 10 m of the AA's edge) which drain the wetland artificially, or water is pumped out of the AA.</v>
      </c>
      <c r="D67" s="121">
        <f>F!D124</f>
        <v>0</v>
      </c>
      <c r="E67" s="407">
        <v>0</v>
      </c>
      <c r="F67" s="408">
        <f>D67*E67</f>
        <v>0</v>
      </c>
      <c r="G67" s="327"/>
      <c r="H67" s="2079"/>
      <c r="I67" s="2094"/>
    </row>
    <row r="68" spans="1:9" ht="21" customHeight="1" thickBot="1" x14ac:dyDescent="0.25">
      <c r="A68" s="2107" t="str">
        <f>F!A125</f>
        <v>F28</v>
      </c>
      <c r="B68" s="2086" t="str">
        <f>F!B125</f>
        <v>Groundwater: Strength of Evidence</v>
      </c>
      <c r="C68" s="689" t="str">
        <f>F!C125</f>
        <v xml:space="preserve">Select first applicable choice. </v>
      </c>
      <c r="D68" s="727"/>
      <c r="E68" s="704"/>
      <c r="F68" s="412"/>
      <c r="G68" s="410">
        <f>IF((D71=1),"",MAX(F69:F71)/MAX(E69:E71))</f>
        <v>0</v>
      </c>
      <c r="H68" s="2077" t="s">
        <v>849</v>
      </c>
      <c r="I68" s="2101" t="s">
        <v>2036</v>
      </c>
    </row>
    <row r="69" spans="1:9" ht="42" customHeight="1" x14ac:dyDescent="0.2">
      <c r="A69" s="2108"/>
      <c r="B69" s="2084"/>
      <c r="C69" s="690" t="str">
        <f>F!C126</f>
        <v xml:space="preserve">Groundwater monitoring has demonstrated that groundwater primarily discharges to the wetland for longer periods during the year than periods when the wetland recharges the groundwater.  Or, springs are known to be present within the AA.
</v>
      </c>
      <c r="D69" s="728">
        <f>F!D126</f>
        <v>0</v>
      </c>
      <c r="E69" s="706">
        <v>0</v>
      </c>
      <c r="F69" s="722">
        <f>D69*E69</f>
        <v>0</v>
      </c>
      <c r="G69" s="416"/>
      <c r="H69" s="2078"/>
      <c r="I69" s="2102"/>
    </row>
    <row r="70" spans="1:9" ht="112.15" customHeight="1" x14ac:dyDescent="0.2">
      <c r="A70" s="2108"/>
      <c r="B70" s="2084"/>
      <c r="C70" s="691"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70" s="728">
        <f>F!D127</f>
        <v>0</v>
      </c>
      <c r="E70" s="706">
        <v>1</v>
      </c>
      <c r="F70" s="722">
        <f>D70*E70</f>
        <v>0</v>
      </c>
      <c r="G70" s="326"/>
      <c r="H70" s="2078"/>
      <c r="I70" s="2102"/>
    </row>
    <row r="71" spans="1:9" ht="27" customHeight="1" thickBot="1" x14ac:dyDescent="0.25">
      <c r="A71" s="2109"/>
      <c r="B71" s="2085"/>
      <c r="C71" s="692" t="str">
        <f>F!C128</f>
        <v>Neither of above is true, although some groundwater may discharge to or flow through the AA.  Or groundwater influx is unknown.</v>
      </c>
      <c r="D71" s="285">
        <f>F!D128</f>
        <v>0</v>
      </c>
      <c r="E71" s="407">
        <v>2</v>
      </c>
      <c r="F71" s="408">
        <f>D71*E71</f>
        <v>0</v>
      </c>
      <c r="G71" s="327"/>
      <c r="H71" s="2079"/>
      <c r="I71" s="2103"/>
    </row>
    <row r="72" spans="1:9" ht="21" customHeight="1" thickBot="1" x14ac:dyDescent="0.25">
      <c r="A72" s="2089" t="str">
        <f>F!A129</f>
        <v>F29</v>
      </c>
      <c r="B72" s="2087" t="str">
        <f>F!B129</f>
        <v>Internal Gradient</v>
      </c>
      <c r="C72" s="682" t="str">
        <f>F!C129</f>
        <v>The gradient along most of the flow path within the AA is:</v>
      </c>
      <c r="D72" s="718"/>
      <c r="E72" s="704"/>
      <c r="F72" s="724"/>
      <c r="G72" s="410">
        <f>MAX(F73:F76)/MAX(E73:E76)</f>
        <v>0</v>
      </c>
      <c r="H72" s="2077" t="s">
        <v>850</v>
      </c>
      <c r="I72" s="2092" t="s">
        <v>30</v>
      </c>
    </row>
    <row r="73" spans="1:9" ht="27" customHeight="1" x14ac:dyDescent="0.2">
      <c r="A73" s="2090"/>
      <c r="B73" s="2083"/>
      <c r="C73" s="683" t="str">
        <f>F!C130</f>
        <v>&lt;2%, or, no slope is ever apparent (i.e., flat). Or, the wetland is in a depression or pond with no inlet and no outlet.</v>
      </c>
      <c r="D73" s="286">
        <f>F!D130</f>
        <v>0</v>
      </c>
      <c r="E73" s="706">
        <v>4</v>
      </c>
      <c r="F73" s="722">
        <f>D73*E73</f>
        <v>0</v>
      </c>
      <c r="G73" s="416"/>
      <c r="H73" s="2078"/>
      <c r="I73" s="2093"/>
    </row>
    <row r="74" spans="1:9" ht="15" customHeight="1" x14ac:dyDescent="0.2">
      <c r="A74" s="2090"/>
      <c r="B74" s="2083"/>
      <c r="C74" s="684" t="str">
        <f>F!C131</f>
        <v>2-5%</v>
      </c>
      <c r="D74" s="720">
        <f>F!D131</f>
        <v>0</v>
      </c>
      <c r="E74" s="706">
        <v>3</v>
      </c>
      <c r="F74" s="722">
        <f>D74*E74</f>
        <v>0</v>
      </c>
      <c r="G74" s="326"/>
      <c r="H74" s="2078"/>
      <c r="I74" s="2093"/>
    </row>
    <row r="75" spans="1:9" ht="15" customHeight="1" x14ac:dyDescent="0.2">
      <c r="A75" s="2090"/>
      <c r="B75" s="2083"/>
      <c r="C75" s="684" t="str">
        <f>F!C132</f>
        <v>6-10%</v>
      </c>
      <c r="D75" s="720">
        <f>F!D132</f>
        <v>0</v>
      </c>
      <c r="E75" s="706">
        <v>2</v>
      </c>
      <c r="F75" s="722">
        <f>D75*E75</f>
        <v>0</v>
      </c>
      <c r="G75" s="326"/>
      <c r="H75" s="2078"/>
      <c r="I75" s="2093"/>
    </row>
    <row r="76" spans="1:9" ht="15" customHeight="1" thickBot="1" x14ac:dyDescent="0.25">
      <c r="A76" s="2091"/>
      <c r="B76" s="2088"/>
      <c r="C76" s="726" t="str">
        <f>F!C133</f>
        <v>&gt;10%</v>
      </c>
      <c r="D76" s="121">
        <f>F!D133</f>
        <v>0</v>
      </c>
      <c r="E76" s="407">
        <v>0</v>
      </c>
      <c r="F76" s="408">
        <f>D76*E76</f>
        <v>0</v>
      </c>
      <c r="G76" s="327"/>
      <c r="H76" s="2079"/>
      <c r="I76" s="2100"/>
    </row>
    <row r="77" spans="1:9" ht="30" customHeight="1" thickBot="1" x14ac:dyDescent="0.25">
      <c r="A77" s="2089" t="str">
        <f>F!A134</f>
        <v>F30</v>
      </c>
      <c r="B77" s="2087" t="str">
        <f>F!B134</f>
        <v>Total Woody Cover -% of the Vegetated AA</v>
      </c>
      <c r="C77" s="693" t="str">
        <f>F!C134</f>
        <v>Within the entire vegetated part of the AA, the percentage occupied by trees or shrubs taller than 1 m is:</v>
      </c>
      <c r="D77" s="704"/>
      <c r="E77" s="704"/>
      <c r="F77" s="721"/>
      <c r="G77" s="410">
        <f>MAX(F78:F82)/MAX(E78:E82)</f>
        <v>0</v>
      </c>
      <c r="H77" s="2077" t="s">
        <v>986</v>
      </c>
      <c r="I77" s="2104" t="s">
        <v>1310</v>
      </c>
    </row>
    <row r="78" spans="1:9" ht="15" customHeight="1" x14ac:dyDescent="0.2">
      <c r="A78" s="2090"/>
      <c r="B78" s="2083"/>
      <c r="C78" s="678" t="str">
        <f>F!C135</f>
        <v>&lt;5% of the vegetated AA, or there is no woody vegetation in the AA.  SKIP to F38 (N Fixers)</v>
      </c>
      <c r="D78" s="720">
        <f>F!D135</f>
        <v>0</v>
      </c>
      <c r="E78" s="706">
        <v>0</v>
      </c>
      <c r="F78" s="722">
        <f>D78*E78</f>
        <v>0</v>
      </c>
      <c r="G78" s="326"/>
      <c r="H78" s="2078"/>
      <c r="I78" s="2105"/>
    </row>
    <row r="79" spans="1:9" ht="15" customHeight="1" x14ac:dyDescent="0.2">
      <c r="A79" s="2090"/>
      <c r="B79" s="2083"/>
      <c r="C79" s="678" t="str">
        <f>F!C136</f>
        <v xml:space="preserve">5-25%.  </v>
      </c>
      <c r="D79" s="720">
        <f>F!D136</f>
        <v>0</v>
      </c>
      <c r="E79" s="706">
        <v>1</v>
      </c>
      <c r="F79" s="722">
        <f>D79*E79</f>
        <v>0</v>
      </c>
      <c r="G79" s="326"/>
      <c r="H79" s="2078"/>
      <c r="I79" s="2105"/>
    </row>
    <row r="80" spans="1:9" ht="15" customHeight="1" x14ac:dyDescent="0.2">
      <c r="A80" s="2090"/>
      <c r="B80" s="2083"/>
      <c r="C80" s="678" t="str">
        <f>F!C137</f>
        <v>25-50%</v>
      </c>
      <c r="D80" s="720">
        <f>F!D137</f>
        <v>0</v>
      </c>
      <c r="E80" s="706">
        <v>2</v>
      </c>
      <c r="F80" s="722">
        <f>D80*E80</f>
        <v>0</v>
      </c>
      <c r="G80" s="326"/>
      <c r="H80" s="2078"/>
      <c r="I80" s="2105"/>
    </row>
    <row r="81" spans="1:9" ht="15" customHeight="1" x14ac:dyDescent="0.2">
      <c r="A81" s="2090"/>
      <c r="B81" s="2083"/>
      <c r="C81" s="678" t="str">
        <f>F!C138</f>
        <v>50-75%</v>
      </c>
      <c r="D81" s="720">
        <f>F!D138</f>
        <v>0</v>
      </c>
      <c r="E81" s="706">
        <v>3</v>
      </c>
      <c r="F81" s="722">
        <f>D81*E81</f>
        <v>0</v>
      </c>
      <c r="G81" s="326"/>
      <c r="H81" s="2078"/>
      <c r="I81" s="2105"/>
    </row>
    <row r="82" spans="1:9" ht="15" customHeight="1" thickBot="1" x14ac:dyDescent="0.25">
      <c r="A82" s="2091"/>
      <c r="B82" s="2088"/>
      <c r="C82" s="679" t="str">
        <f>F!C139</f>
        <v>&gt;75%</v>
      </c>
      <c r="D82" s="121">
        <f>F!D139</f>
        <v>0</v>
      </c>
      <c r="E82" s="407">
        <v>4</v>
      </c>
      <c r="F82" s="408">
        <f>D82*E82</f>
        <v>0</v>
      </c>
      <c r="G82" s="327"/>
      <c r="H82" s="2079"/>
      <c r="I82" s="2106"/>
    </row>
    <row r="83" spans="1:9" ht="51.75" customHeight="1" thickBot="1" x14ac:dyDescent="0.25">
      <c r="A83" s="2090" t="str">
        <f>F!A200</f>
        <v>F42</v>
      </c>
      <c r="B83" s="2083" t="str">
        <f>F!B200</f>
        <v>Ground Irregularity</v>
      </c>
      <c r="C83" s="680"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83" s="413"/>
      <c r="E83" s="402"/>
      <c r="F83" s="415"/>
      <c r="G83" s="410">
        <f>MAX(F84:F86)/MAX(E84:E86)</f>
        <v>0</v>
      </c>
      <c r="H83" s="2077" t="s">
        <v>851</v>
      </c>
      <c r="I83" s="2098" t="s">
        <v>691</v>
      </c>
    </row>
    <row r="84" spans="1:9" ht="15" customHeight="1" x14ac:dyDescent="0.2">
      <c r="A84" s="2090"/>
      <c r="B84" s="2083"/>
      <c r="C84" s="676" t="str">
        <f>F!C201</f>
        <v xml:space="preserve">Few or none (minimal microtopography; &lt;1% of that area) </v>
      </c>
      <c r="D84" s="118">
        <f>F!D201</f>
        <v>0</v>
      </c>
      <c r="E84" s="404">
        <v>0</v>
      </c>
      <c r="F84" s="405">
        <f>D84*E84</f>
        <v>0</v>
      </c>
      <c r="G84" s="416"/>
      <c r="H84" s="2078"/>
      <c r="I84" s="2093"/>
    </row>
    <row r="85" spans="1:9" ht="15" customHeight="1" x14ac:dyDescent="0.2">
      <c r="A85" s="2090"/>
      <c r="B85" s="2083"/>
      <c r="C85" s="677" t="str">
        <f>F!C202</f>
        <v>Intermediate</v>
      </c>
      <c r="D85" s="118">
        <f>F!D202</f>
        <v>0</v>
      </c>
      <c r="E85" s="404">
        <v>1</v>
      </c>
      <c r="F85" s="405">
        <f>D85*E85</f>
        <v>0</v>
      </c>
      <c r="G85" s="326"/>
      <c r="H85" s="2078"/>
      <c r="I85" s="2093"/>
    </row>
    <row r="86" spans="1:9" ht="15" customHeight="1" thickBot="1" x14ac:dyDescent="0.25">
      <c r="A86" s="2090"/>
      <c r="B86" s="2083"/>
      <c r="C86" s="673" t="str">
        <f>F!C203</f>
        <v>Several (extensive micro-topography)</v>
      </c>
      <c r="D86" s="719">
        <f>F!D203</f>
        <v>0</v>
      </c>
      <c r="E86" s="698">
        <v>2</v>
      </c>
      <c r="F86" s="699">
        <f>D86*E86</f>
        <v>0</v>
      </c>
      <c r="G86" s="700"/>
      <c r="H86" s="2079"/>
      <c r="I86" s="2099"/>
    </row>
    <row r="87" spans="1:9" ht="42" customHeight="1" thickBot="1" x14ac:dyDescent="0.25">
      <c r="A87" s="2107" t="str">
        <f>F!A208</f>
        <v>F44</v>
      </c>
      <c r="B87" s="2086" t="str">
        <f>F!B208</f>
        <v>Soil Texture</v>
      </c>
      <c r="C87" s="689" t="str">
        <f>F!C208</f>
        <v>In parts of the AA that lack persistent water, the texture of soil in the uppermost layer is mostly:  [To determine this, use a trowel to check in at least 3 widely spaced locations, and use the soil texture key in Appendix A of the Manual]</v>
      </c>
      <c r="D87" s="727"/>
      <c r="E87" s="704"/>
      <c r="F87" s="724"/>
      <c r="G87" s="410">
        <f>MAX(F88:F91)/MAX(E88:E91)</f>
        <v>0</v>
      </c>
      <c r="H87" s="2077" t="s">
        <v>852</v>
      </c>
      <c r="I87" s="2092" t="s">
        <v>764</v>
      </c>
    </row>
    <row r="88" spans="1:9" ht="15" customHeight="1" x14ac:dyDescent="0.2">
      <c r="A88" s="2108"/>
      <c r="B88" s="2084"/>
      <c r="C88" s="690" t="str">
        <f>F!C209</f>
        <v>Loamy: includes loam, sandy loam</v>
      </c>
      <c r="D88" s="728">
        <f>F!D209</f>
        <v>0</v>
      </c>
      <c r="E88" s="706">
        <v>1</v>
      </c>
      <c r="F88" s="722">
        <f>D88*E88</f>
        <v>0</v>
      </c>
      <c r="G88" s="416"/>
      <c r="H88" s="2078"/>
      <c r="I88" s="2093"/>
    </row>
    <row r="89" spans="1:9" ht="27" customHeight="1" x14ac:dyDescent="0.2">
      <c r="A89" s="2108"/>
      <c r="B89" s="2084"/>
      <c r="C89" s="691" t="str">
        <f>F!C210</f>
        <v>Fines: includes silt, glacial flour, clay, clay loam, silty clay, silty clay loam, sandy clay, sandy clay loam.</v>
      </c>
      <c r="D89" s="728">
        <f>F!D210</f>
        <v>0</v>
      </c>
      <c r="E89" s="706">
        <v>0</v>
      </c>
      <c r="F89" s="722">
        <f>D89*E89</f>
        <v>0</v>
      </c>
      <c r="G89" s="326"/>
      <c r="H89" s="2078"/>
      <c r="I89" s="2093"/>
    </row>
    <row r="90" spans="1:9" ht="15" customHeight="1" x14ac:dyDescent="0.2">
      <c r="A90" s="2108"/>
      <c r="B90" s="2084"/>
      <c r="C90" s="691" t="str">
        <f>F!C211</f>
        <v>Organic</v>
      </c>
      <c r="D90" s="728">
        <f>F!D211</f>
        <v>0</v>
      </c>
      <c r="E90" s="706">
        <v>3</v>
      </c>
      <c r="F90" s="722">
        <f>D90*E90</f>
        <v>0</v>
      </c>
      <c r="G90" s="326"/>
      <c r="H90" s="2078"/>
      <c r="I90" s="2093"/>
    </row>
    <row r="91" spans="1:9" ht="27" customHeight="1" thickBot="1" x14ac:dyDescent="0.25">
      <c r="A91" s="2109"/>
      <c r="B91" s="2085"/>
      <c r="C91" s="692" t="str">
        <f>F!C212</f>
        <v>Coarse: includes sand, loamy sand, gravel, cobble, stones, boulders, fluvents, fluvaquents, riverwash.</v>
      </c>
      <c r="D91" s="285">
        <f>F!D212</f>
        <v>0</v>
      </c>
      <c r="E91" s="407">
        <v>2</v>
      </c>
      <c r="F91" s="408">
        <f>D91*E91</f>
        <v>0</v>
      </c>
      <c r="G91" s="327"/>
      <c r="H91" s="2079"/>
      <c r="I91" s="2094"/>
    </row>
    <row r="92" spans="1:9" ht="81" customHeight="1" thickBot="1" x14ac:dyDescent="0.25">
      <c r="A92" s="2086" t="str">
        <f>F!A323</f>
        <v>F68</v>
      </c>
      <c r="B92" s="2084" t="str">
        <f>F!B323</f>
        <v>Wetland as a % of Its Contributing Area (Catchment)</v>
      </c>
      <c r="C92" s="743" t="str">
        <f>F!C323</f>
        <v>View the approximate boundaries of the wetland's catchment (CA) as shown in the map AESRD provides in response to your data request.  Then adjust those boundaries if necessary based on your field observations of the surrounding terrain, and/or by using procedures described in the ABWRET Manual. Relative to the extent of this catchment (but excluding the area of the AA), this AA and any bordering waters together comprise (select ONE):</v>
      </c>
      <c r="D92" s="418"/>
      <c r="E92" s="402"/>
      <c r="F92" s="702"/>
      <c r="G92" s="403">
        <f>MAX(F93:F96)/MAX(E93:E96)</f>
        <v>0</v>
      </c>
      <c r="H92" s="2077" t="s">
        <v>1114</v>
      </c>
      <c r="I92" s="2110" t="s">
        <v>1806</v>
      </c>
    </row>
    <row r="93" spans="1:9" ht="15" customHeight="1" x14ac:dyDescent="0.2">
      <c r="A93" s="2084"/>
      <c r="B93" s="2084"/>
      <c r="C93" s="730" t="str">
        <f>F!C324</f>
        <v>&lt;1% of their catchment</v>
      </c>
      <c r="D93" s="124">
        <f>F!D324</f>
        <v>0</v>
      </c>
      <c r="E93" s="404">
        <v>1</v>
      </c>
      <c r="F93" s="414">
        <f t="shared" ref="F93:F96" si="2">D93*E93</f>
        <v>0</v>
      </c>
      <c r="G93" s="325"/>
      <c r="H93" s="2078"/>
      <c r="I93" s="2096"/>
    </row>
    <row r="94" spans="1:9" ht="15" customHeight="1" x14ac:dyDescent="0.2">
      <c r="A94" s="2084"/>
      <c r="B94" s="2084"/>
      <c r="C94" s="694" t="str">
        <f>F!C325</f>
        <v>1 to 10% of their catchment</v>
      </c>
      <c r="D94" s="124">
        <f>F!D325</f>
        <v>0</v>
      </c>
      <c r="E94" s="404">
        <v>2</v>
      </c>
      <c r="F94" s="414">
        <f t="shared" si="2"/>
        <v>0</v>
      </c>
      <c r="G94" s="326"/>
      <c r="H94" s="2078"/>
      <c r="I94" s="2096"/>
    </row>
    <row r="95" spans="1:9" ht="15" customHeight="1" x14ac:dyDescent="0.2">
      <c r="A95" s="2084"/>
      <c r="B95" s="2084"/>
      <c r="C95" s="694" t="str">
        <f>F!C326</f>
        <v>10 to 100%  of their catchment</v>
      </c>
      <c r="D95" s="124">
        <f>F!D326</f>
        <v>0</v>
      </c>
      <c r="E95" s="404">
        <v>3</v>
      </c>
      <c r="F95" s="414">
        <f t="shared" si="2"/>
        <v>0</v>
      </c>
      <c r="G95" s="326"/>
      <c r="H95" s="2078"/>
      <c r="I95" s="2096"/>
    </row>
    <row r="96" spans="1:9" ht="27" customHeight="1" thickBot="1" x14ac:dyDescent="0.25">
      <c r="A96" s="2085"/>
      <c r="B96" s="2085"/>
      <c r="C96" s="695" t="str">
        <f>F!C327</f>
        <v xml:space="preserve">Larger than the area of their catchment (wetland has essentially no catchment, e.g., isolated by dikes with no input channels, or is a raised bog). </v>
      </c>
      <c r="D96" s="134">
        <f>F!D327</f>
        <v>0</v>
      </c>
      <c r="E96" s="407">
        <v>4</v>
      </c>
      <c r="F96" s="408">
        <f t="shared" si="2"/>
        <v>0</v>
      </c>
      <c r="G96" s="541" t="s">
        <v>507</v>
      </c>
      <c r="H96" s="2079"/>
      <c r="I96" s="2097"/>
    </row>
    <row r="97" spans="1:10" ht="13.5" thickBot="1" x14ac:dyDescent="0.25">
      <c r="A97" s="1539"/>
      <c r="B97" s="1515"/>
      <c r="C97" s="739"/>
      <c r="D97" s="1515"/>
      <c r="E97" s="1515"/>
      <c r="F97" s="1515"/>
      <c r="G97" s="1515"/>
      <c r="H97" s="836" t="s">
        <v>507</v>
      </c>
      <c r="I97" s="836"/>
    </row>
    <row r="98" spans="1:10" ht="21" customHeight="1" thickBot="1" x14ac:dyDescent="0.25">
      <c r="A98" s="1429"/>
      <c r="B98" s="1517"/>
      <c r="C98" s="817" t="s">
        <v>1117</v>
      </c>
      <c r="D98" s="1517"/>
      <c r="E98" s="1517"/>
      <c r="F98" s="1517"/>
      <c r="G98" s="1517"/>
      <c r="H98" s="8"/>
      <c r="I98" s="8"/>
    </row>
    <row r="99" spans="1:10" ht="42" customHeight="1" thickBot="1" x14ac:dyDescent="0.25">
      <c r="A99" s="1429"/>
      <c r="B99" s="654" t="s">
        <v>1115</v>
      </c>
      <c r="C99" s="813" t="s">
        <v>2174</v>
      </c>
      <c r="D99" s="325"/>
      <c r="E99" s="325"/>
      <c r="F99" s="325"/>
      <c r="G99" s="905">
        <f>IF((GT10HA=1),G100, IFERROR((AVERAGE(1-GWDspring, 1-FenPct, Groundw1) + AVERAGE(1-Sub0Days, AVERAGE(SoilTex1, AqVul)) + AVERAGE(1-PPET, WindSumm, WetPerim2Area, OpenPct1) + AVERAGE(WetVegArea, AllWoody1)) / 4,""))</f>
        <v>0.41666666666666663</v>
      </c>
      <c r="H99" s="8"/>
      <c r="I99" s="1762" t="s">
        <v>2409</v>
      </c>
    </row>
    <row r="100" spans="1:10" ht="26.25" customHeight="1" thickBot="1" x14ac:dyDescent="0.25">
      <c r="A100" s="1429"/>
      <c r="B100" s="655" t="s">
        <v>1116</v>
      </c>
      <c r="C100" s="737" t="s">
        <v>1912</v>
      </c>
      <c r="D100" s="327"/>
      <c r="E100" s="327"/>
      <c r="F100" s="327"/>
      <c r="G100" s="738" t="str">
        <f>IFERROR((AVERAGE(1-GWDspring, 1-FenPct, Groundw1) + AVERAGE(1-Sub0Days, AVERAGE(SoilTex_WS, AqVul)) + AVERAGE(1-PPET, WindSumm, WetPerim2Area, OWpct) + AVERAGE(WetVegArea, WetWooded)) / 4,"")</f>
        <v/>
      </c>
      <c r="H100" s="8"/>
      <c r="J100" s="41"/>
    </row>
    <row r="101" spans="1:10" ht="21" customHeight="1" thickBot="1" x14ac:dyDescent="0.25">
      <c r="A101" s="1429"/>
      <c r="B101" s="1515"/>
      <c r="C101" s="739"/>
      <c r="D101" s="1515"/>
      <c r="E101" s="1515"/>
      <c r="F101" s="1515"/>
      <c r="G101" s="1515"/>
      <c r="H101" s="8"/>
      <c r="I101" s="8"/>
    </row>
    <row r="102" spans="1:10" ht="21" customHeight="1" thickBot="1" x14ac:dyDescent="0.25">
      <c r="A102" s="1429"/>
      <c r="B102" s="1517"/>
      <c r="C102" s="816" t="s">
        <v>1119</v>
      </c>
      <c r="D102" s="1517"/>
      <c r="E102" s="1517"/>
      <c r="F102" s="1517"/>
      <c r="G102" s="1517"/>
      <c r="H102" s="8"/>
      <c r="I102" s="8"/>
    </row>
    <row r="103" spans="1:10" ht="27" customHeight="1" thickBot="1" x14ac:dyDescent="0.25">
      <c r="A103" s="1429"/>
      <c r="B103" s="654" t="s">
        <v>1115</v>
      </c>
      <c r="C103" s="813" t="s">
        <v>1914</v>
      </c>
      <c r="D103" s="325"/>
      <c r="E103" s="325"/>
      <c r="F103" s="325"/>
      <c r="G103" s="905">
        <f>IF((GT10HA=1),G104, IFERROR(AVERAGE(ThruFlo1, Gradient1, Girreg1, Constric1, IsoDry1, Vwidth1),""))</f>
        <v>0</v>
      </c>
      <c r="H103" s="8"/>
      <c r="I103" s="8"/>
    </row>
    <row r="104" spans="1:10" ht="25.5" customHeight="1" thickBot="1" x14ac:dyDescent="0.25">
      <c r="A104" s="1429"/>
      <c r="B104" s="655" t="s">
        <v>1116</v>
      </c>
      <c r="C104" s="737" t="s">
        <v>2029</v>
      </c>
      <c r="D104" s="327"/>
      <c r="E104" s="327"/>
      <c r="F104" s="327"/>
      <c r="G104" s="738">
        <f>IFERROR(AVERAGE(ThruFlo1, Gradient1, Girreg1, Constric1, IsoDry1, Vwidth1, LGIndex),"")</f>
        <v>0</v>
      </c>
      <c r="H104" s="8"/>
      <c r="I104" s="8"/>
    </row>
    <row r="105" spans="1:10" ht="21" customHeight="1" thickBot="1" x14ac:dyDescent="0.25">
      <c r="A105" s="1429"/>
      <c r="B105" s="1515"/>
      <c r="C105" s="5"/>
      <c r="D105" s="1439"/>
      <c r="E105" s="1439"/>
      <c r="F105" s="1439"/>
      <c r="G105" s="1439"/>
      <c r="H105" s="8"/>
      <c r="I105" s="8"/>
    </row>
    <row r="106" spans="1:10" ht="21" customHeight="1" thickBot="1" x14ac:dyDescent="0.25">
      <c r="A106" s="1429"/>
      <c r="B106" s="1516"/>
      <c r="C106" s="817" t="s">
        <v>1118</v>
      </c>
      <c r="D106" s="1440"/>
      <c r="E106" s="1440"/>
      <c r="F106" s="1440"/>
      <c r="G106" s="1440"/>
      <c r="H106" s="8"/>
      <c r="I106" s="8"/>
    </row>
    <row r="107" spans="1:10" ht="21" customHeight="1" thickBot="1" x14ac:dyDescent="0.25">
      <c r="A107" s="1429"/>
      <c r="B107" s="1516"/>
      <c r="C107" s="107" t="s">
        <v>1913</v>
      </c>
      <c r="D107" s="420"/>
      <c r="E107" s="420"/>
      <c r="F107" s="420"/>
      <c r="G107" s="530">
        <f>IFERROR(AVERAGE(WetArea, WetPctCA1, Fluctua1, SeasPct1, ElevPctileHUC8),"")</f>
        <v>0</v>
      </c>
      <c r="H107" s="8"/>
      <c r="I107" s="8"/>
    </row>
    <row r="108" spans="1:10" ht="21" customHeight="1" thickBot="1" x14ac:dyDescent="0.25">
      <c r="A108" s="1429"/>
      <c r="B108" s="1516"/>
      <c r="C108" s="739"/>
      <c r="D108" s="1515"/>
      <c r="E108" s="1515"/>
      <c r="F108" s="1515"/>
      <c r="G108" s="1515"/>
      <c r="H108" s="8"/>
      <c r="I108" s="8"/>
    </row>
    <row r="109" spans="1:10" ht="21" customHeight="1" thickBot="1" x14ac:dyDescent="0.25">
      <c r="A109" s="1429"/>
      <c r="B109" s="1516"/>
      <c r="C109" s="814" t="s">
        <v>1339</v>
      </c>
      <c r="D109" s="1516"/>
      <c r="E109" s="1516"/>
      <c r="F109" s="1516"/>
      <c r="G109" s="1516"/>
      <c r="H109" s="8"/>
      <c r="I109" s="8"/>
    </row>
    <row r="110" spans="1:10" ht="21" customHeight="1" thickBot="1" x14ac:dyDescent="0.25">
      <c r="A110" s="1429"/>
      <c r="B110" s="1516"/>
      <c r="C110" s="815" t="s">
        <v>657</v>
      </c>
      <c r="D110" s="1517"/>
      <c r="E110" s="1517"/>
      <c r="F110" s="1517"/>
      <c r="G110" s="1517"/>
      <c r="H110" s="8"/>
      <c r="I110" s="8"/>
    </row>
    <row r="111" spans="1:10" ht="21" customHeight="1" thickBot="1" x14ac:dyDescent="0.25">
      <c r="A111" s="1429"/>
      <c r="B111" s="1516"/>
      <c r="C111" s="107" t="s">
        <v>2177</v>
      </c>
      <c r="D111" s="420"/>
      <c r="E111" s="420"/>
      <c r="F111" s="420"/>
      <c r="G111" s="605">
        <f>IF((NoOutlet1 + NoOutlet1a&gt;0),10, 10*AVERAGE(INFILT1a, STORE1a, RESIST1a))</f>
        <v>1.3888888888888886</v>
      </c>
      <c r="H111" s="8"/>
      <c r="I111" s="8"/>
    </row>
    <row r="112" spans="1:10" ht="16.899999999999999" customHeight="1" thickBot="1" x14ac:dyDescent="0.25">
      <c r="A112" s="1429"/>
      <c r="B112" s="1516"/>
      <c r="C112" s="2081"/>
      <c r="D112" s="2081"/>
      <c r="E112" s="2081"/>
      <c r="F112" s="2081"/>
      <c r="G112" s="2081"/>
      <c r="H112" s="8"/>
      <c r="I112" s="8"/>
    </row>
    <row r="113" spans="1:9" ht="21" customHeight="1" thickBot="1" x14ac:dyDescent="0.25">
      <c r="A113" s="1429"/>
      <c r="B113" s="1523"/>
      <c r="C113" s="1524" t="s">
        <v>1328</v>
      </c>
      <c r="D113" s="1523"/>
      <c r="E113" s="1516"/>
      <c r="F113" s="1516"/>
      <c r="G113" s="1516"/>
      <c r="H113" s="1516"/>
      <c r="I113" s="190" t="s">
        <v>357</v>
      </c>
    </row>
    <row r="114" spans="1:9" s="177" customFormat="1" ht="27" customHeight="1" x14ac:dyDescent="0.2">
      <c r="A114" s="1429"/>
      <c r="B114" s="1525">
        <v>1</v>
      </c>
      <c r="C114" s="1526" t="s">
        <v>1212</v>
      </c>
      <c r="D114" s="1527">
        <f>IF((ChannConn+RipFloodpl=0), 10, "")</f>
        <v>10</v>
      </c>
      <c r="E114" s="1516"/>
      <c r="F114" s="1516"/>
      <c r="G114" s="1516"/>
      <c r="H114" s="1516"/>
      <c r="I114" s="173" t="s">
        <v>358</v>
      </c>
    </row>
    <row r="115" spans="1:9" s="177" customFormat="1" ht="42" customHeight="1" x14ac:dyDescent="0.2">
      <c r="A115" s="1429"/>
      <c r="B115" s="1525">
        <v>2</v>
      </c>
      <c r="C115" s="1526" t="s">
        <v>1213</v>
      </c>
      <c r="D115" s="1527"/>
      <c r="E115" s="1516"/>
      <c r="F115" s="1516"/>
      <c r="G115" s="1516"/>
      <c r="H115" s="1516"/>
      <c r="I115" s="744" t="s">
        <v>2034</v>
      </c>
    </row>
    <row r="116" spans="1:9" s="177" customFormat="1" ht="42" customHeight="1" x14ac:dyDescent="0.2">
      <c r="A116" s="1429"/>
      <c r="B116" s="1526"/>
      <c r="C116" s="1526" t="s">
        <v>1412</v>
      </c>
      <c r="D116" s="1527">
        <f>IFERROR(AVERAGE(1-GWDspring, 1-FenPct),"")</f>
        <v>1</v>
      </c>
      <c r="E116" s="1516"/>
      <c r="F116" s="1516"/>
      <c r="G116" s="1516"/>
      <c r="H116" s="1516"/>
      <c r="I116" s="174" t="s">
        <v>359</v>
      </c>
    </row>
    <row r="117" spans="1:9" s="177" customFormat="1" ht="54" customHeight="1" x14ac:dyDescent="0.2">
      <c r="A117" s="1429"/>
      <c r="B117" s="1526"/>
      <c r="C117" s="1526" t="s">
        <v>1934</v>
      </c>
      <c r="D117" s="1527" t="str">
        <f>IFERROR(AVERAGE(1-Sub0Days, AVERAGE(SoilTex_WS, AqVul)),"")</f>
        <v/>
      </c>
      <c r="E117" s="1516"/>
      <c r="F117" s="1516"/>
      <c r="G117" s="1516"/>
      <c r="H117" s="1516"/>
      <c r="I117" s="174" t="s">
        <v>360</v>
      </c>
    </row>
    <row r="118" spans="1:9" s="177" customFormat="1" ht="42" customHeight="1" x14ac:dyDescent="0.2">
      <c r="A118" s="1429"/>
      <c r="B118" s="1526"/>
      <c r="C118" s="1526" t="s">
        <v>1413</v>
      </c>
      <c r="D118" s="1527">
        <f>IFERROR(AVERAGE(1-PPET, WindSumm, WetPerim2Area, OWpct, WetArea),"")</f>
        <v>1</v>
      </c>
      <c r="E118" s="1516"/>
      <c r="F118" s="1516"/>
      <c r="G118" s="1516"/>
      <c r="H118" s="1516"/>
      <c r="I118" s="174" t="s">
        <v>361</v>
      </c>
    </row>
    <row r="119" spans="1:9" s="177" customFormat="1" ht="27" customHeight="1" x14ac:dyDescent="0.2">
      <c r="A119" s="1429"/>
      <c r="B119" s="1526"/>
      <c r="C119" s="1526" t="s">
        <v>1935</v>
      </c>
      <c r="D119" s="1527" t="str">
        <f>IFERROR(AVERAGE(WetVegArea, WetWooded),"")</f>
        <v/>
      </c>
      <c r="E119" s="1516"/>
      <c r="F119" s="1516"/>
      <c r="G119" s="1516"/>
      <c r="H119" s="1516"/>
      <c r="I119" s="174" t="s">
        <v>2035</v>
      </c>
    </row>
    <row r="120" spans="1:9" s="177" customFormat="1" ht="42" customHeight="1" x14ac:dyDescent="0.2">
      <c r="A120" s="1429"/>
      <c r="B120" s="1526"/>
      <c r="C120" s="1526" t="s">
        <v>1214</v>
      </c>
      <c r="D120" s="1527" t="str">
        <f>IFERROR(AVERAGE(WetPctHUC8, ElevPctileHUC8),"")</f>
        <v/>
      </c>
      <c r="E120" s="1516"/>
      <c r="F120" s="1516"/>
      <c r="G120" s="1516"/>
      <c r="H120" s="1516"/>
      <c r="I120" s="174" t="s">
        <v>732</v>
      </c>
    </row>
    <row r="121" spans="1:9" s="177" customFormat="1" ht="42" customHeight="1" x14ac:dyDescent="0.2">
      <c r="A121" s="1429"/>
      <c r="B121" s="1526"/>
      <c r="C121" s="1526" t="s">
        <v>1215</v>
      </c>
      <c r="D121" s="1527" t="str">
        <f>IF((LGIndex=""),"")</f>
        <v/>
      </c>
      <c r="E121" s="1516"/>
      <c r="F121" s="1516"/>
      <c r="G121" s="1516"/>
      <c r="H121" s="1516"/>
      <c r="I121" s="174" t="s">
        <v>362</v>
      </c>
    </row>
    <row r="122" spans="1:9" s="177" customFormat="1" ht="42" customHeight="1" x14ac:dyDescent="0.2">
      <c r="A122" s="1429"/>
      <c r="B122" s="1525">
        <v>3</v>
      </c>
      <c r="C122" s="1526" t="s">
        <v>1356</v>
      </c>
      <c r="D122" s="1527">
        <f>MAX(D114, 10*AVERAGE(WatProb, D116:D121))</f>
        <v>10</v>
      </c>
      <c r="E122" s="1516"/>
      <c r="F122" s="1516"/>
      <c r="G122" s="1516"/>
      <c r="H122" s="1516"/>
      <c r="I122" s="174" t="s">
        <v>363</v>
      </c>
    </row>
    <row r="123" spans="1:9" s="177" customFormat="1" ht="27" customHeight="1" x14ac:dyDescent="0.2">
      <c r="A123" s="1429"/>
      <c r="B123" s="2082"/>
      <c r="C123" s="1523"/>
      <c r="D123" s="1528"/>
      <c r="E123" s="1516"/>
      <c r="F123" s="1516"/>
      <c r="G123" s="1516"/>
      <c r="H123" s="1516"/>
      <c r="I123" s="174" t="s">
        <v>2033</v>
      </c>
    </row>
    <row r="124" spans="1:9" s="177" customFormat="1" ht="27" customHeight="1" x14ac:dyDescent="0.2">
      <c r="A124" s="1429"/>
      <c r="B124" s="2082"/>
      <c r="C124" s="1524" t="s">
        <v>1329</v>
      </c>
      <c r="D124" s="1529"/>
      <c r="E124" s="1516"/>
      <c r="F124" s="1516"/>
      <c r="G124" s="1516"/>
      <c r="H124" s="1516"/>
      <c r="I124" s="401" t="s">
        <v>1804</v>
      </c>
    </row>
    <row r="125" spans="1:9" s="177" customFormat="1" ht="27" customHeight="1" x14ac:dyDescent="0.2">
      <c r="A125" s="1429"/>
      <c r="B125" s="1525">
        <v>1</v>
      </c>
      <c r="C125" s="1526" t="s">
        <v>1744</v>
      </c>
      <c r="D125" s="1527" t="str">
        <f>IF((OutNone+OutNone1&gt;0), 10, "")</f>
        <v/>
      </c>
      <c r="E125" s="1516"/>
      <c r="F125" s="1516"/>
      <c r="G125" s="1516"/>
      <c r="H125" s="1516"/>
      <c r="I125" s="657" t="s">
        <v>2031</v>
      </c>
    </row>
    <row r="126" spans="1:9" s="177" customFormat="1" ht="27" customHeight="1" x14ac:dyDescent="0.2">
      <c r="A126" s="1429"/>
      <c r="B126" s="1525">
        <v>2</v>
      </c>
      <c r="C126" s="1526" t="s">
        <v>1213</v>
      </c>
      <c r="D126" s="1527"/>
      <c r="E126" s="1516"/>
      <c r="F126" s="1516"/>
      <c r="G126" s="1516"/>
      <c r="H126" s="1516"/>
      <c r="I126" s="174" t="s">
        <v>364</v>
      </c>
    </row>
    <row r="127" spans="1:9" ht="27" customHeight="1" x14ac:dyDescent="0.2">
      <c r="A127" s="1429"/>
      <c r="B127" s="1526"/>
      <c r="C127" s="1530" t="s">
        <v>1412</v>
      </c>
      <c r="D127" s="1527">
        <f>IFERROR(AVERAGE(1-GWDspring, 1-FenPct),"")</f>
        <v>1</v>
      </c>
      <c r="E127" s="1516"/>
      <c r="F127" s="1516"/>
      <c r="G127" s="1516"/>
      <c r="H127" s="1516"/>
      <c r="I127" s="174" t="s">
        <v>365</v>
      </c>
    </row>
    <row r="128" spans="1:9" ht="27" customHeight="1" x14ac:dyDescent="0.2">
      <c r="A128" s="1429"/>
      <c r="B128" s="1526"/>
      <c r="C128" s="1530" t="s">
        <v>1936</v>
      </c>
      <c r="D128" s="1527">
        <f>IFERROR(AVERAGE(1-Sub0Days, AVERAGE(SoilTex1, AqVul)),"")</f>
        <v>0.5</v>
      </c>
      <c r="E128" s="1516"/>
      <c r="F128" s="1516"/>
      <c r="G128" s="1516"/>
      <c r="H128" s="1516"/>
      <c r="I128" s="174" t="s">
        <v>366</v>
      </c>
    </row>
    <row r="129" spans="1:9" ht="27" customHeight="1" thickBot="1" x14ac:dyDescent="0.25">
      <c r="A129" s="1429"/>
      <c r="B129" s="1526"/>
      <c r="C129" s="1530" t="s">
        <v>1937</v>
      </c>
      <c r="D129" s="1527">
        <f>IFERROR(AVERAGE(1-PPET, WindSumm, WetPerim2Area, OpenPct1, WetArea),"")</f>
        <v>0.5</v>
      </c>
      <c r="E129" s="1516"/>
      <c r="F129" s="1516"/>
      <c r="G129" s="1516"/>
      <c r="H129" s="1516"/>
      <c r="I129" s="175" t="s">
        <v>367</v>
      </c>
    </row>
    <row r="130" spans="1:9" ht="27" customHeight="1" x14ac:dyDescent="0.2">
      <c r="A130" s="1429"/>
      <c r="B130" s="1526"/>
      <c r="C130" s="1530" t="s">
        <v>1938</v>
      </c>
      <c r="D130" s="1527">
        <f>IFERROR(AVERAGE(WetVegArea, AllWoody1),"")</f>
        <v>0</v>
      </c>
      <c r="E130" s="1516"/>
      <c r="F130" s="1516"/>
      <c r="G130" s="1516"/>
      <c r="H130" s="1516"/>
      <c r="I130" s="1437"/>
    </row>
    <row r="131" spans="1:9" ht="27" customHeight="1" x14ac:dyDescent="0.2">
      <c r="A131" s="1429"/>
      <c r="B131" s="1526"/>
      <c r="C131" s="1530" t="s">
        <v>1214</v>
      </c>
      <c r="D131" s="1527" t="str">
        <f>IFERROR(AVERAGE(WetPctHUC8, ElevPctileHUC8),"")</f>
        <v/>
      </c>
      <c r="E131" s="1516"/>
      <c r="F131" s="1516"/>
      <c r="G131" s="1516"/>
      <c r="H131" s="1516"/>
    </row>
    <row r="132" spans="1:9" ht="27" customHeight="1" x14ac:dyDescent="0.2">
      <c r="A132" s="1429"/>
      <c r="B132" s="1526"/>
      <c r="C132" s="1530" t="s">
        <v>1215</v>
      </c>
      <c r="D132" s="1527" t="str">
        <f>IF((LGIndex=""),"")</f>
        <v/>
      </c>
      <c r="E132" s="1516"/>
      <c r="F132" s="1516"/>
      <c r="G132" s="1516"/>
      <c r="H132" s="1516"/>
    </row>
    <row r="133" spans="1:9" ht="27" customHeight="1" x14ac:dyDescent="0.2">
      <c r="A133" s="1429"/>
      <c r="B133" s="1525">
        <v>3</v>
      </c>
      <c r="C133" s="1530" t="s">
        <v>1939</v>
      </c>
      <c r="D133" s="1527">
        <f>MAX(D125, 10*AVERAGE(SeasPct1, D127:D132))</f>
        <v>4</v>
      </c>
      <c r="E133" s="1516"/>
      <c r="F133" s="1516"/>
      <c r="G133" s="1516"/>
      <c r="H133" s="1516"/>
    </row>
    <row r="134" spans="1:9" ht="27" customHeight="1" x14ac:dyDescent="0.2">
      <c r="A134" s="1429"/>
    </row>
    <row r="135" spans="1:9" ht="27" customHeight="1" x14ac:dyDescent="0.2">
      <c r="A135" s="1429"/>
    </row>
    <row r="136" spans="1:9" ht="27" customHeight="1" x14ac:dyDescent="0.2">
      <c r="B136" s="149"/>
    </row>
    <row r="137" spans="1:9" ht="27" customHeight="1" x14ac:dyDescent="0.2">
      <c r="B137" s="149"/>
    </row>
    <row r="138" spans="1:9" x14ac:dyDescent="0.2">
      <c r="B138" s="149"/>
    </row>
    <row r="139" spans="1:9" x14ac:dyDescent="0.2">
      <c r="B139" s="149"/>
    </row>
    <row r="140" spans="1:9" ht="21" customHeight="1" x14ac:dyDescent="0.2">
      <c r="A140" s="1407"/>
      <c r="B140" s="149"/>
      <c r="E140" s="421"/>
      <c r="H140" s="49"/>
    </row>
    <row r="141" spans="1:9" ht="43.9" customHeight="1" x14ac:dyDescent="0.2">
      <c r="A141" s="1407"/>
      <c r="B141" s="149"/>
      <c r="E141" s="421"/>
      <c r="G141" s="422"/>
      <c r="H141" s="49"/>
    </row>
    <row r="142" spans="1:9" ht="54" customHeight="1" x14ac:dyDescent="0.2">
      <c r="A142" s="1407"/>
      <c r="B142" s="149"/>
      <c r="E142" s="421"/>
      <c r="G142" s="422"/>
      <c r="H142" s="49"/>
    </row>
    <row r="143" spans="1:9" ht="63" customHeight="1" x14ac:dyDescent="0.2">
      <c r="A143" s="1407"/>
      <c r="B143" s="149"/>
      <c r="E143" s="421"/>
      <c r="G143" s="422"/>
      <c r="H143" s="49"/>
    </row>
    <row r="144" spans="1:9" ht="54" customHeight="1" x14ac:dyDescent="0.2">
      <c r="A144" s="1407"/>
      <c r="B144" s="207"/>
      <c r="E144" s="421"/>
      <c r="G144" s="422"/>
      <c r="H144" s="49"/>
    </row>
    <row r="145" spans="1:8" ht="45" customHeight="1" x14ac:dyDescent="0.2">
      <c r="A145" s="1407"/>
      <c r="B145" s="149"/>
      <c r="E145" s="421"/>
      <c r="G145" s="422"/>
      <c r="H145" s="49"/>
    </row>
    <row r="146" spans="1:8" ht="45" customHeight="1" x14ac:dyDescent="0.2">
      <c r="A146" s="1407"/>
      <c r="B146" s="149"/>
      <c r="E146" s="421"/>
      <c r="G146" s="422"/>
      <c r="H146" s="330"/>
    </row>
    <row r="147" spans="1:8" ht="54.75" customHeight="1" x14ac:dyDescent="0.2">
      <c r="A147" s="1407"/>
      <c r="B147" s="149"/>
      <c r="E147" s="421"/>
      <c r="G147" s="422"/>
      <c r="H147" s="330"/>
    </row>
    <row r="148" spans="1:8" ht="30" customHeight="1" x14ac:dyDescent="0.2">
      <c r="A148" s="1407"/>
      <c r="B148" s="149"/>
      <c r="E148" s="421"/>
      <c r="G148" s="422"/>
      <c r="H148" s="330"/>
    </row>
    <row r="149" spans="1:8" ht="30.6" customHeight="1" x14ac:dyDescent="0.2">
      <c r="A149" s="1407"/>
      <c r="B149" s="149"/>
      <c r="C149" s="41"/>
      <c r="E149" s="421"/>
      <c r="G149" s="422"/>
      <c r="H149" s="330"/>
    </row>
    <row r="150" spans="1:8" ht="30.6" customHeight="1" x14ac:dyDescent="0.2">
      <c r="A150" s="1407"/>
      <c r="B150" s="149"/>
      <c r="E150" s="421"/>
      <c r="G150" s="422"/>
      <c r="H150" s="330"/>
    </row>
    <row r="151" spans="1:8" ht="30.6" customHeight="1" x14ac:dyDescent="0.2">
      <c r="A151" s="1407"/>
      <c r="B151" s="149"/>
      <c r="C151" s="41"/>
      <c r="E151" s="421"/>
      <c r="G151" s="422"/>
      <c r="H151" s="49"/>
    </row>
    <row r="152" spans="1:8" ht="33.6" customHeight="1" x14ac:dyDescent="0.2">
      <c r="A152" s="1407"/>
      <c r="B152" s="149"/>
      <c r="C152" s="41"/>
      <c r="E152" s="421"/>
      <c r="G152" s="422"/>
      <c r="H152" s="49"/>
    </row>
    <row r="153" spans="1:8" x14ac:dyDescent="0.2">
      <c r="A153" s="1407"/>
      <c r="B153" s="149"/>
      <c r="C153" s="41"/>
      <c r="E153" s="421"/>
    </row>
    <row r="154" spans="1:8" x14ac:dyDescent="0.2">
      <c r="A154" s="1407"/>
      <c r="B154" s="149"/>
      <c r="C154" s="41"/>
      <c r="E154" s="421"/>
    </row>
    <row r="155" spans="1:8" x14ac:dyDescent="0.2">
      <c r="A155" s="1407"/>
      <c r="B155" s="149"/>
      <c r="C155" s="41"/>
      <c r="E155" s="421"/>
    </row>
    <row r="156" spans="1:8" x14ac:dyDescent="0.2">
      <c r="A156" s="1407"/>
      <c r="B156" s="149"/>
      <c r="C156" s="41"/>
      <c r="E156" s="421"/>
    </row>
    <row r="157" spans="1:8" x14ac:dyDescent="0.2">
      <c r="A157" s="1407"/>
      <c r="B157" s="149"/>
      <c r="C157" s="41"/>
      <c r="E157" s="421"/>
    </row>
    <row r="158" spans="1:8" x14ac:dyDescent="0.2">
      <c r="A158" s="1407"/>
      <c r="B158" s="149"/>
      <c r="C158" s="41"/>
      <c r="E158" s="421"/>
    </row>
    <row r="159" spans="1:8" x14ac:dyDescent="0.2">
      <c r="A159" s="1407"/>
      <c r="B159" s="149"/>
      <c r="C159" s="41"/>
      <c r="E159" s="421"/>
    </row>
    <row r="160" spans="1:8" x14ac:dyDescent="0.2">
      <c r="A160" s="1407"/>
      <c r="B160" s="149"/>
      <c r="C160" s="41"/>
      <c r="E160" s="421"/>
    </row>
    <row r="161" spans="1:5" x14ac:dyDescent="0.2">
      <c r="A161" s="1407"/>
      <c r="B161" s="149"/>
      <c r="C161" s="41"/>
      <c r="E161" s="421"/>
    </row>
    <row r="162" spans="1:5" x14ac:dyDescent="0.2">
      <c r="A162" s="1407"/>
      <c r="B162" s="149"/>
      <c r="C162" s="41"/>
      <c r="E162" s="421"/>
    </row>
    <row r="163" spans="1:5" x14ac:dyDescent="0.2">
      <c r="A163" s="1407"/>
      <c r="B163" s="149"/>
      <c r="C163" s="41"/>
      <c r="E163" s="421"/>
    </row>
    <row r="164" spans="1:5" x14ac:dyDescent="0.2">
      <c r="A164" s="1407"/>
      <c r="B164" s="149"/>
      <c r="C164" s="41"/>
      <c r="E164" s="421"/>
    </row>
    <row r="165" spans="1:5" x14ac:dyDescent="0.2">
      <c r="A165" s="1407"/>
      <c r="B165" s="149"/>
      <c r="C165" s="41"/>
      <c r="E165" s="421"/>
    </row>
    <row r="166" spans="1:5" x14ac:dyDescent="0.2">
      <c r="A166" s="1407"/>
      <c r="B166" s="149"/>
      <c r="C166" s="41"/>
      <c r="E166" s="421"/>
    </row>
    <row r="167" spans="1:5" x14ac:dyDescent="0.2">
      <c r="A167" s="1407"/>
      <c r="B167" s="149"/>
      <c r="C167" s="41"/>
      <c r="E167" s="421"/>
    </row>
    <row r="168" spans="1:5" x14ac:dyDescent="0.2">
      <c r="A168" s="1407"/>
      <c r="B168" s="149"/>
      <c r="C168" s="41"/>
      <c r="E168" s="421"/>
    </row>
    <row r="169" spans="1:5" x14ac:dyDescent="0.2">
      <c r="A169" s="1407"/>
      <c r="B169" s="149"/>
      <c r="C169" s="41"/>
      <c r="E169" s="421"/>
    </row>
    <row r="170" spans="1:5" x14ac:dyDescent="0.2">
      <c r="A170" s="1407"/>
      <c r="B170" s="149"/>
      <c r="C170" s="41"/>
      <c r="E170" s="421"/>
    </row>
    <row r="171" spans="1:5" x14ac:dyDescent="0.2">
      <c r="A171" s="1407"/>
      <c r="B171" s="149"/>
      <c r="C171" s="41"/>
      <c r="E171" s="421"/>
    </row>
    <row r="172" spans="1:5" x14ac:dyDescent="0.2">
      <c r="A172" s="1407"/>
      <c r="B172" s="149"/>
      <c r="C172" s="41"/>
      <c r="E172" s="421"/>
    </row>
    <row r="173" spans="1:5" x14ac:dyDescent="0.2">
      <c r="A173" s="1407"/>
      <c r="B173" s="149"/>
      <c r="C173" s="41"/>
      <c r="E173" s="421"/>
    </row>
    <row r="174" spans="1:5" x14ac:dyDescent="0.2">
      <c r="A174" s="1407"/>
      <c r="B174" s="149"/>
      <c r="C174" s="41"/>
      <c r="E174" s="421"/>
    </row>
    <row r="175" spans="1:5" x14ac:dyDescent="0.2">
      <c r="A175" s="1407"/>
      <c r="B175" s="149"/>
      <c r="C175" s="41"/>
      <c r="E175" s="421"/>
    </row>
    <row r="176" spans="1:5" x14ac:dyDescent="0.2">
      <c r="A176" s="1407"/>
      <c r="B176" s="149"/>
      <c r="C176" s="41"/>
      <c r="E176" s="421"/>
    </row>
    <row r="177" spans="1:5" x14ac:dyDescent="0.2">
      <c r="A177" s="1407"/>
      <c r="B177" s="149"/>
      <c r="C177" s="41"/>
      <c r="E177" s="421"/>
    </row>
    <row r="178" spans="1:5" x14ac:dyDescent="0.2">
      <c r="A178" s="1407"/>
      <c r="B178" s="149"/>
      <c r="C178" s="41"/>
      <c r="E178" s="421"/>
    </row>
    <row r="179" spans="1:5" x14ac:dyDescent="0.2">
      <c r="A179" s="1407"/>
      <c r="B179" s="149"/>
      <c r="C179" s="41"/>
      <c r="E179" s="421"/>
    </row>
    <row r="180" spans="1:5" x14ac:dyDescent="0.2">
      <c r="A180" s="1407"/>
      <c r="B180" s="149"/>
      <c r="C180" s="41"/>
      <c r="E180" s="421"/>
    </row>
    <row r="181" spans="1:5" x14ac:dyDescent="0.2">
      <c r="A181" s="1407"/>
      <c r="B181" s="149"/>
      <c r="C181" s="41"/>
      <c r="E181" s="421"/>
    </row>
    <row r="182" spans="1:5" x14ac:dyDescent="0.2">
      <c r="A182" s="1407"/>
      <c r="B182" s="149"/>
      <c r="C182" s="41"/>
      <c r="E182" s="421"/>
    </row>
    <row r="183" spans="1:5" x14ac:dyDescent="0.2">
      <c r="A183" s="1407"/>
      <c r="B183" s="149"/>
      <c r="C183" s="41"/>
      <c r="E183" s="421"/>
    </row>
    <row r="184" spans="1:5" x14ac:dyDescent="0.2">
      <c r="A184" s="1407"/>
      <c r="B184" s="149"/>
      <c r="C184" s="41"/>
      <c r="E184" s="421"/>
    </row>
    <row r="185" spans="1:5" x14ac:dyDescent="0.2">
      <c r="A185" s="1407"/>
      <c r="B185" s="149"/>
      <c r="C185" s="41"/>
      <c r="E185" s="421"/>
    </row>
    <row r="186" spans="1:5" x14ac:dyDescent="0.2">
      <c r="A186" s="1407"/>
      <c r="B186" s="149"/>
      <c r="C186" s="41"/>
      <c r="E186" s="421"/>
    </row>
    <row r="187" spans="1:5" x14ac:dyDescent="0.2">
      <c r="A187" s="1407"/>
      <c r="B187" s="149"/>
      <c r="C187" s="41"/>
      <c r="E187" s="421"/>
    </row>
    <row r="188" spans="1:5" x14ac:dyDescent="0.2">
      <c r="A188" s="1407"/>
      <c r="B188" s="149"/>
      <c r="C188" s="41"/>
      <c r="E188" s="421"/>
    </row>
    <row r="189" spans="1:5" x14ac:dyDescent="0.2">
      <c r="A189" s="1407"/>
      <c r="B189" s="149"/>
      <c r="C189" s="41"/>
      <c r="E189" s="421"/>
    </row>
    <row r="190" spans="1:5" x14ac:dyDescent="0.2">
      <c r="A190" s="1407"/>
      <c r="B190" s="149"/>
      <c r="C190" s="41"/>
      <c r="E190" s="421"/>
    </row>
    <row r="191" spans="1:5" x14ac:dyDescent="0.2">
      <c r="A191" s="1407"/>
      <c r="B191" s="149"/>
      <c r="C191" s="41"/>
      <c r="E191" s="421"/>
    </row>
    <row r="192" spans="1:5" x14ac:dyDescent="0.2">
      <c r="A192" s="1407"/>
      <c r="B192" s="149"/>
      <c r="C192" s="41"/>
      <c r="E192" s="421"/>
    </row>
    <row r="193" spans="1:5" x14ac:dyDescent="0.2">
      <c r="A193" s="1407"/>
      <c r="B193" s="149"/>
      <c r="C193" s="41"/>
      <c r="E193" s="421"/>
    </row>
    <row r="194" spans="1:5" x14ac:dyDescent="0.2">
      <c r="A194" s="1407"/>
      <c r="B194" s="149"/>
      <c r="C194" s="41"/>
      <c r="E194" s="421"/>
    </row>
    <row r="195" spans="1:5" x14ac:dyDescent="0.2">
      <c r="A195" s="1407"/>
      <c r="B195" s="149"/>
      <c r="C195" s="41"/>
      <c r="E195" s="421"/>
    </row>
    <row r="196" spans="1:5" x14ac:dyDescent="0.2">
      <c r="A196" s="1407"/>
      <c r="B196" s="149"/>
      <c r="C196" s="41"/>
      <c r="E196" s="421"/>
    </row>
    <row r="197" spans="1:5" x14ac:dyDescent="0.2">
      <c r="A197" s="1407"/>
      <c r="B197" s="149"/>
      <c r="C197" s="41"/>
      <c r="E197" s="421"/>
    </row>
    <row r="198" spans="1:5" x14ac:dyDescent="0.2">
      <c r="A198" s="1407"/>
      <c r="B198" s="149"/>
      <c r="C198" s="41"/>
      <c r="E198" s="421"/>
    </row>
    <row r="199" spans="1:5" x14ac:dyDescent="0.2">
      <c r="A199" s="1407"/>
      <c r="B199" s="149"/>
      <c r="C199" s="41"/>
      <c r="E199" s="421"/>
    </row>
    <row r="200" spans="1:5" x14ac:dyDescent="0.2">
      <c r="A200" s="1407"/>
      <c r="B200" s="149"/>
      <c r="C200" s="41"/>
      <c r="E200" s="421"/>
    </row>
    <row r="201" spans="1:5" x14ac:dyDescent="0.2">
      <c r="A201" s="1407"/>
      <c r="B201" s="149"/>
      <c r="C201" s="41"/>
      <c r="E201" s="421"/>
    </row>
    <row r="202" spans="1:5" x14ac:dyDescent="0.2">
      <c r="A202" s="1407"/>
      <c r="B202" s="149"/>
      <c r="C202" s="41"/>
      <c r="E202" s="421"/>
    </row>
    <row r="203" spans="1:5" x14ac:dyDescent="0.2">
      <c r="A203" s="1407"/>
      <c r="B203" s="149"/>
      <c r="C203" s="41"/>
      <c r="E203" s="421"/>
    </row>
    <row r="204" spans="1:5" x14ac:dyDescent="0.2">
      <c r="A204" s="1407"/>
      <c r="B204" s="149"/>
      <c r="C204" s="41"/>
      <c r="E204" s="421"/>
    </row>
    <row r="205" spans="1:5" x14ac:dyDescent="0.2">
      <c r="A205" s="1407"/>
      <c r="B205" s="149"/>
      <c r="C205" s="41"/>
      <c r="E205" s="421"/>
    </row>
    <row r="206" spans="1:5" x14ac:dyDescent="0.2">
      <c r="A206" s="1407"/>
      <c r="B206" s="149"/>
      <c r="C206" s="41"/>
      <c r="E206" s="421"/>
    </row>
    <row r="207" spans="1:5" x14ac:dyDescent="0.2">
      <c r="A207" s="1407"/>
      <c r="B207" s="149"/>
      <c r="C207" s="41"/>
      <c r="E207" s="421"/>
    </row>
    <row r="208" spans="1:5" x14ac:dyDescent="0.2">
      <c r="A208" s="1407"/>
      <c r="B208" s="149"/>
      <c r="C208" s="41"/>
      <c r="E208" s="421"/>
    </row>
    <row r="209" spans="1:5" x14ac:dyDescent="0.2">
      <c r="A209" s="1407"/>
      <c r="B209" s="149"/>
      <c r="C209" s="41"/>
      <c r="E209" s="421"/>
    </row>
    <row r="210" spans="1:5" x14ac:dyDescent="0.2">
      <c r="A210" s="1407"/>
      <c r="B210" s="149"/>
      <c r="C210" s="41"/>
      <c r="E210" s="421"/>
    </row>
    <row r="211" spans="1:5" x14ac:dyDescent="0.2">
      <c r="A211" s="1407"/>
      <c r="B211" s="149"/>
      <c r="C211" s="41"/>
      <c r="E211" s="421"/>
    </row>
    <row r="212" spans="1:5" x14ac:dyDescent="0.2">
      <c r="A212" s="1407"/>
      <c r="B212" s="149"/>
      <c r="C212" s="41"/>
      <c r="E212" s="421"/>
    </row>
    <row r="213" spans="1:5" x14ac:dyDescent="0.2">
      <c r="A213" s="1407"/>
      <c r="B213" s="149"/>
      <c r="C213" s="41"/>
      <c r="E213" s="421"/>
    </row>
    <row r="214" spans="1:5" x14ac:dyDescent="0.2">
      <c r="A214" s="1407"/>
      <c r="B214" s="149"/>
      <c r="C214" s="41"/>
      <c r="E214" s="421"/>
    </row>
    <row r="215" spans="1:5" x14ac:dyDescent="0.2">
      <c r="A215" s="1407"/>
      <c r="B215" s="149"/>
      <c r="C215" s="41"/>
      <c r="E215" s="421"/>
    </row>
    <row r="216" spans="1:5" x14ac:dyDescent="0.2">
      <c r="A216" s="1407"/>
      <c r="B216" s="149"/>
      <c r="C216" s="41"/>
      <c r="E216" s="421"/>
    </row>
    <row r="217" spans="1:5" x14ac:dyDescent="0.2">
      <c r="A217" s="1407"/>
      <c r="B217" s="149"/>
      <c r="C217" s="41"/>
      <c r="E217" s="421"/>
    </row>
    <row r="218" spans="1:5" x14ac:dyDescent="0.2">
      <c r="A218" s="1407"/>
      <c r="B218" s="149"/>
      <c r="C218" s="41"/>
      <c r="E218" s="421"/>
    </row>
    <row r="219" spans="1:5" x14ac:dyDescent="0.2">
      <c r="A219" s="1407"/>
      <c r="B219" s="149"/>
      <c r="C219" s="41"/>
      <c r="E219" s="421"/>
    </row>
    <row r="220" spans="1:5" x14ac:dyDescent="0.2">
      <c r="A220" s="1407"/>
      <c r="B220" s="149"/>
      <c r="C220" s="41"/>
      <c r="E220" s="421"/>
    </row>
    <row r="221" spans="1:5" x14ac:dyDescent="0.2">
      <c r="A221" s="1407"/>
      <c r="B221" s="149"/>
      <c r="C221" s="41"/>
      <c r="E221" s="421"/>
    </row>
    <row r="222" spans="1:5" x14ac:dyDescent="0.2">
      <c r="A222" s="1407"/>
      <c r="B222" s="149"/>
      <c r="C222" s="41"/>
      <c r="E222" s="421"/>
    </row>
    <row r="223" spans="1:5" x14ac:dyDescent="0.2">
      <c r="A223" s="1407"/>
      <c r="B223" s="149"/>
      <c r="C223" s="41"/>
      <c r="E223" s="421"/>
    </row>
    <row r="224" spans="1:5" x14ac:dyDescent="0.2">
      <c r="A224" s="1407"/>
      <c r="B224" s="149"/>
      <c r="C224" s="41"/>
      <c r="E224" s="421"/>
    </row>
    <row r="225" spans="1:5" x14ac:dyDescent="0.2">
      <c r="A225" s="1407"/>
      <c r="E225" s="421"/>
    </row>
    <row r="226" spans="1:5" x14ac:dyDescent="0.2">
      <c r="A226" s="1407"/>
      <c r="E226" s="421"/>
    </row>
    <row r="227" spans="1:5" x14ac:dyDescent="0.2">
      <c r="A227" s="1407"/>
      <c r="E227" s="421"/>
    </row>
    <row r="228" spans="1:5" x14ac:dyDescent="0.2">
      <c r="A228" s="1407"/>
      <c r="E228" s="421"/>
    </row>
    <row r="229" spans="1:5" x14ac:dyDescent="0.2">
      <c r="A229" s="1407"/>
    </row>
  </sheetData>
  <sheetProtection password="C4B9" sheet="1" objects="1" scenarios="1"/>
  <sortState ref="A3:L17">
    <sortCondition ref="H3:H17"/>
  </sortState>
  <customSheetViews>
    <customSheetView guid="{B8E02330-2419-4DE6-AD01-7ACC7A5D18DD}" scale="75" topLeftCell="A108">
      <selection activeCell="F120" sqref="F120"/>
      <pageMargins left="0.75" right="0.75" top="1" bottom="1" header="0.5" footer="0.5"/>
      <pageSetup orientation="portrait" horizontalDpi="4294967294" verticalDpi="300" r:id="rId1"/>
      <headerFooter alignWithMargins="0"/>
    </customSheetView>
  </customSheetViews>
  <mergeCells count="60">
    <mergeCell ref="A83:A86"/>
    <mergeCell ref="A19:A24"/>
    <mergeCell ref="A64:A67"/>
    <mergeCell ref="A25:A29"/>
    <mergeCell ref="B72:B76"/>
    <mergeCell ref="B64:B67"/>
    <mergeCell ref="B58:B63"/>
    <mergeCell ref="A68:A71"/>
    <mergeCell ref="A58:A63"/>
    <mergeCell ref="A72:A76"/>
    <mergeCell ref="B52:B57"/>
    <mergeCell ref="B19:B24"/>
    <mergeCell ref="A38:A44"/>
    <mergeCell ref="B38:B44"/>
    <mergeCell ref="A52:A57"/>
    <mergeCell ref="A77:A82"/>
    <mergeCell ref="E1:H1"/>
    <mergeCell ref="I25:I29"/>
    <mergeCell ref="A1:B1"/>
    <mergeCell ref="B25:B29"/>
    <mergeCell ref="A30:A37"/>
    <mergeCell ref="A87:A91"/>
    <mergeCell ref="I92:I96"/>
    <mergeCell ref="I87:I91"/>
    <mergeCell ref="B87:B91"/>
    <mergeCell ref="A92:A96"/>
    <mergeCell ref="I52:I57"/>
    <mergeCell ref="I58:I63"/>
    <mergeCell ref="I83:I86"/>
    <mergeCell ref="I72:I76"/>
    <mergeCell ref="I68:I71"/>
    <mergeCell ref="I77:I82"/>
    <mergeCell ref="I64:I67"/>
    <mergeCell ref="A45:A51"/>
    <mergeCell ref="I19:I24"/>
    <mergeCell ref="B30:B37"/>
    <mergeCell ref="I30:I37"/>
    <mergeCell ref="I45:I51"/>
    <mergeCell ref="H19:H24"/>
    <mergeCell ref="H25:H29"/>
    <mergeCell ref="H45:H51"/>
    <mergeCell ref="H30:H37"/>
    <mergeCell ref="H38:H44"/>
    <mergeCell ref="B45:B51"/>
    <mergeCell ref="I38:I44"/>
    <mergeCell ref="H52:H57"/>
    <mergeCell ref="H58:H61"/>
    <mergeCell ref="H64:H67"/>
    <mergeCell ref="C112:G112"/>
    <mergeCell ref="B123:B124"/>
    <mergeCell ref="B83:B86"/>
    <mergeCell ref="B92:B96"/>
    <mergeCell ref="H92:H96"/>
    <mergeCell ref="H87:H91"/>
    <mergeCell ref="B68:B71"/>
    <mergeCell ref="H68:H71"/>
    <mergeCell ref="H72:H76"/>
    <mergeCell ref="H77:H82"/>
    <mergeCell ref="H83:H86"/>
    <mergeCell ref="B77:B82"/>
  </mergeCells>
  <phoneticPr fontId="5" type="noConversion"/>
  <conditionalFormatting sqref="H16 B11:B16">
    <cfRule type="cellIs" dxfId="17" priority="16" stopIfTrue="1" operator="equal">
      <formula>1</formula>
    </cfRule>
  </conditionalFormatting>
  <conditionalFormatting sqref="D111 D107 D99:D100 D103:D105 D20:D96">
    <cfRule type="cellIs" dxfId="16" priority="1" operator="greaterThan">
      <formula>0</formula>
    </cfRule>
  </conditionalFormatting>
  <pageMargins left="0.75" right="0.75" top="1" bottom="1" header="0.5" footer="0.5"/>
  <pageSetup orientation="portrait" horizontalDpi="4294967294" verticalDpi="300" r:id="rId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V101"/>
  <sheetViews>
    <sheetView zoomScaleNormal="100" workbookViewId="0">
      <selection activeCell="C11" sqref="C11"/>
    </sheetView>
  </sheetViews>
  <sheetFormatPr defaultColWidth="9.33203125" defaultRowHeight="16.5" x14ac:dyDescent="0.2"/>
  <cols>
    <col min="1" max="1" width="5.83203125" style="25" customWidth="1"/>
    <col min="2" max="2" width="18.83203125" style="25" customWidth="1"/>
    <col min="3" max="3" width="69.83203125" style="7" customWidth="1"/>
    <col min="4" max="4" width="6.83203125" style="274" customWidth="1"/>
    <col min="5" max="5" width="7.6640625" style="274" customWidth="1"/>
    <col min="6" max="6" width="8.6640625" style="274" customWidth="1"/>
    <col min="7" max="7" width="10.83203125" style="268" customWidth="1"/>
    <col min="8" max="8" width="13.1640625" style="274" customWidth="1"/>
    <col min="9" max="9" width="69.83203125" style="7" customWidth="1"/>
    <col min="10" max="10" width="66" style="87" customWidth="1"/>
    <col min="11" max="12" width="9.33203125" style="7"/>
    <col min="13" max="13" width="64.83203125" style="7" customWidth="1"/>
    <col min="14" max="16384" width="9.33203125" style="7"/>
  </cols>
  <sheetData>
    <row r="1" spans="1:48" ht="70.5" customHeight="1" thickBot="1" x14ac:dyDescent="0.25">
      <c r="A1" s="2125" t="s">
        <v>2376</v>
      </c>
      <c r="B1" s="2126"/>
      <c r="C1" s="77" t="s">
        <v>674</v>
      </c>
      <c r="D1" s="93" t="s">
        <v>675</v>
      </c>
      <c r="E1" s="2122"/>
      <c r="F1" s="2123"/>
      <c r="G1" s="2123"/>
      <c r="H1" s="2124"/>
      <c r="I1" s="648" t="s">
        <v>1428</v>
      </c>
    </row>
    <row r="2" spans="1:48" s="707" customFormat="1" ht="42" customHeight="1" thickBot="1" x14ac:dyDescent="0.25">
      <c r="A2" s="1605" t="s">
        <v>110</v>
      </c>
      <c r="B2" s="1606" t="s">
        <v>1096</v>
      </c>
      <c r="C2" s="1607" t="s">
        <v>1395</v>
      </c>
      <c r="D2" s="1605"/>
      <c r="E2" s="1608"/>
      <c r="F2" s="1609"/>
      <c r="G2" s="1610" t="s">
        <v>1111</v>
      </c>
      <c r="H2" s="1611" t="s">
        <v>2396</v>
      </c>
      <c r="I2" s="1606" t="s">
        <v>304</v>
      </c>
      <c r="J2" s="745"/>
    </row>
    <row r="3" spans="1:48" s="151" customFormat="1" ht="30" customHeight="1" thickBot="1" x14ac:dyDescent="0.35">
      <c r="A3" s="709" t="str">
        <f>OF!A5</f>
        <v>OF4</v>
      </c>
      <c r="B3" s="710" t="str">
        <f>OF!C5</f>
        <v>Channel Connection</v>
      </c>
      <c r="C3" s="747"/>
      <c r="D3" s="712"/>
      <c r="E3" s="713"/>
      <c r="F3" s="713"/>
      <c r="G3" s="740" t="str">
        <f>IF((ChannConn=""),"",ChannConn)</f>
        <v/>
      </c>
      <c r="H3" s="741" t="s">
        <v>1330</v>
      </c>
      <c r="I3" s="764" t="s">
        <v>1705</v>
      </c>
      <c r="J3" s="152"/>
    </row>
    <row r="4" spans="1:48" s="155" customFormat="1" ht="30" customHeight="1" thickBot="1" x14ac:dyDescent="0.25">
      <c r="A4" s="709" t="str">
        <f>OF!A12</f>
        <v>OF11</v>
      </c>
      <c r="B4" s="710" t="str">
        <f>OF!C12</f>
        <v xml:space="preserve">Elevation Percentile Within HUC8 </v>
      </c>
      <c r="C4" s="748"/>
      <c r="D4" s="712"/>
      <c r="E4" s="713"/>
      <c r="F4" s="713"/>
      <c r="G4" s="759" t="str">
        <f>IF((ElevPctileHUC8=""),"",ElevPctileHUC8)</f>
        <v/>
      </c>
      <c r="H4" s="741" t="s">
        <v>1035</v>
      </c>
      <c r="I4" s="764" t="s">
        <v>1706</v>
      </c>
      <c r="K4" s="256"/>
    </row>
    <row r="5" spans="1:48" s="155" customFormat="1" ht="42" customHeight="1" thickBot="1" x14ac:dyDescent="0.25">
      <c r="A5" s="709" t="str">
        <f>OF!A15</f>
        <v>OF14</v>
      </c>
      <c r="B5" s="710" t="str">
        <f>OF!C15</f>
        <v>% of the Wetland that is Fen</v>
      </c>
      <c r="C5" s="748"/>
      <c r="D5" s="712"/>
      <c r="E5" s="713"/>
      <c r="F5" s="713"/>
      <c r="G5" s="759" t="str">
        <f>IF((FenPct=""),"",FenPct)</f>
        <v/>
      </c>
      <c r="H5" s="741" t="s">
        <v>1287</v>
      </c>
      <c r="I5" s="764" t="s">
        <v>1707</v>
      </c>
      <c r="K5" s="256"/>
    </row>
    <row r="6" spans="1:48" s="155" customFormat="1" ht="30" customHeight="1" thickBot="1" x14ac:dyDescent="0.25">
      <c r="A6" s="714" t="str">
        <f>OF!A19</f>
        <v>OF18</v>
      </c>
      <c r="B6" s="715" t="str">
        <f>OF!C19</f>
        <v>Groundwater Discharge Area or Spring</v>
      </c>
      <c r="C6" s="749"/>
      <c r="D6" s="716"/>
      <c r="E6" s="717"/>
      <c r="F6" s="717"/>
      <c r="G6" s="761" t="str">
        <f>IF((GWDspring=""),"",GWDspring)</f>
        <v/>
      </c>
      <c r="H6" s="767" t="s">
        <v>1029</v>
      </c>
      <c r="I6" s="765" t="s">
        <v>107</v>
      </c>
    </row>
    <row r="7" spans="1:48" s="155" customFormat="1" ht="30" customHeight="1" thickBot="1" x14ac:dyDescent="0.25">
      <c r="A7" s="709" t="str">
        <f>OF!A31</f>
        <v>OF30</v>
      </c>
      <c r="B7" s="710" t="str">
        <f>OF!C31</f>
        <v>% of AA that is Open Water (macro scale)</v>
      </c>
      <c r="C7" s="748" t="s">
        <v>1396</v>
      </c>
      <c r="D7" s="712"/>
      <c r="E7" s="713"/>
      <c r="F7" s="713"/>
      <c r="G7" s="759" t="str">
        <f>IF((OWpct=""),"",1-OWpct)</f>
        <v/>
      </c>
      <c r="H7" s="741" t="s">
        <v>1205</v>
      </c>
      <c r="I7" s="764" t="s">
        <v>1708</v>
      </c>
      <c r="K7" s="256"/>
    </row>
    <row r="8" spans="1:48" s="155" customFormat="1" ht="30" customHeight="1" thickBot="1" x14ac:dyDescent="0.25">
      <c r="A8" s="714" t="str">
        <f>OF!A36</f>
        <v>OF35</v>
      </c>
      <c r="B8" s="715" t="str">
        <f>OF!C36</f>
        <v>Climate Moisture Surplus (P-PET)</v>
      </c>
      <c r="C8" s="749"/>
      <c r="D8" s="716"/>
      <c r="E8" s="717"/>
      <c r="F8" s="717"/>
      <c r="G8" s="761" t="str">
        <f>IF((PPET=""),"",PPET)</f>
        <v/>
      </c>
      <c r="H8" s="767" t="s">
        <v>1019</v>
      </c>
      <c r="I8" s="765" t="s">
        <v>1709</v>
      </c>
      <c r="J8" s="87"/>
      <c r="K8" s="256"/>
      <c r="L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row>
    <row r="9" spans="1:48" s="155" customFormat="1" ht="30" customHeight="1" thickBot="1" x14ac:dyDescent="0.25">
      <c r="A9" s="709" t="str">
        <f>OF!A43</f>
        <v>OF42</v>
      </c>
      <c r="B9" s="710" t="str">
        <f>OF!C43</f>
        <v>Riparian or Floodway Location</v>
      </c>
      <c r="C9" s="748"/>
      <c r="D9" s="712"/>
      <c r="E9" s="713"/>
      <c r="F9" s="713"/>
      <c r="G9" s="740" t="str">
        <f>IF((RipFloodpl=""),"",RipFloodpl)</f>
        <v/>
      </c>
      <c r="H9" s="741" t="s">
        <v>1077</v>
      </c>
      <c r="I9" s="764" t="s">
        <v>1710</v>
      </c>
      <c r="K9" s="256"/>
    </row>
    <row r="10" spans="1:48" s="155" customFormat="1" ht="30" customHeight="1" thickBot="1" x14ac:dyDescent="0.25">
      <c r="A10" s="714" t="str">
        <f>OF!A50</f>
        <v>OF49</v>
      </c>
      <c r="B10" s="715" t="str">
        <f>OF!C50</f>
        <v>Soil Texture (macroscale)</v>
      </c>
      <c r="C10" s="749" t="s">
        <v>2199</v>
      </c>
      <c r="D10" s="716"/>
      <c r="E10" s="717"/>
      <c r="F10" s="717"/>
      <c r="G10" s="761" t="str">
        <f>IF((SoilTex_NROE=""),"",SoilTex_NROE)</f>
        <v/>
      </c>
      <c r="H10" s="767" t="s">
        <v>1399</v>
      </c>
      <c r="I10" s="765"/>
    </row>
    <row r="11" spans="1:48" s="155" customFormat="1" ht="30" customHeight="1" thickBot="1" x14ac:dyDescent="0.25">
      <c r="A11" s="709" t="str">
        <f>OF!A52</f>
        <v>OF51</v>
      </c>
      <c r="B11" s="710" t="str">
        <f>OF!C52</f>
        <v>Subzero Days</v>
      </c>
      <c r="C11" s="748" t="s">
        <v>1396</v>
      </c>
      <c r="D11" s="712"/>
      <c r="E11" s="713"/>
      <c r="F11" s="713"/>
      <c r="G11" s="759" t="str">
        <f>IF((Sub0Days=""),"",Sub0Days)</f>
        <v/>
      </c>
      <c r="H11" s="741" t="s">
        <v>1066</v>
      </c>
      <c r="I11" s="764" t="s">
        <v>1711</v>
      </c>
      <c r="K11" s="256"/>
    </row>
    <row r="12" spans="1:48" s="155" customFormat="1" ht="30" customHeight="1" thickBot="1" x14ac:dyDescent="0.25">
      <c r="A12" s="714" t="str">
        <f>OF!A61</f>
        <v>OF60</v>
      </c>
      <c r="B12" s="715" t="str">
        <f>OF!C61</f>
        <v>Water Permanence Probability</v>
      </c>
      <c r="C12" s="749"/>
      <c r="D12" s="716"/>
      <c r="E12" s="717"/>
      <c r="F12" s="717"/>
      <c r="G12" s="761" t="str">
        <f>IF((WatProb=""),"",WatProb)</f>
        <v/>
      </c>
      <c r="H12" s="767" t="s">
        <v>1026</v>
      </c>
      <c r="I12" s="765" t="s">
        <v>1712</v>
      </c>
      <c r="J12" s="87"/>
    </row>
    <row r="13" spans="1:48" s="155" customFormat="1" ht="30" customHeight="1" thickBot="1" x14ac:dyDescent="0.25">
      <c r="A13" s="709" t="str">
        <f>OF!A67</f>
        <v>OF66</v>
      </c>
      <c r="B13" s="710" t="str">
        <f>OF!C67</f>
        <v>Wetland as a % of Its HUC8</v>
      </c>
      <c r="C13" s="748"/>
      <c r="D13" s="712"/>
      <c r="E13" s="713"/>
      <c r="F13" s="713"/>
      <c r="G13" s="759" t="str">
        <f>IF((WetPctHUC8=""),"",WetPctHUC8)</f>
        <v/>
      </c>
      <c r="H13" s="741" t="s">
        <v>1245</v>
      </c>
      <c r="I13" s="764" t="s">
        <v>1713</v>
      </c>
      <c r="K13" s="256"/>
    </row>
    <row r="14" spans="1:48" ht="30" customHeight="1" thickBot="1" x14ac:dyDescent="0.25">
      <c r="A14" s="714" t="str">
        <f>OF!A68</f>
        <v>OF67</v>
      </c>
      <c r="B14" s="715" t="str">
        <f>OF!C68</f>
        <v>Perimeter-Area Ratio</v>
      </c>
      <c r="C14" s="749" t="s">
        <v>1396</v>
      </c>
      <c r="D14" s="716"/>
      <c r="E14" s="717"/>
      <c r="F14" s="717"/>
      <c r="G14" s="762" t="str">
        <f>IF((WetPerim2Area=""),"",1-WetPerim2Area)</f>
        <v/>
      </c>
      <c r="H14" s="767" t="s">
        <v>1012</v>
      </c>
      <c r="I14" s="765" t="s">
        <v>1809</v>
      </c>
      <c r="J14" s="155"/>
      <c r="K14" s="256"/>
      <c r="L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row>
    <row r="15" spans="1:48" s="155" customFormat="1" ht="30" customHeight="1" thickBot="1" x14ac:dyDescent="0.25">
      <c r="A15" s="709" t="str">
        <f>OF!A69</f>
        <v>OF68</v>
      </c>
      <c r="B15" s="710" t="str">
        <f>OF!C69</f>
        <v>Wetland Vegetated Area</v>
      </c>
      <c r="C15" s="748" t="s">
        <v>1396</v>
      </c>
      <c r="D15" s="712"/>
      <c r="E15" s="713"/>
      <c r="F15" s="713"/>
      <c r="G15" s="759" t="str">
        <f>IF((WetVegArea=""),"",1-WetVegArea)</f>
        <v/>
      </c>
      <c r="H15" s="741" t="s">
        <v>1011</v>
      </c>
      <c r="I15" s="764" t="s">
        <v>1714</v>
      </c>
      <c r="J15" s="87"/>
      <c r="K15" s="256"/>
    </row>
    <row r="16" spans="1:48" s="155" customFormat="1" ht="63.75" customHeight="1" thickBot="1" x14ac:dyDescent="0.25">
      <c r="A16" s="714" t="str">
        <f>OF!A70</f>
        <v>OF69</v>
      </c>
      <c r="B16" s="715" t="str">
        <f>OF!C70</f>
        <v>% of Wetland Classified as Swamp or Forested (macro scale)</v>
      </c>
      <c r="C16" s="749" t="s">
        <v>1396</v>
      </c>
      <c r="D16" s="716"/>
      <c r="E16" s="717"/>
      <c r="F16" s="717"/>
      <c r="G16" s="762" t="str">
        <f>IF((WetWooded=""),"",1-WetWooded)</f>
        <v/>
      </c>
      <c r="H16" s="767" t="s">
        <v>1211</v>
      </c>
      <c r="I16" s="765" t="s">
        <v>1715</v>
      </c>
      <c r="K16" s="256"/>
    </row>
    <row r="17" spans="1:11" s="155" customFormat="1" ht="30" customHeight="1" thickBot="1" x14ac:dyDescent="0.25">
      <c r="A17" s="709" t="str">
        <f>OF!A71</f>
        <v>OF70</v>
      </c>
      <c r="B17" s="710" t="str">
        <f>OF!C71</f>
        <v>Wind Energy - Summer</v>
      </c>
      <c r="C17" s="748" t="s">
        <v>1396</v>
      </c>
      <c r="D17" s="712"/>
      <c r="E17" s="713"/>
      <c r="F17" s="713"/>
      <c r="G17" s="759" t="str">
        <f>IF((WindSumm=""),"",1-WindSumm)</f>
        <v/>
      </c>
      <c r="H17" s="741" t="s">
        <v>1022</v>
      </c>
      <c r="I17" s="764" t="s">
        <v>1716</v>
      </c>
      <c r="K17" s="256"/>
    </row>
    <row r="18" spans="1:11" s="2" customFormat="1" ht="42" customHeight="1" thickBot="1" x14ac:dyDescent="0.25">
      <c r="A18" s="1622" t="s">
        <v>110</v>
      </c>
      <c r="B18" s="1613" t="s">
        <v>1110</v>
      </c>
      <c r="C18" s="1623" t="s">
        <v>1109</v>
      </c>
      <c r="D18" s="1624" t="s">
        <v>45</v>
      </c>
      <c r="E18" s="1625" t="s">
        <v>2028</v>
      </c>
      <c r="F18" s="1626" t="s">
        <v>2027</v>
      </c>
      <c r="G18" s="1627" t="s">
        <v>1111</v>
      </c>
      <c r="H18" s="1628" t="s">
        <v>1108</v>
      </c>
      <c r="I18" s="1629" t="s">
        <v>1503</v>
      </c>
      <c r="J18" s="59"/>
    </row>
    <row r="19" spans="1:11" s="8" customFormat="1" ht="21" customHeight="1" thickBot="1" x14ac:dyDescent="0.25">
      <c r="A19" s="647" t="str">
        <f>F!A6</f>
        <v>F1</v>
      </c>
      <c r="B19" s="2087" t="str">
        <f>F!B6</f>
        <v>Wetland Type - Predominant</v>
      </c>
      <c r="C19" s="768" t="str">
        <f>F!C6</f>
        <v>Most of the vegetated part of the AA (wetland Assessment Area) is a (select ONE):</v>
      </c>
      <c r="D19" s="769"/>
      <c r="E19" s="770"/>
      <c r="F19" s="431"/>
      <c r="G19" s="432">
        <f>MAX(F20:F23)/MAX(E20:E23)</f>
        <v>0</v>
      </c>
      <c r="H19" s="2087" t="s">
        <v>279</v>
      </c>
      <c r="I19" s="2129" t="s">
        <v>756</v>
      </c>
      <c r="J19" s="96"/>
    </row>
    <row r="20" spans="1:11" s="8" customFormat="1" ht="15" customHeight="1" x14ac:dyDescent="0.2">
      <c r="A20" s="663" t="str">
        <f>F!A7</f>
        <v>F1.1</v>
      </c>
      <c r="B20" s="2083"/>
      <c r="C20" s="750" t="str">
        <f>F!C7</f>
        <v>Wooded Swamp</v>
      </c>
      <c r="D20" s="771">
        <f>F!D7</f>
        <v>0</v>
      </c>
      <c r="E20" s="772">
        <v>2</v>
      </c>
      <c r="F20" s="773">
        <f>D20*E20</f>
        <v>0</v>
      </c>
      <c r="G20" s="429"/>
      <c r="H20" s="2083"/>
      <c r="I20" s="2130"/>
      <c r="J20" s="96"/>
    </row>
    <row r="21" spans="1:11" s="8" customFormat="1" ht="15" customHeight="1" x14ac:dyDescent="0.2">
      <c r="A21" s="663" t="str">
        <f>F!A8</f>
        <v>F1.2</v>
      </c>
      <c r="B21" s="2083"/>
      <c r="C21" s="751" t="str">
        <f>F!C8</f>
        <v>Bog</v>
      </c>
      <c r="D21" s="771">
        <f>F!D8</f>
        <v>0</v>
      </c>
      <c r="E21" s="772">
        <v>3</v>
      </c>
      <c r="F21" s="773">
        <f>D21*E21</f>
        <v>0</v>
      </c>
      <c r="G21" s="430"/>
      <c r="H21" s="2083"/>
      <c r="I21" s="2130"/>
      <c r="J21" s="96"/>
    </row>
    <row r="22" spans="1:11" ht="15" customHeight="1" x14ac:dyDescent="0.2">
      <c r="A22" s="663" t="str">
        <f>F!A9</f>
        <v>F1.3</v>
      </c>
      <c r="B22" s="2083"/>
      <c r="C22" s="752" t="str">
        <f>F!C9</f>
        <v>Fen</v>
      </c>
      <c r="D22" s="705">
        <f>F!D9</f>
        <v>0</v>
      </c>
      <c r="E22" s="772">
        <v>4</v>
      </c>
      <c r="F22" s="773">
        <f>D22*E22</f>
        <v>0</v>
      </c>
      <c r="G22" s="430"/>
      <c r="H22" s="2083"/>
      <c r="I22" s="2130"/>
    </row>
    <row r="23" spans="1:11" ht="24" customHeight="1" thickBot="1" x14ac:dyDescent="0.25">
      <c r="A23" s="661" t="str">
        <f>F!A10</f>
        <v>F1.4</v>
      </c>
      <c r="B23" s="2088"/>
      <c r="C23" s="774" t="str">
        <f>F!C10</f>
        <v>Marsh or Shallow Open Water</v>
      </c>
      <c r="D23" s="119">
        <f>F!D10</f>
        <v>0</v>
      </c>
      <c r="E23" s="433">
        <v>1</v>
      </c>
      <c r="F23" s="434">
        <f>D23*E23</f>
        <v>0</v>
      </c>
      <c r="G23" s="435"/>
      <c r="H23" s="2088"/>
      <c r="I23" s="2131"/>
    </row>
    <row r="24" spans="1:11" ht="30" customHeight="1" thickBot="1" x14ac:dyDescent="0.25">
      <c r="A24" s="2120" t="str">
        <f>F!A52</f>
        <v>F10</v>
      </c>
      <c r="B24" s="2078" t="str">
        <f>F!B52</f>
        <v>Predominant Depth Class</v>
      </c>
      <c r="C24" s="757" t="str">
        <f>F!C52</f>
        <v>During most of the time when water is present, its depth in most of the area is: [Note: This is not asking for the maximum depth.]</v>
      </c>
      <c r="D24" s="423"/>
      <c r="E24" s="423"/>
      <c r="F24" s="425"/>
      <c r="G24" s="426">
        <f>IF((AllSat+AllSat1&gt;0),"", IF((SmallAA=1),"", MAX(F25:F29)/MAX(E25:E29)))</f>
        <v>0</v>
      </c>
      <c r="H24" s="2077" t="s">
        <v>232</v>
      </c>
      <c r="I24" s="2127" t="s">
        <v>1717</v>
      </c>
    </row>
    <row r="25" spans="1:11" ht="15" customHeight="1" x14ac:dyDescent="0.2">
      <c r="A25" s="2120"/>
      <c r="B25" s="2078"/>
      <c r="C25" s="649" t="str">
        <f>F!C53</f>
        <v>&lt;10 cm deep (but &gt;0)</v>
      </c>
      <c r="D25" s="23">
        <f>F!D53</f>
        <v>0</v>
      </c>
      <c r="E25" s="427">
        <v>0</v>
      </c>
      <c r="F25" s="428">
        <f>D25*E25</f>
        <v>0</v>
      </c>
      <c r="G25" s="429"/>
      <c r="H25" s="2078"/>
      <c r="I25" s="2127"/>
    </row>
    <row r="26" spans="1:11" ht="15" customHeight="1" x14ac:dyDescent="0.2">
      <c r="A26" s="2120"/>
      <c r="B26" s="2078"/>
      <c r="C26" s="753" t="str">
        <f>F!C54</f>
        <v>10 - 50 cm deep</v>
      </c>
      <c r="D26" s="23">
        <f>F!D54</f>
        <v>0</v>
      </c>
      <c r="E26" s="427">
        <v>1</v>
      </c>
      <c r="F26" s="428">
        <f>D26*E26</f>
        <v>0</v>
      </c>
      <c r="G26" s="430"/>
      <c r="H26" s="2078"/>
      <c r="I26" s="2127"/>
    </row>
    <row r="27" spans="1:11" ht="15" customHeight="1" x14ac:dyDescent="0.2">
      <c r="A27" s="2120"/>
      <c r="B27" s="2078"/>
      <c r="C27" s="753" t="str">
        <f>F!C55</f>
        <v>0.5 - 1 m deep</v>
      </c>
      <c r="D27" s="23">
        <f>F!D55</f>
        <v>0</v>
      </c>
      <c r="E27" s="427">
        <v>2</v>
      </c>
      <c r="F27" s="428">
        <f>D27*E27</f>
        <v>0</v>
      </c>
      <c r="G27" s="430"/>
      <c r="H27" s="2078"/>
      <c r="I27" s="2127"/>
    </row>
    <row r="28" spans="1:11" ht="15" customHeight="1" x14ac:dyDescent="0.2">
      <c r="A28" s="2120"/>
      <c r="B28" s="2078"/>
      <c r="C28" s="753" t="str">
        <f>F!C56</f>
        <v>1 - 2 m deep</v>
      </c>
      <c r="D28" s="23">
        <f>F!D56</f>
        <v>0</v>
      </c>
      <c r="E28" s="427">
        <v>3</v>
      </c>
      <c r="F28" s="428">
        <f>D28*E28</f>
        <v>0</v>
      </c>
      <c r="G28" s="430"/>
      <c r="H28" s="2078"/>
      <c r="I28" s="2127"/>
    </row>
    <row r="29" spans="1:11" ht="15" customHeight="1" thickBot="1" x14ac:dyDescent="0.25">
      <c r="A29" s="2120"/>
      <c r="B29" s="2078"/>
      <c r="C29" s="753" t="str">
        <f>F!C57</f>
        <v>&gt;2 m deep.  True for many fringe wetlands.</v>
      </c>
      <c r="D29" s="775">
        <f>F!D57</f>
        <v>0</v>
      </c>
      <c r="E29" s="776">
        <v>4</v>
      </c>
      <c r="F29" s="777">
        <f>D29*E29</f>
        <v>0</v>
      </c>
      <c r="G29" s="763"/>
      <c r="H29" s="2079"/>
      <c r="I29" s="2127"/>
    </row>
    <row r="30" spans="1:11" ht="30" customHeight="1" thickBot="1" x14ac:dyDescent="0.25">
      <c r="A30" s="2119" t="str">
        <f>F!A115</f>
        <v>F26</v>
      </c>
      <c r="B30" s="2077" t="str">
        <f>F!B115</f>
        <v>Channel Connection &amp; Outflow Duration</v>
      </c>
      <c r="C30" s="136" t="str">
        <f>F!C115</f>
        <v>The most persistent surface water connection (outlet channel or pipe, ditch, or overbank water exchange) between the AA and the closest off-site downslope water body is:</v>
      </c>
      <c r="D30" s="769"/>
      <c r="E30" s="769"/>
      <c r="F30" s="431"/>
      <c r="G30" s="778">
        <f>MAX(F31:F35)/MAX(E31:E35)</f>
        <v>0</v>
      </c>
      <c r="H30" s="2077" t="s">
        <v>235</v>
      </c>
      <c r="I30" s="2132" t="s">
        <v>1385</v>
      </c>
      <c r="J30" s="96"/>
    </row>
    <row r="31" spans="1:11" ht="15" customHeight="1" x14ac:dyDescent="0.2">
      <c r="A31" s="2120"/>
      <c r="B31" s="2078"/>
      <c r="C31" s="756" t="str">
        <f>F!C116</f>
        <v>persistent (&gt;9 months/year, including times when frozen)</v>
      </c>
      <c r="D31" s="651">
        <f>F!D116</f>
        <v>0</v>
      </c>
      <c r="E31" s="773">
        <v>6</v>
      </c>
      <c r="F31" s="773">
        <f>D31*E31</f>
        <v>0</v>
      </c>
      <c r="G31" s="429"/>
      <c r="H31" s="2078"/>
      <c r="I31" s="2133"/>
    </row>
    <row r="32" spans="1:11" ht="24.75" customHeight="1" x14ac:dyDescent="0.2">
      <c r="A32" s="2120"/>
      <c r="B32" s="2078"/>
      <c r="C32" s="736" t="str">
        <f>F!C117</f>
        <v>seasonal (14 days to 9 months/year, not necessarily consecutive, including times when frozen)</v>
      </c>
      <c r="D32" s="779">
        <f>F!D117</f>
        <v>0</v>
      </c>
      <c r="E32" s="773">
        <v>3</v>
      </c>
      <c r="F32" s="773">
        <f>D32*E32</f>
        <v>0</v>
      </c>
      <c r="G32" s="430"/>
      <c r="H32" s="2078"/>
      <c r="I32" s="2133"/>
    </row>
    <row r="33" spans="1:9" ht="15" customHeight="1" x14ac:dyDescent="0.2">
      <c r="A33" s="2120"/>
      <c r="B33" s="2078"/>
      <c r="C33" s="736" t="str">
        <f>F!C118</f>
        <v>temporary (&lt;14 days, not necessarily consecutive -- must be unfrozen)</v>
      </c>
      <c r="D33" s="779">
        <f>F!D118</f>
        <v>0</v>
      </c>
      <c r="E33" s="773">
        <v>2</v>
      </c>
      <c r="F33" s="773">
        <f>D33*E33</f>
        <v>0</v>
      </c>
      <c r="G33" s="430"/>
      <c r="H33" s="2078"/>
      <c r="I33" s="2133"/>
    </row>
    <row r="34" spans="1:9" ht="41.25" customHeight="1" x14ac:dyDescent="0.2">
      <c r="A34" s="2120"/>
      <c r="B34" s="2078"/>
      <c r="C34" s="736" t="str">
        <f>F!C119</f>
        <v xml:space="preserve">none -- but maps show a stream or other water body that is downslope from the AA and within a distance that is less than the AA's length.  If so, mark "1" here and SKIP TO F28 (Groundwater). </v>
      </c>
      <c r="D34" s="779">
        <f>F!D119</f>
        <v>0</v>
      </c>
      <c r="E34" s="773">
        <v>1</v>
      </c>
      <c r="F34" s="773">
        <f>D34*E34</f>
        <v>0</v>
      </c>
      <c r="G34" s="763"/>
      <c r="H34" s="2078"/>
      <c r="I34" s="2133"/>
    </row>
    <row r="35" spans="1:9" ht="42" customHeight="1" thickBot="1" x14ac:dyDescent="0.25">
      <c r="A35" s="2121"/>
      <c r="B35" s="2079"/>
      <c r="C35" s="737" t="str">
        <f>F!C120</f>
        <v xml:space="preserve">no surface water flows out of the wetland except possibly during extreme events (&lt;once per 10 years). Or, water flows only into a wetland, ditch, or lake that lacks an outlet.  If so, mark "1" here and SKIP TO F28 (Groundwater). </v>
      </c>
      <c r="D35" s="105">
        <f>F!D120</f>
        <v>0</v>
      </c>
      <c r="E35" s="434">
        <v>0</v>
      </c>
      <c r="F35" s="434">
        <f>D35*E35</f>
        <v>0</v>
      </c>
      <c r="G35" s="435"/>
      <c r="H35" s="2079"/>
      <c r="I35" s="2134"/>
    </row>
    <row r="36" spans="1:9" ht="21" customHeight="1" thickBot="1" x14ac:dyDescent="0.25">
      <c r="A36" s="2118" t="str">
        <f>F!A125</f>
        <v>F28</v>
      </c>
      <c r="B36" s="2078" t="str">
        <f>F!B125</f>
        <v>Groundwater: Strength of Evidence</v>
      </c>
      <c r="C36" s="757" t="str">
        <f>F!C125</f>
        <v xml:space="preserve">Select first applicable choice. </v>
      </c>
      <c r="D36" s="423"/>
      <c r="E36" s="424"/>
      <c r="F36" s="425"/>
      <c r="G36" s="436">
        <f>MAX(F37:F39)/MAX(E37:E39)</f>
        <v>0</v>
      </c>
      <c r="H36" s="2077" t="s">
        <v>234</v>
      </c>
      <c r="I36" s="2133" t="s">
        <v>318</v>
      </c>
    </row>
    <row r="37" spans="1:9" ht="46.5" customHeight="1" x14ac:dyDescent="0.2">
      <c r="A37" s="2118"/>
      <c r="B37" s="2078"/>
      <c r="C37" s="731" t="str">
        <f>F!C126</f>
        <v xml:space="preserve">Groundwater monitoring has demonstrated that groundwater primarily discharges to the wetland for longer periods during the year than periods when the wetland recharges the groundwater.  Or, springs are known to be present within the AA.
</v>
      </c>
      <c r="D37" s="400">
        <f>F!D126</f>
        <v>0</v>
      </c>
      <c r="E37" s="428">
        <v>3</v>
      </c>
      <c r="F37" s="428">
        <f>D37*E37</f>
        <v>0</v>
      </c>
      <c r="G37" s="429"/>
      <c r="H37" s="2078"/>
      <c r="I37" s="2133"/>
    </row>
    <row r="38" spans="1:9" ht="111" customHeight="1" x14ac:dyDescent="0.2">
      <c r="A38" s="2118"/>
      <c r="B38" s="2078"/>
      <c r="C38" s="758"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38" s="50">
        <f>F!D127</f>
        <v>0</v>
      </c>
      <c r="E38" s="428">
        <v>2</v>
      </c>
      <c r="F38" s="428">
        <f>D38*E38</f>
        <v>0</v>
      </c>
      <c r="G38" s="430"/>
      <c r="H38" s="2078"/>
      <c r="I38" s="2133"/>
    </row>
    <row r="39" spans="1:9" ht="27" customHeight="1" thickBot="1" x14ac:dyDescent="0.25">
      <c r="A39" s="2118"/>
      <c r="B39" s="2078"/>
      <c r="C39" s="753" t="str">
        <f>F!C128</f>
        <v>Neither of above is true, although some groundwater may discharge to or flow through the AA.  Or groundwater influx is unknown.</v>
      </c>
      <c r="D39" s="23">
        <f>F!D128</f>
        <v>0</v>
      </c>
      <c r="E39" s="437">
        <v>0</v>
      </c>
      <c r="F39" s="437">
        <f>D39*E39</f>
        <v>0</v>
      </c>
      <c r="G39" s="763"/>
      <c r="H39" s="2079"/>
      <c r="I39" s="2133"/>
    </row>
    <row r="40" spans="1:9" ht="21" customHeight="1" thickBot="1" x14ac:dyDescent="0.25">
      <c r="A40" s="2077" t="str">
        <f>F!A145</f>
        <v>F32</v>
      </c>
      <c r="B40" s="2077" t="str">
        <f>F!B145</f>
        <v>Tall Woody Canopy- % of the Vegetated AA</v>
      </c>
      <c r="C40" s="99" t="str">
        <f>F!C145</f>
        <v>Within the vegetated part of the AA, just the woody plants taller than 3 m occupy:</v>
      </c>
      <c r="D40" s="780"/>
      <c r="E40" s="770"/>
      <c r="F40" s="770"/>
      <c r="G40" s="778">
        <f>MAX(F41:F45)/MAX(E41:E45)</f>
        <v>0</v>
      </c>
      <c r="H40" s="2077" t="s">
        <v>1247</v>
      </c>
      <c r="I40" s="2135" t="s">
        <v>1715</v>
      </c>
    </row>
    <row r="41" spans="1:9" ht="15" customHeight="1" x14ac:dyDescent="0.2">
      <c r="A41" s="2078"/>
      <c r="B41" s="2078"/>
      <c r="C41" s="731" t="str">
        <f>F!C146</f>
        <v>&lt;1% of the vegetated AA, or the AA lacks trees.  Enter "1" and SKIP to F35 (Exposed Shrub).</v>
      </c>
      <c r="D41" s="779">
        <f>F!D146</f>
        <v>0</v>
      </c>
      <c r="E41" s="773">
        <v>4</v>
      </c>
      <c r="F41" s="777">
        <f t="shared" ref="F41:F45" si="0">D41*E41</f>
        <v>0</v>
      </c>
      <c r="G41" s="430"/>
      <c r="H41" s="2078"/>
      <c r="I41" s="2136"/>
    </row>
    <row r="42" spans="1:9" ht="15" customHeight="1" x14ac:dyDescent="0.2">
      <c r="A42" s="2078"/>
      <c r="B42" s="2078"/>
      <c r="C42" s="758" t="str">
        <f>F!C147</f>
        <v>1-25% of the vegetated AA</v>
      </c>
      <c r="D42" s="779">
        <f>F!D147</f>
        <v>0</v>
      </c>
      <c r="E42" s="773">
        <v>3</v>
      </c>
      <c r="F42" s="777">
        <f t="shared" si="0"/>
        <v>0</v>
      </c>
      <c r="G42" s="430"/>
      <c r="H42" s="2078"/>
      <c r="I42" s="2136"/>
    </row>
    <row r="43" spans="1:9" ht="15" customHeight="1" x14ac:dyDescent="0.2">
      <c r="A43" s="2078"/>
      <c r="B43" s="2078"/>
      <c r="C43" s="758" t="str">
        <f>F!C148</f>
        <v>25-50% of the vegetated AA</v>
      </c>
      <c r="D43" s="779">
        <f>F!D148</f>
        <v>0</v>
      </c>
      <c r="E43" s="773">
        <v>2</v>
      </c>
      <c r="F43" s="777">
        <f t="shared" si="0"/>
        <v>0</v>
      </c>
      <c r="G43" s="430"/>
      <c r="H43" s="2078"/>
      <c r="I43" s="2136"/>
    </row>
    <row r="44" spans="1:9" ht="15" customHeight="1" x14ac:dyDescent="0.2">
      <c r="A44" s="2078"/>
      <c r="B44" s="2078"/>
      <c r="C44" s="758" t="str">
        <f>F!C149</f>
        <v>50-95% of the vegetated AA</v>
      </c>
      <c r="D44" s="779">
        <f>F!D149</f>
        <v>0</v>
      </c>
      <c r="E44" s="773">
        <v>1</v>
      </c>
      <c r="F44" s="777">
        <f t="shared" si="0"/>
        <v>0</v>
      </c>
      <c r="G44" s="430"/>
      <c r="H44" s="2078"/>
      <c r="I44" s="2136"/>
    </row>
    <row r="45" spans="1:9" ht="15" customHeight="1" thickBot="1" x14ac:dyDescent="0.25">
      <c r="A45" s="2079"/>
      <c r="B45" s="2079"/>
      <c r="C45" s="754" t="str">
        <f>F!C150</f>
        <v>&gt;95% of the vegetated part of the AA</v>
      </c>
      <c r="D45" s="105">
        <f>F!D150</f>
        <v>0</v>
      </c>
      <c r="E45" s="434">
        <v>0</v>
      </c>
      <c r="F45" s="434">
        <f t="shared" si="0"/>
        <v>0</v>
      </c>
      <c r="G45" s="435"/>
      <c r="H45" s="2079"/>
      <c r="I45" s="2137"/>
    </row>
    <row r="46" spans="1:9" ht="42" customHeight="1" thickBot="1" x14ac:dyDescent="0.25">
      <c r="A46" s="2077" t="str">
        <f>F!A208</f>
        <v>F44</v>
      </c>
      <c r="B46" s="2078" t="str">
        <f>F!B208</f>
        <v>Soil Texture</v>
      </c>
      <c r="C46" s="757" t="str">
        <f>F!C208</f>
        <v>In parts of the AA that lack persistent water, the texture of soil in the uppermost layer is mostly:  [To determine this, use a trowel to check in at least 3 widely spaced locations, and use the soil texture key in Appendix A of the Manual]</v>
      </c>
      <c r="D46" s="423"/>
      <c r="E46" s="424"/>
      <c r="F46" s="425"/>
      <c r="G46" s="436">
        <f>MAX(F47:F50)/MAX(E47:E50)</f>
        <v>0</v>
      </c>
      <c r="H46" s="2077" t="s">
        <v>233</v>
      </c>
      <c r="I46" s="2127" t="s">
        <v>1810</v>
      </c>
    </row>
    <row r="47" spans="1:9" ht="15" customHeight="1" x14ac:dyDescent="0.2">
      <c r="A47" s="2078"/>
      <c r="B47" s="2078"/>
      <c r="C47" s="731" t="str">
        <f>F!C209</f>
        <v>Loamy: includes loam, sandy loam</v>
      </c>
      <c r="D47" s="50">
        <f>F!D209</f>
        <v>0</v>
      </c>
      <c r="E47" s="428">
        <v>1</v>
      </c>
      <c r="F47" s="428">
        <f>D47*E47</f>
        <v>0</v>
      </c>
      <c r="G47" s="429"/>
      <c r="H47" s="2078"/>
      <c r="I47" s="2127"/>
    </row>
    <row r="48" spans="1:9" ht="27" customHeight="1" x14ac:dyDescent="0.2">
      <c r="A48" s="2078"/>
      <c r="B48" s="2078"/>
      <c r="C48" s="758" t="str">
        <f>F!C210</f>
        <v>Fines: includes silt, glacial flour, clay, clay loam, silty clay, silty clay loam, sandy clay, sandy clay loam.</v>
      </c>
      <c r="D48" s="50">
        <f>F!D210</f>
        <v>0</v>
      </c>
      <c r="E48" s="428">
        <v>0</v>
      </c>
      <c r="F48" s="428">
        <f>D48*E48</f>
        <v>0</v>
      </c>
      <c r="G48" s="430"/>
      <c r="H48" s="2078"/>
      <c r="I48" s="2127"/>
    </row>
    <row r="49" spans="1:10" ht="15" customHeight="1" x14ac:dyDescent="0.2">
      <c r="A49" s="2078"/>
      <c r="B49" s="2078"/>
      <c r="C49" s="758" t="str">
        <f>F!C211</f>
        <v>Organic</v>
      </c>
      <c r="D49" s="50">
        <f>F!D211</f>
        <v>0</v>
      </c>
      <c r="E49" s="428">
        <v>3</v>
      </c>
      <c r="F49" s="428">
        <f>D49*E49</f>
        <v>0</v>
      </c>
      <c r="G49" s="430"/>
      <c r="H49" s="2078"/>
      <c r="I49" s="2127"/>
    </row>
    <row r="50" spans="1:10" ht="27" customHeight="1" thickBot="1" x14ac:dyDescent="0.25">
      <c r="A50" s="2079"/>
      <c r="B50" s="2079"/>
      <c r="C50" s="754" t="str">
        <f>F!C212</f>
        <v>Coarse: includes sand, loamy sand, gravel, cobble, stones, boulders, fluvents, fluvaquents, riverwash.</v>
      </c>
      <c r="D50" s="105">
        <f>F!D212</f>
        <v>0</v>
      </c>
      <c r="E50" s="434">
        <v>1</v>
      </c>
      <c r="F50" s="434">
        <f>D50*E50</f>
        <v>0</v>
      </c>
      <c r="G50" s="435"/>
      <c r="H50" s="2079"/>
      <c r="I50" s="2128"/>
    </row>
    <row r="51" spans="1:10" s="39" customFormat="1" ht="21" customHeight="1" thickBot="1" x14ac:dyDescent="0.25">
      <c r="A51" s="1539"/>
      <c r="B51" s="1515"/>
      <c r="C51" s="739"/>
      <c r="D51" s="1515"/>
      <c r="E51" s="1515"/>
      <c r="F51" s="1515"/>
      <c r="G51" s="1515"/>
      <c r="H51" s="1515" t="s">
        <v>507</v>
      </c>
      <c r="I51" s="1515"/>
      <c r="J51" s="7"/>
    </row>
    <row r="52" spans="1:10" s="39" customFormat="1" ht="21" customHeight="1" thickBot="1" x14ac:dyDescent="0.25">
      <c r="A52" s="191"/>
      <c r="B52" s="1516"/>
      <c r="C52" s="1650" t="s">
        <v>1339</v>
      </c>
      <c r="D52" s="1516"/>
      <c r="E52" s="1516"/>
      <c r="F52" s="1516"/>
      <c r="G52" s="1516"/>
      <c r="H52" s="1516"/>
      <c r="I52" s="1516"/>
      <c r="J52" s="8"/>
    </row>
    <row r="53" spans="1:10" s="39" customFormat="1" ht="21" customHeight="1" thickBot="1" x14ac:dyDescent="0.25">
      <c r="A53" s="191"/>
      <c r="B53" s="1517"/>
      <c r="C53" s="815" t="s">
        <v>680</v>
      </c>
      <c r="D53" s="1517"/>
      <c r="E53" s="1517"/>
      <c r="F53" s="1517"/>
      <c r="G53" s="1517"/>
      <c r="H53" s="1516"/>
      <c r="I53" s="1516"/>
      <c r="J53" s="8"/>
    </row>
    <row r="54" spans="1:10" s="39" customFormat="1" ht="57" customHeight="1" thickBot="1" x14ac:dyDescent="0.25">
      <c r="A54" s="191"/>
      <c r="B54" s="648" t="s">
        <v>1115</v>
      </c>
      <c r="C54" s="813" t="s">
        <v>2176</v>
      </c>
      <c r="D54" s="325"/>
      <c r="E54" s="325"/>
      <c r="F54" s="325"/>
      <c r="G54" s="1415" t="str">
        <f>IFERROR(IF((GT10HA=1),G55, IF((OutNone + OutNone1&gt;0),0,  10*(AVERAGE(GWDspring, FenPct, Groundw2_, Wettype2, Soil2_) + AVERAGE(1-Sub0Days, PPET, 1-WindSumm, 1-WetPerim2Area, OpenPonded2, 1-WetVegArea, 1-WoodyPct2) + AVERAGE(WetPctHUC8, ElevPctileHUC8, RipFloodpl)  + AVERAGE(Depth2_, OutDur2_, WatProb)) / 4)),"")</f>
        <v/>
      </c>
      <c r="H54" s="1516"/>
      <c r="I54" s="1516"/>
      <c r="J54" s="8"/>
    </row>
    <row r="55" spans="1:10" s="39" customFormat="1" ht="27.75" customHeight="1" thickBot="1" x14ac:dyDescent="0.25">
      <c r="A55" s="191"/>
      <c r="B55" s="75" t="s">
        <v>1116</v>
      </c>
      <c r="C55" s="737" t="s">
        <v>2013</v>
      </c>
      <c r="D55" s="327"/>
      <c r="E55" s="327"/>
      <c r="F55" s="327"/>
      <c r="G55" s="781" t="str">
        <f>IFERROR(IF((OutNone + OutNone1&gt;0),0,  10*(AVERAGE(GWDspring, FenPct, Groundw2_, Wettype2, SoilTex_NROE) + AVERAGE(1-Sub0Days, PPET, 1-WindSumm, 1-WetPerim2Area, 1-OWpct, 1-WetVegArea, 1-WetWooded) + AVERAGE(WetPctHUC8, ElevPctileHUC8, RipFloodpl)  + AVERAGE(Depth2_, OutDur2_, WatProb)) / 4),"")</f>
        <v/>
      </c>
      <c r="H55" s="1516"/>
      <c r="I55" s="1516"/>
      <c r="J55" s="8"/>
    </row>
    <row r="56" spans="1:10" ht="21" customHeight="1" thickBot="1" x14ac:dyDescent="0.25">
      <c r="A56" s="191"/>
      <c r="B56" s="1531"/>
      <c r="C56" s="1524" t="s">
        <v>1335</v>
      </c>
      <c r="D56" s="1531"/>
      <c r="E56" s="7"/>
      <c r="F56" s="7"/>
      <c r="G56" s="7"/>
      <c r="H56" s="7"/>
      <c r="I56" s="74" t="s">
        <v>357</v>
      </c>
    </row>
    <row r="57" spans="1:10" ht="42" customHeight="1" x14ac:dyDescent="0.2">
      <c r="A57" s="191"/>
      <c r="B57" s="1525">
        <v>1</v>
      </c>
      <c r="C57" s="1532" t="s">
        <v>1226</v>
      </c>
      <c r="D57" s="1527">
        <f>IF((ChannConn+RipFloodpl=0), 0, "")</f>
        <v>0</v>
      </c>
      <c r="E57" s="7"/>
      <c r="F57" s="7"/>
      <c r="G57" s="7"/>
      <c r="H57" s="7"/>
      <c r="I57" s="656" t="s">
        <v>598</v>
      </c>
    </row>
    <row r="58" spans="1:10" ht="27" customHeight="1" x14ac:dyDescent="0.2">
      <c r="A58" s="191"/>
      <c r="B58" s="1525">
        <v>2</v>
      </c>
      <c r="C58" s="1532" t="s">
        <v>1213</v>
      </c>
      <c r="D58" s="1527"/>
      <c r="E58" s="7"/>
      <c r="F58" s="7"/>
      <c r="G58" s="7"/>
      <c r="H58" s="7"/>
      <c r="I58" s="657" t="s">
        <v>1804</v>
      </c>
    </row>
    <row r="59" spans="1:10" ht="66" customHeight="1" x14ac:dyDescent="0.2">
      <c r="A59" s="191"/>
      <c r="B59" s="1533" t="s">
        <v>1227</v>
      </c>
      <c r="C59" s="1532" t="s">
        <v>1290</v>
      </c>
      <c r="D59" s="1527" t="str">
        <f>IFERROR(AVERAGE(GWDspring, FenPct),"")</f>
        <v/>
      </c>
      <c r="E59" s="7"/>
      <c r="F59" s="7"/>
      <c r="G59" s="7"/>
      <c r="H59" s="7"/>
      <c r="I59" s="1391" t="s">
        <v>2410</v>
      </c>
    </row>
    <row r="60" spans="1:10" ht="26.25" thickBot="1" x14ac:dyDescent="0.25">
      <c r="A60" s="191"/>
      <c r="B60" s="1533" t="s">
        <v>1228</v>
      </c>
      <c r="C60" s="1532" t="s">
        <v>1933</v>
      </c>
      <c r="D60" s="1527">
        <f>IFERROR(AVERAGE(Sub0Days,PPET, 1-WindSumm, WetPerim2Area, 1-OWpct, WetVegArea, 1-WetWooded),"")</f>
        <v>1</v>
      </c>
      <c r="E60" s="7"/>
      <c r="F60" s="7"/>
      <c r="G60" s="7"/>
      <c r="H60" s="7"/>
      <c r="I60" s="655" t="s">
        <v>1808</v>
      </c>
    </row>
    <row r="61" spans="1:10" ht="30" customHeight="1" x14ac:dyDescent="0.2">
      <c r="A61" s="191"/>
      <c r="B61" s="1533" t="s">
        <v>1229</v>
      </c>
      <c r="C61" s="1532" t="s">
        <v>1230</v>
      </c>
      <c r="D61" s="1527" t="str">
        <f>IFERROR(AVERAGE(WetPctHUC8, ElevPctileHUC8),"")</f>
        <v/>
      </c>
      <c r="E61" s="7"/>
      <c r="F61" s="7"/>
      <c r="G61" s="7"/>
      <c r="H61" s="7"/>
      <c r="I61" s="1515"/>
    </row>
    <row r="62" spans="1:10" ht="30" customHeight="1" x14ac:dyDescent="0.2">
      <c r="A62" s="191"/>
      <c r="B62" s="1533">
        <v>3</v>
      </c>
      <c r="C62" s="1532" t="s">
        <v>1337</v>
      </c>
      <c r="D62" s="1527">
        <f>10*MAX(D57, AVERAGE(WatProb, D59:D61))</f>
        <v>10</v>
      </c>
      <c r="E62" s="7"/>
      <c r="F62" s="7"/>
      <c r="G62" s="7"/>
      <c r="H62" s="7"/>
    </row>
    <row r="63" spans="1:10" ht="30" customHeight="1" x14ac:dyDescent="0.2">
      <c r="A63" s="191"/>
      <c r="B63" s="2082"/>
      <c r="C63" s="2082"/>
      <c r="D63" s="2082"/>
      <c r="E63" s="7"/>
      <c r="F63" s="7"/>
      <c r="G63" s="7"/>
      <c r="H63" s="7"/>
    </row>
    <row r="64" spans="1:10" ht="30" customHeight="1" x14ac:dyDescent="0.2">
      <c r="A64" s="191"/>
      <c r="B64" s="1531"/>
      <c r="C64" s="1534" t="s">
        <v>1329</v>
      </c>
      <c r="D64" s="1531"/>
      <c r="E64" s="7"/>
      <c r="F64" s="7"/>
      <c r="G64" s="7"/>
      <c r="H64" s="7"/>
    </row>
    <row r="65" spans="1:48" ht="30" customHeight="1" x14ac:dyDescent="0.2">
      <c r="A65" s="191"/>
      <c r="B65" s="1525">
        <v>1</v>
      </c>
      <c r="C65" s="1532" t="s">
        <v>1915</v>
      </c>
      <c r="D65" s="1535" t="str">
        <f>IF((OutNone+OutNone1&gt;0), 0, "")</f>
        <v/>
      </c>
      <c r="E65" s="7"/>
      <c r="F65" s="7"/>
      <c r="G65" s="7"/>
      <c r="H65" s="7"/>
    </row>
    <row r="66" spans="1:48" ht="30" customHeight="1" x14ac:dyDescent="0.2">
      <c r="A66" s="191"/>
      <c r="B66" s="1525">
        <v>2</v>
      </c>
      <c r="C66" s="1532" t="s">
        <v>1213</v>
      </c>
      <c r="D66" s="1527"/>
      <c r="E66" s="7"/>
      <c r="F66" s="7"/>
      <c r="G66" s="7"/>
      <c r="H66" s="7"/>
    </row>
    <row r="67" spans="1:48" ht="30" customHeight="1" x14ac:dyDescent="0.2">
      <c r="A67" s="191"/>
      <c r="B67" s="1533" t="s">
        <v>1227</v>
      </c>
      <c r="C67" s="1532" t="s">
        <v>1290</v>
      </c>
      <c r="D67" s="1527" t="str">
        <f>IFERROR(AVERAGE(GWDspring, FenPct),"")</f>
        <v/>
      </c>
      <c r="E67" s="7"/>
      <c r="F67" s="7"/>
      <c r="G67" s="7"/>
      <c r="H67" s="7"/>
    </row>
    <row r="68" spans="1:48" ht="30" customHeight="1" x14ac:dyDescent="0.2">
      <c r="A68" s="191"/>
      <c r="B68" s="1533" t="s">
        <v>1228</v>
      </c>
      <c r="C68" s="1532" t="s">
        <v>2246</v>
      </c>
      <c r="D68" s="1527">
        <f>IFERROR(AVERAGE(1-Sub0Days,PPET, 1-WindSumm,1- WetPerim2Area, OpenPonded2, 1-WetVegArea, 1-WoodyPct2),"")</f>
        <v>0.83333333333333337</v>
      </c>
      <c r="E68" s="7"/>
      <c r="F68" s="7"/>
      <c r="G68" s="7"/>
      <c r="H68" s="7"/>
    </row>
    <row r="69" spans="1:48" ht="30" customHeight="1" x14ac:dyDescent="0.2">
      <c r="A69" s="191"/>
      <c r="B69" s="1533" t="s">
        <v>1229</v>
      </c>
      <c r="C69" s="1532" t="s">
        <v>1230</v>
      </c>
      <c r="D69" s="1527" t="str">
        <f>IFERROR(AVERAGE(WetPctHUC8, ElevPctileHUC8),"")</f>
        <v/>
      </c>
      <c r="E69" s="7"/>
      <c r="F69" s="7"/>
      <c r="G69" s="7"/>
      <c r="H69" s="7"/>
    </row>
    <row r="70" spans="1:48" ht="30" customHeight="1" x14ac:dyDescent="0.2">
      <c r="A70" s="191"/>
      <c r="B70" s="1533">
        <v>3</v>
      </c>
      <c r="C70" s="1532" t="s">
        <v>1337</v>
      </c>
      <c r="D70" s="1527">
        <f>10*MAX(D65, AVERAGE(WatProb, D67:D69))</f>
        <v>8.3333333333333339</v>
      </c>
      <c r="E70" s="7"/>
      <c r="F70" s="7"/>
      <c r="G70" s="7"/>
      <c r="H70" s="7"/>
    </row>
    <row r="71" spans="1:48" s="1" customFormat="1" ht="21" customHeight="1" x14ac:dyDescent="0.2">
      <c r="A71" s="5"/>
      <c r="B71" s="5"/>
      <c r="C71" s="5"/>
      <c r="D71" s="5"/>
      <c r="E71" s="5"/>
      <c r="F71" s="5"/>
      <c r="G71" s="5"/>
      <c r="H71" s="5"/>
      <c r="I71" s="5"/>
      <c r="J71" s="103"/>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row>
    <row r="72" spans="1:48" s="1" customFormat="1" ht="42" customHeight="1" x14ac:dyDescent="0.2">
      <c r="A72" s="5"/>
      <c r="B72" s="5"/>
      <c r="C72" s="5"/>
      <c r="D72" s="5"/>
      <c r="E72" s="5"/>
      <c r="F72" s="5"/>
      <c r="G72" s="5"/>
      <c r="H72" s="5"/>
      <c r="I72" s="5"/>
      <c r="J72" s="103"/>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row>
    <row r="73" spans="1:48" s="399" customFormat="1" ht="27" customHeight="1" x14ac:dyDescent="0.2">
      <c r="A73" s="5"/>
      <c r="B73" s="5"/>
      <c r="C73" s="5"/>
      <c r="D73" s="5"/>
      <c r="E73" s="5"/>
      <c r="F73" s="5"/>
      <c r="G73" s="5"/>
      <c r="H73" s="5"/>
      <c r="I73" s="5"/>
      <c r="J73" s="103"/>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row>
    <row r="74" spans="1:48" s="1" customFormat="1" ht="27.6" customHeight="1" x14ac:dyDescent="0.2">
      <c r="A74" s="5"/>
      <c r="B74" s="5"/>
      <c r="C74" s="5"/>
      <c r="D74" s="5"/>
      <c r="E74" s="5"/>
      <c r="F74" s="5"/>
      <c r="G74" s="5"/>
      <c r="H74" s="5"/>
      <c r="I74" s="5"/>
      <c r="J74" s="103"/>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row>
    <row r="75" spans="1:48" s="1" customFormat="1" ht="27" customHeight="1" x14ac:dyDescent="0.2">
      <c r="A75" s="5"/>
      <c r="B75" s="5"/>
      <c r="C75" s="5"/>
      <c r="D75" s="5"/>
      <c r="E75" s="5"/>
      <c r="F75" s="5"/>
      <c r="G75" s="5"/>
      <c r="H75" s="5"/>
      <c r="I75" s="5"/>
      <c r="J75" s="103"/>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row>
    <row r="76" spans="1:48" ht="21" customHeight="1" x14ac:dyDescent="0.2">
      <c r="A76" s="172"/>
      <c r="B76" s="172"/>
      <c r="D76" s="198"/>
      <c r="E76" s="198"/>
      <c r="F76" s="198"/>
      <c r="G76" s="438"/>
      <c r="H76" s="7"/>
      <c r="J76" s="7"/>
    </row>
    <row r="77" spans="1:48" ht="21" customHeight="1" x14ac:dyDescent="0.2">
      <c r="A77" s="172"/>
      <c r="B77" s="172"/>
      <c r="D77" s="198"/>
      <c r="E77" s="198"/>
      <c r="F77" s="198"/>
      <c r="G77" s="438"/>
      <c r="H77" s="7"/>
      <c r="J77" s="7"/>
    </row>
    <row r="78" spans="1:48" ht="21" customHeight="1" x14ac:dyDescent="0.2"/>
    <row r="79" spans="1:48" ht="21" customHeight="1" x14ac:dyDescent="0.2"/>
    <row r="80" spans="1:48" ht="21" customHeight="1" x14ac:dyDescent="0.2"/>
    <row r="81" spans="3:3" ht="21" customHeight="1" x14ac:dyDescent="0.2">
      <c r="C81" s="5"/>
    </row>
    <row r="82" spans="3:3" ht="21" customHeight="1" x14ac:dyDescent="0.2"/>
    <row r="83" spans="3:3" ht="21" customHeight="1" x14ac:dyDescent="0.2"/>
    <row r="84" spans="3:3" ht="21" customHeight="1" x14ac:dyDescent="0.2"/>
    <row r="85" spans="3:3" ht="21" customHeight="1" x14ac:dyDescent="0.2"/>
    <row r="86" spans="3:3" ht="21" customHeight="1" x14ac:dyDescent="0.2"/>
    <row r="87" spans="3:3" ht="21" customHeight="1" x14ac:dyDescent="0.2"/>
    <row r="88" spans="3:3" ht="21" customHeight="1" x14ac:dyDescent="0.2"/>
    <row r="89" spans="3:3" ht="21" customHeight="1" x14ac:dyDescent="0.2"/>
    <row r="90" spans="3:3" ht="21" customHeight="1" x14ac:dyDescent="0.2"/>
    <row r="91" spans="3:3" ht="21" customHeight="1" x14ac:dyDescent="0.2"/>
    <row r="101" spans="7:7" x14ac:dyDescent="0.2">
      <c r="G101" s="268" t="s">
        <v>1908</v>
      </c>
    </row>
  </sheetData>
  <sheetProtection password="CF39" sheet="1" objects="1" scenarios="1"/>
  <sortState ref="A3:AV16">
    <sortCondition ref="H3:H16"/>
  </sortState>
  <mergeCells count="26">
    <mergeCell ref="I46:I50"/>
    <mergeCell ref="B19:B23"/>
    <mergeCell ref="B40:B45"/>
    <mergeCell ref="B46:B50"/>
    <mergeCell ref="I19:I23"/>
    <mergeCell ref="I30:I35"/>
    <mergeCell ref="I36:I39"/>
    <mergeCell ref="B24:B29"/>
    <mergeCell ref="I24:I29"/>
    <mergeCell ref="I40:I45"/>
    <mergeCell ref="H46:H50"/>
    <mergeCell ref="H40:H45"/>
    <mergeCell ref="H36:H39"/>
    <mergeCell ref="H30:H35"/>
    <mergeCell ref="E1:H1"/>
    <mergeCell ref="A1:B1"/>
    <mergeCell ref="A24:A29"/>
    <mergeCell ref="H24:H29"/>
    <mergeCell ref="H19:H23"/>
    <mergeCell ref="B63:D63"/>
    <mergeCell ref="B30:B35"/>
    <mergeCell ref="A36:A39"/>
    <mergeCell ref="A30:A35"/>
    <mergeCell ref="B36:B39"/>
    <mergeCell ref="A46:A50"/>
    <mergeCell ref="A40:A45"/>
  </mergeCells>
  <phoneticPr fontId="35" type="noConversion"/>
  <conditionalFormatting sqref="D20:D36 D38:D40 D42:D48 D50 D54:D55">
    <cfRule type="cellIs" dxfId="15" priority="1" operator="greaterThan">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3"/>
  <sheetViews>
    <sheetView zoomScaleNormal="100" workbookViewId="0">
      <selection activeCell="G71" sqref="G71"/>
    </sheetView>
  </sheetViews>
  <sheetFormatPr defaultColWidth="9.33203125" defaultRowHeight="16.5" x14ac:dyDescent="0.2"/>
  <cols>
    <col min="1" max="1" width="5.83203125" style="25" customWidth="1"/>
    <col min="2" max="2" width="18.83203125" style="20" customWidth="1"/>
    <col min="3" max="3" width="69.83203125" style="7" customWidth="1"/>
    <col min="4" max="4" width="6.83203125" style="458" customWidth="1"/>
    <col min="5" max="6" width="7.83203125" style="458" customWidth="1"/>
    <col min="7" max="7" width="11.1640625" style="459" customWidth="1"/>
    <col min="8" max="8" width="12.33203125" style="208" customWidth="1"/>
    <col min="9" max="9" width="69.83203125" style="48" customWidth="1"/>
    <col min="10" max="10" width="9.33203125" style="218"/>
    <col min="11" max="11" width="50.5" style="12" customWidth="1"/>
    <col min="12" max="12" width="9.33203125" style="12"/>
    <col min="13" max="13" width="54.1640625" style="12" customWidth="1"/>
    <col min="14" max="16384" width="9.33203125" style="12"/>
  </cols>
  <sheetData>
    <row r="1" spans="1:11" ht="80.25" customHeight="1" thickBot="1" x14ac:dyDescent="0.25">
      <c r="A1" s="2113" t="s">
        <v>2374</v>
      </c>
      <c r="B1" s="2114"/>
      <c r="C1" s="76" t="s">
        <v>1107</v>
      </c>
      <c r="D1" s="93" t="s">
        <v>659</v>
      </c>
      <c r="E1" s="2145"/>
      <c r="F1" s="2146"/>
      <c r="G1" s="2146"/>
      <c r="H1" s="2147"/>
      <c r="I1" s="53" t="s">
        <v>1429</v>
      </c>
    </row>
    <row r="2" spans="1:11" s="707" customFormat="1" ht="42" customHeight="1" thickBot="1" x14ac:dyDescent="0.25">
      <c r="A2" s="1605" t="s">
        <v>110</v>
      </c>
      <c r="B2" s="1606" t="s">
        <v>1096</v>
      </c>
      <c r="C2" s="1607" t="s">
        <v>1395</v>
      </c>
      <c r="D2" s="1605"/>
      <c r="E2" s="1608"/>
      <c r="F2" s="1609"/>
      <c r="G2" s="1610" t="s">
        <v>1111</v>
      </c>
      <c r="H2" s="1611" t="s">
        <v>1108</v>
      </c>
      <c r="I2" s="1606" t="s">
        <v>304</v>
      </c>
      <c r="J2" s="745"/>
    </row>
    <row r="3" spans="1:11" s="155" customFormat="1" ht="30" customHeight="1" thickBot="1" x14ac:dyDescent="0.25">
      <c r="A3" s="714" t="str">
        <f>OF!A5</f>
        <v>OF4</v>
      </c>
      <c r="B3" s="715" t="str">
        <f>OF!C5</f>
        <v>Channel Connection</v>
      </c>
      <c r="C3" s="906"/>
      <c r="D3" s="907"/>
      <c r="E3" s="746"/>
      <c r="F3" s="746"/>
      <c r="G3" s="760" t="s">
        <v>507</v>
      </c>
      <c r="H3" s="766" t="s">
        <v>1330</v>
      </c>
      <c r="I3" s="805" t="s">
        <v>1698</v>
      </c>
      <c r="J3" s="221"/>
    </row>
    <row r="4" spans="1:11" s="155" customFormat="1" ht="30" customHeight="1" thickBot="1" x14ac:dyDescent="0.25">
      <c r="A4" s="709" t="str">
        <f>OF!A15</f>
        <v>OF14</v>
      </c>
      <c r="B4" s="710" t="str">
        <f>OF!C15</f>
        <v>% of the Wetland that is Fen</v>
      </c>
      <c r="C4" s="908"/>
      <c r="D4" s="712"/>
      <c r="E4" s="713"/>
      <c r="F4" s="713"/>
      <c r="G4" s="740" t="str">
        <f>IF((FenPct=""),"",FenPct)</f>
        <v/>
      </c>
      <c r="H4" s="741" t="s">
        <v>1287</v>
      </c>
      <c r="I4" s="711" t="s">
        <v>1699</v>
      </c>
      <c r="J4" s="221"/>
    </row>
    <row r="5" spans="1:11" s="155" customFormat="1" ht="30" customHeight="1" thickBot="1" x14ac:dyDescent="0.25">
      <c r="A5" s="714" t="str">
        <f>OF!A19</f>
        <v>OF18</v>
      </c>
      <c r="B5" s="715" t="str">
        <f>OF!C19</f>
        <v>Groundwater Discharge Area or Spring</v>
      </c>
      <c r="C5" s="909"/>
      <c r="D5" s="716"/>
      <c r="E5" s="717"/>
      <c r="F5" s="717"/>
      <c r="G5" s="761" t="str">
        <f>IF((GWDspring=""),"",GWDspring)</f>
        <v/>
      </c>
      <c r="H5" s="767" t="s">
        <v>1029</v>
      </c>
      <c r="I5" s="865" t="s">
        <v>107</v>
      </c>
      <c r="J5" s="221"/>
      <c r="K5" s="245"/>
    </row>
    <row r="6" spans="1:11" s="155" customFormat="1" ht="30" customHeight="1" thickBot="1" x14ac:dyDescent="0.25">
      <c r="A6" s="709" t="str">
        <f>OF!A23</f>
        <v>OF22</v>
      </c>
      <c r="B6" s="710" t="str">
        <f>OF!C23</f>
        <v>L/G Index (Residence Time)</v>
      </c>
      <c r="C6" s="910" t="s">
        <v>1396</v>
      </c>
      <c r="D6" s="712"/>
      <c r="E6" s="713"/>
      <c r="F6" s="713"/>
      <c r="G6" s="740" t="str">
        <f>IF((LGIndex=""),"",1-LGIndex)</f>
        <v/>
      </c>
      <c r="H6" s="741" t="s">
        <v>1024</v>
      </c>
      <c r="I6" s="711" t="s">
        <v>1700</v>
      </c>
      <c r="J6" s="221"/>
      <c r="K6" s="245"/>
    </row>
    <row r="7" spans="1:11" s="155" customFormat="1" ht="30" customHeight="1" thickBot="1" x14ac:dyDescent="0.25">
      <c r="A7" s="714" t="str">
        <f>OF!A43</f>
        <v>OF42</v>
      </c>
      <c r="B7" s="715" t="str">
        <f>OF!C43</f>
        <v>Riparian or Floodway Location</v>
      </c>
      <c r="C7" s="911"/>
      <c r="D7" s="912"/>
      <c r="E7" s="717"/>
      <c r="F7" s="717"/>
      <c r="G7" s="761" t="str">
        <f>IF((LGIndex=""),"",LGIndex)</f>
        <v/>
      </c>
      <c r="H7" s="767" t="s">
        <v>1077</v>
      </c>
      <c r="I7" s="865" t="s">
        <v>1701</v>
      </c>
      <c r="J7" s="221"/>
    </row>
    <row r="8" spans="1:11" s="155" customFormat="1" ht="30" customHeight="1" thickBot="1" x14ac:dyDescent="0.25">
      <c r="A8" s="709" t="str">
        <f>OF!A61</f>
        <v>OF60</v>
      </c>
      <c r="B8" s="710" t="str">
        <f>OF!C61</f>
        <v>Water Permanence Probability</v>
      </c>
      <c r="C8" s="914" t="s">
        <v>1703</v>
      </c>
      <c r="D8" s="915"/>
      <c r="E8" s="713"/>
      <c r="F8" s="916"/>
      <c r="G8" s="917" t="str">
        <f>IF((WatProb=""),"", IF((GWDspring=0),"", WatProb))</f>
        <v/>
      </c>
      <c r="H8" s="741" t="s">
        <v>1026</v>
      </c>
      <c r="I8" s="711" t="s">
        <v>1702</v>
      </c>
      <c r="J8" s="221"/>
    </row>
    <row r="9" spans="1:11" s="155" customFormat="1" ht="30" customHeight="1" thickBot="1" x14ac:dyDescent="0.25">
      <c r="A9" s="671" t="str">
        <f>OF!A70</f>
        <v>OF69</v>
      </c>
      <c r="B9" s="696" t="str">
        <f>OF!C70</f>
        <v>% of Wetland Classified as Swamp or Forested (macro scale)</v>
      </c>
      <c r="C9" s="749"/>
      <c r="D9" s="716"/>
      <c r="E9" s="717"/>
      <c r="F9" s="717"/>
      <c r="G9" s="913" t="str">
        <f>IF((WetWooded=""),"",WetWooded)</f>
        <v/>
      </c>
      <c r="H9" s="767" t="s">
        <v>1211</v>
      </c>
      <c r="I9" s="865" t="s">
        <v>2038</v>
      </c>
      <c r="J9" s="221"/>
    </row>
    <row r="10" spans="1:11" s="2" customFormat="1" ht="42" customHeight="1" thickBot="1" x14ac:dyDescent="0.25">
      <c r="A10" s="1622" t="s">
        <v>110</v>
      </c>
      <c r="B10" s="1613" t="s">
        <v>1110</v>
      </c>
      <c r="C10" s="1623" t="s">
        <v>1109</v>
      </c>
      <c r="D10" s="1624" t="s">
        <v>45</v>
      </c>
      <c r="E10" s="1625" t="s">
        <v>2028</v>
      </c>
      <c r="F10" s="1626" t="s">
        <v>2027</v>
      </c>
      <c r="G10" s="1627" t="s">
        <v>1111</v>
      </c>
      <c r="H10" s="1628" t="s">
        <v>1108</v>
      </c>
      <c r="I10" s="1629" t="s">
        <v>1503</v>
      </c>
      <c r="J10" s="59"/>
    </row>
    <row r="11" spans="1:11" ht="21" customHeight="1" thickBot="1" x14ac:dyDescent="0.25">
      <c r="A11" s="2119" t="str">
        <f>F!A6</f>
        <v>F1</v>
      </c>
      <c r="B11" s="2087" t="str">
        <f>F!B6</f>
        <v>Wetland Type - Predominant</v>
      </c>
      <c r="C11" s="99" t="str">
        <f>F!C6</f>
        <v>Most of the vegetated part of the AA (wetland Assessment Area) is a (select ONE):</v>
      </c>
      <c r="D11" s="804"/>
      <c r="E11" s="792"/>
      <c r="F11" s="792"/>
      <c r="G11" s="441">
        <f>MAX(F12:F15)/MAX(E12:E15)</f>
        <v>0</v>
      </c>
      <c r="H11" s="2139" t="s">
        <v>988</v>
      </c>
      <c r="I11" s="2135" t="s">
        <v>1811</v>
      </c>
    </row>
    <row r="12" spans="1:11" ht="15" customHeight="1" x14ac:dyDescent="0.2">
      <c r="A12" s="2120"/>
      <c r="B12" s="2083"/>
      <c r="C12" s="837" t="str">
        <f>F!C7</f>
        <v>Wooded Swamp</v>
      </c>
      <c r="D12" s="779">
        <f>F!D7</f>
        <v>0</v>
      </c>
      <c r="E12" s="793">
        <v>3</v>
      </c>
      <c r="F12" s="635">
        <f>D12*E12</f>
        <v>0</v>
      </c>
      <c r="G12" s="445"/>
      <c r="H12" s="2140"/>
      <c r="I12" s="2136"/>
    </row>
    <row r="13" spans="1:11" ht="15" customHeight="1" x14ac:dyDescent="0.2">
      <c r="A13" s="2120"/>
      <c r="B13" s="2083"/>
      <c r="C13" s="758" t="str">
        <f>F!C8</f>
        <v>Bog</v>
      </c>
      <c r="D13" s="779">
        <f>F!D8</f>
        <v>0</v>
      </c>
      <c r="E13" s="793">
        <v>2</v>
      </c>
      <c r="F13" s="635">
        <f>D13*E13</f>
        <v>0</v>
      </c>
      <c r="G13" s="445"/>
      <c r="H13" s="2140"/>
      <c r="I13" s="2136"/>
    </row>
    <row r="14" spans="1:11" ht="15" customHeight="1" x14ac:dyDescent="0.2">
      <c r="A14" s="2120"/>
      <c r="B14" s="2083"/>
      <c r="C14" s="758" t="str">
        <f>F!C9</f>
        <v>Fen</v>
      </c>
      <c r="D14" s="779">
        <f>F!D9</f>
        <v>0</v>
      </c>
      <c r="E14" s="793">
        <v>4</v>
      </c>
      <c r="F14" s="635">
        <f>D14*E14</f>
        <v>0</v>
      </c>
      <c r="G14" s="445"/>
      <c r="H14" s="2140"/>
      <c r="I14" s="2136"/>
    </row>
    <row r="15" spans="1:11" ht="15" customHeight="1" thickBot="1" x14ac:dyDescent="0.25">
      <c r="A15" s="2121"/>
      <c r="B15" s="2088"/>
      <c r="C15" s="754" t="str">
        <f>F!C10</f>
        <v>Marsh or Shallow Open Water</v>
      </c>
      <c r="D15" s="105">
        <f>F!D10</f>
        <v>0</v>
      </c>
      <c r="E15" s="383">
        <v>1</v>
      </c>
      <c r="F15" s="383">
        <f>D15*E15</f>
        <v>0</v>
      </c>
      <c r="G15" s="446"/>
      <c r="H15" s="2141"/>
      <c r="I15" s="2137"/>
    </row>
    <row r="16" spans="1:11" ht="54" customHeight="1" thickBot="1" x14ac:dyDescent="0.25">
      <c r="A16" s="2120" t="str">
        <f>F!A11</f>
        <v>F2</v>
      </c>
      <c r="B16" s="2083" t="str">
        <f>F!B11</f>
        <v>Wetland Types - Subordinate</v>
      </c>
      <c r="C16" s="99" t="str">
        <f>F!C11</f>
        <v>Mark all other vegetated wetland types in the AA that occupy more than 1 hectare or more than 1% of the vegetated AA.  Do not mark the predominant type again.  If AA is larger than 1 ha, see preliminary imagery-based answer provided by AESRD, but field-verify.</v>
      </c>
      <c r="D16" s="838"/>
      <c r="E16" s="384"/>
      <c r="F16" s="384"/>
      <c r="G16" s="439">
        <f>IF((D21=1),"",MAX(F17:F20)/MAX(E17:E20))</f>
        <v>0</v>
      </c>
      <c r="H16" s="2139" t="s">
        <v>987</v>
      </c>
      <c r="I16" s="2150" t="s">
        <v>1386</v>
      </c>
    </row>
    <row r="17" spans="1:10" ht="15" customHeight="1" x14ac:dyDescent="0.2">
      <c r="A17" s="2120"/>
      <c r="B17" s="2083"/>
      <c r="C17" s="837" t="str">
        <f>F!C12</f>
        <v>Wooded Swamp</v>
      </c>
      <c r="D17" s="779">
        <f>F!D12</f>
        <v>0</v>
      </c>
      <c r="E17" s="793">
        <v>3</v>
      </c>
      <c r="F17" s="635">
        <f>D17*E17</f>
        <v>0</v>
      </c>
      <c r="G17" s="445"/>
      <c r="H17" s="2140"/>
      <c r="I17" s="2136"/>
    </row>
    <row r="18" spans="1:10" ht="15" customHeight="1" x14ac:dyDescent="0.2">
      <c r="A18" s="2120"/>
      <c r="B18" s="2083"/>
      <c r="C18" s="758" t="str">
        <f>F!C13</f>
        <v>Bog</v>
      </c>
      <c r="D18" s="779">
        <f>F!D13</f>
        <v>0</v>
      </c>
      <c r="E18" s="793">
        <v>2</v>
      </c>
      <c r="F18" s="635">
        <f>D18*E18</f>
        <v>0</v>
      </c>
      <c r="G18" s="445"/>
      <c r="H18" s="2140"/>
      <c r="I18" s="2136"/>
    </row>
    <row r="19" spans="1:10" ht="15" customHeight="1" x14ac:dyDescent="0.2">
      <c r="A19" s="2120"/>
      <c r="B19" s="2083"/>
      <c r="C19" s="758" t="str">
        <f>F!C14</f>
        <v>Fen</v>
      </c>
      <c r="D19" s="779">
        <f>F!D14</f>
        <v>0</v>
      </c>
      <c r="E19" s="793">
        <v>4</v>
      </c>
      <c r="F19" s="635">
        <f>D19*E19</f>
        <v>0</v>
      </c>
      <c r="G19" s="445"/>
      <c r="H19" s="2140"/>
      <c r="I19" s="2136"/>
    </row>
    <row r="20" spans="1:10" ht="15" customHeight="1" x14ac:dyDescent="0.2">
      <c r="A20" s="2120"/>
      <c r="B20" s="2083"/>
      <c r="C20" s="758" t="str">
        <f>F!C15</f>
        <v>Marsh or Shallow Open Water</v>
      </c>
      <c r="D20" s="779">
        <f>F!D15</f>
        <v>0</v>
      </c>
      <c r="E20" s="793">
        <v>1</v>
      </c>
      <c r="F20" s="635">
        <f>D20*E20</f>
        <v>0</v>
      </c>
      <c r="G20" s="445"/>
      <c r="H20" s="2140"/>
      <c r="I20" s="2136"/>
    </row>
    <row r="21" spans="1:10" ht="15" customHeight="1" thickBot="1" x14ac:dyDescent="0.25">
      <c r="A21" s="2120"/>
      <c r="B21" s="2083"/>
      <c r="C21" s="753" t="str">
        <f>F!C16</f>
        <v>no types other than the predominant one in F1 meet the area threshold.</v>
      </c>
      <c r="D21" s="775">
        <f>F!D16</f>
        <v>0</v>
      </c>
      <c r="E21" s="635"/>
      <c r="F21" s="635"/>
      <c r="G21" s="791"/>
      <c r="H21" s="2141"/>
      <c r="I21" s="2136"/>
    </row>
    <row r="22" spans="1:10" s="7" customFormat="1" ht="38.25" customHeight="1" thickBot="1" x14ac:dyDescent="0.25">
      <c r="A22" s="2142" t="str">
        <f>F!A17</f>
        <v>F3</v>
      </c>
      <c r="B22" s="2087" t="str">
        <f>F!B17</f>
        <v>% Saturated Only</v>
      </c>
      <c r="C22" s="116" t="str">
        <f>F!C17</f>
        <v>The percentage of the AA that never contains surface water during an average year (that is, except perhaps for a few hours after snowmelt or rainstorms), but which is still a wetland, is:</v>
      </c>
      <c r="D22" s="794"/>
      <c r="E22" s="769"/>
      <c r="F22" s="770"/>
      <c r="G22" s="441">
        <f>MAX(F23:F28)/MAX(E23:E28)</f>
        <v>0</v>
      </c>
      <c r="H22" s="2077" t="s">
        <v>352</v>
      </c>
      <c r="I22" s="2135" t="s">
        <v>353</v>
      </c>
      <c r="J22" s="194"/>
    </row>
    <row r="23" spans="1:10" s="7" customFormat="1" ht="27" customHeight="1" x14ac:dyDescent="0.2">
      <c r="A23" s="2143"/>
      <c r="B23" s="2083"/>
      <c r="C23" s="783" t="str">
        <f>F!C18</f>
        <v>less than 1%, or &lt;0.01 hectare (about 10 m on a side) never has surface water.  In other words, all or nearly all of the AA is inundated permanently or at least seasonally.</v>
      </c>
      <c r="D23" s="795">
        <f>F!D18</f>
        <v>0</v>
      </c>
      <c r="E23" s="772">
        <v>0</v>
      </c>
      <c r="F23" s="796">
        <f t="shared" ref="F23:F28" si="0">D23*E23</f>
        <v>0</v>
      </c>
      <c r="G23" s="430"/>
      <c r="H23" s="2078"/>
      <c r="I23" s="2136"/>
      <c r="J23" s="194"/>
    </row>
    <row r="24" spans="1:10" s="7" customFormat="1" ht="15" customHeight="1" x14ac:dyDescent="0.2">
      <c r="A24" s="2143"/>
      <c r="B24" s="2083"/>
      <c r="C24" s="784" t="str">
        <f>F!C19</f>
        <v>1-25% of the AA never contains surface water.</v>
      </c>
      <c r="D24" s="795">
        <f>F!D19</f>
        <v>0</v>
      </c>
      <c r="E24" s="772">
        <v>1</v>
      </c>
      <c r="F24" s="796">
        <f t="shared" si="0"/>
        <v>0</v>
      </c>
      <c r="G24" s="430"/>
      <c r="H24" s="2078"/>
      <c r="I24" s="2136"/>
      <c r="J24" s="194"/>
    </row>
    <row r="25" spans="1:10" s="7" customFormat="1" ht="15" customHeight="1" x14ac:dyDescent="0.2">
      <c r="A25" s="2143"/>
      <c r="B25" s="2083"/>
      <c r="C25" s="784" t="str">
        <f>F!C20</f>
        <v>25-50% of the AA never contains surface water.</v>
      </c>
      <c r="D25" s="795">
        <f>F!D20</f>
        <v>0</v>
      </c>
      <c r="E25" s="772">
        <v>2</v>
      </c>
      <c r="F25" s="796">
        <f t="shared" si="0"/>
        <v>0</v>
      </c>
      <c r="G25" s="430"/>
      <c r="H25" s="2078"/>
      <c r="I25" s="2136"/>
      <c r="J25" s="194"/>
    </row>
    <row r="26" spans="1:10" s="7" customFormat="1" ht="15" customHeight="1" x14ac:dyDescent="0.2">
      <c r="A26" s="2143"/>
      <c r="B26" s="2083"/>
      <c r="C26" s="784" t="str">
        <f>F!C21</f>
        <v>50-99% of the AA never contains surface water.</v>
      </c>
      <c r="D26" s="795">
        <f>F!D21</f>
        <v>0</v>
      </c>
      <c r="E26" s="772">
        <v>3</v>
      </c>
      <c r="F26" s="796">
        <f t="shared" si="0"/>
        <v>0</v>
      </c>
      <c r="G26" s="430"/>
      <c r="H26" s="2078"/>
      <c r="I26" s="2136"/>
      <c r="J26" s="194"/>
    </row>
    <row r="27" spans="1:10" s="7" customFormat="1" ht="39.75" customHeight="1" x14ac:dyDescent="0.2">
      <c r="A27" s="2143"/>
      <c r="B27" s="2083"/>
      <c r="C27" s="784" t="str">
        <f>F!C22</f>
        <v>&gt;99% of the AA never contains surface water, except for water flowing in channels and/or in pools that occupy &lt;1% of the AA. SKIP to F26 (Channel Connection &amp; Outflow Duration)</v>
      </c>
      <c r="D27" s="795">
        <f>F!D22</f>
        <v>0</v>
      </c>
      <c r="E27" s="772">
        <v>4</v>
      </c>
      <c r="F27" s="796">
        <f t="shared" si="0"/>
        <v>0</v>
      </c>
      <c r="G27" s="430"/>
      <c r="H27" s="2078"/>
      <c r="I27" s="2136"/>
      <c r="J27" s="194"/>
    </row>
    <row r="28" spans="1:10" s="7" customFormat="1" ht="27.6" customHeight="1" thickBot="1" x14ac:dyDescent="0.25">
      <c r="A28" s="2144"/>
      <c r="B28" s="2088"/>
      <c r="C28" s="106" t="str">
        <f>F!C23</f>
        <v>&gt;99% of the AA never contains surface water, and AA is not intersected by channels that have flow, not even for a few days per year. SKIP to F26.</v>
      </c>
      <c r="D28" s="126">
        <f>F!D23</f>
        <v>0</v>
      </c>
      <c r="E28" s="433">
        <v>5</v>
      </c>
      <c r="F28" s="797">
        <f t="shared" si="0"/>
        <v>0</v>
      </c>
      <c r="G28" s="435"/>
      <c r="H28" s="2079"/>
      <c r="I28" s="2137"/>
      <c r="J28" s="194"/>
    </row>
    <row r="29" spans="1:10" s="14" customFormat="1" ht="45" customHeight="1" thickBot="1" x14ac:dyDescent="0.25">
      <c r="A29" s="2120" t="str">
        <f>F!A31</f>
        <v>F5</v>
      </c>
      <c r="B29" s="2083" t="str">
        <f>F!B31</f>
        <v>% of Summertime Water That Is Shaded</v>
      </c>
      <c r="C29" s="755" t="str">
        <f>F!C31</f>
        <v>At mid-day during the warmest time of year, the area of surface water within the AA that is shaded (by emergent or woody vegetation, incised channels, streambanks, or other features also present within the AA) is:</v>
      </c>
      <c r="D29" s="447"/>
      <c r="E29" s="384"/>
      <c r="F29" s="449"/>
      <c r="G29" s="439">
        <f>IF((AllSat+AllSat1&gt;0),"",IF((NoPersis=1),"",(MAX(F30:F34)/MAX(E30:E34))))</f>
        <v>0</v>
      </c>
      <c r="H29" s="2139" t="s">
        <v>238</v>
      </c>
      <c r="I29" s="2136" t="s">
        <v>1722</v>
      </c>
      <c r="J29" s="219"/>
    </row>
    <row r="30" spans="1:10" s="14" customFormat="1" ht="15" customHeight="1" x14ac:dyDescent="0.2">
      <c r="A30" s="2120"/>
      <c r="B30" s="2083"/>
      <c r="C30" s="756" t="str">
        <f>F!C32</f>
        <v>&lt;5% of the water is shaded, or no surface water is present then.</v>
      </c>
      <c r="D30" s="779">
        <f>F!D32</f>
        <v>0</v>
      </c>
      <c r="E30" s="793">
        <v>0</v>
      </c>
      <c r="F30" s="793">
        <f>D30*E30</f>
        <v>0</v>
      </c>
      <c r="G30" s="444"/>
      <c r="H30" s="2140"/>
      <c r="I30" s="2136"/>
      <c r="J30" s="219"/>
    </row>
    <row r="31" spans="1:10" s="14" customFormat="1" ht="15" customHeight="1" x14ac:dyDescent="0.2">
      <c r="A31" s="2120"/>
      <c r="B31" s="2083"/>
      <c r="C31" s="736" t="str">
        <f>F!C33</f>
        <v>5-25% of the water is shaded</v>
      </c>
      <c r="D31" s="779">
        <f>F!D33</f>
        <v>0</v>
      </c>
      <c r="E31" s="793">
        <v>1</v>
      </c>
      <c r="F31" s="793">
        <f>D31*E31</f>
        <v>0</v>
      </c>
      <c r="G31" s="445"/>
      <c r="H31" s="2140"/>
      <c r="I31" s="2136"/>
      <c r="J31" s="219"/>
    </row>
    <row r="32" spans="1:10" s="14" customFormat="1" ht="15" customHeight="1" x14ac:dyDescent="0.2">
      <c r="A32" s="2120"/>
      <c r="B32" s="2083"/>
      <c r="C32" s="736" t="str">
        <f>F!C34</f>
        <v>25-50% of the water is shaded</v>
      </c>
      <c r="D32" s="779">
        <f>F!D34</f>
        <v>0</v>
      </c>
      <c r="E32" s="793">
        <v>2</v>
      </c>
      <c r="F32" s="793">
        <f>D32*E32</f>
        <v>0</v>
      </c>
      <c r="G32" s="445"/>
      <c r="H32" s="2140"/>
      <c r="I32" s="2136"/>
      <c r="J32" s="219"/>
    </row>
    <row r="33" spans="1:10" s="14" customFormat="1" ht="15" customHeight="1" x14ac:dyDescent="0.2">
      <c r="A33" s="2120"/>
      <c r="B33" s="2083"/>
      <c r="C33" s="736" t="str">
        <f>F!C35</f>
        <v>50-75% of the water is shaded</v>
      </c>
      <c r="D33" s="779">
        <f>F!D35</f>
        <v>0</v>
      </c>
      <c r="E33" s="793">
        <v>3</v>
      </c>
      <c r="F33" s="793">
        <f>D33*E33</f>
        <v>0</v>
      </c>
      <c r="G33" s="445"/>
      <c r="H33" s="2140"/>
      <c r="I33" s="2136"/>
      <c r="J33" s="219"/>
    </row>
    <row r="34" spans="1:10" s="14" customFormat="1" ht="15" customHeight="1" thickBot="1" x14ac:dyDescent="0.25">
      <c r="A34" s="2120"/>
      <c r="B34" s="2083"/>
      <c r="C34" s="790" t="str">
        <f>F!C36</f>
        <v>&gt;75% of the water is shaded</v>
      </c>
      <c r="D34" s="775">
        <f>F!D36</f>
        <v>0</v>
      </c>
      <c r="E34" s="635">
        <v>4</v>
      </c>
      <c r="F34" s="635">
        <f>D34*E34</f>
        <v>0</v>
      </c>
      <c r="G34" s="791"/>
      <c r="H34" s="2141"/>
      <c r="I34" s="2136"/>
      <c r="J34" s="219"/>
    </row>
    <row r="35" spans="1:10" ht="30" customHeight="1" thickBot="1" x14ac:dyDescent="0.25">
      <c r="A35" s="2119" t="str">
        <f>F!A52</f>
        <v>F10</v>
      </c>
      <c r="B35" s="2087" t="str">
        <f>F!B52</f>
        <v>Predominant Depth Class</v>
      </c>
      <c r="C35" s="136" t="str">
        <f>F!C52</f>
        <v>During most of the time when water is present, its depth in most of the area is: [Note: This is not asking for the maximum depth.]</v>
      </c>
      <c r="D35" s="798"/>
      <c r="E35" s="792"/>
      <c r="F35" s="443"/>
      <c r="G35" s="441">
        <f>IF((AllSat+AllSat1&gt;0),"",MAX(F36:F40)/MAX(E36:E40))</f>
        <v>0</v>
      </c>
      <c r="H35" s="2139" t="s">
        <v>240</v>
      </c>
      <c r="I35" s="2135" t="s">
        <v>2043</v>
      </c>
    </row>
    <row r="36" spans="1:10" ht="15" customHeight="1" x14ac:dyDescent="0.2">
      <c r="A36" s="2120"/>
      <c r="B36" s="2083"/>
      <c r="C36" s="756" t="str">
        <f>F!C53</f>
        <v>&lt;10 cm deep (but &gt;0)</v>
      </c>
      <c r="D36" s="779">
        <f>F!D53</f>
        <v>0</v>
      </c>
      <c r="E36" s="793">
        <v>0</v>
      </c>
      <c r="F36" s="793">
        <f>D36*E36</f>
        <v>0</v>
      </c>
      <c r="G36" s="444"/>
      <c r="H36" s="2140"/>
      <c r="I36" s="2136"/>
    </row>
    <row r="37" spans="1:10" ht="15" customHeight="1" x14ac:dyDescent="0.2">
      <c r="A37" s="2120"/>
      <c r="B37" s="2083"/>
      <c r="C37" s="736" t="str">
        <f>F!C54</f>
        <v>10 - 50 cm deep</v>
      </c>
      <c r="D37" s="779">
        <f>F!D54</f>
        <v>0</v>
      </c>
      <c r="E37" s="793">
        <v>1</v>
      </c>
      <c r="F37" s="793">
        <f>D37*E37</f>
        <v>0</v>
      </c>
      <c r="G37" s="445"/>
      <c r="H37" s="2140"/>
      <c r="I37" s="2136"/>
    </row>
    <row r="38" spans="1:10" ht="15" customHeight="1" x14ac:dyDescent="0.2">
      <c r="A38" s="2120"/>
      <c r="B38" s="2083"/>
      <c r="C38" s="736" t="str">
        <f>F!C55</f>
        <v>0.5 - 1 m deep</v>
      </c>
      <c r="D38" s="779">
        <f>F!D55</f>
        <v>0</v>
      </c>
      <c r="E38" s="793">
        <v>2</v>
      </c>
      <c r="F38" s="793">
        <f>D38*E38</f>
        <v>0</v>
      </c>
      <c r="G38" s="445"/>
      <c r="H38" s="2140"/>
      <c r="I38" s="2136"/>
    </row>
    <row r="39" spans="1:10" ht="15" customHeight="1" x14ac:dyDescent="0.2">
      <c r="A39" s="2120"/>
      <c r="B39" s="2083"/>
      <c r="C39" s="736" t="str">
        <f>F!C56</f>
        <v>1 - 2 m deep</v>
      </c>
      <c r="D39" s="779">
        <f>F!D56</f>
        <v>0</v>
      </c>
      <c r="E39" s="793">
        <v>4</v>
      </c>
      <c r="F39" s="793">
        <f>D39*E39</f>
        <v>0</v>
      </c>
      <c r="G39" s="445"/>
      <c r="H39" s="2140"/>
      <c r="I39" s="2136"/>
    </row>
    <row r="40" spans="1:10" ht="15" customHeight="1" thickBot="1" x14ac:dyDescent="0.25">
      <c r="A40" s="2121"/>
      <c r="B40" s="2088"/>
      <c r="C40" s="737" t="str">
        <f>F!C57</f>
        <v>&gt;2 m deep.  True for many fringe wetlands.</v>
      </c>
      <c r="D40" s="105">
        <f>F!D57</f>
        <v>0</v>
      </c>
      <c r="E40" s="383">
        <v>6</v>
      </c>
      <c r="F40" s="383">
        <f>D40*E40</f>
        <v>0</v>
      </c>
      <c r="G40" s="446"/>
      <c r="H40" s="2141"/>
      <c r="I40" s="2137"/>
    </row>
    <row r="41" spans="1:10" s="14" customFormat="1" ht="45" customHeight="1" thickBot="1" x14ac:dyDescent="0.25">
      <c r="A41" s="2151" t="str">
        <f>F!A62</f>
        <v>F12</v>
      </c>
      <c r="B41" s="2083" t="str">
        <f>F!B62</f>
        <v xml:space="preserve">% of Water Ponded vs. Flowing </v>
      </c>
      <c r="C41" s="782" t="str">
        <f>F!C62</f>
        <v>The percentage of the AA's surface water that is ponded (stagnant, or flows so slowly that fine sediment is not held in suspension) during most of the time it is present, and which is either open or shaded by emergent vegetation is:</v>
      </c>
      <c r="D41" s="447"/>
      <c r="E41" s="448"/>
      <c r="F41" s="449"/>
      <c r="G41" s="439">
        <f>IF((AllSat+AllSat1&gt;0),"", IF((SmallAA=1),"", MAX(F42:F48)/MAX(E42:E48)))</f>
        <v>0</v>
      </c>
      <c r="H41" s="2139" t="s">
        <v>239</v>
      </c>
      <c r="I41" s="2136" t="s">
        <v>1704</v>
      </c>
      <c r="J41" s="219"/>
    </row>
    <row r="42" spans="1:10" s="14" customFormat="1" ht="27" customHeight="1" x14ac:dyDescent="0.2">
      <c r="A42" s="2151"/>
      <c r="B42" s="2083"/>
      <c r="C42" s="24" t="str">
        <f>F!C63</f>
        <v>&lt;1% or none, or occupies &lt;0.01 hectare cumulatively.  Nearly all water is flowing.  Enter "1" and SKIP to F21 (Stained Surface Water).</v>
      </c>
      <c r="D42" s="271">
        <f>F!D63</f>
        <v>0</v>
      </c>
      <c r="E42" s="803">
        <v>6</v>
      </c>
      <c r="F42" s="793">
        <f t="shared" ref="F42:F55" si="1">D42*E42</f>
        <v>0</v>
      </c>
      <c r="G42" s="445"/>
      <c r="H42" s="2140"/>
      <c r="I42" s="2136"/>
      <c r="J42" s="219"/>
    </row>
    <row r="43" spans="1:10" s="14" customFormat="1" ht="15" customHeight="1" x14ac:dyDescent="0.2">
      <c r="A43" s="2151"/>
      <c r="B43" s="2083"/>
      <c r="C43" s="785" t="str">
        <f>F!C64</f>
        <v>1-5% of the water, and mainly in small pools.  The rest is flowing.</v>
      </c>
      <c r="D43" s="771">
        <f>F!D64</f>
        <v>0</v>
      </c>
      <c r="E43" s="803">
        <v>5</v>
      </c>
      <c r="F43" s="793">
        <f t="shared" si="1"/>
        <v>0</v>
      </c>
      <c r="G43" s="445"/>
      <c r="H43" s="2140"/>
      <c r="I43" s="2136"/>
      <c r="J43" s="219"/>
    </row>
    <row r="44" spans="1:10" s="14" customFormat="1" ht="15" customHeight="1" x14ac:dyDescent="0.2">
      <c r="A44" s="2151"/>
      <c r="B44" s="2083"/>
      <c r="C44" s="785" t="str">
        <f>F!C65</f>
        <v>1-5% of the water, and mainly in a single large pool or pond.  The rest is flowing.</v>
      </c>
      <c r="D44" s="771">
        <f>F!D65</f>
        <v>0</v>
      </c>
      <c r="E44" s="803">
        <v>4</v>
      </c>
      <c r="F44" s="793">
        <f t="shared" si="1"/>
        <v>0</v>
      </c>
      <c r="G44" s="445"/>
      <c r="H44" s="2140"/>
      <c r="I44" s="2136"/>
      <c r="J44" s="219"/>
    </row>
    <row r="45" spans="1:10" s="14" customFormat="1" ht="15" customHeight="1" x14ac:dyDescent="0.2">
      <c r="A45" s="2151"/>
      <c r="B45" s="2083"/>
      <c r="C45" s="785" t="str">
        <f>F!C66</f>
        <v>5-30% of the water</v>
      </c>
      <c r="D45" s="771">
        <f>F!D66</f>
        <v>0</v>
      </c>
      <c r="E45" s="803">
        <v>3</v>
      </c>
      <c r="F45" s="793">
        <f t="shared" si="1"/>
        <v>0</v>
      </c>
      <c r="G45" s="445"/>
      <c r="H45" s="2140"/>
      <c r="I45" s="2136"/>
      <c r="J45" s="219"/>
    </row>
    <row r="46" spans="1:10" s="14" customFormat="1" ht="15" customHeight="1" x14ac:dyDescent="0.2">
      <c r="A46" s="2151"/>
      <c r="B46" s="2083"/>
      <c r="C46" s="785" t="str">
        <f>F!C67</f>
        <v>30-70% of the water</v>
      </c>
      <c r="D46" s="771">
        <f>F!D67</f>
        <v>0</v>
      </c>
      <c r="E46" s="803">
        <v>2</v>
      </c>
      <c r="F46" s="793">
        <f t="shared" si="1"/>
        <v>0</v>
      </c>
      <c r="G46" s="445"/>
      <c r="H46" s="2140"/>
      <c r="I46" s="2136"/>
      <c r="J46" s="219"/>
    </row>
    <row r="47" spans="1:10" s="14" customFormat="1" ht="15" customHeight="1" x14ac:dyDescent="0.2">
      <c r="A47" s="2151"/>
      <c r="B47" s="2083"/>
      <c r="C47" s="785" t="str">
        <f>F!C68</f>
        <v>70-95% of the water</v>
      </c>
      <c r="D47" s="771">
        <f>F!D68</f>
        <v>0</v>
      </c>
      <c r="E47" s="803">
        <v>1</v>
      </c>
      <c r="F47" s="793">
        <f t="shared" si="1"/>
        <v>0</v>
      </c>
      <c r="G47" s="445"/>
      <c r="H47" s="2140"/>
      <c r="I47" s="2136"/>
      <c r="J47" s="219"/>
    </row>
    <row r="48" spans="1:10" s="14" customFormat="1" ht="15" customHeight="1" thickBot="1" x14ac:dyDescent="0.25">
      <c r="A48" s="2151"/>
      <c r="B48" s="2083"/>
      <c r="C48" s="784" t="str">
        <f>F!C69</f>
        <v>&gt;95% of the water.  Little or no visibly flowing water within the AA.</v>
      </c>
      <c r="D48" s="795">
        <f>F!D69</f>
        <v>0</v>
      </c>
      <c r="E48" s="806">
        <v>0</v>
      </c>
      <c r="F48" s="635">
        <f t="shared" si="1"/>
        <v>0</v>
      </c>
      <c r="G48" s="791"/>
      <c r="H48" s="2141"/>
      <c r="I48" s="2136"/>
      <c r="J48" s="219"/>
    </row>
    <row r="49" spans="1:11" s="14" customFormat="1" ht="42" customHeight="1" thickBot="1" x14ac:dyDescent="0.25">
      <c r="A49" s="2142" t="str">
        <f>F!A71</f>
        <v>F14</v>
      </c>
      <c r="B49" s="2087" t="str">
        <f>F!B71</f>
        <v xml:space="preserve">% of Ponded Water That Is Open </v>
      </c>
      <c r="C49" s="116" t="str">
        <f>F!C71</f>
        <v>In ducks-eye aerial view, the percentage of the ponded water that is open (lacking emergent vegetation during most of the growing season, and unhidden by a forest or shrub canopy) is:</v>
      </c>
      <c r="D49" s="798"/>
      <c r="E49" s="802"/>
      <c r="F49" s="792"/>
      <c r="G49" s="441">
        <f>IF((AllSat+AllSat1&gt;0),"",IF((NoPonded=1),"",MAX(F50:F55)/MAX(E50:E55)))</f>
        <v>0</v>
      </c>
      <c r="H49" s="2139" t="s">
        <v>606</v>
      </c>
      <c r="I49" s="2135" t="s">
        <v>1723</v>
      </c>
      <c r="J49" s="219"/>
    </row>
    <row r="50" spans="1:11" s="14" customFormat="1" ht="27" customHeight="1" x14ac:dyDescent="0.2">
      <c r="A50" s="2143"/>
      <c r="B50" s="2083"/>
      <c r="C50" s="24" t="str">
        <f>F!C72</f>
        <v>&lt;1% or none, or largest pool occupies &lt;0.01 hectares.  Enter "1" and SKIP to F20 (Floating Algae &amp; Duckweed).</v>
      </c>
      <c r="D50" s="271">
        <f>F!D72</f>
        <v>0</v>
      </c>
      <c r="E50" s="803">
        <v>5</v>
      </c>
      <c r="F50" s="793">
        <f t="shared" si="1"/>
        <v>0</v>
      </c>
      <c r="G50" s="445"/>
      <c r="H50" s="2140"/>
      <c r="I50" s="2136"/>
      <c r="J50" s="219"/>
    </row>
    <row r="51" spans="1:11" s="14" customFormat="1" ht="15" customHeight="1" x14ac:dyDescent="0.2">
      <c r="A51" s="2143"/>
      <c r="B51" s="2083"/>
      <c r="C51" s="785" t="str">
        <f>F!C73</f>
        <v>1-5% of the ponded water.  Enter "1" and SKIP to F20.</v>
      </c>
      <c r="D51" s="771">
        <f>F!D73</f>
        <v>0</v>
      </c>
      <c r="E51" s="803">
        <v>4</v>
      </c>
      <c r="F51" s="793">
        <f t="shared" si="1"/>
        <v>0</v>
      </c>
      <c r="G51" s="445"/>
      <c r="H51" s="2140"/>
      <c r="I51" s="2136"/>
      <c r="J51" s="219"/>
    </row>
    <row r="52" spans="1:11" s="14" customFormat="1" ht="15" customHeight="1" x14ac:dyDescent="0.2">
      <c r="A52" s="2143"/>
      <c r="B52" s="2083"/>
      <c r="C52" s="785" t="str">
        <f>F!C74</f>
        <v>5-30% of the ponded water.</v>
      </c>
      <c r="D52" s="771">
        <f>F!D74</f>
        <v>0</v>
      </c>
      <c r="E52" s="803">
        <v>3</v>
      </c>
      <c r="F52" s="793">
        <f t="shared" si="1"/>
        <v>0</v>
      </c>
      <c r="G52" s="445"/>
      <c r="H52" s="2140"/>
      <c r="I52" s="2136"/>
      <c r="J52" s="219"/>
    </row>
    <row r="53" spans="1:11" s="14" customFormat="1" ht="15" customHeight="1" x14ac:dyDescent="0.2">
      <c r="A53" s="2143"/>
      <c r="B53" s="2083"/>
      <c r="C53" s="785" t="str">
        <f>F!C75</f>
        <v>30-70% of the ponded water.</v>
      </c>
      <c r="D53" s="771">
        <f>F!D75</f>
        <v>0</v>
      </c>
      <c r="E53" s="803">
        <v>2</v>
      </c>
      <c r="F53" s="793">
        <f t="shared" si="1"/>
        <v>0</v>
      </c>
      <c r="G53" s="445"/>
      <c r="H53" s="2140"/>
      <c r="I53" s="2136"/>
      <c r="J53" s="219"/>
    </row>
    <row r="54" spans="1:11" s="14" customFormat="1" ht="15" customHeight="1" x14ac:dyDescent="0.2">
      <c r="A54" s="2143"/>
      <c r="B54" s="2083"/>
      <c r="C54" s="785" t="str">
        <f>F!C76</f>
        <v>70-99% of the ponded water.</v>
      </c>
      <c r="D54" s="771">
        <f>F!D76</f>
        <v>0</v>
      </c>
      <c r="E54" s="803">
        <v>1</v>
      </c>
      <c r="F54" s="793">
        <f t="shared" si="1"/>
        <v>0</v>
      </c>
      <c r="G54" s="445"/>
      <c r="H54" s="2140"/>
      <c r="I54" s="2136"/>
      <c r="J54" s="219"/>
    </row>
    <row r="55" spans="1:11" s="14" customFormat="1" ht="15" customHeight="1" thickBot="1" x14ac:dyDescent="0.25">
      <c r="A55" s="2144"/>
      <c r="B55" s="2088"/>
      <c r="C55" s="106" t="str">
        <f>F!C77</f>
        <v xml:space="preserve">100% of the ponded water. </v>
      </c>
      <c r="D55" s="126">
        <f>F!D77</f>
        <v>0</v>
      </c>
      <c r="E55" s="453">
        <v>0</v>
      </c>
      <c r="F55" s="383">
        <f t="shared" si="1"/>
        <v>0</v>
      </c>
      <c r="G55" s="446"/>
      <c r="H55" s="2141"/>
      <c r="I55" s="2137"/>
      <c r="J55" s="219"/>
    </row>
    <row r="56" spans="1:11" s="14" customFormat="1" ht="30" customHeight="1" thickBot="1" x14ac:dyDescent="0.25">
      <c r="A56" s="2152" t="str">
        <f>F!A115</f>
        <v>F26</v>
      </c>
      <c r="B56" s="2084" t="str">
        <f>F!B115</f>
        <v>Channel Connection &amp; Outflow Duration</v>
      </c>
      <c r="C56" s="799" t="str">
        <f>F!C115</f>
        <v>The most persistent surface water connection (outlet channel or pipe, ditch, or overbank water exchange) between the AA and the closest off-site downslope water body is:</v>
      </c>
      <c r="D56" s="800"/>
      <c r="E56" s="801"/>
      <c r="F56" s="801"/>
      <c r="G56" s="439">
        <f>MAX(F57:F61)/MAX(E57:E61)</f>
        <v>0</v>
      </c>
      <c r="H56" s="2139" t="s">
        <v>236</v>
      </c>
      <c r="I56" s="2136" t="s">
        <v>312</v>
      </c>
      <c r="J56" s="219"/>
      <c r="K56" s="96"/>
    </row>
    <row r="57" spans="1:11" s="14" customFormat="1" ht="15" customHeight="1" x14ac:dyDescent="0.2">
      <c r="A57" s="2152"/>
      <c r="B57" s="2084"/>
      <c r="C57" s="786" t="str">
        <f>F!C116</f>
        <v>persistent (&gt;9 months/year, including times when frozen)</v>
      </c>
      <c r="D57" s="808">
        <f>F!D116</f>
        <v>0</v>
      </c>
      <c r="E57" s="807">
        <v>5</v>
      </c>
      <c r="F57" s="773">
        <f>D57*E57</f>
        <v>0</v>
      </c>
      <c r="G57" s="455"/>
      <c r="H57" s="2140"/>
      <c r="I57" s="2136"/>
      <c r="J57" s="219"/>
    </row>
    <row r="58" spans="1:11" s="14" customFormat="1" ht="24.75" customHeight="1" x14ac:dyDescent="0.2">
      <c r="A58" s="2152"/>
      <c r="B58" s="2084"/>
      <c r="C58" s="787" t="str">
        <f>F!C117</f>
        <v>seasonal (14 days to 9 months/year, not necessarily consecutive, including times when frozen)</v>
      </c>
      <c r="D58" s="808">
        <f>F!D117</f>
        <v>0</v>
      </c>
      <c r="E58" s="807">
        <v>2</v>
      </c>
      <c r="F58" s="773">
        <f>D58*E58</f>
        <v>0</v>
      </c>
      <c r="G58" s="763"/>
      <c r="H58" s="2140"/>
      <c r="I58" s="2136"/>
      <c r="J58" s="219"/>
    </row>
    <row r="59" spans="1:11" s="14" customFormat="1" ht="15" customHeight="1" x14ac:dyDescent="0.2">
      <c r="A59" s="2152"/>
      <c r="B59" s="2084"/>
      <c r="C59" s="787" t="str">
        <f>F!C118</f>
        <v>temporary (&lt;14 days, not necessarily consecutive -- must be unfrozen)</v>
      </c>
      <c r="D59" s="808">
        <f>F!D118</f>
        <v>0</v>
      </c>
      <c r="E59" s="807">
        <v>1</v>
      </c>
      <c r="F59" s="773">
        <f>D59*E59</f>
        <v>0</v>
      </c>
      <c r="G59" s="763"/>
      <c r="H59" s="2140"/>
      <c r="I59" s="2136"/>
      <c r="J59" s="219"/>
      <c r="K59" s="14" t="s">
        <v>507</v>
      </c>
    </row>
    <row r="60" spans="1:11" s="14" customFormat="1" ht="38.25" customHeight="1" x14ac:dyDescent="0.2">
      <c r="A60" s="2152"/>
      <c r="B60" s="2084"/>
      <c r="C60" s="787" t="str">
        <f>F!C119</f>
        <v xml:space="preserve">none -- but maps show a stream or other water body that is downslope from the AA and within a distance that is less than the AA's length.  If so, mark "1" here and SKIP TO F28 (Groundwater). </v>
      </c>
      <c r="D60" s="808">
        <f>F!D119</f>
        <v>0</v>
      </c>
      <c r="E60" s="807">
        <v>0</v>
      </c>
      <c r="F60" s="773">
        <f>D60*E60</f>
        <v>0</v>
      </c>
      <c r="G60" s="763"/>
      <c r="H60" s="2140"/>
      <c r="I60" s="2136"/>
      <c r="J60" s="219"/>
    </row>
    <row r="61" spans="1:11" s="14" customFormat="1" ht="42" customHeight="1" thickBot="1" x14ac:dyDescent="0.25">
      <c r="A61" s="2152"/>
      <c r="B61" s="2084"/>
      <c r="C61" s="788" t="str">
        <f>F!C120</f>
        <v xml:space="preserve">no surface water flows out of the wetland except possibly during extreme events (&lt;once per 10 years). Or, water flows only into a wetland, ditch, or lake that lacks an outlet.  If so, mark "1" here and SKIP TO F28 (Groundwater). </v>
      </c>
      <c r="D61" s="809">
        <f>F!D120</f>
        <v>0</v>
      </c>
      <c r="E61" s="810">
        <v>0</v>
      </c>
      <c r="F61" s="777">
        <f>D61*E61</f>
        <v>0</v>
      </c>
      <c r="G61" s="763"/>
      <c r="H61" s="2141"/>
      <c r="I61" s="2136"/>
      <c r="J61" s="219"/>
    </row>
    <row r="62" spans="1:11" ht="21" customHeight="1" thickBot="1" x14ac:dyDescent="0.25">
      <c r="A62" s="2077" t="str">
        <f>F!A125</f>
        <v>F28</v>
      </c>
      <c r="B62" s="2087" t="str">
        <f>F!B125</f>
        <v>Groundwater: Strength of Evidence</v>
      </c>
      <c r="C62" s="136" t="str">
        <f>F!C125</f>
        <v xml:space="preserve">Select first applicable choice. </v>
      </c>
      <c r="D62" s="804"/>
      <c r="E62" s="792"/>
      <c r="F62" s="443"/>
      <c r="G62" s="441">
        <f>MAX(F63:F65)/MAX(E63:E65)</f>
        <v>0</v>
      </c>
      <c r="H62" s="2139" t="s">
        <v>237</v>
      </c>
      <c r="I62" s="2135" t="s">
        <v>2042</v>
      </c>
    </row>
    <row r="63" spans="1:11" ht="42" customHeight="1" x14ac:dyDescent="0.2">
      <c r="A63" s="2078"/>
      <c r="B63" s="2083"/>
      <c r="C63" s="789" t="str">
        <f>F!C126</f>
        <v xml:space="preserve">Groundwater monitoring has demonstrated that groundwater primarily discharges to the wetland for longer periods during the year than periods when the wetland recharges the groundwater.  Or, springs are known to be present within the AA.
</v>
      </c>
      <c r="D63" s="650">
        <f>F!D126</f>
        <v>0</v>
      </c>
      <c r="E63" s="793">
        <v>3</v>
      </c>
      <c r="F63" s="793">
        <f>D63*E63</f>
        <v>0</v>
      </c>
      <c r="G63" s="444"/>
      <c r="H63" s="2140"/>
      <c r="I63" s="2136"/>
    </row>
    <row r="64" spans="1:11" ht="111" customHeight="1" x14ac:dyDescent="0.2">
      <c r="A64" s="2078"/>
      <c r="B64" s="2083"/>
      <c r="C64" s="736"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64" s="811">
        <f>F!D127</f>
        <v>0</v>
      </c>
      <c r="E64" s="793">
        <v>2</v>
      </c>
      <c r="F64" s="793">
        <f>D64*E64</f>
        <v>0</v>
      </c>
      <c r="G64" s="445"/>
      <c r="H64" s="2140"/>
      <c r="I64" s="2136"/>
    </row>
    <row r="65" spans="1:11" ht="27.6" customHeight="1" thickBot="1" x14ac:dyDescent="0.25">
      <c r="A65" s="2079"/>
      <c r="B65" s="2088"/>
      <c r="C65" s="812" t="str">
        <f>F!C128</f>
        <v>Neither of above is true, although some groundwater may discharge to or flow through the AA.  Or groundwater influx is unknown.</v>
      </c>
      <c r="D65" s="105">
        <f>F!D128</f>
        <v>0</v>
      </c>
      <c r="E65" s="383">
        <v>0</v>
      </c>
      <c r="F65" s="383">
        <f>D65*E65</f>
        <v>0</v>
      </c>
      <c r="G65" s="446"/>
      <c r="H65" s="2141"/>
      <c r="I65" s="2138"/>
    </row>
    <row r="66" spans="1:11" ht="21" customHeight="1" thickBot="1" x14ac:dyDescent="0.25">
      <c r="A66" s="1515"/>
      <c r="B66" s="1515"/>
      <c r="C66" s="836"/>
      <c r="D66" s="836"/>
      <c r="E66" s="836"/>
      <c r="F66" s="836"/>
      <c r="G66" s="836"/>
      <c r="H66" s="836"/>
      <c r="I66" s="836"/>
    </row>
    <row r="67" spans="1:11" s="39" customFormat="1" ht="21" customHeight="1" thickBot="1" x14ac:dyDescent="0.25">
      <c r="A67" s="1516"/>
      <c r="B67" s="1516"/>
      <c r="C67" s="833" t="s">
        <v>1120</v>
      </c>
      <c r="D67" s="1538"/>
      <c r="E67" s="1538"/>
      <c r="F67" s="1538"/>
      <c r="G67" s="1538"/>
      <c r="H67" s="154"/>
      <c r="I67" s="154"/>
      <c r="J67" s="213"/>
      <c r="K67" s="7"/>
    </row>
    <row r="68" spans="1:11" s="39" customFormat="1" ht="21" customHeight="1" thickBot="1" x14ac:dyDescent="0.25">
      <c r="A68" s="1516"/>
      <c r="B68" s="1516"/>
      <c r="C68" s="101" t="s">
        <v>1917</v>
      </c>
      <c r="D68" s="832"/>
      <c r="E68" s="420"/>
      <c r="F68" s="832"/>
      <c r="G68" s="1632">
        <f>IFERROR(AVERAGE(WclassDom7, WclassSub7, SatPct7, Shade7),"")</f>
        <v>0</v>
      </c>
      <c r="H68" s="154"/>
      <c r="I68" s="154"/>
      <c r="J68" s="214"/>
      <c r="K68" s="154"/>
    </row>
    <row r="69" spans="1:11" s="39" customFormat="1" ht="21" customHeight="1" thickBot="1" x14ac:dyDescent="0.25">
      <c r="A69" s="1516"/>
      <c r="B69" s="1516"/>
      <c r="C69" s="49"/>
      <c r="D69" s="1437"/>
      <c r="E69" s="1437"/>
      <c r="F69" s="1437"/>
      <c r="G69" s="1437"/>
      <c r="H69" s="154"/>
      <c r="I69" s="154"/>
      <c r="J69" s="213"/>
      <c r="K69" s="7"/>
    </row>
    <row r="70" spans="1:11" s="39" customFormat="1" ht="21" customHeight="1" thickBot="1" x14ac:dyDescent="0.25">
      <c r="A70" s="1516"/>
      <c r="B70" s="1516"/>
      <c r="C70" s="833" t="s">
        <v>1121</v>
      </c>
      <c r="D70" s="734"/>
      <c r="E70" s="734"/>
      <c r="F70" s="734"/>
      <c r="G70" s="734"/>
      <c r="H70" s="154"/>
      <c r="I70" s="154"/>
      <c r="J70" s="213"/>
      <c r="K70" s="7"/>
    </row>
    <row r="71" spans="1:11" s="39" customFormat="1" ht="27" customHeight="1" thickBot="1" x14ac:dyDescent="0.25">
      <c r="A71" s="1514"/>
      <c r="B71" s="669" t="s">
        <v>1115</v>
      </c>
      <c r="C71" s="99" t="s">
        <v>1916</v>
      </c>
      <c r="D71" s="831"/>
      <c r="E71" s="325"/>
      <c r="F71" s="325"/>
      <c r="G71" s="1633">
        <f>IF((GT10HA=1),G72, IFERROR(AVERAGE(Depth7, ISOdry7, OpenPonded7, 1-WetWooded),""))</f>
        <v>0.25</v>
      </c>
      <c r="H71" s="154"/>
      <c r="I71" s="154"/>
      <c r="J71" s="213"/>
      <c r="K71" s="7"/>
    </row>
    <row r="72" spans="1:11" s="39" customFormat="1" ht="27" customHeight="1" thickBot="1" x14ac:dyDescent="0.25">
      <c r="A72" s="1514"/>
      <c r="B72" s="670" t="s">
        <v>1116</v>
      </c>
      <c r="C72" s="668" t="s">
        <v>2037</v>
      </c>
      <c r="D72" s="327"/>
      <c r="E72" s="327"/>
      <c r="F72" s="327"/>
      <c r="G72" s="781">
        <f>IFERROR(AVERAGE(Depth7, ISOdry7, OWpct, WetWooded,1-LGIndex),"")</f>
        <v>0.33333333333333331</v>
      </c>
      <c r="H72" s="154"/>
      <c r="I72" s="154"/>
      <c r="J72" s="213"/>
      <c r="K72" s="7"/>
    </row>
    <row r="73" spans="1:11" s="39" customFormat="1" ht="21" customHeight="1" thickBot="1" x14ac:dyDescent="0.25">
      <c r="A73" s="1516"/>
      <c r="B73" s="1516"/>
      <c r="C73" s="49"/>
      <c r="D73" s="1437"/>
      <c r="E73" s="1437"/>
      <c r="F73" s="1437"/>
      <c r="G73" s="1437"/>
      <c r="H73" s="154"/>
      <c r="I73" s="154"/>
      <c r="J73" s="213"/>
      <c r="K73" s="7"/>
    </row>
    <row r="74" spans="1:11" s="39" customFormat="1" ht="21" customHeight="1" thickBot="1" x14ac:dyDescent="0.25">
      <c r="A74" s="1516"/>
      <c r="B74" s="1516"/>
      <c r="C74" s="834" t="s">
        <v>1122</v>
      </c>
      <c r="D74" s="734"/>
      <c r="E74" s="734"/>
      <c r="F74" s="734"/>
      <c r="G74" s="734"/>
      <c r="H74" s="154"/>
      <c r="I74" s="154"/>
      <c r="J74" s="213"/>
      <c r="K74" s="7"/>
    </row>
    <row r="75" spans="1:11" s="39" customFormat="1" ht="21" customHeight="1" thickBot="1" x14ac:dyDescent="0.25">
      <c r="A75" s="1516"/>
      <c r="B75" s="1516"/>
      <c r="C75" s="101" t="s">
        <v>1918</v>
      </c>
      <c r="D75" s="420"/>
      <c r="E75" s="420"/>
      <c r="F75" s="420"/>
      <c r="G75" s="905">
        <f>IFERROR(AVERAGE(Gwater7, GWDspring, FenPct),"")</f>
        <v>0</v>
      </c>
      <c r="H75" s="154"/>
      <c r="I75" s="154"/>
      <c r="J75" s="213"/>
      <c r="K75" s="7"/>
    </row>
    <row r="76" spans="1:11" s="39" customFormat="1" ht="21" customHeight="1" thickBot="1" x14ac:dyDescent="0.25">
      <c r="A76" s="1516"/>
      <c r="B76" s="1516"/>
      <c r="C76" s="49"/>
      <c r="D76" s="2148"/>
      <c r="E76" s="2148"/>
      <c r="F76" s="2148"/>
      <c r="G76" s="2148"/>
      <c r="H76" s="154"/>
      <c r="I76" s="154"/>
      <c r="J76" s="213"/>
      <c r="K76" s="7"/>
    </row>
    <row r="77" spans="1:11" s="39" customFormat="1" ht="21" customHeight="1" thickBot="1" x14ac:dyDescent="0.25">
      <c r="A77" s="1516"/>
      <c r="B77" s="1516"/>
      <c r="C77" s="834" t="s">
        <v>1123</v>
      </c>
      <c r="D77" s="2149"/>
      <c r="E77" s="2149"/>
      <c r="F77" s="2149"/>
      <c r="G77" s="2149"/>
      <c r="H77" s="154"/>
      <c r="I77" s="154"/>
      <c r="J77" s="213"/>
      <c r="K77" s="7"/>
    </row>
    <row r="78" spans="1:11" s="39" customFormat="1" ht="21" customHeight="1" thickBot="1" x14ac:dyDescent="0.25">
      <c r="A78" s="1516"/>
      <c r="B78" s="1516"/>
      <c r="C78" s="101" t="s">
        <v>1919</v>
      </c>
      <c r="D78" s="420"/>
      <c r="E78" s="420"/>
      <c r="F78" s="420"/>
      <c r="G78" s="905">
        <f>IFERROR(AVERAGE(OutDur7, RipFloodpl),"")</f>
        <v>0</v>
      </c>
      <c r="H78" s="154"/>
      <c r="I78" s="154"/>
      <c r="J78" s="213"/>
      <c r="K78" s="7"/>
    </row>
    <row r="79" spans="1:11" s="7" customFormat="1" ht="21" customHeight="1" thickBot="1" x14ac:dyDescent="0.25">
      <c r="A79" s="1516"/>
      <c r="B79" s="1516"/>
      <c r="C79" s="25"/>
      <c r="D79" s="1515"/>
      <c r="E79" s="1515"/>
      <c r="F79" s="1515"/>
      <c r="G79" s="1515"/>
      <c r="H79" s="154"/>
      <c r="I79" s="154"/>
      <c r="J79" s="215"/>
    </row>
    <row r="80" spans="1:11" s="39" customFormat="1" ht="21" customHeight="1" thickBot="1" x14ac:dyDescent="0.25">
      <c r="A80" s="1516"/>
      <c r="B80" s="1516"/>
      <c r="C80" s="1635" t="s">
        <v>1339</v>
      </c>
      <c r="D80" s="1516"/>
      <c r="E80" s="1516"/>
      <c r="F80" s="1516"/>
      <c r="G80" s="1516"/>
      <c r="H80" s="154"/>
      <c r="I80" s="154"/>
      <c r="J80" s="213"/>
      <c r="K80" s="7"/>
    </row>
    <row r="81" spans="1:11" s="39" customFormat="1" ht="21" customHeight="1" thickBot="1" x14ac:dyDescent="0.25">
      <c r="A81" s="1516"/>
      <c r="B81" s="1516"/>
      <c r="C81" s="918" t="s">
        <v>1106</v>
      </c>
      <c r="D81" s="1517"/>
      <c r="E81" s="1517"/>
      <c r="F81" s="1517"/>
      <c r="G81" s="1517"/>
      <c r="H81" s="154"/>
      <c r="I81" s="154"/>
      <c r="J81" s="213"/>
      <c r="K81" s="7"/>
    </row>
    <row r="82" spans="1:11" s="39" customFormat="1" ht="21" customHeight="1" thickBot="1" x14ac:dyDescent="0.25">
      <c r="A82" s="1516"/>
      <c r="B82" s="1516"/>
      <c r="C82" s="101" t="s">
        <v>2178</v>
      </c>
      <c r="D82" s="420"/>
      <c r="E82" s="420"/>
      <c r="F82" s="420"/>
      <c r="G82" s="1631">
        <f>IF((OutNone + OutNone1&gt;0),10, 10*AVERAGE(SHADE1A, SOLAR1A, GWIN1A, OUT7A))</f>
        <v>0.625</v>
      </c>
      <c r="H82" s="154"/>
      <c r="I82" s="154"/>
      <c r="J82" s="213"/>
      <c r="K82" s="7"/>
    </row>
    <row r="83" spans="1:11" ht="21" customHeight="1" thickBot="1" x14ac:dyDescent="0.25">
      <c r="A83" s="1537" t="s">
        <v>507</v>
      </c>
      <c r="B83" s="1537"/>
      <c r="C83" s="1537"/>
      <c r="D83" s="1537"/>
      <c r="E83" s="1537"/>
      <c r="F83" s="1537"/>
      <c r="G83" s="1537"/>
      <c r="H83" s="1537"/>
      <c r="I83" s="100" t="s">
        <v>357</v>
      </c>
      <c r="J83" s="219"/>
    </row>
    <row r="84" spans="1:11" ht="42" customHeight="1" x14ac:dyDescent="0.2">
      <c r="A84" s="1537"/>
      <c r="B84" s="1537"/>
      <c r="C84" s="1537"/>
      <c r="D84" s="1537"/>
      <c r="E84" s="1537"/>
      <c r="F84" s="1537"/>
      <c r="G84" s="1537"/>
      <c r="H84" s="1537"/>
      <c r="I84" s="666" t="s">
        <v>368</v>
      </c>
      <c r="J84" s="219"/>
    </row>
    <row r="85" spans="1:11" ht="42" customHeight="1" x14ac:dyDescent="0.2">
      <c r="A85" s="1537"/>
      <c r="B85" s="1537"/>
      <c r="C85" s="1537"/>
      <c r="D85" s="1537"/>
      <c r="E85" s="1537"/>
      <c r="F85" s="1537"/>
      <c r="G85" s="1537"/>
      <c r="H85" s="1537"/>
      <c r="I85" s="666" t="s">
        <v>2040</v>
      </c>
      <c r="J85" s="219"/>
    </row>
    <row r="86" spans="1:11" ht="42" customHeight="1" x14ac:dyDescent="0.2">
      <c r="A86" s="1537"/>
      <c r="B86" s="1537"/>
      <c r="C86" s="1537"/>
      <c r="D86" s="1537"/>
      <c r="E86" s="1537"/>
      <c r="F86" s="1537"/>
      <c r="G86" s="1537"/>
      <c r="H86" s="1537"/>
      <c r="I86" s="664" t="s">
        <v>369</v>
      </c>
      <c r="J86" s="219"/>
    </row>
    <row r="87" spans="1:11" ht="42" customHeight="1" x14ac:dyDescent="0.2">
      <c r="A87" s="1537"/>
      <c r="B87" s="1537"/>
      <c r="C87" s="1537"/>
      <c r="D87" s="1537"/>
      <c r="E87" s="1537"/>
      <c r="F87" s="1537"/>
      <c r="G87" s="1537"/>
      <c r="H87" s="1537"/>
      <c r="I87" s="664" t="s">
        <v>2039</v>
      </c>
      <c r="J87" s="219"/>
    </row>
    <row r="88" spans="1:11" ht="27" customHeight="1" x14ac:dyDescent="0.2">
      <c r="A88" s="1537"/>
      <c r="B88" s="1537"/>
      <c r="C88" s="1537"/>
      <c r="D88" s="1537"/>
      <c r="E88" s="1537"/>
      <c r="F88" s="1537"/>
      <c r="G88" s="1537"/>
      <c r="H88" s="1537"/>
      <c r="I88" s="664" t="s">
        <v>2041</v>
      </c>
      <c r="J88" s="219"/>
    </row>
    <row r="89" spans="1:11" ht="42" customHeight="1" x14ac:dyDescent="0.2">
      <c r="A89" s="1537"/>
      <c r="B89" s="1537"/>
      <c r="C89" s="1537"/>
      <c r="D89" s="1537"/>
      <c r="E89" s="1537"/>
      <c r="F89" s="1537"/>
      <c r="G89" s="1537"/>
      <c r="H89" s="1537"/>
      <c r="I89" s="664" t="s">
        <v>370</v>
      </c>
      <c r="J89" s="219"/>
    </row>
    <row r="90" spans="1:11" ht="54" customHeight="1" x14ac:dyDescent="0.2">
      <c r="A90" s="1537"/>
      <c r="B90" s="1537"/>
      <c r="C90" s="1537"/>
      <c r="D90" s="1537"/>
      <c r="E90" s="1537"/>
      <c r="F90" s="1537"/>
      <c r="G90" s="1537"/>
      <c r="H90" s="1537"/>
      <c r="I90" s="667" t="s">
        <v>371</v>
      </c>
      <c r="J90" s="219"/>
    </row>
    <row r="91" spans="1:11" ht="42" customHeight="1" x14ac:dyDescent="0.2">
      <c r="A91" s="1537"/>
      <c r="B91" s="1537"/>
      <c r="C91" s="1537"/>
      <c r="D91" s="1537"/>
      <c r="E91" s="1537"/>
      <c r="F91" s="1537"/>
      <c r="G91" s="1537"/>
      <c r="H91" s="1537"/>
      <c r="I91" s="664" t="s">
        <v>372</v>
      </c>
      <c r="J91" s="219"/>
    </row>
    <row r="92" spans="1:11" ht="42" customHeight="1" x14ac:dyDescent="0.2">
      <c r="A92" s="1537"/>
      <c r="B92" s="1537"/>
      <c r="C92" s="1537"/>
      <c r="D92" s="1537"/>
      <c r="E92" s="1537"/>
      <c r="F92" s="1537"/>
      <c r="G92" s="1537"/>
      <c r="H92" s="1537"/>
      <c r="I92" s="664" t="s">
        <v>373</v>
      </c>
      <c r="J92" s="219"/>
    </row>
    <row r="93" spans="1:11" ht="42" customHeight="1" x14ac:dyDescent="0.2">
      <c r="A93" s="1537"/>
      <c r="B93" s="1537"/>
      <c r="C93" s="1537"/>
      <c r="D93" s="1537"/>
      <c r="E93" s="1537"/>
      <c r="F93" s="1537"/>
      <c r="G93" s="1537"/>
      <c r="H93" s="1537"/>
      <c r="I93" s="664" t="s">
        <v>374</v>
      </c>
      <c r="J93" s="219"/>
    </row>
    <row r="94" spans="1:11" ht="42" customHeight="1" x14ac:dyDescent="0.2">
      <c r="A94" s="1537"/>
      <c r="B94" s="1537"/>
      <c r="C94" s="1537"/>
      <c r="D94" s="1537"/>
      <c r="E94" s="1537"/>
      <c r="F94" s="1537"/>
      <c r="G94" s="1537"/>
      <c r="H94" s="1537"/>
      <c r="I94" s="664" t="s">
        <v>375</v>
      </c>
      <c r="J94" s="219"/>
    </row>
    <row r="95" spans="1:11" ht="42" customHeight="1" thickBot="1" x14ac:dyDescent="0.25">
      <c r="A95" s="1537"/>
      <c r="B95" s="1537"/>
      <c r="C95" s="1537"/>
      <c r="D95" s="1537"/>
      <c r="E95" s="1537"/>
      <c r="F95" s="1537"/>
      <c r="G95" s="1537"/>
      <c r="H95" s="1537"/>
      <c r="I95" s="665" t="s">
        <v>376</v>
      </c>
      <c r="J95" s="219"/>
    </row>
    <row r="96" spans="1:11" ht="42" customHeight="1" x14ac:dyDescent="0.2">
      <c r="A96" s="1537"/>
      <c r="B96" s="1537"/>
      <c r="C96" s="1537"/>
      <c r="D96" s="1537"/>
      <c r="E96" s="1537"/>
      <c r="F96" s="1537"/>
      <c r="G96" s="1537"/>
      <c r="H96" s="1537"/>
      <c r="I96" s="836"/>
      <c r="J96" s="219"/>
    </row>
    <row r="97" spans="1:10" ht="42" customHeight="1" x14ac:dyDescent="0.2">
      <c r="A97" s="1537"/>
      <c r="B97" s="1537"/>
      <c r="C97" s="1537"/>
      <c r="D97" s="1537"/>
      <c r="E97" s="1537"/>
      <c r="F97" s="1537"/>
      <c r="G97" s="1537"/>
      <c r="H97" s="1537"/>
      <c r="I97" s="154"/>
      <c r="J97" s="219"/>
    </row>
    <row r="98" spans="1:10" ht="42" customHeight="1" x14ac:dyDescent="0.2">
      <c r="A98" s="1537"/>
      <c r="B98" s="1537"/>
      <c r="C98" s="1537"/>
      <c r="D98" s="1537"/>
      <c r="E98" s="1537"/>
      <c r="F98" s="1537"/>
      <c r="G98" s="1537"/>
      <c r="H98" s="1537"/>
      <c r="I98" s="154"/>
      <c r="J98" s="219"/>
    </row>
    <row r="99" spans="1:10" ht="42" customHeight="1" x14ac:dyDescent="0.2">
      <c r="A99" s="154"/>
      <c r="B99" s="154"/>
      <c r="C99" s="154"/>
      <c r="D99" s="154"/>
      <c r="E99" s="154"/>
      <c r="F99" s="154"/>
      <c r="G99" s="154"/>
      <c r="H99" s="154"/>
      <c r="I99" s="154"/>
      <c r="J99" s="219"/>
    </row>
    <row r="100" spans="1:10" ht="42" customHeight="1" x14ac:dyDescent="0.2">
      <c r="A100" s="154"/>
      <c r="D100" s="274"/>
      <c r="E100" s="154"/>
      <c r="F100" s="154"/>
      <c r="G100" s="154"/>
      <c r="H100" s="154"/>
      <c r="I100" s="154"/>
      <c r="J100" s="219"/>
    </row>
    <row r="101" spans="1:10" ht="42" customHeight="1" x14ac:dyDescent="0.2">
      <c r="A101" s="154"/>
      <c r="E101" s="154"/>
      <c r="F101" s="154"/>
      <c r="G101" s="154"/>
      <c r="H101" s="154"/>
      <c r="I101" s="154"/>
      <c r="J101" s="219"/>
    </row>
    <row r="102" spans="1:10" ht="21" customHeight="1" x14ac:dyDescent="0.2">
      <c r="A102" s="7"/>
      <c r="E102" s="7"/>
      <c r="F102" s="7"/>
      <c r="G102" s="7"/>
      <c r="H102" s="7"/>
      <c r="I102" s="7"/>
      <c r="J102" s="219"/>
    </row>
    <row r="103" spans="1:10" s="16" customFormat="1" ht="18.600000000000001" customHeight="1" x14ac:dyDescent="0.2">
      <c r="A103" s="25"/>
      <c r="B103" s="20"/>
      <c r="C103" s="7"/>
      <c r="D103" s="458"/>
      <c r="E103" s="7"/>
      <c r="F103" s="7"/>
      <c r="G103" s="198"/>
      <c r="H103" s="208"/>
      <c r="I103" s="20"/>
      <c r="J103" s="220"/>
    </row>
  </sheetData>
  <sheetProtection password="C4B9" sheet="1" objects="1" scenarios="1"/>
  <sortState ref="A3:K9">
    <sortCondition ref="H3:H9"/>
  </sortState>
  <customSheetViews>
    <customSheetView guid="{B8E02330-2419-4DE6-AD01-7ACC7A5D18DD}" scale="75" topLeftCell="A35">
      <selection activeCell="A2" sqref="A2:H47"/>
      <pageMargins left="0.75" right="0.75" top="1" bottom="1" header="0.5" footer="0.5"/>
      <pageSetup orientation="portrait" r:id="rId1"/>
      <headerFooter alignWithMargins="0"/>
    </customSheetView>
  </customSheetViews>
  <mergeCells count="39">
    <mergeCell ref="D76:G77"/>
    <mergeCell ref="A49:A55"/>
    <mergeCell ref="I16:I21"/>
    <mergeCell ref="B16:B21"/>
    <mergeCell ref="A16:A21"/>
    <mergeCell ref="I22:I28"/>
    <mergeCell ref="I49:I55"/>
    <mergeCell ref="B41:B48"/>
    <mergeCell ref="I41:I48"/>
    <mergeCell ref="B49:B55"/>
    <mergeCell ref="A41:A48"/>
    <mergeCell ref="H41:H48"/>
    <mergeCell ref="H49:H55"/>
    <mergeCell ref="I56:I61"/>
    <mergeCell ref="A56:A61"/>
    <mergeCell ref="B56:B61"/>
    <mergeCell ref="H11:H15"/>
    <mergeCell ref="H16:H21"/>
    <mergeCell ref="H22:H28"/>
    <mergeCell ref="E1:H1"/>
    <mergeCell ref="I35:I40"/>
    <mergeCell ref="I29:I34"/>
    <mergeCell ref="I11:I15"/>
    <mergeCell ref="H35:H40"/>
    <mergeCell ref="H29:H34"/>
    <mergeCell ref="A1:B1"/>
    <mergeCell ref="B35:B40"/>
    <mergeCell ref="A22:A28"/>
    <mergeCell ref="A29:A34"/>
    <mergeCell ref="A35:A40"/>
    <mergeCell ref="B22:B28"/>
    <mergeCell ref="B29:B34"/>
    <mergeCell ref="A11:A15"/>
    <mergeCell ref="B11:B15"/>
    <mergeCell ref="I62:I65"/>
    <mergeCell ref="B62:B65"/>
    <mergeCell ref="A62:A65"/>
    <mergeCell ref="H56:H61"/>
    <mergeCell ref="H62:H65"/>
  </mergeCells>
  <phoneticPr fontId="5" type="noConversion"/>
  <conditionalFormatting sqref="D11:D27 D29:D33 D35:D39 D41 D43:D49 D51:D56 D58:D62 D64:D65 D68:D69 D71:D73 D75:D76 D78:D79 D82">
    <cfRule type="cellIs" dxfId="14" priority="1" operator="greaterThan">
      <formula>0</formula>
    </cfRule>
  </conditionalFormatting>
  <pageMargins left="0.75" right="0.75" top="1" bottom="1" header="0.5" footer="0.5"/>
  <pageSetup orientation="portrait" r:id="rId2"/>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R232"/>
  <sheetViews>
    <sheetView zoomScaleNormal="100" workbookViewId="0">
      <selection activeCell="I99" sqref="I99"/>
    </sheetView>
  </sheetViews>
  <sheetFormatPr defaultColWidth="9.33203125" defaultRowHeight="12.75" x14ac:dyDescent="0.2"/>
  <cols>
    <col min="1" max="1" width="5.83203125" style="45" customWidth="1"/>
    <col min="2" max="2" width="18.83203125" style="44" customWidth="1"/>
    <col min="3" max="3" width="69.83203125" style="44" customWidth="1"/>
    <col min="4" max="6" width="6.83203125" style="481" customWidth="1"/>
    <col min="7" max="7" width="9.83203125" style="482" customWidth="1"/>
    <col min="8" max="8" width="12.33203125" style="208" customWidth="1"/>
    <col min="9" max="9" width="69.83203125" style="49" customWidth="1"/>
    <col min="10" max="10" width="9.33203125" style="200"/>
    <col min="11" max="12" width="9.33203125" style="39"/>
    <col min="13" max="13" width="44" style="39" customWidth="1"/>
    <col min="14" max="16384" width="9.33203125" style="39"/>
  </cols>
  <sheetData>
    <row r="1" spans="1:70" s="79" customFormat="1" ht="114" customHeight="1" thickBot="1" x14ac:dyDescent="0.25">
      <c r="A1" s="2154" t="s">
        <v>2377</v>
      </c>
      <c r="B1" s="2155"/>
      <c r="C1" s="77" t="s">
        <v>660</v>
      </c>
      <c r="D1" s="95" t="s">
        <v>661</v>
      </c>
      <c r="E1" s="2164"/>
      <c r="F1" s="2165"/>
      <c r="G1" s="2165"/>
      <c r="H1" s="2166"/>
      <c r="I1" s="99" t="s">
        <v>1433</v>
      </c>
      <c r="J1" s="222"/>
    </row>
    <row r="2" spans="1:70" s="151" customFormat="1" ht="42" customHeight="1" thickBot="1" x14ac:dyDescent="0.35">
      <c r="A2" s="1605" t="s">
        <v>110</v>
      </c>
      <c r="B2" s="1606" t="s">
        <v>1096</v>
      </c>
      <c r="C2" s="1607" t="s">
        <v>1395</v>
      </c>
      <c r="D2" s="1605"/>
      <c r="E2" s="1608"/>
      <c r="F2" s="1609"/>
      <c r="G2" s="1610" t="s">
        <v>1111</v>
      </c>
      <c r="H2" s="1611" t="s">
        <v>1108</v>
      </c>
      <c r="I2" s="1606" t="s">
        <v>304</v>
      </c>
      <c r="J2" s="257"/>
      <c r="M2" s="334"/>
    </row>
    <row r="3" spans="1:70" s="151" customFormat="1" ht="30" customHeight="1" thickBot="1" x14ac:dyDescent="0.35">
      <c r="A3" s="859" t="str">
        <f>OF!A5</f>
        <v>OF4</v>
      </c>
      <c r="B3" s="855" t="str">
        <f>OF!C5</f>
        <v>Channel Connection</v>
      </c>
      <c r="C3" s="860"/>
      <c r="D3" s="861"/>
      <c r="E3" s="862"/>
      <c r="F3" s="862"/>
      <c r="G3" s="863" t="str">
        <f>IF((ChannConn=""),"",ChannConn)</f>
        <v/>
      </c>
      <c r="H3" s="856" t="s">
        <v>1330</v>
      </c>
      <c r="I3" s="864" t="s">
        <v>1353</v>
      </c>
      <c r="J3" s="257"/>
    </row>
    <row r="4" spans="1:70" s="155" customFormat="1" ht="30" customHeight="1" thickBot="1" x14ac:dyDescent="0.25">
      <c r="A4" s="709" t="str">
        <f>OF!A23</f>
        <v>OF22</v>
      </c>
      <c r="B4" s="710" t="str">
        <f>OF!C23</f>
        <v>L/G Index (Residence Time)</v>
      </c>
      <c r="C4" s="748"/>
      <c r="D4" s="712"/>
      <c r="E4" s="713"/>
      <c r="F4" s="713"/>
      <c r="G4" s="740" t="str">
        <f>IF((LGIndex=""),"",LGIndex)</f>
        <v/>
      </c>
      <c r="H4" s="741" t="s">
        <v>1024</v>
      </c>
      <c r="I4" s="857" t="s">
        <v>611</v>
      </c>
      <c r="J4" s="221"/>
    </row>
    <row r="5" spans="1:70" ht="40.5" customHeight="1" thickBot="1" x14ac:dyDescent="0.25">
      <c r="A5" s="714" t="str">
        <f>OF!A28</f>
        <v>OF27</v>
      </c>
      <c r="B5" s="715" t="str">
        <f>OF!C28</f>
        <v>Interspersion Index for Internal Water &amp; Vegetation (macroscale)</v>
      </c>
      <c r="C5" s="749"/>
      <c r="D5" s="716"/>
      <c r="E5" s="717"/>
      <c r="F5" s="717"/>
      <c r="G5" s="761" t="str">
        <f>IF((MixWaterVeg=""),"",MixWaterVeg)</f>
        <v/>
      </c>
      <c r="H5" s="767" t="s">
        <v>1032</v>
      </c>
      <c r="I5" s="865" t="s">
        <v>1686</v>
      </c>
      <c r="J5" s="223"/>
      <c r="K5" s="155"/>
      <c r="L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row>
    <row r="6" spans="1:70" s="155" customFormat="1" ht="57" customHeight="1" thickBot="1" x14ac:dyDescent="0.25">
      <c r="A6" s="709" t="str">
        <f>OF!A31</f>
        <v>OF30</v>
      </c>
      <c r="B6" s="710" t="str">
        <f>OF!C31</f>
        <v>% of AA that is Open Water (macro scale)</v>
      </c>
      <c r="C6" s="748" t="s">
        <v>1396</v>
      </c>
      <c r="D6" s="712"/>
      <c r="E6" s="713"/>
      <c r="F6" s="713"/>
      <c r="G6" s="740" t="str">
        <f>IF((OWpct=""),"",1-OWpct)</f>
        <v/>
      </c>
      <c r="H6" s="858" t="s">
        <v>1205</v>
      </c>
      <c r="I6" s="711" t="s">
        <v>1687</v>
      </c>
      <c r="J6" s="274"/>
      <c r="K6" s="245"/>
      <c r="L6" s="7"/>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row>
    <row r="7" spans="1:70" s="155" customFormat="1" ht="57" customHeight="1" thickBot="1" x14ac:dyDescent="0.25">
      <c r="A7" s="714" t="str">
        <f>OF!A46</f>
        <v>OF45</v>
      </c>
      <c r="B7" s="715" t="str">
        <f>OF!C46</f>
        <v xml:space="preserve">% Slope </v>
      </c>
      <c r="C7" s="749"/>
      <c r="D7" s="716"/>
      <c r="E7" s="717"/>
      <c r="F7" s="717"/>
      <c r="G7" s="761" t="str">
        <f>IF((SlopeBuffer=""),"",SlopeBuffer)</f>
        <v/>
      </c>
      <c r="H7" s="767" t="s">
        <v>1246</v>
      </c>
      <c r="I7" s="865" t="s">
        <v>1688</v>
      </c>
      <c r="J7" s="221"/>
      <c r="K7" s="245"/>
    </row>
    <row r="8" spans="1:70" s="155" customFormat="1" ht="30" customHeight="1" thickBot="1" x14ac:dyDescent="0.25">
      <c r="A8" s="709" t="str">
        <f>OF!A52</f>
        <v>OF51</v>
      </c>
      <c r="B8" s="710" t="str">
        <f>OF!C52</f>
        <v>Subzero Days</v>
      </c>
      <c r="C8" s="748" t="s">
        <v>1396</v>
      </c>
      <c r="D8" s="712"/>
      <c r="E8" s="713"/>
      <c r="F8" s="713"/>
      <c r="G8" s="740" t="str">
        <f>IF((Sub0Days=""),"",1-Sub0Days)</f>
        <v/>
      </c>
      <c r="H8" s="741" t="s">
        <v>1066</v>
      </c>
      <c r="I8" s="711" t="s">
        <v>1689</v>
      </c>
      <c r="J8" s="221"/>
      <c r="K8" s="245"/>
    </row>
    <row r="9" spans="1:70" s="155" customFormat="1" ht="57.6" customHeight="1" thickBot="1" x14ac:dyDescent="0.25">
      <c r="A9" s="671" t="str">
        <f>OF!A69</f>
        <v>OF68</v>
      </c>
      <c r="B9" s="839" t="str">
        <f>OF!C69</f>
        <v>Wetland Vegetated Area</v>
      </c>
      <c r="C9" s="749"/>
      <c r="D9" s="716"/>
      <c r="E9" s="717"/>
      <c r="F9" s="717"/>
      <c r="G9" s="761" t="str">
        <f>IF((WetVegArea=""),"",WetVegArea)</f>
        <v/>
      </c>
      <c r="H9" s="767" t="s">
        <v>1011</v>
      </c>
      <c r="I9" s="865" t="s">
        <v>1690</v>
      </c>
      <c r="J9" s="221"/>
      <c r="K9" s="245"/>
    </row>
    <row r="10" spans="1:70" s="2" customFormat="1" ht="42" customHeight="1" thickBot="1" x14ac:dyDescent="0.25">
      <c r="A10" s="1622" t="s">
        <v>110</v>
      </c>
      <c r="B10" s="1613" t="s">
        <v>1110</v>
      </c>
      <c r="C10" s="1623" t="s">
        <v>1109</v>
      </c>
      <c r="D10" s="1624" t="s">
        <v>45</v>
      </c>
      <c r="E10" s="1625" t="s">
        <v>2028</v>
      </c>
      <c r="F10" s="1626" t="s">
        <v>2027</v>
      </c>
      <c r="G10" s="1627" t="s">
        <v>1111</v>
      </c>
      <c r="H10" s="1628" t="s">
        <v>1108</v>
      </c>
      <c r="I10" s="1629" t="s">
        <v>1503</v>
      </c>
      <c r="J10" s="59"/>
    </row>
    <row r="11" spans="1:70" ht="30" customHeight="1" thickBot="1" x14ac:dyDescent="0.25">
      <c r="A11" s="2163" t="str">
        <f>F!A39</f>
        <v>F8</v>
      </c>
      <c r="B11" s="2116" t="str">
        <f>F!B39</f>
        <v>% Flooded Only Seasonally</v>
      </c>
      <c r="C11" s="680" t="str">
        <f>F!C39</f>
        <v>The percentage of the AA that is covered by surface water only during the wettest time of year (and for &gt;2 consecutive days during that time) is:</v>
      </c>
      <c r="D11" s="461"/>
      <c r="E11" s="462"/>
      <c r="F11" s="463"/>
      <c r="G11" s="464">
        <f>IF((AllSat+AllSat1&gt;0),"",MAX(F12:F16)/MAX(E12:E16))</f>
        <v>0</v>
      </c>
      <c r="H11" s="2078" t="s">
        <v>242</v>
      </c>
      <c r="I11" s="2136" t="s">
        <v>1691</v>
      </c>
      <c r="J11" s="274"/>
      <c r="K11" s="7"/>
      <c r="L11" s="7"/>
      <c r="M11" s="7"/>
    </row>
    <row r="12" spans="1:70" ht="15" customHeight="1" x14ac:dyDescent="0.2">
      <c r="A12" s="2163"/>
      <c r="B12" s="2116"/>
      <c r="C12" s="843" t="str">
        <f>F!C40</f>
        <v xml:space="preserve">&lt;1%. </v>
      </c>
      <c r="D12" s="118">
        <f>F!D40</f>
        <v>0</v>
      </c>
      <c r="E12" s="465">
        <v>0</v>
      </c>
      <c r="F12" s="465">
        <f>D12*E12</f>
        <v>0</v>
      </c>
      <c r="G12" s="466"/>
      <c r="H12" s="2078"/>
      <c r="I12" s="2136"/>
      <c r="J12" s="274"/>
      <c r="K12" s="7"/>
      <c r="L12" s="7"/>
      <c r="M12" s="7"/>
    </row>
    <row r="13" spans="1:70" ht="15" customHeight="1" x14ac:dyDescent="0.2">
      <c r="A13" s="2163"/>
      <c r="B13" s="2116"/>
      <c r="C13" s="677" t="str">
        <f>F!C41</f>
        <v xml:space="preserve">1-25% </v>
      </c>
      <c r="D13" s="118">
        <f>F!D41</f>
        <v>0</v>
      </c>
      <c r="E13" s="465">
        <v>1</v>
      </c>
      <c r="F13" s="465">
        <f>D13*E13</f>
        <v>0</v>
      </c>
      <c r="G13" s="467"/>
      <c r="H13" s="2078"/>
      <c r="I13" s="2136"/>
      <c r="J13" s="274"/>
      <c r="K13" s="7"/>
      <c r="L13" s="7"/>
      <c r="M13" s="7"/>
    </row>
    <row r="14" spans="1:70" ht="15" customHeight="1" x14ac:dyDescent="0.2">
      <c r="A14" s="2163"/>
      <c r="B14" s="2116"/>
      <c r="C14" s="677" t="str">
        <f>F!C42</f>
        <v xml:space="preserve">25-50% </v>
      </c>
      <c r="D14" s="118">
        <f>F!D42</f>
        <v>0</v>
      </c>
      <c r="E14" s="465">
        <v>2</v>
      </c>
      <c r="F14" s="465">
        <f>D14*E14</f>
        <v>0</v>
      </c>
      <c r="G14" s="467"/>
      <c r="H14" s="2078"/>
      <c r="I14" s="2136"/>
      <c r="J14" s="274"/>
      <c r="K14" s="7"/>
      <c r="L14" s="7"/>
      <c r="M14" s="7"/>
    </row>
    <row r="15" spans="1:70" ht="15" customHeight="1" x14ac:dyDescent="0.2">
      <c r="A15" s="2163"/>
      <c r="B15" s="2116"/>
      <c r="C15" s="677" t="str">
        <f>F!C43</f>
        <v xml:space="preserve">50-95% </v>
      </c>
      <c r="D15" s="118">
        <f>F!D43</f>
        <v>0</v>
      </c>
      <c r="E15" s="465">
        <v>3</v>
      </c>
      <c r="F15" s="465">
        <f>D15*E15</f>
        <v>0</v>
      </c>
      <c r="G15" s="467"/>
      <c r="H15" s="2078"/>
      <c r="I15" s="2136"/>
      <c r="J15" s="274"/>
      <c r="K15" s="7"/>
      <c r="L15" s="7"/>
      <c r="M15" s="7"/>
    </row>
    <row r="16" spans="1:70" ht="15" customHeight="1" thickBot="1" x14ac:dyDescent="0.25">
      <c r="A16" s="2163"/>
      <c r="B16" s="2116"/>
      <c r="C16" s="673" t="str">
        <f>F!C44</f>
        <v xml:space="preserve">&gt;95% </v>
      </c>
      <c r="D16" s="719">
        <f>F!D44</f>
        <v>0</v>
      </c>
      <c r="E16" s="841">
        <v>4</v>
      </c>
      <c r="F16" s="841">
        <f>D16*E16</f>
        <v>0</v>
      </c>
      <c r="G16" s="840"/>
      <c r="H16" s="2078"/>
      <c r="I16" s="2136"/>
      <c r="J16" s="274"/>
      <c r="K16" s="7"/>
      <c r="L16" s="7"/>
      <c r="M16" s="7"/>
    </row>
    <row r="17" spans="1:13" s="44" customFormat="1" ht="30" customHeight="1" thickBot="1" x14ac:dyDescent="0.25">
      <c r="A17" s="2157" t="str">
        <f>F!A45</f>
        <v>F9</v>
      </c>
      <c r="B17" s="2160" t="str">
        <f>F!B45</f>
        <v>Annual Water Fluctuation Range</v>
      </c>
      <c r="C17" s="844" t="str">
        <f>F!C45</f>
        <v>The annual fluctuation in surface water level within most of the parts of the AA that contain surface water is:</v>
      </c>
      <c r="D17" s="703"/>
      <c r="E17" s="867"/>
      <c r="F17" s="867"/>
      <c r="G17" s="470">
        <f>IF((AllSat+AllSat1&gt;0),"",IF((NoSeasonal=1),"",MAX(F18:F21)/MAX(E18:E21)))</f>
        <v>0</v>
      </c>
      <c r="H17" s="2087" t="s">
        <v>241</v>
      </c>
      <c r="I17" s="2135" t="s">
        <v>2044</v>
      </c>
      <c r="J17" s="208"/>
      <c r="K17" s="8"/>
      <c r="L17" s="8"/>
      <c r="M17" s="8"/>
    </row>
    <row r="18" spans="1:13" s="44" customFormat="1" ht="15" customHeight="1" x14ac:dyDescent="0.2">
      <c r="A18" s="2158"/>
      <c r="B18" s="2161"/>
      <c r="C18" s="845" t="str">
        <f>F!C46</f>
        <v xml:space="preserve">&lt;10 cm change (stable) </v>
      </c>
      <c r="D18" s="728">
        <f>F!D46</f>
        <v>0</v>
      </c>
      <c r="E18" s="868">
        <v>1</v>
      </c>
      <c r="F18" s="868">
        <f>D18*E18</f>
        <v>0</v>
      </c>
      <c r="G18" s="467"/>
      <c r="H18" s="2083"/>
      <c r="I18" s="2136"/>
      <c r="J18" s="208"/>
      <c r="K18" s="8"/>
      <c r="L18" s="8"/>
      <c r="M18" s="8"/>
    </row>
    <row r="19" spans="1:13" s="44" customFormat="1" ht="15" customHeight="1" x14ac:dyDescent="0.2">
      <c r="A19" s="2158"/>
      <c r="B19" s="2161"/>
      <c r="C19" s="846" t="str">
        <f>F!C47</f>
        <v>10 cm - 50 cm change</v>
      </c>
      <c r="D19" s="728">
        <f>F!D47</f>
        <v>0</v>
      </c>
      <c r="E19" s="868">
        <v>2</v>
      </c>
      <c r="F19" s="868">
        <f>D19*E19</f>
        <v>0</v>
      </c>
      <c r="G19" s="467"/>
      <c r="H19" s="2083"/>
      <c r="I19" s="2136"/>
      <c r="J19" s="208"/>
      <c r="K19" s="8"/>
      <c r="L19" s="8"/>
      <c r="M19" s="8"/>
    </row>
    <row r="20" spans="1:13" s="44" customFormat="1" ht="15" customHeight="1" x14ac:dyDescent="0.2">
      <c r="A20" s="2158"/>
      <c r="B20" s="2161"/>
      <c r="C20" s="846" t="str">
        <f>F!C49</f>
        <v>1-2 m change</v>
      </c>
      <c r="D20" s="728">
        <f>F!D49</f>
        <v>0</v>
      </c>
      <c r="E20" s="868">
        <v>3</v>
      </c>
      <c r="F20" s="868">
        <f>D20*E20</f>
        <v>0</v>
      </c>
      <c r="G20" s="467"/>
      <c r="H20" s="2083"/>
      <c r="I20" s="2136"/>
      <c r="J20" s="208"/>
      <c r="K20" s="8"/>
      <c r="L20" s="8"/>
      <c r="M20" s="8"/>
    </row>
    <row r="21" spans="1:13" s="44" customFormat="1" ht="15" customHeight="1" thickBot="1" x14ac:dyDescent="0.25">
      <c r="A21" s="2159"/>
      <c r="B21" s="2162"/>
      <c r="C21" s="847" t="str">
        <f>F!C50</f>
        <v>&gt;2 m change</v>
      </c>
      <c r="D21" s="285">
        <f>F!D50</f>
        <v>0</v>
      </c>
      <c r="E21" s="471">
        <v>4</v>
      </c>
      <c r="F21" s="471">
        <f>D21*E21</f>
        <v>0</v>
      </c>
      <c r="G21" s="472"/>
      <c r="H21" s="2088"/>
      <c r="I21" s="2137"/>
      <c r="J21" s="208"/>
      <c r="K21" s="8"/>
      <c r="L21" s="8"/>
      <c r="M21" s="8"/>
    </row>
    <row r="22" spans="1:13" ht="30" customHeight="1" thickBot="1" x14ac:dyDescent="0.25">
      <c r="A22" s="2163" t="str">
        <f>F!A52</f>
        <v>F10</v>
      </c>
      <c r="B22" s="2156" t="str">
        <f>F!B52</f>
        <v>Predominant Depth Class</v>
      </c>
      <c r="C22" s="680" t="str">
        <f>F!C52</f>
        <v>During most of the time when water is present, its depth in most of the area is: [Note: This is not asking for the maximum depth.]</v>
      </c>
      <c r="D22" s="866"/>
      <c r="E22" s="462"/>
      <c r="F22" s="463"/>
      <c r="G22" s="473">
        <f>IF((AllSat+AllSat1&gt;0),"", IF((SmallAA=1),"", MAX(F23:F27)/MAX(E23:E27)))</f>
        <v>0</v>
      </c>
      <c r="H22" s="2078" t="s">
        <v>243</v>
      </c>
      <c r="I22" s="2136" t="s">
        <v>1692</v>
      </c>
      <c r="J22" s="274"/>
      <c r="K22" s="7"/>
      <c r="L22" s="7"/>
      <c r="M22" s="7"/>
    </row>
    <row r="23" spans="1:13" ht="15" customHeight="1" x14ac:dyDescent="0.2">
      <c r="A23" s="2163"/>
      <c r="B23" s="2156"/>
      <c r="C23" s="843" t="str">
        <f>F!C53</f>
        <v>&lt;10 cm deep (but &gt;0)</v>
      </c>
      <c r="D23" s="120">
        <f>F!D53</f>
        <v>0</v>
      </c>
      <c r="E23" s="465">
        <v>1</v>
      </c>
      <c r="F23" s="465">
        <f>D23*E23</f>
        <v>0</v>
      </c>
      <c r="G23" s="466"/>
      <c r="H23" s="2078"/>
      <c r="I23" s="2136"/>
      <c r="J23" s="274"/>
      <c r="K23" s="7"/>
      <c r="L23" s="7"/>
      <c r="M23" s="7"/>
    </row>
    <row r="24" spans="1:13" ht="15" customHeight="1" x14ac:dyDescent="0.2">
      <c r="A24" s="2163"/>
      <c r="B24" s="2156"/>
      <c r="C24" s="677" t="str">
        <f>F!C54</f>
        <v>10 - 50 cm deep</v>
      </c>
      <c r="D24" s="120">
        <f>F!D54</f>
        <v>0</v>
      </c>
      <c r="E24" s="465">
        <v>2</v>
      </c>
      <c r="F24" s="465">
        <f>D24*E24</f>
        <v>0</v>
      </c>
      <c r="G24" s="467"/>
      <c r="H24" s="2078"/>
      <c r="I24" s="2136"/>
      <c r="J24" s="274"/>
      <c r="K24" s="7"/>
      <c r="L24" s="7"/>
      <c r="M24" s="7"/>
    </row>
    <row r="25" spans="1:13" ht="15" customHeight="1" x14ac:dyDescent="0.2">
      <c r="A25" s="2163"/>
      <c r="B25" s="2156"/>
      <c r="C25" s="677" t="str">
        <f>F!C55</f>
        <v>0.5 - 1 m deep</v>
      </c>
      <c r="D25" s="120">
        <f>F!D55</f>
        <v>0</v>
      </c>
      <c r="E25" s="465">
        <v>3</v>
      </c>
      <c r="F25" s="465">
        <f>D25*E25</f>
        <v>0</v>
      </c>
      <c r="G25" s="467"/>
      <c r="H25" s="2078"/>
      <c r="I25" s="2136"/>
      <c r="J25" s="274"/>
      <c r="K25" s="7"/>
      <c r="L25" s="7"/>
      <c r="M25" s="7"/>
    </row>
    <row r="26" spans="1:13" ht="15" customHeight="1" x14ac:dyDescent="0.2">
      <c r="A26" s="2163"/>
      <c r="B26" s="2156"/>
      <c r="C26" s="677" t="str">
        <f>F!C56</f>
        <v>1 - 2 m deep</v>
      </c>
      <c r="D26" s="120">
        <f>F!D56</f>
        <v>0</v>
      </c>
      <c r="E26" s="465">
        <v>4</v>
      </c>
      <c r="F26" s="465">
        <f>D26*E26</f>
        <v>0</v>
      </c>
      <c r="G26" s="467"/>
      <c r="H26" s="2078"/>
      <c r="I26" s="2136"/>
      <c r="J26" s="274"/>
      <c r="K26" s="7"/>
      <c r="L26" s="7"/>
      <c r="M26" s="7"/>
    </row>
    <row r="27" spans="1:13" ht="15" customHeight="1" thickBot="1" x14ac:dyDescent="0.25">
      <c r="A27" s="2163"/>
      <c r="B27" s="2156"/>
      <c r="C27" s="673" t="str">
        <f>F!C57</f>
        <v>&gt;2 m deep.  True for many fringe wetlands.</v>
      </c>
      <c r="D27" s="719">
        <f>F!D57</f>
        <v>0</v>
      </c>
      <c r="E27" s="841">
        <v>5</v>
      </c>
      <c r="F27" s="841">
        <f>D27*E27</f>
        <v>0</v>
      </c>
      <c r="G27" s="840"/>
      <c r="H27" s="2078"/>
      <c r="I27" s="2136"/>
      <c r="J27" s="274"/>
      <c r="K27" s="7"/>
      <c r="L27" s="7"/>
      <c r="M27" s="7"/>
    </row>
    <row r="28" spans="1:13" s="44" customFormat="1" ht="45" customHeight="1" thickBot="1" x14ac:dyDescent="0.25">
      <c r="A28" s="2107" t="str">
        <f>F!A62</f>
        <v>F12</v>
      </c>
      <c r="B28" s="2115" t="str">
        <f>F!B62</f>
        <v xml:space="preserve">% of Water Ponded vs. Flowing </v>
      </c>
      <c r="C28" s="675" t="str">
        <f>F!C62</f>
        <v>The percentage of the AA's surface water that is ponded (stagnant, or flows so slowly that fine sediment is not held in suspension) during most of the time it is present, and which is either open or shaded by emergent vegetation is:</v>
      </c>
      <c r="D28" s="703"/>
      <c r="E28" s="867"/>
      <c r="F28" s="475"/>
      <c r="G28" s="470">
        <f>IF((AllSat+AllSat1&gt;0),"", IF((SmallAA=1),"", MAX(F29:F35)/MAX(E29:E35)))</f>
        <v>0</v>
      </c>
      <c r="H28" s="2087" t="s">
        <v>1208</v>
      </c>
      <c r="I28" s="2135" t="s">
        <v>1695</v>
      </c>
      <c r="J28" s="208"/>
      <c r="K28" s="8"/>
      <c r="L28" s="8"/>
      <c r="M28" s="8"/>
    </row>
    <row r="29" spans="1:13" s="44" customFormat="1" ht="27" customHeight="1" x14ac:dyDescent="0.2">
      <c r="A29" s="2178"/>
      <c r="B29" s="2172"/>
      <c r="C29" s="843" t="str">
        <f>F!C63</f>
        <v>&lt;1% or none, or occupies &lt;0.01 hectare cumulatively.  Nearly all water is flowing.  Enter "1" and SKIP to F21 (Stained Surface Water).</v>
      </c>
      <c r="D29" s="705">
        <f>F!D63</f>
        <v>0</v>
      </c>
      <c r="E29" s="868">
        <v>0</v>
      </c>
      <c r="F29" s="868">
        <f t="shared" ref="F29:F35" si="0">D29*E29</f>
        <v>0</v>
      </c>
      <c r="G29" s="467"/>
      <c r="H29" s="2083"/>
      <c r="I29" s="2167"/>
      <c r="J29" s="208"/>
      <c r="K29" s="8"/>
      <c r="L29" s="8"/>
      <c r="M29" s="8"/>
    </row>
    <row r="30" spans="1:13" s="44" customFormat="1" ht="15" customHeight="1" x14ac:dyDescent="0.2">
      <c r="A30" s="2178"/>
      <c r="B30" s="2172"/>
      <c r="C30" s="677" t="str">
        <f>F!C64</f>
        <v>1-5% of the water, and mainly in small pools.  The rest is flowing.</v>
      </c>
      <c r="D30" s="705">
        <f>F!D64</f>
        <v>0</v>
      </c>
      <c r="E30" s="868">
        <v>2</v>
      </c>
      <c r="F30" s="868">
        <f t="shared" si="0"/>
        <v>0</v>
      </c>
      <c r="G30" s="467"/>
      <c r="H30" s="2083"/>
      <c r="I30" s="2167"/>
      <c r="J30" s="208"/>
      <c r="K30" s="8"/>
      <c r="L30" s="8"/>
      <c r="M30" s="8"/>
    </row>
    <row r="31" spans="1:13" s="44" customFormat="1" ht="15" customHeight="1" x14ac:dyDescent="0.2">
      <c r="A31" s="2178"/>
      <c r="B31" s="2172"/>
      <c r="C31" s="677" t="str">
        <f>F!C65</f>
        <v>1-5% of the water, and mainly in a single large pool or pond.  The rest is flowing.</v>
      </c>
      <c r="D31" s="705">
        <f>F!D65</f>
        <v>0</v>
      </c>
      <c r="E31" s="868">
        <v>2</v>
      </c>
      <c r="F31" s="868">
        <f t="shared" si="0"/>
        <v>0</v>
      </c>
      <c r="G31" s="467"/>
      <c r="H31" s="2083"/>
      <c r="I31" s="2167"/>
      <c r="J31" s="208"/>
      <c r="K31" s="8"/>
      <c r="L31" s="8"/>
      <c r="M31" s="8"/>
    </row>
    <row r="32" spans="1:13" s="44" customFormat="1" ht="15" customHeight="1" x14ac:dyDescent="0.2">
      <c r="A32" s="2178"/>
      <c r="B32" s="2172"/>
      <c r="C32" s="677" t="str">
        <f>F!C66</f>
        <v>5-30% of the water</v>
      </c>
      <c r="D32" s="705">
        <f>F!D66</f>
        <v>0</v>
      </c>
      <c r="E32" s="868">
        <v>3</v>
      </c>
      <c r="F32" s="868">
        <f t="shared" si="0"/>
        <v>0</v>
      </c>
      <c r="G32" s="467"/>
      <c r="H32" s="2083"/>
      <c r="I32" s="2167"/>
      <c r="J32" s="208"/>
      <c r="K32" s="8"/>
      <c r="L32" s="8"/>
      <c r="M32" s="8"/>
    </row>
    <row r="33" spans="1:13" s="44" customFormat="1" ht="15" customHeight="1" x14ac:dyDescent="0.2">
      <c r="A33" s="2178"/>
      <c r="B33" s="2172"/>
      <c r="C33" s="677" t="str">
        <f>F!C67</f>
        <v>30-70% of the water</v>
      </c>
      <c r="D33" s="705">
        <f>F!D67</f>
        <v>0</v>
      </c>
      <c r="E33" s="868">
        <v>4</v>
      </c>
      <c r="F33" s="868">
        <f t="shared" si="0"/>
        <v>0</v>
      </c>
      <c r="G33" s="840"/>
      <c r="H33" s="2083"/>
      <c r="I33" s="2167"/>
      <c r="J33" s="208"/>
      <c r="K33" s="8"/>
      <c r="L33" s="8"/>
      <c r="M33" s="8"/>
    </row>
    <row r="34" spans="1:13" s="44" customFormat="1" ht="15" customHeight="1" x14ac:dyDescent="0.2">
      <c r="A34" s="2178"/>
      <c r="B34" s="2172"/>
      <c r="C34" s="677" t="str">
        <f>F!C68</f>
        <v>70-95% of the water</v>
      </c>
      <c r="D34" s="705">
        <f>F!D68</f>
        <v>0</v>
      </c>
      <c r="E34" s="868">
        <v>5</v>
      </c>
      <c r="F34" s="868">
        <f t="shared" si="0"/>
        <v>0</v>
      </c>
      <c r="G34" s="840"/>
      <c r="H34" s="2083"/>
      <c r="I34" s="2167"/>
      <c r="J34" s="208"/>
      <c r="K34" s="8"/>
      <c r="L34" s="8"/>
      <c r="M34" s="8"/>
    </row>
    <row r="35" spans="1:13" s="44" customFormat="1" ht="15" customHeight="1" thickBot="1" x14ac:dyDescent="0.25">
      <c r="A35" s="2179"/>
      <c r="B35" s="2173"/>
      <c r="C35" s="674" t="str">
        <f>F!C69</f>
        <v>&gt;95% of the water.  Little or no visibly flowing water within the AA.</v>
      </c>
      <c r="D35" s="119">
        <f>F!D69</f>
        <v>0</v>
      </c>
      <c r="E35" s="471">
        <v>6</v>
      </c>
      <c r="F35" s="471">
        <f t="shared" si="0"/>
        <v>0</v>
      </c>
      <c r="G35" s="472"/>
      <c r="H35" s="2088"/>
      <c r="I35" s="2138"/>
      <c r="J35" s="208"/>
      <c r="K35" s="8"/>
      <c r="L35" s="8"/>
      <c r="M35" s="8"/>
    </row>
    <row r="36" spans="1:13" ht="40.5" customHeight="1" thickBot="1" x14ac:dyDescent="0.25">
      <c r="A36" s="2186" t="str">
        <f>F!A71</f>
        <v>F14</v>
      </c>
      <c r="B36" s="2171" t="str">
        <f>F!B71</f>
        <v xml:space="preserve">% of Ponded Water That Is Open </v>
      </c>
      <c r="C36" s="848" t="str">
        <f>F!C71</f>
        <v>In ducks-eye aerial view, the percentage of the ponded water that is open (lacking emergent vegetation during most of the growing season, and unhidden by a forest or shrub canopy) is:</v>
      </c>
      <c r="D36" s="461"/>
      <c r="E36" s="462"/>
      <c r="F36" s="463"/>
      <c r="G36" s="464">
        <f>IF((AllSat+AllSat1&gt;0),"", IF((NoPonded=1),"", IF((SmallAA=1), "", MAX(F37:F42)/MAX(E37:E42))))</f>
        <v>0</v>
      </c>
      <c r="H36" s="2078" t="s">
        <v>1244</v>
      </c>
      <c r="I36" s="2136" t="s">
        <v>2045</v>
      </c>
      <c r="J36" s="274"/>
      <c r="K36" s="7"/>
      <c r="L36" s="7"/>
      <c r="M36" s="8"/>
    </row>
    <row r="37" spans="1:13" ht="27" customHeight="1" x14ac:dyDescent="0.2">
      <c r="A37" s="2186"/>
      <c r="B37" s="2171"/>
      <c r="C37" s="849" t="str">
        <f>F!C72</f>
        <v>&lt;1% or none, or largest pool occupies &lt;0.01 hectares.  Enter "1" and SKIP to F20 (Floating Algae &amp; Duckweed).</v>
      </c>
      <c r="D37" s="871">
        <f>F!D72</f>
        <v>0</v>
      </c>
      <c r="E37" s="465">
        <v>5</v>
      </c>
      <c r="F37" s="465">
        <f t="shared" ref="F37:F42" si="1">D37*E37</f>
        <v>0</v>
      </c>
      <c r="G37" s="466"/>
      <c r="H37" s="2078"/>
      <c r="I37" s="2136"/>
      <c r="J37" s="274"/>
      <c r="K37" s="7"/>
      <c r="L37" s="7"/>
      <c r="M37" s="7"/>
    </row>
    <row r="38" spans="1:13" ht="15" customHeight="1" x14ac:dyDescent="0.2">
      <c r="A38" s="2186"/>
      <c r="B38" s="2171"/>
      <c r="C38" s="850" t="str">
        <f>F!C73</f>
        <v>1-5% of the ponded water.  Enter "1" and SKIP to F20.</v>
      </c>
      <c r="D38" s="476">
        <f>F!D73</f>
        <v>0</v>
      </c>
      <c r="E38" s="465">
        <v>4</v>
      </c>
      <c r="F38" s="465">
        <f t="shared" si="1"/>
        <v>0</v>
      </c>
      <c r="G38" s="467"/>
      <c r="H38" s="2078"/>
      <c r="I38" s="2136"/>
      <c r="J38" s="274"/>
      <c r="K38" s="7"/>
      <c r="L38" s="7"/>
      <c r="M38" s="7"/>
    </row>
    <row r="39" spans="1:13" ht="15" customHeight="1" x14ac:dyDescent="0.2">
      <c r="A39" s="2186"/>
      <c r="B39" s="2171"/>
      <c r="C39" s="850" t="str">
        <f>F!C74</f>
        <v>5-30% of the ponded water.</v>
      </c>
      <c r="D39" s="476">
        <f>F!D74</f>
        <v>0</v>
      </c>
      <c r="E39" s="465">
        <v>3</v>
      </c>
      <c r="F39" s="465">
        <f t="shared" si="1"/>
        <v>0</v>
      </c>
      <c r="G39" s="467"/>
      <c r="H39" s="2078"/>
      <c r="I39" s="2136"/>
      <c r="J39" s="274"/>
      <c r="K39" s="7"/>
      <c r="L39" s="7"/>
      <c r="M39" s="7"/>
    </row>
    <row r="40" spans="1:13" ht="15" customHeight="1" x14ac:dyDescent="0.2">
      <c r="A40" s="2186"/>
      <c r="B40" s="2171"/>
      <c r="C40" s="850" t="str">
        <f>F!C75</f>
        <v>30-70% of the ponded water.</v>
      </c>
      <c r="D40" s="476">
        <f>F!D75</f>
        <v>0</v>
      </c>
      <c r="E40" s="465">
        <v>2</v>
      </c>
      <c r="F40" s="465">
        <f t="shared" si="1"/>
        <v>0</v>
      </c>
      <c r="G40" s="467"/>
      <c r="H40" s="2078"/>
      <c r="I40" s="2136"/>
      <c r="J40" s="274"/>
      <c r="K40" s="7"/>
      <c r="L40" s="7"/>
      <c r="M40" s="7"/>
    </row>
    <row r="41" spans="1:13" ht="15" customHeight="1" x14ac:dyDescent="0.2">
      <c r="A41" s="2186"/>
      <c r="B41" s="2171"/>
      <c r="C41" s="850" t="str">
        <f>F!C76</f>
        <v>70-99% of the ponded water.</v>
      </c>
      <c r="D41" s="476">
        <f>F!D76</f>
        <v>0</v>
      </c>
      <c r="E41" s="465">
        <v>1</v>
      </c>
      <c r="F41" s="465">
        <f t="shared" si="1"/>
        <v>0</v>
      </c>
      <c r="G41" s="467"/>
      <c r="H41" s="2078"/>
      <c r="I41" s="2136"/>
      <c r="J41" s="274"/>
      <c r="K41" s="7"/>
      <c r="L41" s="7"/>
      <c r="M41" s="7"/>
    </row>
    <row r="42" spans="1:13" ht="15" customHeight="1" thickBot="1" x14ac:dyDescent="0.25">
      <c r="A42" s="2186"/>
      <c r="B42" s="2171"/>
      <c r="C42" s="851" t="str">
        <f>F!C77</f>
        <v xml:space="preserve">100% of the ponded water. </v>
      </c>
      <c r="D42" s="869">
        <f>F!D77</f>
        <v>0</v>
      </c>
      <c r="E42" s="841">
        <v>0</v>
      </c>
      <c r="F42" s="841">
        <f t="shared" si="1"/>
        <v>0</v>
      </c>
      <c r="G42" s="840"/>
      <c r="H42" s="2078"/>
      <c r="I42" s="2136"/>
      <c r="J42" s="274"/>
      <c r="K42" s="7"/>
      <c r="L42" s="7"/>
      <c r="M42" s="7"/>
    </row>
    <row r="43" spans="1:13" ht="30" customHeight="1" thickBot="1" x14ac:dyDescent="0.25">
      <c r="A43" s="2089" t="str">
        <f>F!A78</f>
        <v>F15</v>
      </c>
      <c r="B43" s="2174" t="str">
        <f>F!B78</f>
        <v>Flat Shoreline Extent</v>
      </c>
      <c r="C43" s="675" t="str">
        <f>F!C78</f>
        <v>The length of the AA's shoreline (along its ponded open water) that is bordered by areas that are nearly flat (a slope less than about 5%) is:</v>
      </c>
      <c r="D43" s="703"/>
      <c r="E43" s="867"/>
      <c r="F43" s="867"/>
      <c r="G43" s="474" t="str">
        <f>IF((AllSat+AllSat1&gt;0),"",IF((OpenW=0),"", IF((SmallAA=1),"", MAX(F44:F48)/MAX(E44:E48))))</f>
        <v/>
      </c>
      <c r="H43" s="2077" t="s">
        <v>244</v>
      </c>
      <c r="I43" s="2135" t="s">
        <v>1693</v>
      </c>
      <c r="J43" s="274"/>
      <c r="K43" s="7"/>
      <c r="L43" s="7"/>
      <c r="M43" s="7"/>
    </row>
    <row r="44" spans="1:13" ht="15" customHeight="1" x14ac:dyDescent="0.2">
      <c r="A44" s="2090"/>
      <c r="B44" s="2116"/>
      <c r="C44" s="843" t="str">
        <f>F!C79</f>
        <v>&lt;1%</v>
      </c>
      <c r="D44" s="705">
        <f>F!D79</f>
        <v>0</v>
      </c>
      <c r="E44" s="868">
        <v>0</v>
      </c>
      <c r="F44" s="841">
        <f>D44*E44</f>
        <v>0</v>
      </c>
      <c r="G44" s="467"/>
      <c r="H44" s="2078"/>
      <c r="I44" s="2136"/>
      <c r="J44" s="274"/>
      <c r="K44" s="7"/>
      <c r="L44" s="7"/>
      <c r="M44" s="7"/>
    </row>
    <row r="45" spans="1:13" ht="15" customHeight="1" x14ac:dyDescent="0.2">
      <c r="A45" s="2090"/>
      <c r="B45" s="2116"/>
      <c r="C45" s="677" t="str">
        <f>F!C80</f>
        <v>1-25%</v>
      </c>
      <c r="D45" s="705">
        <f>F!D80</f>
        <v>0</v>
      </c>
      <c r="E45" s="868">
        <v>1</v>
      </c>
      <c r="F45" s="841">
        <f>D45*E45</f>
        <v>0</v>
      </c>
      <c r="G45" s="467"/>
      <c r="H45" s="2078"/>
      <c r="I45" s="2136"/>
      <c r="J45" s="274"/>
      <c r="K45" s="7"/>
      <c r="L45" s="7"/>
      <c r="M45" s="7"/>
    </row>
    <row r="46" spans="1:13" ht="15" customHeight="1" x14ac:dyDescent="0.2">
      <c r="A46" s="2090"/>
      <c r="B46" s="2116"/>
      <c r="C46" s="677" t="str">
        <f>F!C81</f>
        <v>25-50%</v>
      </c>
      <c r="D46" s="705">
        <f>F!D81</f>
        <v>0</v>
      </c>
      <c r="E46" s="868">
        <v>2</v>
      </c>
      <c r="F46" s="841">
        <f>D46*E46</f>
        <v>0</v>
      </c>
      <c r="G46" s="467"/>
      <c r="H46" s="2078"/>
      <c r="I46" s="2136"/>
      <c r="J46" s="274"/>
      <c r="K46" s="7"/>
      <c r="L46" s="7"/>
      <c r="M46" s="7"/>
    </row>
    <row r="47" spans="1:13" ht="15" customHeight="1" x14ac:dyDescent="0.2">
      <c r="A47" s="2090"/>
      <c r="B47" s="2116"/>
      <c r="C47" s="677" t="str">
        <f>F!C82</f>
        <v>50-75%</v>
      </c>
      <c r="D47" s="705">
        <f>F!D82</f>
        <v>0</v>
      </c>
      <c r="E47" s="868">
        <v>3</v>
      </c>
      <c r="F47" s="841">
        <f>D47*E47</f>
        <v>0</v>
      </c>
      <c r="G47" s="467"/>
      <c r="H47" s="2078"/>
      <c r="I47" s="2136"/>
      <c r="J47" s="274"/>
      <c r="K47" s="7"/>
      <c r="L47" s="7"/>
      <c r="M47" s="7"/>
    </row>
    <row r="48" spans="1:13" ht="15" customHeight="1" thickBot="1" x14ac:dyDescent="0.25">
      <c r="A48" s="2091"/>
      <c r="B48" s="2117"/>
      <c r="C48" s="674" t="str">
        <f>F!C83</f>
        <v>&gt;75%</v>
      </c>
      <c r="D48" s="119">
        <f>F!D83</f>
        <v>0</v>
      </c>
      <c r="E48" s="471">
        <v>4</v>
      </c>
      <c r="F48" s="471">
        <f>D48*E48</f>
        <v>0</v>
      </c>
      <c r="G48" s="472"/>
      <c r="H48" s="2079"/>
      <c r="I48" s="2137"/>
      <c r="J48" s="274"/>
      <c r="K48" s="7"/>
      <c r="L48" s="7"/>
      <c r="M48" s="7"/>
    </row>
    <row r="49" spans="1:70" ht="51" customHeight="1" thickBot="1" x14ac:dyDescent="0.25">
      <c r="A49" s="2180" t="str">
        <f>F!A84</f>
        <v>F16</v>
      </c>
      <c r="B49" s="2183" t="str">
        <f>F!B84</f>
        <v>Predominant Width of Vegetated Zone within Wetland</v>
      </c>
      <c r="C49" s="680" t="str">
        <f>F!C84</f>
        <v>At the driest time of year (or lowest water level), the average width of vegetated area in the AA that separates adjoining uplands from open water within the AA is:</v>
      </c>
      <c r="D49" s="866"/>
      <c r="E49" s="462"/>
      <c r="F49" s="463"/>
      <c r="G49" s="464" t="str">
        <f>IF((AllSat+AllSat1&gt;0),"",IF((OpenW=0),"", IF((SmallAA=1),"", MAX(F50:F54)/MAX(E50:E54))))</f>
        <v/>
      </c>
      <c r="H49" s="2078" t="s">
        <v>245</v>
      </c>
      <c r="I49" s="2136" t="s">
        <v>1694</v>
      </c>
      <c r="J49" s="274"/>
      <c r="K49" s="7"/>
      <c r="L49" s="7"/>
      <c r="M49" s="7"/>
    </row>
    <row r="50" spans="1:70" ht="18" customHeight="1" x14ac:dyDescent="0.2">
      <c r="A50" s="2181"/>
      <c r="B50" s="2184"/>
      <c r="C50" s="843" t="str">
        <f>F!C85</f>
        <v>&lt;1 m</v>
      </c>
      <c r="D50" s="118">
        <f>F!D85</f>
        <v>0</v>
      </c>
      <c r="E50" s="465">
        <v>0</v>
      </c>
      <c r="F50" s="465">
        <f>D50*E50</f>
        <v>0</v>
      </c>
      <c r="G50" s="466"/>
      <c r="H50" s="2078"/>
      <c r="I50" s="2136"/>
      <c r="J50" s="274"/>
      <c r="K50" s="7"/>
      <c r="L50" s="7"/>
      <c r="M50" s="7"/>
    </row>
    <row r="51" spans="1:70" ht="18" customHeight="1" x14ac:dyDescent="0.2">
      <c r="A51" s="2181"/>
      <c r="B51" s="2184"/>
      <c r="C51" s="677" t="str">
        <f>F!C86</f>
        <v>1 - 9 m</v>
      </c>
      <c r="D51" s="118">
        <f>F!D86</f>
        <v>0</v>
      </c>
      <c r="E51" s="465">
        <v>2</v>
      </c>
      <c r="F51" s="465">
        <f>D51*E51</f>
        <v>0</v>
      </c>
      <c r="G51" s="467"/>
      <c r="H51" s="2078"/>
      <c r="I51" s="2136"/>
      <c r="J51" s="274"/>
      <c r="K51" s="7"/>
      <c r="L51" s="7"/>
      <c r="M51" s="7"/>
    </row>
    <row r="52" spans="1:70" ht="18" customHeight="1" x14ac:dyDescent="0.2">
      <c r="A52" s="2181"/>
      <c r="B52" s="2184"/>
      <c r="C52" s="677" t="str">
        <f>F!C87</f>
        <v>10 - 29 m</v>
      </c>
      <c r="D52" s="118">
        <f>F!D87</f>
        <v>0</v>
      </c>
      <c r="E52" s="465">
        <v>3</v>
      </c>
      <c r="F52" s="465">
        <f>D52*E52</f>
        <v>0</v>
      </c>
      <c r="G52" s="467"/>
      <c r="H52" s="2078"/>
      <c r="I52" s="2136"/>
      <c r="J52" s="274"/>
      <c r="K52" s="7"/>
      <c r="L52" s="7"/>
      <c r="M52" s="7"/>
    </row>
    <row r="53" spans="1:70" ht="18" customHeight="1" x14ac:dyDescent="0.2">
      <c r="A53" s="2181"/>
      <c r="B53" s="2184"/>
      <c r="C53" s="677" t="str">
        <f>F!C88</f>
        <v>30 - 49 m</v>
      </c>
      <c r="D53" s="118">
        <f>F!D88</f>
        <v>0</v>
      </c>
      <c r="E53" s="465">
        <v>4</v>
      </c>
      <c r="F53" s="465">
        <f>D53*E53</f>
        <v>0</v>
      </c>
      <c r="G53" s="467"/>
      <c r="H53" s="2078"/>
      <c r="I53" s="2136"/>
      <c r="J53" s="274"/>
      <c r="K53" s="7"/>
      <c r="L53" s="7"/>
      <c r="M53" s="7"/>
    </row>
    <row r="54" spans="1:70" ht="23.25" customHeight="1" thickBot="1" x14ac:dyDescent="0.25">
      <c r="A54" s="2182"/>
      <c r="B54" s="2185"/>
      <c r="C54" s="673" t="str">
        <f>F!C90</f>
        <v>&gt; 100 m</v>
      </c>
      <c r="D54" s="719">
        <f>F!D90</f>
        <v>0</v>
      </c>
      <c r="E54" s="841">
        <v>5</v>
      </c>
      <c r="F54" s="841">
        <f>D54*E54</f>
        <v>0</v>
      </c>
      <c r="G54" s="840"/>
      <c r="H54" s="2078"/>
      <c r="I54" s="2136"/>
      <c r="J54" s="274"/>
      <c r="K54" s="7"/>
      <c r="L54" s="7"/>
      <c r="M54" s="7"/>
    </row>
    <row r="55" spans="1:70" ht="30" customHeight="1" thickBot="1" x14ac:dyDescent="0.25">
      <c r="A55" s="2175" t="str">
        <f>F!A95</f>
        <v>F18</v>
      </c>
      <c r="B55" s="2168" t="str">
        <f>F!B95</f>
        <v>Interspersion of Robust Emergents &amp; Open Water</v>
      </c>
      <c r="C55" s="156" t="str">
        <f>F!C95</f>
        <v>During most of the growing season, the spatial pattern of tall robust herbaceous vegetation (e.g., cattail, bulrush) that has surface water beneath it is mostly:</v>
      </c>
      <c r="D55" s="703"/>
      <c r="E55" s="867"/>
      <c r="F55" s="475"/>
      <c r="G55" s="474">
        <f>IF((AllSat+AllSat1&gt;0),"",IF((NoPonded=1),"",IF((NoOpenPonded+NoOpenPonded1&gt;0),"",IF((AllOpenPond=1),"", IF((SmallAA=1),"", MAX(F56:F58)/MAX(E56:E58))))))</f>
        <v>0</v>
      </c>
      <c r="H55" s="2077" t="s">
        <v>607</v>
      </c>
      <c r="I55" s="2135" t="s">
        <v>2046</v>
      </c>
      <c r="J55" s="274"/>
      <c r="K55" s="7"/>
      <c r="L55" s="7"/>
      <c r="M55" s="7"/>
    </row>
    <row r="56" spans="1:70" ht="15" customHeight="1" x14ac:dyDescent="0.2">
      <c r="A56" s="2176"/>
      <c r="B56" s="2169"/>
      <c r="C56" s="849" t="str">
        <f>F!C96</f>
        <v>Scattered in small clumps, islands, or patches throughout the surface water area.</v>
      </c>
      <c r="D56" s="870">
        <f>F!D96</f>
        <v>0</v>
      </c>
      <c r="E56" s="868">
        <v>2</v>
      </c>
      <c r="F56" s="868">
        <f t="shared" ref="F56:F58" si="2">D56*E56</f>
        <v>0</v>
      </c>
      <c r="G56" s="467"/>
      <c r="H56" s="2078"/>
      <c r="I56" s="2136"/>
      <c r="J56" s="274"/>
      <c r="K56" s="7"/>
      <c r="L56" s="7"/>
      <c r="M56" s="7"/>
    </row>
    <row r="57" spans="1:70" ht="15" customHeight="1" x14ac:dyDescent="0.2">
      <c r="A57" s="2176"/>
      <c r="B57" s="2169"/>
      <c r="C57" s="850" t="str">
        <f>F!C97</f>
        <v>Intermediate</v>
      </c>
      <c r="D57" s="871">
        <f>F!D97</f>
        <v>0</v>
      </c>
      <c r="E57" s="868">
        <v>1</v>
      </c>
      <c r="F57" s="868">
        <f t="shared" si="2"/>
        <v>0</v>
      </c>
      <c r="G57" s="467"/>
      <c r="H57" s="2078"/>
      <c r="I57" s="2136"/>
      <c r="J57" s="274"/>
      <c r="K57" s="7"/>
      <c r="L57" s="7"/>
      <c r="M57" s="7"/>
    </row>
    <row r="58" spans="1:70" ht="30.75" customHeight="1" thickBot="1" x14ac:dyDescent="0.25">
      <c r="A58" s="2177"/>
      <c r="B58" s="2170"/>
      <c r="C58" s="157" t="str">
        <f>F!C98</f>
        <v>Clumped at one or a few sides of the surface water area, or mostly surrounds a central area of open water.  Or such vegetation is absent or covers &lt;9 sq m and &lt;1% of the AA.</v>
      </c>
      <c r="D58" s="477">
        <f>F!D98</f>
        <v>0</v>
      </c>
      <c r="E58" s="471">
        <v>0</v>
      </c>
      <c r="F58" s="471">
        <f t="shared" si="2"/>
        <v>0</v>
      </c>
      <c r="G58" s="472"/>
      <c r="H58" s="2079"/>
      <c r="I58" s="2137"/>
      <c r="J58" s="274"/>
      <c r="K58" s="7"/>
      <c r="L58" s="7"/>
      <c r="M58" s="7"/>
    </row>
    <row r="59" spans="1:70" s="40" customFormat="1" ht="30" customHeight="1" thickBot="1" x14ac:dyDescent="0.25">
      <c r="A59" s="2193" t="str">
        <f>F!A109</f>
        <v>F25</v>
      </c>
      <c r="B59" s="2190" t="str">
        <f>F!B109</f>
        <v>Through Flow Pattern</v>
      </c>
      <c r="C59" s="1418" t="str">
        <f>F!C109</f>
        <v>During its travel through the AA at the time of peak annual flow, most of the water arriving in channels [select only the ONE encountered by most of the incoming water]:</v>
      </c>
      <c r="D59" s="866"/>
      <c r="E59" s="462"/>
      <c r="F59" s="463"/>
      <c r="G59" s="904" t="str">
        <f>IF((AllSat=1),"",IF((Inflows=0),"",(MAX(F60:F64)/MAX(E60:E64))))</f>
        <v/>
      </c>
      <c r="H59" s="2078" t="s">
        <v>248</v>
      </c>
      <c r="I59" s="2187" t="s">
        <v>2047</v>
      </c>
      <c r="J59" s="198"/>
      <c r="K59" s="5"/>
      <c r="L59" s="5"/>
      <c r="M59" s="5"/>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row>
    <row r="60" spans="1:70" s="40" customFormat="1" ht="42" customHeight="1" x14ac:dyDescent="0.2">
      <c r="A60" s="2194"/>
      <c r="B60" s="2191"/>
      <c r="C60" s="1385" t="str">
        <f>F!C110</f>
        <v>Does not bump into plant stems as it travels through the AA.  Nearly all the water continues to travel in unvegetated (often incised) channels that have little contact with wetland vegetation, or through a zone of open water such as an instream pond or lake.</v>
      </c>
      <c r="D60" s="733">
        <f>F!D110</f>
        <v>0</v>
      </c>
      <c r="E60" s="465">
        <v>0</v>
      </c>
      <c r="F60" s="465">
        <f>D60*E60</f>
        <v>0</v>
      </c>
      <c r="G60" s="466"/>
      <c r="H60" s="2078"/>
      <c r="I60" s="2188"/>
      <c r="J60" s="198"/>
      <c r="K60" s="5"/>
      <c r="L60" s="5"/>
      <c r="M60" s="5"/>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row>
    <row r="61" spans="1:70" s="40" customFormat="1" ht="15" customHeight="1" x14ac:dyDescent="0.2">
      <c r="A61" s="2194"/>
      <c r="B61" s="2191"/>
      <c r="C61" s="1419" t="str">
        <f>F!C111</f>
        <v>bumps into herbaceous vegetation but mostly remains in fairly straight channels.</v>
      </c>
      <c r="D61" s="733">
        <f>F!D111</f>
        <v>0</v>
      </c>
      <c r="E61" s="465">
        <v>3</v>
      </c>
      <c r="F61" s="465">
        <f>D61*E61</f>
        <v>0</v>
      </c>
      <c r="G61" s="467"/>
      <c r="H61" s="2078"/>
      <c r="I61" s="2188"/>
      <c r="J61" s="198"/>
      <c r="K61" s="5"/>
      <c r="L61" s="5"/>
      <c r="M61" s="5"/>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row>
    <row r="62" spans="1:70" s="40" customFormat="1" ht="27" customHeight="1" x14ac:dyDescent="0.2">
      <c r="A62" s="2194"/>
      <c r="B62" s="2191"/>
      <c r="C62" s="1419" t="str">
        <f>F!C112</f>
        <v>bumps into herbaceous vegetation and mostly spreads throughout, or is in widely  meandering, multi-branched, or braided channels.</v>
      </c>
      <c r="D62" s="733">
        <f>F!D112</f>
        <v>0</v>
      </c>
      <c r="E62" s="465">
        <v>6</v>
      </c>
      <c r="F62" s="465">
        <f>D62*E62</f>
        <v>0</v>
      </c>
      <c r="G62" s="467"/>
      <c r="H62" s="2078"/>
      <c r="I62" s="2188"/>
      <c r="J62" s="198"/>
      <c r="K62" s="5"/>
      <c r="L62" s="5"/>
      <c r="M62" s="5"/>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row>
    <row r="63" spans="1:70" s="40" customFormat="1" ht="15" customHeight="1" x14ac:dyDescent="0.2">
      <c r="A63" s="2194"/>
      <c r="B63" s="2191"/>
      <c r="C63" s="1419" t="str">
        <f>F!C113</f>
        <v>bumps into tree trunks and/or shrub stems but mostly remains in fairly straight channels.</v>
      </c>
      <c r="D63" s="733">
        <f>F!D113</f>
        <v>0</v>
      </c>
      <c r="E63" s="465">
        <v>4</v>
      </c>
      <c r="F63" s="465">
        <f>D63*E63</f>
        <v>0</v>
      </c>
      <c r="G63" s="467"/>
      <c r="H63" s="2078"/>
      <c r="I63" s="2188"/>
      <c r="J63" s="198"/>
      <c r="K63" s="5"/>
      <c r="L63" s="5"/>
      <c r="M63" s="5"/>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row>
    <row r="64" spans="1:70" s="40" customFormat="1" ht="27.6" customHeight="1" thickBot="1" x14ac:dyDescent="0.25">
      <c r="A64" s="2195"/>
      <c r="B64" s="2192"/>
      <c r="C64" s="1377" t="str">
        <f>F!C114</f>
        <v>bumps into tree trunks and/or shrub stems and follows a fairly indirect path from entrance to exit (meandering, multi-branched, or braided)</v>
      </c>
      <c r="D64" s="1417">
        <f>F!D114</f>
        <v>0</v>
      </c>
      <c r="E64" s="841">
        <v>8</v>
      </c>
      <c r="F64" s="841">
        <f>D64*E64</f>
        <v>0</v>
      </c>
      <c r="G64" s="840"/>
      <c r="H64" s="2078"/>
      <c r="I64" s="2189"/>
      <c r="J64" s="198"/>
      <c r="K64" s="5"/>
      <c r="L64" s="5"/>
      <c r="M64" s="5"/>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row>
    <row r="65" spans="1:70" s="40" customFormat="1" ht="30" customHeight="1" thickBot="1" x14ac:dyDescent="0.25">
      <c r="A65" s="2089" t="str">
        <f>F!A115</f>
        <v>F26</v>
      </c>
      <c r="B65" s="2197" t="str">
        <f>F!B115</f>
        <v>Channel Connection &amp; Outflow Duration</v>
      </c>
      <c r="C65" s="675" t="str">
        <f>F!C115</f>
        <v>The most persistent surface water connection (outlet channel or pipe, ditch, or overbank water exchange) between the AA and the closest off-site downslope water body is:</v>
      </c>
      <c r="D65" s="703"/>
      <c r="E65" s="867"/>
      <c r="F65" s="475"/>
      <c r="G65" s="904">
        <f>IF((AllSat+AllSat1&gt;0),"", MAX(F66:F70)/MAX(E66:E70))</f>
        <v>0</v>
      </c>
      <c r="H65" s="2077" t="s">
        <v>246</v>
      </c>
      <c r="I65" s="2135" t="s">
        <v>1696</v>
      </c>
      <c r="J65" s="198"/>
      <c r="K65" s="5"/>
      <c r="L65" s="5"/>
      <c r="M65" s="5"/>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J65" s="41"/>
      <c r="BK65" s="41"/>
      <c r="BL65" s="41"/>
      <c r="BM65" s="41"/>
      <c r="BN65" s="41"/>
      <c r="BO65" s="41"/>
      <c r="BP65" s="41"/>
      <c r="BQ65" s="41"/>
      <c r="BR65" s="41"/>
    </row>
    <row r="66" spans="1:70" ht="15" customHeight="1" x14ac:dyDescent="0.2">
      <c r="A66" s="2090"/>
      <c r="B66" s="2156"/>
      <c r="C66" s="843" t="str">
        <f>F!C116</f>
        <v>persistent (&gt;9 months/year, including times when frozen)</v>
      </c>
      <c r="D66" s="286">
        <f>F!D116</f>
        <v>0</v>
      </c>
      <c r="E66" s="462">
        <v>1</v>
      </c>
      <c r="F66" s="462">
        <f>D66*E66</f>
        <v>0</v>
      </c>
      <c r="G66" s="466"/>
      <c r="H66" s="2078"/>
      <c r="I66" s="2136"/>
      <c r="J66" s="274"/>
      <c r="K66" s="7"/>
      <c r="L66" s="7"/>
      <c r="M66" s="7"/>
    </row>
    <row r="67" spans="1:70" ht="24.75" customHeight="1" x14ac:dyDescent="0.2">
      <c r="A67" s="2090"/>
      <c r="B67" s="2156"/>
      <c r="C67" s="677" t="str">
        <f>F!C117</f>
        <v>seasonal (14 days to 9 months/year, not necessarily consecutive, including times when frozen)</v>
      </c>
      <c r="D67" s="720">
        <f>F!D117</f>
        <v>0</v>
      </c>
      <c r="E67" s="868">
        <v>2</v>
      </c>
      <c r="F67" s="868">
        <f>D67*E67</f>
        <v>0</v>
      </c>
      <c r="G67" s="467"/>
      <c r="H67" s="2078"/>
      <c r="I67" s="2136"/>
      <c r="J67" s="274"/>
      <c r="K67" s="7"/>
      <c r="L67" s="7"/>
      <c r="M67" s="7"/>
    </row>
    <row r="68" spans="1:70" ht="15" customHeight="1" x14ac:dyDescent="0.2">
      <c r="A68" s="2090"/>
      <c r="B68" s="2156"/>
      <c r="C68" s="677" t="str">
        <f>F!C118</f>
        <v>temporary (&lt;14 days, not necessarily consecutive -- must be unfrozen)</v>
      </c>
      <c r="D68" s="697">
        <f>F!D118</f>
        <v>0</v>
      </c>
      <c r="E68" s="868">
        <v>4</v>
      </c>
      <c r="F68" s="868">
        <f>D68*E68</f>
        <v>0</v>
      </c>
      <c r="G68" s="467"/>
      <c r="H68" s="2078"/>
      <c r="I68" s="2136"/>
      <c r="J68" s="274"/>
      <c r="K68" s="7"/>
      <c r="L68" s="7"/>
      <c r="M68" s="7"/>
    </row>
    <row r="69" spans="1:70" ht="39.75" customHeight="1" x14ac:dyDescent="0.2">
      <c r="A69" s="2090"/>
      <c r="B69" s="2156"/>
      <c r="C69" s="677" t="str">
        <f>F!C119</f>
        <v xml:space="preserve">none -- but maps show a stream or other water body that is downslope from the AA and within a distance that is less than the AA's length.  If so, mark "1" here and SKIP TO F28 (Groundwater). </v>
      </c>
      <c r="D69" s="705">
        <f>F!D119</f>
        <v>0</v>
      </c>
      <c r="E69" s="872">
        <v>8</v>
      </c>
      <c r="F69" s="868">
        <f>D69*E69</f>
        <v>0</v>
      </c>
      <c r="G69" s="840"/>
      <c r="H69" s="2078"/>
      <c r="I69" s="2136"/>
      <c r="J69" s="274"/>
      <c r="K69" s="7"/>
      <c r="L69" s="7"/>
      <c r="M69" s="7"/>
    </row>
    <row r="70" spans="1:70" ht="42" customHeight="1" thickBot="1" x14ac:dyDescent="0.25">
      <c r="A70" s="2091"/>
      <c r="B70" s="2198"/>
      <c r="C70" s="852" t="str">
        <f>F!C120</f>
        <v xml:space="preserve">no surface water flows out of the wetland except possibly during extreme events (&lt;once per 10 years). Or, water flows only into a wetland, ditch, or lake that lacks an outlet.  If so, mark "1" here and SKIP TO F28 (Groundwater). </v>
      </c>
      <c r="D70" s="119">
        <f>F!D120</f>
        <v>0</v>
      </c>
      <c r="E70" s="479">
        <v>8</v>
      </c>
      <c r="F70" s="471">
        <f>D70*E70</f>
        <v>0</v>
      </c>
      <c r="G70" s="472"/>
      <c r="H70" s="2079"/>
      <c r="I70" s="2137"/>
      <c r="J70" s="274"/>
      <c r="K70" s="7"/>
      <c r="L70" s="7"/>
      <c r="M70" s="7"/>
    </row>
    <row r="71" spans="1:70" ht="30" customHeight="1" thickBot="1" x14ac:dyDescent="0.25">
      <c r="A71" s="2163" t="str">
        <f>F!A121</f>
        <v>F27</v>
      </c>
      <c r="B71" s="2116" t="str">
        <f>F!B121</f>
        <v>Outflow Confinement</v>
      </c>
      <c r="C71" s="680" t="str">
        <f>F!C121</f>
        <v>During major runoff events, in the places where surface water exits the AA or connected waters nearby, it:</v>
      </c>
      <c r="D71" s="866"/>
      <c r="E71" s="462"/>
      <c r="F71" s="463"/>
      <c r="G71" s="464">
        <f>IF((OutNone+OutNone1&gt;0),"",MAX(F72:F74)/MAX(E72:E74))</f>
        <v>0</v>
      </c>
      <c r="H71" s="2078" t="s">
        <v>247</v>
      </c>
      <c r="I71" s="2136" t="s">
        <v>2048</v>
      </c>
      <c r="J71" s="274"/>
      <c r="K71" s="7"/>
      <c r="L71" s="7"/>
      <c r="M71" s="7"/>
    </row>
    <row r="72" spans="1:70" ht="42" customHeight="1" x14ac:dyDescent="0.2">
      <c r="A72" s="2163"/>
      <c r="B72" s="2116"/>
      <c r="C72" s="843" t="str">
        <f>F!C122</f>
        <v>mostly passes through a pipe, culvert, narrowly breached dike, berm, beaver dam, or other partial obstruction (other than natural topography) that does not appear to drain the wetland artificially during most of the growing season.</v>
      </c>
      <c r="D72" s="289">
        <f>F!D122</f>
        <v>0</v>
      </c>
      <c r="E72" s="465">
        <v>2</v>
      </c>
      <c r="F72" s="465">
        <f>D72*E72</f>
        <v>0</v>
      </c>
      <c r="G72" s="466"/>
      <c r="H72" s="2078"/>
      <c r="I72" s="2136"/>
      <c r="J72" s="274"/>
      <c r="K72" s="7"/>
      <c r="L72" s="7"/>
      <c r="M72" s="7"/>
    </row>
    <row r="73" spans="1:70" ht="27" customHeight="1" x14ac:dyDescent="0.2">
      <c r="A73" s="2163"/>
      <c r="B73" s="2116"/>
      <c r="C73" s="677" t="str">
        <f>F!C123</f>
        <v>leaves through natural exits (channels or diffuse outflow), not mainly through artificial or temporary features</v>
      </c>
      <c r="D73" s="120">
        <f>F!D123</f>
        <v>0</v>
      </c>
      <c r="E73" s="465">
        <v>1</v>
      </c>
      <c r="F73" s="465">
        <f>D73*E73</f>
        <v>0</v>
      </c>
      <c r="G73" s="480"/>
      <c r="H73" s="2078"/>
      <c r="I73" s="2136"/>
      <c r="J73" s="274"/>
      <c r="K73" s="7"/>
      <c r="L73" s="7"/>
      <c r="M73" s="7"/>
    </row>
    <row r="74" spans="1:70" ht="27.6" customHeight="1" thickBot="1" x14ac:dyDescent="0.25">
      <c r="A74" s="2163"/>
      <c r="B74" s="2116"/>
      <c r="C74" s="673" t="str">
        <f>F!C124</f>
        <v>exported more quickly than usual due to ditches or pipes within the AA (or connected to its outlet or within 10 m of the AA's edge) which drain the wetland artificially, or water is pumped out of the AA.</v>
      </c>
      <c r="D74" s="697">
        <f>F!D124</f>
        <v>0</v>
      </c>
      <c r="E74" s="841">
        <v>0</v>
      </c>
      <c r="F74" s="841">
        <f>D74*E74</f>
        <v>0</v>
      </c>
      <c r="G74" s="840"/>
      <c r="H74" s="2078"/>
      <c r="I74" s="2136"/>
      <c r="J74" s="274"/>
      <c r="K74" s="7"/>
      <c r="L74" s="7"/>
      <c r="M74" s="7"/>
    </row>
    <row r="75" spans="1:70" ht="21" customHeight="1" thickBot="1" x14ac:dyDescent="0.25">
      <c r="A75" s="2089" t="str">
        <f>F!A129</f>
        <v>F29</v>
      </c>
      <c r="B75" s="2174" t="str">
        <f>F!B129</f>
        <v>Internal Gradient</v>
      </c>
      <c r="C75" s="675" t="str">
        <f>F!C129</f>
        <v>The gradient along most of the flow path within the AA is:</v>
      </c>
      <c r="D75" s="703"/>
      <c r="E75" s="867"/>
      <c r="F75" s="475"/>
      <c r="G75" s="470">
        <f>MAX(F76:F79)/MAX(E76:E79)</f>
        <v>0</v>
      </c>
      <c r="H75" s="2077" t="s">
        <v>251</v>
      </c>
      <c r="I75" s="2135" t="s">
        <v>2259</v>
      </c>
      <c r="J75" s="274"/>
      <c r="K75" s="7"/>
      <c r="L75" s="7"/>
      <c r="M75" s="7"/>
    </row>
    <row r="76" spans="1:70" ht="27" customHeight="1" x14ac:dyDescent="0.2">
      <c r="A76" s="2090"/>
      <c r="B76" s="2116"/>
      <c r="C76" s="843" t="str">
        <f>F!C130</f>
        <v>&lt;2%, or, no slope is ever apparent (i.e., flat). Or, the wetland is in a depression or pond with no inlet and no outlet.</v>
      </c>
      <c r="D76" s="289">
        <f>F!D130</f>
        <v>0</v>
      </c>
      <c r="E76" s="868">
        <v>4</v>
      </c>
      <c r="F76" s="868">
        <f>D76*E76</f>
        <v>0</v>
      </c>
      <c r="G76" s="466"/>
      <c r="H76" s="2078"/>
      <c r="I76" s="2136"/>
      <c r="J76" s="274"/>
      <c r="K76" s="7"/>
      <c r="L76" s="7"/>
      <c r="M76" s="7"/>
    </row>
    <row r="77" spans="1:70" ht="15" customHeight="1" x14ac:dyDescent="0.2">
      <c r="A77" s="2090"/>
      <c r="B77" s="2116"/>
      <c r="C77" s="677" t="str">
        <f>F!C131</f>
        <v>2-5%</v>
      </c>
      <c r="D77" s="705">
        <f>F!D131</f>
        <v>0</v>
      </c>
      <c r="E77" s="868">
        <v>2</v>
      </c>
      <c r="F77" s="868">
        <f>D77*E77</f>
        <v>0</v>
      </c>
      <c r="G77" s="467"/>
      <c r="H77" s="2078"/>
      <c r="I77" s="2136"/>
      <c r="J77" s="274"/>
      <c r="K77" s="7"/>
      <c r="L77" s="7"/>
      <c r="M77" s="7"/>
    </row>
    <row r="78" spans="1:70" ht="15" customHeight="1" x14ac:dyDescent="0.2">
      <c r="A78" s="2090"/>
      <c r="B78" s="2116"/>
      <c r="C78" s="677" t="str">
        <f>F!C132</f>
        <v>6-10%</v>
      </c>
      <c r="D78" s="705">
        <f>F!D132</f>
        <v>0</v>
      </c>
      <c r="E78" s="868">
        <v>1</v>
      </c>
      <c r="F78" s="868">
        <f>D78*E78</f>
        <v>0</v>
      </c>
      <c r="G78" s="467"/>
      <c r="H78" s="2078"/>
      <c r="I78" s="2136"/>
      <c r="J78" s="274"/>
      <c r="K78" s="7"/>
      <c r="L78" s="7"/>
      <c r="M78" s="7"/>
    </row>
    <row r="79" spans="1:70" ht="15" customHeight="1" thickBot="1" x14ac:dyDescent="0.25">
      <c r="A79" s="2091"/>
      <c r="B79" s="2117"/>
      <c r="C79" s="674" t="str">
        <f>F!C133</f>
        <v>&gt;10%</v>
      </c>
      <c r="D79" s="119">
        <f>F!D133</f>
        <v>0</v>
      </c>
      <c r="E79" s="471">
        <v>0</v>
      </c>
      <c r="F79" s="471">
        <f>D79*E79</f>
        <v>0</v>
      </c>
      <c r="G79" s="472"/>
      <c r="H79" s="2079"/>
      <c r="I79" s="2138"/>
      <c r="J79" s="274"/>
      <c r="K79" s="7"/>
      <c r="L79" s="7"/>
      <c r="M79" s="7"/>
    </row>
    <row r="80" spans="1:70" ht="30" customHeight="1" thickBot="1" x14ac:dyDescent="0.25">
      <c r="A80" s="2196" t="str">
        <f>F!A194</f>
        <v>F41</v>
      </c>
      <c r="B80" s="2156" t="str">
        <f>F!B194</f>
        <v>% Bare Ground &amp; Thatch</v>
      </c>
      <c r="C80" s="680" t="str">
        <f>F!C194</f>
        <v>Consider the parts of the AA that lack surface water at the driest time of the growing season.  Viewed from directly above the ground layer, the predominant condition in those areas at that time is:</v>
      </c>
      <c r="D80" s="866"/>
      <c r="E80" s="462"/>
      <c r="F80" s="463"/>
      <c r="G80" s="464">
        <f>MAX(F81:F84)/MAX(E81:E84)</f>
        <v>0</v>
      </c>
      <c r="H80" s="2078" t="s">
        <v>249</v>
      </c>
      <c r="I80" s="2136" t="s">
        <v>23</v>
      </c>
      <c r="J80" s="274"/>
      <c r="K80" s="7"/>
      <c r="L80" s="7"/>
      <c r="M80" s="7"/>
    </row>
    <row r="81" spans="1:13" ht="42" customHeight="1" x14ac:dyDescent="0.2">
      <c r="A81" s="2196"/>
      <c r="B81" s="2156"/>
      <c r="C81" s="843" t="str">
        <f>F!C195</f>
        <v>Little or no (&lt;5%) bare ground is visible between erect stems or under canopy anywhere in the vegetated AA. Ground is extensively blanketed by dense thatch, moss, lichens, graminoids with great stem densities, or plants with ground-hugging foliage. </v>
      </c>
      <c r="D81" s="289">
        <f>F!D195</f>
        <v>0</v>
      </c>
      <c r="E81" s="450">
        <v>5</v>
      </c>
      <c r="F81" s="465">
        <f>D81*E81</f>
        <v>0</v>
      </c>
      <c r="G81" s="466"/>
      <c r="H81" s="2078"/>
      <c r="I81" s="2136"/>
      <c r="J81" s="274"/>
      <c r="K81" s="7"/>
      <c r="L81" s="7"/>
      <c r="M81" s="7"/>
    </row>
    <row r="82" spans="1:13" ht="27" customHeight="1" x14ac:dyDescent="0.2">
      <c r="A82" s="2196"/>
      <c r="B82" s="2156"/>
      <c r="C82" s="677" t="str">
        <f>F!C196</f>
        <v>Slightly bare ground (5-20% bare between plants) is visible in places, but those areas comprise less than 5% of the unflooded parts of the AA.</v>
      </c>
      <c r="D82" s="118">
        <f>F!D196</f>
        <v>0</v>
      </c>
      <c r="E82" s="450">
        <v>4</v>
      </c>
      <c r="F82" s="465">
        <f>D82*E82</f>
        <v>0</v>
      </c>
      <c r="G82" s="467"/>
      <c r="H82" s="2078"/>
      <c r="I82" s="2136"/>
      <c r="J82" s="274"/>
      <c r="K82" s="7"/>
      <c r="L82" s="7"/>
      <c r="M82" s="7"/>
    </row>
    <row r="83" spans="1:13" ht="27" customHeight="1" x14ac:dyDescent="0.2">
      <c r="A83" s="2196"/>
      <c r="B83" s="2156"/>
      <c r="C83" s="677" t="str">
        <f>F!C197</f>
        <v>Much bare ground (20-50% bare between plants) is visible in places, and those areas comprise more than 5% of the unflooded parts of the AA. </v>
      </c>
      <c r="D83" s="118">
        <f>F!D197</f>
        <v>0</v>
      </c>
      <c r="E83" s="450">
        <v>2</v>
      </c>
      <c r="F83" s="465">
        <f>D83*E83</f>
        <v>0</v>
      </c>
      <c r="G83" s="467"/>
      <c r="H83" s="2078"/>
      <c r="I83" s="2136"/>
      <c r="J83" s="274"/>
      <c r="K83" s="7"/>
      <c r="L83" s="7"/>
      <c r="M83" s="7"/>
    </row>
    <row r="84" spans="1:13" ht="15" customHeight="1" thickBot="1" x14ac:dyDescent="0.25">
      <c r="A84" s="2196"/>
      <c r="B84" s="2156"/>
      <c r="C84" s="673" t="str">
        <f>F!C198</f>
        <v>Other conditions</v>
      </c>
      <c r="D84" s="719">
        <f>F!D198</f>
        <v>0</v>
      </c>
      <c r="E84" s="806">
        <v>0</v>
      </c>
      <c r="F84" s="841">
        <f>D84*E84</f>
        <v>0</v>
      </c>
      <c r="G84" s="840"/>
      <c r="H84" s="2078"/>
      <c r="I84" s="2136"/>
      <c r="J84" s="274"/>
      <c r="K84" s="7"/>
      <c r="L84" s="7"/>
      <c r="M84" s="7"/>
    </row>
    <row r="85" spans="1:13" ht="55.5" customHeight="1" thickBot="1" x14ac:dyDescent="0.25">
      <c r="A85" s="2089" t="str">
        <f>F!A200</f>
        <v>F42</v>
      </c>
      <c r="B85" s="2174" t="str">
        <f>F!B200</f>
        <v>Ground Irregularity</v>
      </c>
      <c r="C85" s="675"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85" s="703"/>
      <c r="E85" s="867"/>
      <c r="F85" s="475"/>
      <c r="G85" s="470">
        <f>MAX(F86:F88)/MAX(E86:E88)</f>
        <v>0</v>
      </c>
      <c r="H85" s="2077" t="s">
        <v>250</v>
      </c>
      <c r="I85" s="2135" t="s">
        <v>24</v>
      </c>
      <c r="J85" s="274"/>
      <c r="K85" s="7"/>
      <c r="L85" s="7"/>
      <c r="M85" s="7"/>
    </row>
    <row r="86" spans="1:13" ht="15" customHeight="1" x14ac:dyDescent="0.2">
      <c r="A86" s="2090"/>
      <c r="B86" s="2116"/>
      <c r="C86" s="843" t="str">
        <f>F!C201</f>
        <v xml:space="preserve">Few or none (minimal microtopography; &lt;1% of that area) </v>
      </c>
      <c r="D86" s="705">
        <f>F!D201</f>
        <v>0</v>
      </c>
      <c r="E86" s="868">
        <v>0</v>
      </c>
      <c r="F86" s="868">
        <f>D86*E86</f>
        <v>0</v>
      </c>
      <c r="G86" s="466"/>
      <c r="H86" s="2078"/>
      <c r="I86" s="2136"/>
      <c r="J86" s="274"/>
      <c r="K86" s="7"/>
      <c r="L86" s="7"/>
      <c r="M86" s="7"/>
    </row>
    <row r="87" spans="1:13" ht="15" customHeight="1" x14ac:dyDescent="0.2">
      <c r="A87" s="2090"/>
      <c r="B87" s="2116"/>
      <c r="C87" s="677" t="str">
        <f>F!C202</f>
        <v>Intermediate</v>
      </c>
      <c r="D87" s="705">
        <f>F!D202</f>
        <v>0</v>
      </c>
      <c r="E87" s="868">
        <v>1</v>
      </c>
      <c r="F87" s="868">
        <f>D87*E87</f>
        <v>0</v>
      </c>
      <c r="G87" s="467"/>
      <c r="H87" s="2078"/>
      <c r="I87" s="2136"/>
      <c r="J87" s="274"/>
      <c r="K87" s="7"/>
      <c r="L87" s="7"/>
      <c r="M87" s="7"/>
    </row>
    <row r="88" spans="1:13" ht="15" customHeight="1" thickBot="1" x14ac:dyDescent="0.25">
      <c r="A88" s="2091"/>
      <c r="B88" s="2117"/>
      <c r="C88" s="674" t="str">
        <f>F!C203</f>
        <v>Several (extensive micro-topography)</v>
      </c>
      <c r="D88" s="119">
        <f>F!D203</f>
        <v>0</v>
      </c>
      <c r="E88" s="471">
        <v>2</v>
      </c>
      <c r="F88" s="471">
        <f>D88*E88</f>
        <v>0</v>
      </c>
      <c r="G88" s="472"/>
      <c r="H88" s="2079"/>
      <c r="I88" s="2137"/>
      <c r="J88" s="274"/>
      <c r="K88" s="7"/>
      <c r="L88" s="7"/>
      <c r="M88" s="7"/>
    </row>
    <row r="89" spans="1:13" ht="79.5" customHeight="1" thickBot="1" x14ac:dyDescent="0.25">
      <c r="A89" s="2090" t="str">
        <f>F!A323</f>
        <v>F68</v>
      </c>
      <c r="B89" s="2116" t="str">
        <f>F!B323</f>
        <v>Wetland as a % of Its Contributing Area (Catchment)</v>
      </c>
      <c r="C89" s="1638" t="str">
        <f>F!C323</f>
        <v>View the approximate boundaries of the wetland's catchment (CA) as shown in the map AESRD provides in response to your data request.  Then adjust those boundaries if necessary based on your field observations of the surrounding terrain, and/or by using procedures described in the ABWRET Manual. Relative to the extent of this catchment (but excluding the area of the AA), this AA and any bordering waters together comprise (select ONE):</v>
      </c>
      <c r="D89" s="1636"/>
      <c r="E89" s="462"/>
      <c r="F89" s="462"/>
      <c r="G89" s="464">
        <f>MAX(F90:F93)/MAX(E90:E93)</f>
        <v>0</v>
      </c>
      <c r="H89" s="2078" t="s">
        <v>1124</v>
      </c>
      <c r="I89" s="2136" t="s">
        <v>1093</v>
      </c>
      <c r="J89" s="274"/>
      <c r="K89" s="7"/>
      <c r="L89" s="7"/>
      <c r="M89" s="7"/>
    </row>
    <row r="90" spans="1:13" ht="15" customHeight="1" x14ac:dyDescent="0.2">
      <c r="A90" s="2090"/>
      <c r="B90" s="2116"/>
      <c r="C90" s="1637" t="str">
        <f>F!C324</f>
        <v>&lt;1% of their catchment</v>
      </c>
      <c r="D90" s="118">
        <f>F!D324</f>
        <v>0</v>
      </c>
      <c r="E90" s="465">
        <v>0</v>
      </c>
      <c r="F90" s="465">
        <f t="shared" ref="F90:F93" si="3">D90*E90</f>
        <v>0</v>
      </c>
      <c r="G90" s="467"/>
      <c r="H90" s="2078"/>
      <c r="I90" s="2136"/>
      <c r="J90" s="274"/>
      <c r="K90" s="7"/>
      <c r="L90" s="7"/>
      <c r="M90" s="7"/>
    </row>
    <row r="91" spans="1:13" ht="15" customHeight="1" x14ac:dyDescent="0.2">
      <c r="A91" s="2090"/>
      <c r="B91" s="2116"/>
      <c r="C91" s="681" t="str">
        <f>F!C325</f>
        <v>1 to 10% of their catchment</v>
      </c>
      <c r="D91" s="118">
        <f>F!D325</f>
        <v>0</v>
      </c>
      <c r="E91" s="465">
        <v>1</v>
      </c>
      <c r="F91" s="465">
        <f t="shared" si="3"/>
        <v>0</v>
      </c>
      <c r="G91" s="467"/>
      <c r="H91" s="2078"/>
      <c r="I91" s="2136"/>
      <c r="J91" s="274"/>
      <c r="K91" s="7"/>
      <c r="L91" s="7"/>
      <c r="M91" s="7"/>
    </row>
    <row r="92" spans="1:13" ht="15" customHeight="1" x14ac:dyDescent="0.2">
      <c r="A92" s="2090"/>
      <c r="B92" s="2116"/>
      <c r="C92" s="681" t="str">
        <f>F!C326</f>
        <v>10 to 100%  of their catchment</v>
      </c>
      <c r="D92" s="118">
        <f>F!D326</f>
        <v>0</v>
      </c>
      <c r="E92" s="465">
        <v>2</v>
      </c>
      <c r="F92" s="465">
        <f t="shared" si="3"/>
        <v>0</v>
      </c>
      <c r="G92" s="467"/>
      <c r="H92" s="2078"/>
      <c r="I92" s="2136"/>
      <c r="J92" s="274"/>
      <c r="K92" s="7"/>
      <c r="L92" s="7"/>
      <c r="M92" s="7"/>
    </row>
    <row r="93" spans="1:13" ht="27.6" customHeight="1" thickBot="1" x14ac:dyDescent="0.25">
      <c r="A93" s="2090"/>
      <c r="B93" s="2116"/>
      <c r="C93" s="853" t="str">
        <f>F!C327</f>
        <v xml:space="preserve">Larger than the area of their catchment (wetland has essentially no catchment, e.g., isolated by dikes with no input channels, or is a raised bog). </v>
      </c>
      <c r="D93" s="719">
        <f>F!D327</f>
        <v>0</v>
      </c>
      <c r="E93" s="841">
        <v>3</v>
      </c>
      <c r="F93" s="841">
        <f t="shared" si="3"/>
        <v>0</v>
      </c>
      <c r="G93" s="840"/>
      <c r="H93" s="2078"/>
      <c r="I93" s="2136"/>
      <c r="J93" s="274"/>
      <c r="K93" s="7"/>
      <c r="L93" s="7"/>
      <c r="M93" s="7"/>
    </row>
    <row r="94" spans="1:13" ht="45" customHeight="1" thickBot="1" x14ac:dyDescent="0.25">
      <c r="A94" s="735" t="str">
        <f>S!A64</f>
        <v>S9</v>
      </c>
      <c r="B94" s="735" t="str">
        <f>S!B64</f>
        <v>Soil or Sediment Alteration Within the Assessment Area</v>
      </c>
      <c r="C94" s="854"/>
      <c r="D94" s="842">
        <f>S!F81</f>
        <v>0</v>
      </c>
      <c r="E94" s="487"/>
      <c r="F94" s="487"/>
      <c r="G94" s="1630">
        <f>1-D94</f>
        <v>1</v>
      </c>
      <c r="H94" s="99" t="s">
        <v>1125</v>
      </c>
      <c r="I94" s="136" t="s">
        <v>1697</v>
      </c>
      <c r="J94" s="274"/>
      <c r="K94" s="7"/>
      <c r="L94" s="7"/>
      <c r="M94" s="7"/>
    </row>
    <row r="95" spans="1:13" ht="13.5" thickBot="1" x14ac:dyDescent="0.25">
      <c r="A95" s="1540"/>
      <c r="B95" s="1540"/>
      <c r="D95" s="1542"/>
      <c r="E95" s="1542"/>
      <c r="F95" s="1542"/>
      <c r="G95" s="1542"/>
      <c r="H95" s="836"/>
      <c r="I95" s="836"/>
    </row>
    <row r="96" spans="1:13" ht="15.6" customHeight="1" thickBot="1" x14ac:dyDescent="0.25">
      <c r="A96" s="44"/>
      <c r="B96" s="1541"/>
      <c r="C96" s="833" t="s">
        <v>1126</v>
      </c>
      <c r="D96" s="1543"/>
      <c r="E96" s="1543"/>
      <c r="F96" s="1543"/>
      <c r="G96" s="1543"/>
      <c r="H96" s="154"/>
      <c r="I96" s="154"/>
    </row>
    <row r="97" spans="1:25" ht="51.75" thickBot="1" x14ac:dyDescent="0.25">
      <c r="A97" s="44"/>
      <c r="B97" s="818" t="s">
        <v>1115</v>
      </c>
      <c r="C97" s="902" t="s">
        <v>1945</v>
      </c>
      <c r="D97" s="325"/>
      <c r="E97" s="325"/>
      <c r="F97" s="325"/>
      <c r="G97" s="1634">
        <f>IF((GT10HA=1),G98, IFERROR((AVERAGE(WetVegArea, OpenPonded2, Interspers2) + AVERAGE(Sub0Days, SlopeBuffer, Gradient2) + AVERAGE(WetPctCA2,SeasPct2, Fluc2, DepthC2, WatEdgeSlope2, WidthAbs2, ISN2,  ThruFlo2, Constric2, Gcover2, Girreg2,  SoilAlt2)) / 3,""))</f>
        <v>4.1666666666666664E-2</v>
      </c>
      <c r="H97" s="154"/>
      <c r="I97" s="154"/>
      <c r="J97" s="214"/>
      <c r="K97" s="42"/>
      <c r="L97" s="42"/>
      <c r="M97" s="42"/>
      <c r="N97" s="42"/>
      <c r="O97" s="42"/>
      <c r="P97" s="42"/>
      <c r="Q97" s="42"/>
      <c r="R97" s="42"/>
      <c r="S97" s="42"/>
      <c r="T97" s="42"/>
      <c r="U97" s="42"/>
      <c r="V97" s="42"/>
      <c r="W97" s="42"/>
      <c r="X97" s="42"/>
      <c r="Y97" s="42"/>
    </row>
    <row r="98" spans="1:25" ht="26.25" customHeight="1" thickBot="1" x14ac:dyDescent="0.25">
      <c r="A98" s="44"/>
      <c r="B98" s="819" t="s">
        <v>1116</v>
      </c>
      <c r="C98" s="193" t="s">
        <v>1931</v>
      </c>
      <c r="D98" s="327"/>
      <c r="E98" s="327"/>
      <c r="F98" s="327"/>
      <c r="G98" s="738">
        <f>IFERROR((AVERAGE(WetVegArea, 1-OWpct, MixWaterVeg) + AVERAGE(1-Sub0Days, SlopeBuffer, LGIndex,Gradient2) + AVERAGE(WetPctCA2,SeasPct2, Fluc2, DepthC2, WatEdgeSlope2, WidthAbs2, ISN4, ThruFlo2, Constric2, Gcover2, Girreg2,  SoilAlt2)) / 3,"")</f>
        <v>0.54166666666666663</v>
      </c>
      <c r="H98" s="154"/>
      <c r="I98" s="154"/>
      <c r="J98" s="214"/>
      <c r="K98" s="42"/>
      <c r="L98" s="42"/>
      <c r="M98" s="42"/>
      <c r="N98" s="42"/>
      <c r="O98" s="42"/>
      <c r="P98" s="42"/>
      <c r="Q98" s="42"/>
      <c r="R98" s="42"/>
      <c r="S98" s="42"/>
      <c r="T98" s="42"/>
      <c r="U98" s="42"/>
      <c r="V98" s="42"/>
      <c r="W98" s="42"/>
      <c r="X98" s="42"/>
      <c r="Y98" s="42"/>
    </row>
    <row r="99" spans="1:25" ht="21" customHeight="1" thickBot="1" x14ac:dyDescent="0.25">
      <c r="A99" s="191"/>
      <c r="B99" s="191"/>
      <c r="C99" s="39"/>
      <c r="D99" s="1437"/>
      <c r="E99" s="1437"/>
      <c r="F99" s="1437"/>
      <c r="G99" s="1437"/>
      <c r="H99" s="154"/>
      <c r="I99" s="154"/>
      <c r="J99" s="199"/>
      <c r="K99" s="42"/>
      <c r="L99" s="42"/>
      <c r="M99" s="42"/>
      <c r="N99" s="42"/>
      <c r="O99" s="42"/>
      <c r="P99" s="42"/>
      <c r="Q99" s="42"/>
      <c r="R99" s="42"/>
      <c r="S99" s="42"/>
      <c r="T99" s="42"/>
      <c r="U99" s="42"/>
      <c r="V99" s="42"/>
      <c r="W99" s="42"/>
      <c r="X99" s="42"/>
      <c r="Y99" s="42"/>
    </row>
    <row r="100" spans="1:25" ht="21" customHeight="1" thickBot="1" x14ac:dyDescent="0.25">
      <c r="A100" s="191"/>
      <c r="B100" s="191"/>
      <c r="C100" s="833" t="s">
        <v>1123</v>
      </c>
      <c r="D100" s="734"/>
      <c r="E100" s="734"/>
      <c r="F100" s="734"/>
      <c r="G100" s="734"/>
      <c r="H100" s="154"/>
      <c r="I100" s="154"/>
      <c r="J100" s="199"/>
      <c r="K100" s="42"/>
      <c r="L100" s="42"/>
      <c r="M100" s="42"/>
      <c r="N100" s="42"/>
      <c r="O100" s="42"/>
      <c r="P100" s="42"/>
      <c r="Q100" s="42"/>
      <c r="R100" s="42"/>
      <c r="S100" s="42"/>
      <c r="T100" s="42"/>
      <c r="U100" s="42"/>
      <c r="V100" s="42"/>
      <c r="W100" s="42"/>
      <c r="X100" s="42"/>
      <c r="Y100" s="42"/>
    </row>
    <row r="101" spans="1:25" ht="21" customHeight="1" thickBot="1" x14ac:dyDescent="0.25">
      <c r="A101" s="191"/>
      <c r="B101" s="191"/>
      <c r="C101" s="107" t="s">
        <v>246</v>
      </c>
      <c r="D101" s="420"/>
      <c r="E101" s="420"/>
      <c r="F101" s="420"/>
      <c r="G101" s="1634">
        <f>OutDur2</f>
        <v>0</v>
      </c>
      <c r="H101" s="154"/>
      <c r="I101" s="154"/>
      <c r="J101" s="199"/>
      <c r="K101" s="42"/>
      <c r="L101" s="42"/>
      <c r="M101" s="42"/>
      <c r="N101" s="42"/>
      <c r="O101" s="42"/>
      <c r="P101" s="42"/>
      <c r="Q101" s="42"/>
      <c r="R101" s="42"/>
      <c r="S101" s="42"/>
      <c r="T101" s="42"/>
      <c r="U101" s="42"/>
      <c r="V101" s="42"/>
      <c r="W101" s="42"/>
      <c r="X101" s="42"/>
      <c r="Y101" s="42"/>
    </row>
    <row r="102" spans="1:25" ht="21" customHeight="1" thickBot="1" x14ac:dyDescent="0.25">
      <c r="A102" s="191"/>
      <c r="B102" s="191"/>
      <c r="C102" s="39"/>
      <c r="D102" s="1437"/>
      <c r="E102" s="1437"/>
      <c r="F102" s="1437"/>
      <c r="G102" s="1437"/>
      <c r="H102" s="154"/>
      <c r="I102" s="154"/>
      <c r="J102" s="199"/>
      <c r="K102" s="42"/>
      <c r="L102" s="42"/>
      <c r="M102" s="42"/>
      <c r="N102" s="42"/>
      <c r="O102" s="42"/>
      <c r="P102" s="42"/>
      <c r="Q102" s="42"/>
      <c r="R102" s="42"/>
      <c r="S102" s="42"/>
      <c r="T102" s="42"/>
      <c r="U102" s="42"/>
      <c r="V102" s="42"/>
      <c r="W102" s="42"/>
      <c r="X102" s="42"/>
      <c r="Y102" s="42"/>
    </row>
    <row r="103" spans="1:25" ht="21" customHeight="1" thickBot="1" x14ac:dyDescent="0.25">
      <c r="A103" s="191"/>
      <c r="B103" s="191"/>
      <c r="C103" s="1635" t="s">
        <v>1339</v>
      </c>
      <c r="D103" s="39"/>
      <c r="E103" s="39"/>
      <c r="F103" s="39"/>
      <c r="G103" s="39"/>
      <c r="H103" s="154"/>
      <c r="I103" s="154"/>
      <c r="J103" s="199"/>
      <c r="K103" s="42"/>
      <c r="L103" s="42"/>
      <c r="M103" s="42"/>
      <c r="N103" s="42"/>
      <c r="O103" s="42"/>
      <c r="P103" s="42"/>
      <c r="Q103" s="42"/>
      <c r="R103" s="42"/>
      <c r="S103" s="42"/>
      <c r="T103" s="42"/>
      <c r="U103" s="42"/>
      <c r="V103" s="42"/>
      <c r="W103" s="42"/>
      <c r="X103" s="42"/>
      <c r="Y103" s="42"/>
    </row>
    <row r="104" spans="1:25" ht="21" customHeight="1" thickBot="1" x14ac:dyDescent="0.25">
      <c r="A104" s="191"/>
      <c r="B104" s="191"/>
      <c r="C104" s="903" t="s">
        <v>1139</v>
      </c>
      <c r="D104" s="734"/>
      <c r="E104" s="734"/>
      <c r="F104" s="734"/>
      <c r="G104" s="734"/>
      <c r="H104" s="154"/>
      <c r="I104" s="154"/>
      <c r="J104" s="199"/>
      <c r="K104" s="42"/>
      <c r="L104" s="42"/>
      <c r="M104" s="42"/>
      <c r="N104" s="42"/>
      <c r="O104" s="42"/>
      <c r="P104" s="42"/>
      <c r="Q104" s="42"/>
      <c r="R104" s="42"/>
      <c r="S104" s="42"/>
      <c r="T104" s="42"/>
      <c r="U104" s="42"/>
      <c r="V104" s="42"/>
      <c r="W104" s="42"/>
      <c r="X104" s="42"/>
      <c r="Y104" s="42"/>
    </row>
    <row r="105" spans="1:25" ht="21" customHeight="1" thickBot="1" x14ac:dyDescent="0.25">
      <c r="A105" s="191"/>
      <c r="B105" s="191"/>
      <c r="C105" s="659" t="s">
        <v>2179</v>
      </c>
      <c r="D105" s="832"/>
      <c r="E105" s="420"/>
      <c r="F105" s="420"/>
      <c r="G105" s="1631">
        <f>IF((OutNone + OutNone1&gt;0),10, 10*AVERAGE(TRAP1A, OUT2A))</f>
        <v>0.20833333333333331</v>
      </c>
      <c r="H105" s="154"/>
      <c r="I105" s="154"/>
      <c r="J105" s="199"/>
      <c r="K105" s="42"/>
      <c r="L105" s="42"/>
      <c r="M105" s="42"/>
      <c r="N105" s="42"/>
      <c r="O105" s="42"/>
      <c r="P105" s="42"/>
      <c r="Q105" s="42"/>
      <c r="R105" s="42"/>
      <c r="S105" s="42"/>
      <c r="T105" s="42"/>
      <c r="U105" s="42"/>
      <c r="V105" s="42"/>
      <c r="W105" s="42"/>
      <c r="X105" s="42"/>
      <c r="Y105" s="42"/>
    </row>
    <row r="106" spans="1:25" s="7" customFormat="1" ht="21" customHeight="1" thickBot="1" x14ac:dyDescent="0.25">
      <c r="A106" s="191"/>
      <c r="B106" s="191"/>
      <c r="D106" s="1515"/>
      <c r="H106" s="1514"/>
      <c r="I106" s="277" t="s">
        <v>357</v>
      </c>
      <c r="J106" s="215"/>
      <c r="K106" s="154"/>
      <c r="L106" s="154"/>
      <c r="M106" s="154"/>
      <c r="N106" s="154"/>
      <c r="O106" s="154"/>
      <c r="P106" s="154"/>
      <c r="Q106" s="154"/>
      <c r="R106" s="154"/>
      <c r="S106" s="154"/>
      <c r="T106" s="154"/>
      <c r="U106" s="154"/>
      <c r="V106" s="154"/>
      <c r="W106" s="154"/>
      <c r="X106" s="154"/>
      <c r="Y106" s="154"/>
    </row>
    <row r="107" spans="1:25" ht="38.25" x14ac:dyDescent="0.2">
      <c r="A107" s="1544"/>
      <c r="B107" s="1544"/>
      <c r="C107" s="1524" t="s">
        <v>1336</v>
      </c>
      <c r="D107" s="1523"/>
      <c r="E107" s="7"/>
      <c r="F107" s="7"/>
      <c r="G107" s="7"/>
      <c r="H107" s="1514"/>
      <c r="I107" s="824" t="s">
        <v>1135</v>
      </c>
    </row>
    <row r="108" spans="1:25" s="7" customFormat="1" ht="42" customHeight="1" x14ac:dyDescent="0.2">
      <c r="A108" s="1545"/>
      <c r="B108" s="1525">
        <v>1</v>
      </c>
      <c r="C108" s="1526" t="s">
        <v>1212</v>
      </c>
      <c r="D108" s="1527">
        <f>IF((ChannConn+RipFloodpl=0), 10, "")</f>
        <v>10</v>
      </c>
      <c r="H108" s="1514"/>
      <c r="I108" s="820" t="s">
        <v>377</v>
      </c>
      <c r="J108" s="215"/>
      <c r="K108" s="154"/>
      <c r="L108" s="154"/>
      <c r="M108" s="154"/>
      <c r="N108" s="154"/>
      <c r="O108" s="154"/>
      <c r="P108" s="154"/>
      <c r="Q108" s="154"/>
      <c r="R108" s="154"/>
      <c r="S108" s="154"/>
      <c r="T108" s="154"/>
      <c r="U108" s="154"/>
      <c r="V108" s="154"/>
      <c r="W108" s="154"/>
      <c r="X108" s="154"/>
      <c r="Y108" s="154"/>
    </row>
    <row r="109" spans="1:25" s="7" customFormat="1" ht="42" customHeight="1" x14ac:dyDescent="0.2">
      <c r="A109" s="1545"/>
      <c r="B109" s="1525">
        <v>2</v>
      </c>
      <c r="C109" s="1526" t="s">
        <v>1216</v>
      </c>
      <c r="D109" s="1546"/>
      <c r="H109" s="1514"/>
      <c r="I109" s="820" t="s">
        <v>378</v>
      </c>
      <c r="J109" s="215"/>
      <c r="K109" s="154"/>
      <c r="L109" s="154"/>
      <c r="M109" s="154"/>
      <c r="N109" s="154"/>
      <c r="O109" s="154"/>
      <c r="P109" s="154"/>
      <c r="Q109" s="154"/>
      <c r="R109" s="154"/>
      <c r="S109" s="154"/>
      <c r="T109" s="154"/>
      <c r="U109" s="154"/>
      <c r="V109" s="154"/>
      <c r="W109" s="154"/>
      <c r="X109" s="154"/>
      <c r="Y109" s="154"/>
    </row>
    <row r="110" spans="1:25" s="7" customFormat="1" ht="27" customHeight="1" x14ac:dyDescent="0.2">
      <c r="A110" s="1545"/>
      <c r="B110" s="1545"/>
      <c r="C110" s="1526" t="s">
        <v>1932</v>
      </c>
      <c r="D110" s="1546">
        <f>IF((D108=10), 10, 10*AVERAGE(WetVegArea, 1-OWpct, MixWaterVeg, AVERAGE(1-Sub0Days, SlopeBuffer, LGIndex)))</f>
        <v>10</v>
      </c>
      <c r="H110" s="1514"/>
      <c r="I110" s="820" t="s">
        <v>379</v>
      </c>
      <c r="J110" s="215"/>
      <c r="K110" s="154"/>
      <c r="L110" s="154"/>
      <c r="M110" s="154"/>
      <c r="N110" s="154"/>
      <c r="O110" s="154"/>
      <c r="P110" s="154"/>
      <c r="Q110" s="154"/>
      <c r="R110" s="154"/>
      <c r="S110" s="154"/>
      <c r="T110" s="154"/>
      <c r="U110" s="154"/>
      <c r="V110" s="154"/>
      <c r="W110" s="154"/>
      <c r="X110" s="154"/>
      <c r="Y110" s="154"/>
    </row>
    <row r="111" spans="1:25" s="7" customFormat="1" ht="38.25" customHeight="1" x14ac:dyDescent="0.2">
      <c r="A111" s="1545"/>
      <c r="B111" s="1545"/>
      <c r="C111" s="1547"/>
      <c r="D111" s="1548"/>
      <c r="H111" s="1514"/>
      <c r="I111" s="820" t="s">
        <v>380</v>
      </c>
      <c r="J111" s="215"/>
      <c r="K111" s="154"/>
      <c r="L111" s="154"/>
      <c r="M111" s="154"/>
      <c r="N111" s="154"/>
      <c r="O111" s="154"/>
      <c r="P111" s="154"/>
      <c r="Q111" s="154"/>
      <c r="R111" s="154"/>
      <c r="S111" s="154"/>
      <c r="T111" s="154"/>
      <c r="U111" s="154"/>
      <c r="V111" s="154"/>
      <c r="W111" s="154"/>
      <c r="X111" s="154"/>
      <c r="Y111" s="154"/>
    </row>
    <row r="112" spans="1:25" s="7" customFormat="1" ht="27" customHeight="1" x14ac:dyDescent="0.2">
      <c r="A112" s="1545"/>
      <c r="B112" s="1545"/>
      <c r="C112" s="1524" t="s">
        <v>1329</v>
      </c>
      <c r="D112" s="1548"/>
      <c r="H112" s="1514"/>
      <c r="I112" s="820" t="s">
        <v>381</v>
      </c>
      <c r="J112" s="215"/>
      <c r="K112" s="154"/>
      <c r="L112" s="154"/>
      <c r="M112" s="154"/>
      <c r="N112" s="154"/>
      <c r="O112" s="154"/>
      <c r="P112" s="154"/>
      <c r="Q112" s="154"/>
      <c r="R112" s="154"/>
      <c r="S112" s="154"/>
      <c r="T112" s="154"/>
      <c r="U112" s="154"/>
      <c r="V112" s="154"/>
      <c r="W112" s="154"/>
      <c r="X112" s="154"/>
      <c r="Y112" s="154"/>
    </row>
    <row r="113" spans="1:26" s="7" customFormat="1" ht="27" customHeight="1" x14ac:dyDescent="0.2">
      <c r="A113" s="2153"/>
      <c r="B113" s="1525">
        <v>1</v>
      </c>
      <c r="C113" s="1526" t="s">
        <v>1744</v>
      </c>
      <c r="D113" s="1527" t="str">
        <f>IF((OutNone+OutNone1&gt;0), 10, "")</f>
        <v/>
      </c>
      <c r="H113" s="1514"/>
      <c r="I113" s="820" t="s">
        <v>382</v>
      </c>
      <c r="J113" s="215"/>
      <c r="K113" s="154"/>
      <c r="L113" s="154"/>
      <c r="M113" s="154"/>
      <c r="N113" s="154"/>
      <c r="O113" s="154"/>
      <c r="P113" s="154"/>
      <c r="Q113" s="154"/>
      <c r="R113" s="154"/>
      <c r="S113" s="154"/>
      <c r="T113" s="154"/>
      <c r="U113" s="154"/>
      <c r="V113" s="154"/>
      <c r="W113" s="154"/>
      <c r="X113" s="154"/>
      <c r="Y113" s="154"/>
    </row>
    <row r="114" spans="1:26" s="7" customFormat="1" ht="42" customHeight="1" x14ac:dyDescent="0.2">
      <c r="A114" s="2153"/>
      <c r="B114" s="1525">
        <v>2</v>
      </c>
      <c r="C114" s="1526" t="s">
        <v>1216</v>
      </c>
      <c r="D114" s="1546"/>
      <c r="H114" s="1514"/>
      <c r="I114" s="820" t="s">
        <v>383</v>
      </c>
      <c r="J114" s="215"/>
      <c r="K114" s="154"/>
      <c r="L114" s="154"/>
      <c r="M114" s="154"/>
      <c r="N114" s="154"/>
      <c r="O114" s="154"/>
      <c r="P114" s="154"/>
      <c r="Q114" s="154"/>
      <c r="R114" s="154"/>
      <c r="S114" s="154"/>
      <c r="T114" s="154"/>
      <c r="U114" s="154"/>
      <c r="V114" s="154"/>
      <c r="W114" s="154"/>
      <c r="X114" s="154"/>
      <c r="Y114" s="154"/>
    </row>
    <row r="115" spans="1:26" s="7" customFormat="1" ht="42" customHeight="1" x14ac:dyDescent="0.2">
      <c r="A115" s="1545"/>
      <c r="B115" s="1523"/>
      <c r="C115" s="1526" t="s">
        <v>1940</v>
      </c>
      <c r="D115" s="1546">
        <f>IF((D113=10),10, 10*AVERAGE(WetVegArea,OpenPonded2,Interspers2,AVERAGE(1-Sub0Days,SlopeBuffer,LGIndex)))</f>
        <v>3.333333333333333</v>
      </c>
      <c r="H115" s="1514"/>
      <c r="I115" s="820" t="s">
        <v>384</v>
      </c>
      <c r="J115" s="215"/>
      <c r="K115" s="154"/>
      <c r="L115" s="154"/>
      <c r="M115" s="154"/>
      <c r="N115" s="154"/>
      <c r="O115" s="154"/>
      <c r="P115" s="154"/>
      <c r="Q115" s="154"/>
      <c r="R115" s="154"/>
      <c r="S115" s="154"/>
      <c r="T115" s="154"/>
      <c r="U115" s="154"/>
      <c r="V115" s="154"/>
      <c r="W115" s="154"/>
      <c r="X115" s="154"/>
      <c r="Y115" s="154"/>
    </row>
    <row r="116" spans="1:26" s="8" customFormat="1" ht="42" customHeight="1" x14ac:dyDescent="0.2">
      <c r="H116" s="1379"/>
      <c r="I116" s="820" t="s">
        <v>385</v>
      </c>
      <c r="J116" s="215"/>
      <c r="K116" s="154"/>
      <c r="L116" s="154"/>
      <c r="M116" s="154"/>
      <c r="N116" s="154"/>
      <c r="O116" s="154"/>
      <c r="P116" s="154"/>
      <c r="Q116" s="154"/>
      <c r="R116" s="154"/>
      <c r="S116" s="154"/>
      <c r="T116" s="154"/>
      <c r="U116" s="154"/>
      <c r="V116" s="154"/>
      <c r="W116" s="154"/>
      <c r="X116" s="154"/>
      <c r="Y116" s="154"/>
    </row>
    <row r="117" spans="1:26" s="170" customFormat="1" ht="27" customHeight="1" x14ac:dyDescent="0.2">
      <c r="A117" s="8"/>
      <c r="B117" s="8"/>
      <c r="C117" s="8"/>
      <c r="D117" s="8"/>
      <c r="E117" s="8"/>
      <c r="F117" s="8"/>
      <c r="G117" s="8"/>
      <c r="H117" s="1379"/>
      <c r="I117" s="820" t="s">
        <v>386</v>
      </c>
      <c r="J117" s="215"/>
      <c r="K117" s="154"/>
      <c r="L117" s="154"/>
      <c r="M117" s="154"/>
      <c r="N117" s="154"/>
      <c r="O117" s="154"/>
      <c r="P117" s="154"/>
      <c r="Q117" s="154"/>
      <c r="R117" s="154"/>
      <c r="S117" s="154"/>
      <c r="T117" s="154"/>
      <c r="U117" s="154"/>
      <c r="V117" s="154"/>
      <c r="W117" s="154"/>
      <c r="X117" s="154"/>
      <c r="Y117" s="154"/>
      <c r="Z117" s="192"/>
    </row>
    <row r="118" spans="1:26" ht="27" customHeight="1" x14ac:dyDescent="0.2">
      <c r="A118" s="8"/>
      <c r="B118" s="8"/>
      <c r="C118" s="8"/>
      <c r="D118" s="8"/>
      <c r="E118" s="8"/>
      <c r="F118" s="8"/>
      <c r="G118" s="8"/>
      <c r="H118" s="1379"/>
      <c r="I118" s="820" t="s">
        <v>387</v>
      </c>
      <c r="J118" s="199"/>
      <c r="K118" s="42"/>
      <c r="L118" s="42"/>
      <c r="M118" s="42"/>
      <c r="N118" s="42"/>
      <c r="O118" s="42"/>
      <c r="P118" s="42"/>
      <c r="Q118" s="42"/>
      <c r="R118" s="42"/>
      <c r="S118" s="42"/>
      <c r="T118" s="42"/>
      <c r="U118" s="42"/>
      <c r="V118" s="42"/>
      <c r="W118" s="42"/>
      <c r="X118" s="42"/>
      <c r="Y118" s="42"/>
    </row>
    <row r="119" spans="1:26" ht="42.75" customHeight="1" x14ac:dyDescent="0.2">
      <c r="A119" s="8"/>
      <c r="B119" s="8"/>
      <c r="C119" s="8"/>
      <c r="D119" s="8"/>
      <c r="E119" s="8"/>
      <c r="F119" s="8"/>
      <c r="G119" s="8"/>
      <c r="H119" s="1379"/>
      <c r="I119" s="820" t="s">
        <v>388</v>
      </c>
    </row>
    <row r="120" spans="1:26" ht="27" customHeight="1" x14ac:dyDescent="0.2">
      <c r="A120" s="8"/>
      <c r="B120" s="8"/>
      <c r="C120" s="8"/>
      <c r="D120" s="8"/>
      <c r="E120" s="8"/>
      <c r="F120" s="8"/>
      <c r="G120" s="8"/>
      <c r="H120" s="1379"/>
      <c r="I120" s="820" t="s">
        <v>389</v>
      </c>
    </row>
    <row r="121" spans="1:26" ht="27" customHeight="1" x14ac:dyDescent="0.2">
      <c r="A121" s="8"/>
      <c r="B121" s="8"/>
      <c r="C121" s="8"/>
      <c r="D121" s="8"/>
      <c r="E121" s="8"/>
      <c r="F121" s="8"/>
      <c r="G121" s="8"/>
      <c r="H121" s="1379"/>
      <c r="I121" s="1368" t="s">
        <v>412</v>
      </c>
    </row>
    <row r="122" spans="1:26" ht="38.25" x14ac:dyDescent="0.2">
      <c r="A122" s="8"/>
      <c r="B122" s="8"/>
      <c r="C122" s="8"/>
      <c r="D122" s="8"/>
      <c r="E122" s="8"/>
      <c r="F122" s="8"/>
      <c r="G122" s="8"/>
      <c r="H122" s="1379"/>
      <c r="I122" s="820" t="s">
        <v>390</v>
      </c>
    </row>
    <row r="123" spans="1:26" ht="39" thickBot="1" x14ac:dyDescent="0.25">
      <c r="I123" s="821" t="s">
        <v>391</v>
      </c>
    </row>
    <row r="134" spans="9:9" x14ac:dyDescent="0.2">
      <c r="I134" s="43"/>
    </row>
    <row r="135" spans="9:9" x14ac:dyDescent="0.2">
      <c r="I135" s="43"/>
    </row>
    <row r="136" spans="9:9" x14ac:dyDescent="0.2">
      <c r="I136" s="43"/>
    </row>
    <row r="137" spans="9:9" x14ac:dyDescent="0.2">
      <c r="I137" s="43"/>
    </row>
    <row r="138" spans="9:9" x14ac:dyDescent="0.2">
      <c r="I138" s="43"/>
    </row>
    <row r="139" spans="9:9" x14ac:dyDescent="0.2">
      <c r="I139" s="43"/>
    </row>
    <row r="140" spans="9:9" x14ac:dyDescent="0.2">
      <c r="I140" s="43"/>
    </row>
    <row r="141" spans="9:9" x14ac:dyDescent="0.2">
      <c r="I141" s="43"/>
    </row>
    <row r="142" spans="9:9" x14ac:dyDescent="0.2">
      <c r="I142" s="43"/>
    </row>
    <row r="149" spans="3:8" x14ac:dyDescent="0.2">
      <c r="C149" s="42"/>
      <c r="H149" s="213"/>
    </row>
    <row r="150" spans="3:8" x14ac:dyDescent="0.2">
      <c r="C150" s="42"/>
      <c r="H150" s="213"/>
    </row>
    <row r="151" spans="3:8" x14ac:dyDescent="0.2">
      <c r="C151" s="42"/>
      <c r="H151" s="213"/>
    </row>
    <row r="152" spans="3:8" x14ac:dyDescent="0.2">
      <c r="C152" s="42"/>
      <c r="H152" s="213"/>
    </row>
    <row r="153" spans="3:8" x14ac:dyDescent="0.2">
      <c r="C153" s="42"/>
      <c r="H153" s="213"/>
    </row>
    <row r="154" spans="3:8" x14ac:dyDescent="0.2">
      <c r="C154" s="42"/>
      <c r="H154" s="213"/>
    </row>
    <row r="155" spans="3:8" x14ac:dyDescent="0.2">
      <c r="C155" s="42"/>
      <c r="H155" s="213"/>
    </row>
    <row r="156" spans="3:8" x14ac:dyDescent="0.2">
      <c r="C156" s="42"/>
      <c r="H156" s="213"/>
    </row>
    <row r="157" spans="3:8" x14ac:dyDescent="0.2">
      <c r="C157" s="42"/>
      <c r="H157" s="213"/>
    </row>
    <row r="158" spans="3:8" x14ac:dyDescent="0.2">
      <c r="C158" s="42"/>
      <c r="H158" s="213"/>
    </row>
    <row r="159" spans="3:8" x14ac:dyDescent="0.2">
      <c r="C159" s="42"/>
      <c r="H159" s="213"/>
    </row>
    <row r="160" spans="3:8" x14ac:dyDescent="0.2">
      <c r="C160" s="42"/>
      <c r="H160" s="213"/>
    </row>
    <row r="161" spans="1:10" x14ac:dyDescent="0.2">
      <c r="C161" s="42"/>
      <c r="H161" s="213"/>
    </row>
    <row r="162" spans="1:10" x14ac:dyDescent="0.2">
      <c r="C162" s="42"/>
      <c r="H162" s="213"/>
    </row>
    <row r="163" spans="1:10" x14ac:dyDescent="0.2">
      <c r="C163" s="42"/>
      <c r="H163" s="213"/>
    </row>
    <row r="164" spans="1:10" x14ac:dyDescent="0.2">
      <c r="C164" s="42"/>
      <c r="H164" s="213"/>
    </row>
    <row r="165" spans="1:10" x14ac:dyDescent="0.2">
      <c r="C165" s="42"/>
      <c r="H165" s="213"/>
    </row>
    <row r="166" spans="1:10" s="41" customFormat="1" x14ac:dyDescent="0.2">
      <c r="A166" s="43"/>
      <c r="B166" s="42"/>
      <c r="C166" s="42"/>
      <c r="D166" s="483"/>
      <c r="E166" s="483"/>
      <c r="F166" s="483"/>
      <c r="G166" s="211"/>
      <c r="H166" s="213"/>
      <c r="I166" s="330"/>
      <c r="J166" s="201"/>
    </row>
    <row r="167" spans="1:10" s="41" customFormat="1" x14ac:dyDescent="0.2">
      <c r="A167" s="43"/>
      <c r="B167" s="42"/>
      <c r="C167" s="42"/>
      <c r="D167" s="483"/>
      <c r="E167" s="483"/>
      <c r="F167" s="483"/>
      <c r="G167" s="211"/>
      <c r="H167" s="213"/>
      <c r="I167" s="330"/>
      <c r="J167" s="201"/>
    </row>
    <row r="168" spans="1:10" s="41" customFormat="1" x14ac:dyDescent="0.2">
      <c r="A168" s="43"/>
      <c r="B168" s="42"/>
      <c r="C168" s="42"/>
      <c r="D168" s="483"/>
      <c r="E168" s="483"/>
      <c r="F168" s="483"/>
      <c r="G168" s="211"/>
      <c r="H168" s="213"/>
      <c r="I168" s="330"/>
      <c r="J168" s="201"/>
    </row>
    <row r="169" spans="1:10" s="41" customFormat="1" x14ac:dyDescent="0.2">
      <c r="A169" s="43"/>
      <c r="B169" s="42"/>
      <c r="C169" s="42"/>
      <c r="D169" s="483"/>
      <c r="E169" s="483"/>
      <c r="F169" s="483"/>
      <c r="G169" s="211"/>
      <c r="H169" s="213"/>
      <c r="I169" s="330"/>
      <c r="J169" s="201"/>
    </row>
    <row r="170" spans="1:10" s="41" customFormat="1" x14ac:dyDescent="0.2">
      <c r="A170" s="43"/>
      <c r="B170" s="42"/>
      <c r="C170" s="42"/>
      <c r="D170" s="483"/>
      <c r="E170" s="483"/>
      <c r="F170" s="483"/>
      <c r="G170" s="211"/>
      <c r="H170" s="213"/>
      <c r="I170" s="330"/>
      <c r="J170" s="201"/>
    </row>
    <row r="171" spans="1:10" s="41" customFormat="1" x14ac:dyDescent="0.2">
      <c r="A171" s="43"/>
      <c r="B171" s="42"/>
      <c r="C171" s="42"/>
      <c r="D171" s="483"/>
      <c r="E171" s="483"/>
      <c r="F171" s="483"/>
      <c r="G171" s="211"/>
      <c r="H171" s="213"/>
      <c r="I171" s="330"/>
      <c r="J171" s="201"/>
    </row>
    <row r="172" spans="1:10" s="41" customFormat="1" x14ac:dyDescent="0.2">
      <c r="A172" s="43"/>
      <c r="B172" s="42"/>
      <c r="C172" s="42"/>
      <c r="D172" s="483"/>
      <c r="E172" s="483"/>
      <c r="F172" s="483"/>
      <c r="G172" s="211"/>
      <c r="H172" s="213"/>
      <c r="I172" s="330"/>
      <c r="J172" s="201"/>
    </row>
    <row r="173" spans="1:10" s="41" customFormat="1" x14ac:dyDescent="0.2">
      <c r="A173" s="43"/>
      <c r="B173" s="42"/>
      <c r="C173" s="42"/>
      <c r="D173" s="483"/>
      <c r="E173" s="483"/>
      <c r="F173" s="483"/>
      <c r="G173" s="211"/>
      <c r="H173" s="213"/>
      <c r="I173" s="330"/>
      <c r="J173" s="201"/>
    </row>
    <row r="174" spans="1:10" s="41" customFormat="1" x14ac:dyDescent="0.2">
      <c r="A174" s="43"/>
      <c r="B174" s="42"/>
      <c r="C174" s="42"/>
      <c r="D174" s="483"/>
      <c r="E174" s="483"/>
      <c r="F174" s="483"/>
      <c r="G174" s="211"/>
      <c r="H174" s="213"/>
      <c r="I174" s="330"/>
      <c r="J174" s="201"/>
    </row>
    <row r="175" spans="1:10" s="41" customFormat="1" x14ac:dyDescent="0.2">
      <c r="A175" s="43"/>
      <c r="B175" s="42"/>
      <c r="C175" s="42"/>
      <c r="D175" s="483"/>
      <c r="E175" s="483"/>
      <c r="F175" s="483"/>
      <c r="G175" s="211"/>
      <c r="H175" s="213"/>
      <c r="I175" s="330"/>
      <c r="J175" s="201"/>
    </row>
    <row r="176" spans="1:10" s="41" customFormat="1" x14ac:dyDescent="0.2">
      <c r="A176" s="43"/>
      <c r="B176" s="42"/>
      <c r="C176" s="42"/>
      <c r="D176" s="483"/>
      <c r="E176" s="483"/>
      <c r="F176" s="483"/>
      <c r="G176" s="211"/>
      <c r="H176" s="213"/>
      <c r="I176" s="330"/>
      <c r="J176" s="201"/>
    </row>
    <row r="177" spans="1:10" s="41" customFormat="1" x14ac:dyDescent="0.2">
      <c r="A177" s="43"/>
      <c r="B177" s="42"/>
      <c r="C177" s="42"/>
      <c r="D177" s="483"/>
      <c r="E177" s="483"/>
      <c r="F177" s="483"/>
      <c r="G177" s="211"/>
      <c r="H177" s="213"/>
      <c r="I177" s="330"/>
      <c r="J177" s="201"/>
    </row>
    <row r="178" spans="1:10" s="41" customFormat="1" x14ac:dyDescent="0.2">
      <c r="A178" s="43"/>
      <c r="B178" s="42"/>
      <c r="C178" s="42"/>
      <c r="D178" s="483"/>
      <c r="E178" s="483"/>
      <c r="F178" s="483"/>
      <c r="G178" s="211"/>
      <c r="H178" s="213"/>
      <c r="I178" s="330"/>
      <c r="J178" s="201"/>
    </row>
    <row r="179" spans="1:10" s="41" customFormat="1" x14ac:dyDescent="0.2">
      <c r="A179" s="43"/>
      <c r="B179" s="42"/>
      <c r="C179" s="42"/>
      <c r="D179" s="483"/>
      <c r="E179" s="483"/>
      <c r="F179" s="483"/>
      <c r="G179" s="211"/>
      <c r="H179" s="213"/>
      <c r="I179" s="330"/>
      <c r="J179" s="201"/>
    </row>
    <row r="180" spans="1:10" s="41" customFormat="1" x14ac:dyDescent="0.2">
      <c r="A180" s="43"/>
      <c r="B180" s="42"/>
      <c r="C180" s="42"/>
      <c r="D180" s="483"/>
      <c r="E180" s="483"/>
      <c r="F180" s="483"/>
      <c r="G180" s="211"/>
      <c r="H180" s="213"/>
      <c r="I180" s="330"/>
      <c r="J180" s="201"/>
    </row>
    <row r="181" spans="1:10" s="41" customFormat="1" x14ac:dyDescent="0.2">
      <c r="A181" s="43"/>
      <c r="B181" s="42"/>
      <c r="C181" s="42"/>
      <c r="D181" s="483"/>
      <c r="E181" s="483"/>
      <c r="F181" s="483"/>
      <c r="G181" s="211"/>
      <c r="H181" s="213"/>
      <c r="I181" s="330"/>
      <c r="J181" s="201"/>
    </row>
    <row r="182" spans="1:10" s="41" customFormat="1" x14ac:dyDescent="0.2">
      <c r="A182" s="43"/>
      <c r="B182" s="42"/>
      <c r="C182" s="42"/>
      <c r="D182" s="483"/>
      <c r="E182" s="483"/>
      <c r="F182" s="483"/>
      <c r="G182" s="211"/>
      <c r="H182" s="213"/>
      <c r="I182" s="330"/>
      <c r="J182" s="201"/>
    </row>
    <row r="183" spans="1:10" s="41" customFormat="1" x14ac:dyDescent="0.2">
      <c r="A183" s="43"/>
      <c r="B183" s="42"/>
      <c r="C183" s="42"/>
      <c r="D183" s="483"/>
      <c r="E183" s="483"/>
      <c r="F183" s="483"/>
      <c r="G183" s="211"/>
      <c r="H183" s="213"/>
      <c r="I183" s="330"/>
      <c r="J183" s="201"/>
    </row>
    <row r="184" spans="1:10" s="41" customFormat="1" x14ac:dyDescent="0.2">
      <c r="A184" s="43"/>
      <c r="B184" s="42"/>
      <c r="C184" s="42"/>
      <c r="D184" s="483"/>
      <c r="E184" s="483"/>
      <c r="F184" s="483"/>
      <c r="G184" s="211"/>
      <c r="H184" s="213"/>
      <c r="I184" s="330"/>
      <c r="J184" s="201"/>
    </row>
    <row r="185" spans="1:10" s="41" customFormat="1" x14ac:dyDescent="0.2">
      <c r="A185" s="43"/>
      <c r="B185" s="42"/>
      <c r="C185" s="42"/>
      <c r="D185" s="483"/>
      <c r="E185" s="483"/>
      <c r="F185" s="483"/>
      <c r="G185" s="211"/>
      <c r="H185" s="213"/>
      <c r="I185" s="330"/>
      <c r="J185" s="201"/>
    </row>
    <row r="186" spans="1:10" s="41" customFormat="1" x14ac:dyDescent="0.2">
      <c r="A186" s="43"/>
      <c r="B186" s="42"/>
      <c r="C186" s="42"/>
      <c r="D186" s="483"/>
      <c r="E186" s="483"/>
      <c r="F186" s="483"/>
      <c r="G186" s="211"/>
      <c r="H186" s="213"/>
      <c r="I186" s="330"/>
      <c r="J186" s="201"/>
    </row>
    <row r="187" spans="1:10" s="41" customFormat="1" x14ac:dyDescent="0.2">
      <c r="A187" s="43"/>
      <c r="B187" s="42"/>
      <c r="C187" s="42"/>
      <c r="D187" s="483"/>
      <c r="E187" s="483"/>
      <c r="F187" s="483"/>
      <c r="G187" s="211"/>
      <c r="H187" s="213"/>
      <c r="I187" s="330"/>
      <c r="J187" s="201"/>
    </row>
    <row r="188" spans="1:10" s="41" customFormat="1" x14ac:dyDescent="0.2">
      <c r="A188" s="43"/>
      <c r="B188" s="42"/>
      <c r="C188" s="42"/>
      <c r="D188" s="483"/>
      <c r="E188" s="483"/>
      <c r="F188" s="483"/>
      <c r="G188" s="211"/>
      <c r="H188" s="213"/>
      <c r="I188" s="330"/>
      <c r="J188" s="201"/>
    </row>
    <row r="189" spans="1:10" s="41" customFormat="1" x14ac:dyDescent="0.2">
      <c r="A189" s="43"/>
      <c r="B189" s="42"/>
      <c r="C189" s="42"/>
      <c r="D189" s="483"/>
      <c r="E189" s="483"/>
      <c r="F189" s="483"/>
      <c r="G189" s="211"/>
      <c r="H189" s="213"/>
      <c r="I189" s="330"/>
      <c r="J189" s="201"/>
    </row>
    <row r="190" spans="1:10" s="41" customFormat="1" x14ac:dyDescent="0.2">
      <c r="A190" s="43"/>
      <c r="B190" s="42"/>
      <c r="C190" s="42"/>
      <c r="D190" s="483"/>
      <c r="E190" s="483"/>
      <c r="F190" s="483"/>
      <c r="G190" s="211"/>
      <c r="H190" s="213"/>
      <c r="I190" s="330"/>
      <c r="J190" s="201"/>
    </row>
    <row r="191" spans="1:10" s="41" customFormat="1" x14ac:dyDescent="0.2">
      <c r="A191" s="43"/>
      <c r="B191" s="42"/>
      <c r="C191" s="42"/>
      <c r="D191" s="483"/>
      <c r="E191" s="483"/>
      <c r="F191" s="483"/>
      <c r="G191" s="211"/>
      <c r="H191" s="213"/>
      <c r="I191" s="330"/>
      <c r="J191" s="201"/>
    </row>
    <row r="192" spans="1:10" s="41" customFormat="1" x14ac:dyDescent="0.2">
      <c r="A192" s="43"/>
      <c r="B192" s="42"/>
      <c r="C192" s="42"/>
      <c r="D192" s="483"/>
      <c r="E192" s="483"/>
      <c r="F192" s="483"/>
      <c r="G192" s="211"/>
      <c r="H192" s="213"/>
      <c r="I192" s="330"/>
      <c r="J192" s="201"/>
    </row>
    <row r="193" spans="1:10" s="41" customFormat="1" x14ac:dyDescent="0.2">
      <c r="A193" s="43"/>
      <c r="B193" s="42"/>
      <c r="C193" s="42"/>
      <c r="D193" s="483"/>
      <c r="E193" s="483"/>
      <c r="F193" s="483"/>
      <c r="G193" s="211"/>
      <c r="H193" s="213"/>
      <c r="I193" s="330"/>
      <c r="J193" s="201"/>
    </row>
    <row r="194" spans="1:10" s="41" customFormat="1" x14ac:dyDescent="0.2">
      <c r="A194" s="43"/>
      <c r="B194" s="42"/>
      <c r="C194" s="42"/>
      <c r="D194" s="483"/>
      <c r="E194" s="483"/>
      <c r="F194" s="483"/>
      <c r="G194" s="211"/>
      <c r="H194" s="213"/>
      <c r="I194" s="330"/>
      <c r="J194" s="201"/>
    </row>
    <row r="195" spans="1:10" s="41" customFormat="1" x14ac:dyDescent="0.2">
      <c r="A195" s="43"/>
      <c r="B195" s="42"/>
      <c r="C195" s="42"/>
      <c r="D195" s="483"/>
      <c r="E195" s="483"/>
      <c r="F195" s="483"/>
      <c r="G195" s="211"/>
      <c r="H195" s="213"/>
      <c r="I195" s="330"/>
      <c r="J195" s="201"/>
    </row>
    <row r="196" spans="1:10" s="41" customFormat="1" x14ac:dyDescent="0.2">
      <c r="A196" s="43"/>
      <c r="B196" s="42"/>
      <c r="C196" s="42"/>
      <c r="D196" s="483"/>
      <c r="E196" s="483"/>
      <c r="F196" s="483"/>
      <c r="G196" s="211"/>
      <c r="H196" s="213"/>
      <c r="I196" s="330"/>
      <c r="J196" s="201"/>
    </row>
    <row r="197" spans="1:10" s="41" customFormat="1" x14ac:dyDescent="0.2">
      <c r="A197" s="43"/>
      <c r="B197" s="42"/>
      <c r="C197" s="42"/>
      <c r="D197" s="483"/>
      <c r="E197" s="483"/>
      <c r="F197" s="483"/>
      <c r="G197" s="211"/>
      <c r="H197" s="213"/>
      <c r="I197" s="330"/>
      <c r="J197" s="201"/>
    </row>
    <row r="198" spans="1:10" s="41" customFormat="1" x14ac:dyDescent="0.2">
      <c r="A198" s="43"/>
      <c r="B198" s="42"/>
      <c r="C198" s="42"/>
      <c r="D198" s="483"/>
      <c r="E198" s="483"/>
      <c r="F198" s="483"/>
      <c r="G198" s="211"/>
      <c r="H198" s="213"/>
      <c r="I198" s="330"/>
      <c r="J198" s="201"/>
    </row>
    <row r="199" spans="1:10" s="41" customFormat="1" x14ac:dyDescent="0.2">
      <c r="A199" s="43"/>
      <c r="B199" s="42"/>
      <c r="C199" s="42"/>
      <c r="D199" s="483"/>
      <c r="E199" s="483"/>
      <c r="F199" s="483"/>
      <c r="G199" s="211"/>
      <c r="H199" s="213"/>
      <c r="I199" s="330"/>
      <c r="J199" s="201"/>
    </row>
    <row r="200" spans="1:10" s="41" customFormat="1" x14ac:dyDescent="0.2">
      <c r="A200" s="43"/>
      <c r="B200" s="42"/>
      <c r="C200" s="42"/>
      <c r="D200" s="483"/>
      <c r="E200" s="483"/>
      <c r="F200" s="483"/>
      <c r="G200" s="211"/>
      <c r="H200" s="213"/>
      <c r="I200" s="330"/>
      <c r="J200" s="201"/>
    </row>
    <row r="201" spans="1:10" s="41" customFormat="1" x14ac:dyDescent="0.2">
      <c r="A201" s="43"/>
      <c r="B201" s="42"/>
      <c r="C201" s="42"/>
      <c r="D201" s="483"/>
      <c r="E201" s="483"/>
      <c r="F201" s="483"/>
      <c r="G201" s="211"/>
      <c r="H201" s="213"/>
      <c r="I201" s="330"/>
      <c r="J201" s="201"/>
    </row>
    <row r="202" spans="1:10" s="41" customFormat="1" x14ac:dyDescent="0.2">
      <c r="A202" s="43"/>
      <c r="B202" s="42"/>
      <c r="C202" s="42"/>
      <c r="D202" s="483"/>
      <c r="E202" s="483"/>
      <c r="F202" s="483"/>
      <c r="G202" s="211"/>
      <c r="H202" s="213"/>
      <c r="I202" s="330"/>
      <c r="J202" s="201"/>
    </row>
    <row r="203" spans="1:10" s="41" customFormat="1" x14ac:dyDescent="0.2">
      <c r="A203" s="43"/>
      <c r="B203" s="42"/>
      <c r="C203" s="42"/>
      <c r="D203" s="483"/>
      <c r="E203" s="483"/>
      <c r="F203" s="483"/>
      <c r="G203" s="211"/>
      <c r="H203" s="213"/>
      <c r="I203" s="330"/>
      <c r="J203" s="201"/>
    </row>
    <row r="204" spans="1:10" s="41" customFormat="1" x14ac:dyDescent="0.2">
      <c r="A204" s="43"/>
      <c r="B204" s="42"/>
      <c r="C204" s="42"/>
      <c r="D204" s="483"/>
      <c r="E204" s="483"/>
      <c r="F204" s="483"/>
      <c r="G204" s="211"/>
      <c r="H204" s="213"/>
      <c r="I204" s="330"/>
      <c r="J204" s="201"/>
    </row>
    <row r="205" spans="1:10" s="41" customFormat="1" x14ac:dyDescent="0.2">
      <c r="A205" s="43"/>
      <c r="B205" s="42"/>
      <c r="C205" s="42"/>
      <c r="D205" s="483"/>
      <c r="E205" s="483"/>
      <c r="F205" s="483"/>
      <c r="G205" s="211"/>
      <c r="H205" s="213"/>
      <c r="I205" s="330"/>
      <c r="J205" s="201"/>
    </row>
    <row r="206" spans="1:10" s="41" customFormat="1" x14ac:dyDescent="0.2">
      <c r="A206" s="43"/>
      <c r="B206" s="42"/>
      <c r="C206" s="42"/>
      <c r="D206" s="483"/>
      <c r="E206" s="483"/>
      <c r="F206" s="483"/>
      <c r="G206" s="211"/>
      <c r="H206" s="213"/>
      <c r="I206" s="330"/>
      <c r="J206" s="201"/>
    </row>
    <row r="207" spans="1:10" s="41" customFormat="1" x14ac:dyDescent="0.2">
      <c r="A207" s="43"/>
      <c r="B207" s="42"/>
      <c r="C207" s="42"/>
      <c r="D207" s="483"/>
      <c r="E207" s="483"/>
      <c r="F207" s="483"/>
      <c r="G207" s="211"/>
      <c r="H207" s="213"/>
      <c r="I207" s="330"/>
      <c r="J207" s="201"/>
    </row>
    <row r="208" spans="1:10" s="41" customFormat="1" x14ac:dyDescent="0.2">
      <c r="A208" s="43"/>
      <c r="B208" s="42"/>
      <c r="C208" s="42"/>
      <c r="D208" s="483"/>
      <c r="E208" s="483"/>
      <c r="F208" s="483"/>
      <c r="G208" s="211"/>
      <c r="H208" s="213"/>
      <c r="I208" s="330"/>
      <c r="J208" s="201"/>
    </row>
    <row r="209" spans="1:10" s="41" customFormat="1" x14ac:dyDescent="0.2">
      <c r="A209" s="43"/>
      <c r="B209" s="42"/>
      <c r="C209" s="42"/>
      <c r="D209" s="483"/>
      <c r="E209" s="483"/>
      <c r="F209" s="483"/>
      <c r="G209" s="211"/>
      <c r="H209" s="213"/>
      <c r="I209" s="330"/>
      <c r="J209" s="201"/>
    </row>
    <row r="210" spans="1:10" s="41" customFormat="1" x14ac:dyDescent="0.2">
      <c r="A210" s="43"/>
      <c r="B210" s="42"/>
      <c r="C210" s="42"/>
      <c r="D210" s="483"/>
      <c r="E210" s="483"/>
      <c r="F210" s="483"/>
      <c r="G210" s="211"/>
      <c r="H210" s="213"/>
      <c r="I210" s="330"/>
      <c r="J210" s="201"/>
    </row>
    <row r="211" spans="1:10" s="41" customFormat="1" x14ac:dyDescent="0.2">
      <c r="A211" s="43"/>
      <c r="B211" s="42"/>
      <c r="C211" s="42"/>
      <c r="D211" s="483"/>
      <c r="E211" s="483"/>
      <c r="F211" s="483"/>
      <c r="G211" s="211"/>
      <c r="H211" s="213"/>
      <c r="I211" s="330"/>
      <c r="J211" s="201"/>
    </row>
    <row r="212" spans="1:10" s="41" customFormat="1" x14ac:dyDescent="0.2">
      <c r="A212" s="43"/>
      <c r="B212" s="42"/>
      <c r="C212" s="42"/>
      <c r="D212" s="483"/>
      <c r="E212" s="483"/>
      <c r="F212" s="483"/>
      <c r="G212" s="211"/>
      <c r="H212" s="213"/>
      <c r="I212" s="330"/>
      <c r="J212" s="201"/>
    </row>
    <row r="213" spans="1:10" s="41" customFormat="1" x14ac:dyDescent="0.2">
      <c r="A213" s="43"/>
      <c r="B213" s="42"/>
      <c r="C213" s="42"/>
      <c r="D213" s="483"/>
      <c r="E213" s="483"/>
      <c r="F213" s="483"/>
      <c r="G213" s="211"/>
      <c r="H213" s="213"/>
      <c r="I213" s="330"/>
      <c r="J213" s="201"/>
    </row>
    <row r="214" spans="1:10" s="41" customFormat="1" x14ac:dyDescent="0.2">
      <c r="A214" s="43"/>
      <c r="B214" s="42"/>
      <c r="C214" s="42"/>
      <c r="D214" s="483"/>
      <c r="E214" s="483"/>
      <c r="F214" s="483"/>
      <c r="G214" s="211"/>
      <c r="H214" s="213"/>
      <c r="I214" s="330"/>
      <c r="J214" s="201"/>
    </row>
    <row r="215" spans="1:10" s="41" customFormat="1" x14ac:dyDescent="0.2">
      <c r="A215" s="43"/>
      <c r="B215" s="42"/>
      <c r="C215" s="44"/>
      <c r="D215" s="483"/>
      <c r="E215" s="483"/>
      <c r="F215" s="483"/>
      <c r="G215" s="211"/>
      <c r="H215" s="208"/>
      <c r="I215" s="330"/>
      <c r="J215" s="201"/>
    </row>
    <row r="216" spans="1:10" s="41" customFormat="1" x14ac:dyDescent="0.2">
      <c r="A216" s="43"/>
      <c r="B216" s="42"/>
      <c r="C216" s="44"/>
      <c r="D216" s="483"/>
      <c r="E216" s="483"/>
      <c r="F216" s="483"/>
      <c r="G216" s="211"/>
      <c r="H216" s="208"/>
      <c r="I216" s="330"/>
      <c r="J216" s="201"/>
    </row>
    <row r="217" spans="1:10" s="41" customFormat="1" x14ac:dyDescent="0.2">
      <c r="A217" s="43"/>
      <c r="B217" s="42"/>
      <c r="C217" s="44"/>
      <c r="D217" s="483"/>
      <c r="E217" s="483"/>
      <c r="F217" s="483"/>
      <c r="G217" s="211"/>
      <c r="H217" s="208"/>
      <c r="I217" s="330"/>
      <c r="J217" s="201"/>
    </row>
    <row r="218" spans="1:10" s="41" customFormat="1" x14ac:dyDescent="0.2">
      <c r="A218" s="43"/>
      <c r="B218" s="42"/>
      <c r="C218" s="44"/>
      <c r="D218" s="483"/>
      <c r="E218" s="483"/>
      <c r="F218" s="483"/>
      <c r="G218" s="211"/>
      <c r="H218" s="208"/>
      <c r="I218" s="330"/>
      <c r="J218" s="201"/>
    </row>
    <row r="219" spans="1:10" s="41" customFormat="1" x14ac:dyDescent="0.2">
      <c r="A219" s="43"/>
      <c r="B219" s="42"/>
      <c r="C219" s="44"/>
      <c r="D219" s="483"/>
      <c r="E219" s="483"/>
      <c r="F219" s="483"/>
      <c r="G219" s="211"/>
      <c r="H219" s="208"/>
      <c r="I219" s="330"/>
      <c r="J219" s="201"/>
    </row>
    <row r="220" spans="1:10" s="41" customFormat="1" x14ac:dyDescent="0.2">
      <c r="A220" s="43"/>
      <c r="B220" s="42"/>
      <c r="C220" s="44"/>
      <c r="D220" s="483"/>
      <c r="E220" s="483"/>
      <c r="F220" s="483"/>
      <c r="G220" s="211"/>
      <c r="H220" s="208"/>
      <c r="I220" s="330"/>
      <c r="J220" s="201"/>
    </row>
    <row r="221" spans="1:10" s="41" customFormat="1" x14ac:dyDescent="0.2">
      <c r="A221" s="43"/>
      <c r="B221" s="42"/>
      <c r="C221" s="44"/>
      <c r="D221" s="483"/>
      <c r="E221" s="483"/>
      <c r="F221" s="483"/>
      <c r="G221" s="211"/>
      <c r="H221" s="208"/>
      <c r="I221" s="330"/>
      <c r="J221" s="201"/>
    </row>
    <row r="222" spans="1:10" s="41" customFormat="1" x14ac:dyDescent="0.2">
      <c r="A222" s="43"/>
      <c r="B222" s="42"/>
      <c r="C222" s="44"/>
      <c r="D222" s="483"/>
      <c r="E222" s="483"/>
      <c r="F222" s="483"/>
      <c r="G222" s="211"/>
      <c r="H222" s="208"/>
      <c r="I222" s="330"/>
      <c r="J222" s="201"/>
    </row>
    <row r="223" spans="1:10" s="41" customFormat="1" x14ac:dyDescent="0.2">
      <c r="A223" s="43"/>
      <c r="B223" s="42"/>
      <c r="C223" s="44"/>
      <c r="D223" s="483"/>
      <c r="E223" s="483"/>
      <c r="F223" s="483"/>
      <c r="G223" s="211"/>
      <c r="H223" s="208"/>
      <c r="I223" s="330"/>
      <c r="J223" s="201"/>
    </row>
    <row r="224" spans="1:10" s="41" customFormat="1" x14ac:dyDescent="0.2">
      <c r="A224" s="43"/>
      <c r="B224" s="42"/>
      <c r="C224" s="44"/>
      <c r="D224" s="483"/>
      <c r="E224" s="483"/>
      <c r="F224" s="483"/>
      <c r="G224" s="211"/>
      <c r="H224" s="208"/>
      <c r="I224" s="330"/>
      <c r="J224" s="201"/>
    </row>
    <row r="225" spans="1:10" s="41" customFormat="1" x14ac:dyDescent="0.2">
      <c r="A225" s="43"/>
      <c r="B225" s="42"/>
      <c r="C225" s="44"/>
      <c r="D225" s="483"/>
      <c r="E225" s="483"/>
      <c r="F225" s="483"/>
      <c r="G225" s="211"/>
      <c r="H225" s="208"/>
      <c r="I225" s="330"/>
      <c r="J225" s="201"/>
    </row>
    <row r="226" spans="1:10" s="41" customFormat="1" x14ac:dyDescent="0.2">
      <c r="A226" s="43"/>
      <c r="B226" s="42"/>
      <c r="C226" s="44"/>
      <c r="D226" s="483"/>
      <c r="E226" s="483"/>
      <c r="F226" s="483"/>
      <c r="G226" s="211"/>
      <c r="H226" s="208"/>
      <c r="I226" s="330"/>
      <c r="J226" s="201"/>
    </row>
    <row r="227" spans="1:10" s="41" customFormat="1" x14ac:dyDescent="0.2">
      <c r="A227" s="43"/>
      <c r="B227" s="42"/>
      <c r="C227" s="44"/>
      <c r="D227" s="483"/>
      <c r="E227" s="483"/>
      <c r="F227" s="483"/>
      <c r="G227" s="211"/>
      <c r="H227" s="208"/>
      <c r="I227" s="330"/>
      <c r="J227" s="201"/>
    </row>
    <row r="228" spans="1:10" s="41" customFormat="1" x14ac:dyDescent="0.2">
      <c r="A228" s="43"/>
      <c r="B228" s="42"/>
      <c r="C228" s="44"/>
      <c r="D228" s="483"/>
      <c r="E228" s="483"/>
      <c r="F228" s="483"/>
      <c r="G228" s="211"/>
      <c r="H228" s="208"/>
      <c r="I228" s="330"/>
      <c r="J228" s="201"/>
    </row>
    <row r="229" spans="1:10" s="41" customFormat="1" x14ac:dyDescent="0.2">
      <c r="A229" s="43"/>
      <c r="B229" s="42"/>
      <c r="C229" s="44"/>
      <c r="D229" s="483"/>
      <c r="E229" s="483"/>
      <c r="F229" s="483"/>
      <c r="G229" s="211"/>
      <c r="H229" s="208"/>
      <c r="I229" s="330"/>
      <c r="J229" s="201"/>
    </row>
    <row r="230" spans="1:10" s="41" customFormat="1" x14ac:dyDescent="0.2">
      <c r="A230" s="43"/>
      <c r="B230" s="42"/>
      <c r="C230" s="44"/>
      <c r="D230" s="483"/>
      <c r="E230" s="483"/>
      <c r="F230" s="483"/>
      <c r="G230" s="211"/>
      <c r="H230" s="208"/>
      <c r="I230" s="330"/>
      <c r="J230" s="201"/>
    </row>
    <row r="231" spans="1:10" s="41" customFormat="1" x14ac:dyDescent="0.2">
      <c r="A231" s="43"/>
      <c r="B231" s="42"/>
      <c r="C231" s="44"/>
      <c r="D231" s="483"/>
      <c r="E231" s="483"/>
      <c r="F231" s="483"/>
      <c r="G231" s="211"/>
      <c r="H231" s="208"/>
      <c r="I231" s="330"/>
      <c r="J231" s="201"/>
    </row>
    <row r="232" spans="1:10" s="41" customFormat="1" x14ac:dyDescent="0.2">
      <c r="A232" s="45"/>
      <c r="B232" s="44"/>
      <c r="C232" s="44"/>
      <c r="D232" s="481"/>
      <c r="E232" s="481"/>
      <c r="F232" s="481"/>
      <c r="G232" s="482"/>
      <c r="H232" s="208"/>
      <c r="I232" s="330"/>
      <c r="J232" s="201"/>
    </row>
  </sheetData>
  <sheetProtection password="C4B9" sheet="1" objects="1" scenarios="1"/>
  <sortState ref="A3:BR8">
    <sortCondition ref="H3:H8"/>
  </sortState>
  <customSheetViews>
    <customSheetView guid="{B8E02330-2419-4DE6-AD01-7ACC7A5D18DD}" scale="75" topLeftCell="A171">
      <selection activeCell="A2" sqref="A2:H175"/>
      <pageMargins left="0.75" right="0.75" top="1" bottom="1" header="0.5" footer="0.5"/>
      <pageSetup orientation="portrait" r:id="rId1"/>
      <headerFooter alignWithMargins="0"/>
    </customSheetView>
  </customSheetViews>
  <mergeCells count="63">
    <mergeCell ref="H28:H35"/>
    <mergeCell ref="H36:H42"/>
    <mergeCell ref="H55:H58"/>
    <mergeCell ref="H59:H64"/>
    <mergeCell ref="H65:H70"/>
    <mergeCell ref="I59:I64"/>
    <mergeCell ref="I75:I79"/>
    <mergeCell ref="B85:B88"/>
    <mergeCell ref="A85:A88"/>
    <mergeCell ref="I71:I74"/>
    <mergeCell ref="I65:I70"/>
    <mergeCell ref="B59:B64"/>
    <mergeCell ref="I85:I88"/>
    <mergeCell ref="I80:I84"/>
    <mergeCell ref="A59:A64"/>
    <mergeCell ref="A80:A84"/>
    <mergeCell ref="B71:B74"/>
    <mergeCell ref="B80:B84"/>
    <mergeCell ref="B65:B70"/>
    <mergeCell ref="A75:A79"/>
    <mergeCell ref="A65:A70"/>
    <mergeCell ref="A71:A74"/>
    <mergeCell ref="I89:I93"/>
    <mergeCell ref="B89:B93"/>
    <mergeCell ref="A89:A93"/>
    <mergeCell ref="B75:B79"/>
    <mergeCell ref="H89:H93"/>
    <mergeCell ref="H71:H74"/>
    <mergeCell ref="H75:H79"/>
    <mergeCell ref="H80:H84"/>
    <mergeCell ref="H85:H88"/>
    <mergeCell ref="A11:A16"/>
    <mergeCell ref="I36:I42"/>
    <mergeCell ref="I28:I35"/>
    <mergeCell ref="B55:B58"/>
    <mergeCell ref="I43:I48"/>
    <mergeCell ref="B36:B42"/>
    <mergeCell ref="B28:B35"/>
    <mergeCell ref="B43:B48"/>
    <mergeCell ref="I49:I54"/>
    <mergeCell ref="A55:A58"/>
    <mergeCell ref="A28:A35"/>
    <mergeCell ref="A49:A54"/>
    <mergeCell ref="B49:B54"/>
    <mergeCell ref="A36:A42"/>
    <mergeCell ref="H11:H16"/>
    <mergeCell ref="H49:H54"/>
    <mergeCell ref="A113:A114"/>
    <mergeCell ref="A1:B1"/>
    <mergeCell ref="A43:A48"/>
    <mergeCell ref="B22:B27"/>
    <mergeCell ref="I11:I16"/>
    <mergeCell ref="A17:A21"/>
    <mergeCell ref="B11:B16"/>
    <mergeCell ref="I22:I27"/>
    <mergeCell ref="I17:I21"/>
    <mergeCell ref="B17:B21"/>
    <mergeCell ref="A22:A27"/>
    <mergeCell ref="E1:H1"/>
    <mergeCell ref="H17:H21"/>
    <mergeCell ref="H22:H27"/>
    <mergeCell ref="H43:H48"/>
    <mergeCell ref="I55:I58"/>
  </mergeCells>
  <phoneticPr fontId="5" type="noConversion"/>
  <conditionalFormatting sqref="D105 D57:D63 D65:D68 D70:D71 D73:D75 D77:D80 D82:D87 D89:D92 D94:D95 D97:D99 D101:D102 D11:D55">
    <cfRule type="cellIs" dxfId="13" priority="1" operator="greaterThan">
      <formula>0</formula>
    </cfRule>
  </conditionalFormatting>
  <pageMargins left="0.75" right="0.75" top="1" bottom="1" header="0.5" footer="0.5"/>
  <pageSetup orientation="portrait" r:id="rId2"/>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140"/>
  <sheetViews>
    <sheetView zoomScaleNormal="100" workbookViewId="0">
      <selection activeCell="C103" sqref="C103"/>
    </sheetView>
  </sheetViews>
  <sheetFormatPr defaultColWidth="9.33203125" defaultRowHeight="16.5" x14ac:dyDescent="0.2"/>
  <cols>
    <col min="1" max="1" width="5.83203125" style="39" customWidth="1"/>
    <col min="2" max="2" width="18.83203125" style="49" customWidth="1"/>
    <col min="3" max="3" width="69.83203125" style="39" customWidth="1"/>
    <col min="4" max="4" width="6.83203125" style="481" customWidth="1"/>
    <col min="5" max="5" width="8.5" style="481" customWidth="1"/>
    <col min="6" max="6" width="8.33203125" style="481" customWidth="1"/>
    <col min="7" max="7" width="11.33203125" style="482" customWidth="1"/>
    <col min="8" max="8" width="12.33203125" style="25" customWidth="1"/>
    <col min="9" max="9" width="69.83203125" style="49" customWidth="1"/>
    <col min="10" max="10" width="9.33203125" style="194"/>
    <col min="11" max="12" width="9.33203125" style="39"/>
    <col min="13" max="13" width="49.5" style="39" customWidth="1"/>
    <col min="14" max="16384" width="9.33203125" style="39"/>
  </cols>
  <sheetData>
    <row r="1" spans="1:13" s="79" customFormat="1" ht="82.5" customHeight="1" thickBot="1" x14ac:dyDescent="0.25">
      <c r="A1" s="2125" t="s">
        <v>662</v>
      </c>
      <c r="B1" s="2215"/>
      <c r="C1" s="77" t="s">
        <v>1411</v>
      </c>
      <c r="D1" s="92" t="s">
        <v>663</v>
      </c>
      <c r="E1" s="2164"/>
      <c r="F1" s="2165"/>
      <c r="G1" s="2165"/>
      <c r="H1" s="2166"/>
      <c r="I1" s="830" t="s">
        <v>1431</v>
      </c>
      <c r="J1" s="194"/>
    </row>
    <row r="2" spans="1:13" s="610" customFormat="1" ht="42" customHeight="1" thickBot="1" x14ac:dyDescent="0.25">
      <c r="A2" s="1605" t="s">
        <v>110</v>
      </c>
      <c r="B2" s="1606" t="s">
        <v>1096</v>
      </c>
      <c r="C2" s="1607" t="s">
        <v>1395</v>
      </c>
      <c r="D2" s="1605"/>
      <c r="E2" s="1608"/>
      <c r="F2" s="1609"/>
      <c r="G2" s="1610" t="s">
        <v>1111</v>
      </c>
      <c r="H2" s="1611" t="s">
        <v>2396</v>
      </c>
      <c r="I2" s="1606" t="s">
        <v>304</v>
      </c>
      <c r="J2" s="611"/>
    </row>
    <row r="3" spans="1:13" s="151" customFormat="1" ht="30" customHeight="1" thickBot="1" x14ac:dyDescent="0.25">
      <c r="A3" s="931" t="str">
        <f>OF!A5</f>
        <v>OF4</v>
      </c>
      <c r="B3" s="715" t="str">
        <f>OF!C5</f>
        <v>Channel Connection</v>
      </c>
      <c r="C3" s="932"/>
      <c r="D3" s="716"/>
      <c r="E3" s="717"/>
      <c r="F3" s="717"/>
      <c r="G3" s="761" t="str">
        <f>IF((ChannConn=""),"",ChannConn)</f>
        <v/>
      </c>
      <c r="H3" s="935" t="s">
        <v>1330</v>
      </c>
      <c r="I3" s="943" t="s">
        <v>1352</v>
      </c>
      <c r="J3" s="258"/>
    </row>
    <row r="4" spans="1:13" s="155" customFormat="1" ht="30" customHeight="1" thickBot="1" x14ac:dyDescent="0.25">
      <c r="A4" s="709" t="str">
        <f>OF!A23</f>
        <v>OF22</v>
      </c>
      <c r="B4" s="710" t="str">
        <f>OF!C23</f>
        <v>L/G Index (Residence Time)</v>
      </c>
      <c r="C4" s="914"/>
      <c r="D4" s="915"/>
      <c r="E4" s="713"/>
      <c r="F4" s="713"/>
      <c r="G4" s="740" t="str">
        <f>IF((LGIndex=""),"",LGIndex)</f>
        <v/>
      </c>
      <c r="H4" s="936" t="s">
        <v>1024</v>
      </c>
      <c r="I4" s="944" t="s">
        <v>612</v>
      </c>
      <c r="J4" s="221"/>
      <c r="K4" s="225"/>
    </row>
    <row r="5" spans="1:13" s="155" customFormat="1" ht="52.5" customHeight="1" thickBot="1" x14ac:dyDescent="0.25">
      <c r="A5" s="931" t="str">
        <f>OF!A28</f>
        <v>OF27</v>
      </c>
      <c r="B5" s="715" t="str">
        <f>OF!C28</f>
        <v>Interspersion Index for Internal Water &amp; Vegetation (macroscale)</v>
      </c>
      <c r="C5" s="933"/>
      <c r="D5" s="716"/>
      <c r="E5" s="717"/>
      <c r="F5" s="717"/>
      <c r="G5" s="761" t="str">
        <f>IF((MixWaterVeg=""),"",MixWaterVeg)</f>
        <v/>
      </c>
      <c r="H5" s="935" t="s">
        <v>1032</v>
      </c>
      <c r="I5" s="945" t="s">
        <v>1676</v>
      </c>
      <c r="J5" s="221"/>
      <c r="K5" s="245"/>
    </row>
    <row r="6" spans="1:13" s="155" customFormat="1" ht="60" customHeight="1" thickBot="1" x14ac:dyDescent="0.25">
      <c r="A6" s="709" t="str">
        <f>OF!A31</f>
        <v>OF30</v>
      </c>
      <c r="B6" s="710" t="str">
        <f>OF!C31</f>
        <v>% of AA that is Open Water (macro scale)</v>
      </c>
      <c r="C6" s="947" t="s">
        <v>1396</v>
      </c>
      <c r="D6" s="712"/>
      <c r="E6" s="713"/>
      <c r="F6" s="713"/>
      <c r="G6" s="740" t="str">
        <f>IF((OWpct=""),"",1-OWpct)</f>
        <v/>
      </c>
      <c r="H6" s="936" t="s">
        <v>1205</v>
      </c>
      <c r="I6" s="946" t="s">
        <v>1677</v>
      </c>
      <c r="J6" s="221"/>
      <c r="K6" s="245"/>
    </row>
    <row r="7" spans="1:13" s="155" customFormat="1" ht="42.75" customHeight="1" thickBot="1" x14ac:dyDescent="0.25">
      <c r="A7" s="931" t="str">
        <f>OF!A47</f>
        <v>OF46</v>
      </c>
      <c r="B7" s="715" t="str">
        <f>OF!C47</f>
        <v>Organic Soil Content (macroscale)</v>
      </c>
      <c r="C7" s="933"/>
      <c r="D7" s="716"/>
      <c r="E7" s="717"/>
      <c r="F7" s="717"/>
      <c r="G7" s="761" t="str">
        <f>IF((SoilOrgPct=""),"",SoilOrgPct)</f>
        <v/>
      </c>
      <c r="H7" s="935" t="s">
        <v>1034</v>
      </c>
      <c r="I7" s="945" t="s">
        <v>1209</v>
      </c>
      <c r="J7" s="221"/>
      <c r="K7" s="225"/>
    </row>
    <row r="8" spans="1:13" s="155" customFormat="1" ht="30" customHeight="1" thickBot="1" x14ac:dyDescent="0.25">
      <c r="A8" s="709" t="str">
        <f>OF!A49</f>
        <v>OF48</v>
      </c>
      <c r="B8" s="710" t="str">
        <f>OF!C49</f>
        <v>Soil Texture (macroscale)</v>
      </c>
      <c r="C8" s="947" t="s">
        <v>2175</v>
      </c>
      <c r="D8" s="712"/>
      <c r="E8" s="713"/>
      <c r="F8" s="713"/>
      <c r="G8" s="740" t="str">
        <f>IF((SoilTex_PR=""),"",SoilTex_PR)</f>
        <v/>
      </c>
      <c r="H8" s="936" t="s">
        <v>1398</v>
      </c>
      <c r="I8" s="946" t="s">
        <v>107</v>
      </c>
      <c r="J8" s="221"/>
      <c r="K8" s="225"/>
    </row>
    <row r="9" spans="1:13" s="155" customFormat="1" ht="30" customHeight="1" thickBot="1" x14ac:dyDescent="0.25">
      <c r="A9" s="931" t="str">
        <f>OF!A52</f>
        <v>OF51</v>
      </c>
      <c r="B9" s="715" t="str">
        <f>OF!C52</f>
        <v>Subzero Days</v>
      </c>
      <c r="C9" s="933" t="s">
        <v>1396</v>
      </c>
      <c r="D9" s="716"/>
      <c r="E9" s="717"/>
      <c r="F9" s="717"/>
      <c r="G9" s="761" t="str">
        <f>IF((Sub0Days=""),"",1-Sub0Days)</f>
        <v/>
      </c>
      <c r="H9" s="935" t="s">
        <v>1066</v>
      </c>
      <c r="I9" s="943" t="s">
        <v>1678</v>
      </c>
      <c r="J9" s="221"/>
      <c r="K9" s="225"/>
    </row>
    <row r="10" spans="1:13" s="155" customFormat="1" ht="53.25" customHeight="1" thickBot="1" x14ac:dyDescent="0.25">
      <c r="A10" s="709" t="str">
        <f>OF!A61</f>
        <v>OF60</v>
      </c>
      <c r="B10" s="710" t="str">
        <f>OF!C61</f>
        <v>Water Permanence Probability</v>
      </c>
      <c r="C10" s="947" t="s">
        <v>1396</v>
      </c>
      <c r="D10" s="712"/>
      <c r="E10" s="713"/>
      <c r="F10" s="713"/>
      <c r="G10" s="740" t="str">
        <f>IF((WatProb=""),"",1-WatProb)</f>
        <v/>
      </c>
      <c r="H10" s="936" t="s">
        <v>1026</v>
      </c>
      <c r="I10" s="946" t="s">
        <v>1679</v>
      </c>
      <c r="J10" s="221"/>
      <c r="K10" s="225"/>
    </row>
    <row r="11" spans="1:13" s="155" customFormat="1" ht="30" customHeight="1" thickBot="1" x14ac:dyDescent="0.25">
      <c r="A11" s="931" t="str">
        <f>OF!A69</f>
        <v>OF68</v>
      </c>
      <c r="B11" s="715" t="str">
        <f>OF!C69</f>
        <v>Wetland Vegetated Area</v>
      </c>
      <c r="C11" s="933"/>
      <c r="D11" s="716"/>
      <c r="E11" s="717"/>
      <c r="F11" s="717"/>
      <c r="G11" s="761" t="str">
        <f>IF((WetVegArea=""),"",WetVegArea)</f>
        <v/>
      </c>
      <c r="H11" s="767" t="s">
        <v>1011</v>
      </c>
      <c r="I11" s="943" t="s">
        <v>1680</v>
      </c>
      <c r="J11" s="221"/>
      <c r="K11" s="245"/>
    </row>
    <row r="12" spans="1:13" s="2" customFormat="1" ht="42" customHeight="1" thickBot="1" x14ac:dyDescent="0.25">
      <c r="A12" s="1622" t="s">
        <v>110</v>
      </c>
      <c r="B12" s="1613" t="s">
        <v>1110</v>
      </c>
      <c r="C12" s="1623" t="s">
        <v>1109</v>
      </c>
      <c r="D12" s="1624" t="s">
        <v>45</v>
      </c>
      <c r="E12" s="1625" t="s">
        <v>2028</v>
      </c>
      <c r="F12" s="1626" t="s">
        <v>2027</v>
      </c>
      <c r="G12" s="1627" t="s">
        <v>1111</v>
      </c>
      <c r="H12" s="1628" t="s">
        <v>2397</v>
      </c>
      <c r="I12" s="1629" t="s">
        <v>1503</v>
      </c>
      <c r="J12" s="59"/>
    </row>
    <row r="13" spans="1:13" ht="45" customHeight="1" thickBot="1" x14ac:dyDescent="0.25">
      <c r="A13" s="2107" t="str">
        <f>F!A17</f>
        <v>F3</v>
      </c>
      <c r="B13" s="2115" t="str">
        <f>F!B17</f>
        <v>% Saturated Only</v>
      </c>
      <c r="C13" s="844" t="str">
        <f>F!C17</f>
        <v>The percentage of the AA that never contains surface water during an average year (that is, except perhaps for a few hours after snowmelt or rainstorms), but which is still a wetland, is:</v>
      </c>
      <c r="D13" s="484"/>
      <c r="E13" s="484"/>
      <c r="F13" s="937"/>
      <c r="G13" s="470">
        <f>MAX(F14:F19)/MAX(E14:E19)</f>
        <v>0</v>
      </c>
      <c r="H13" s="2077" t="s">
        <v>600</v>
      </c>
      <c r="I13" s="2087" t="s">
        <v>346</v>
      </c>
      <c r="K13" s="7"/>
      <c r="L13" s="7"/>
      <c r="M13" s="7"/>
    </row>
    <row r="14" spans="1:13" ht="27" customHeight="1" x14ac:dyDescent="0.2">
      <c r="A14" s="2108"/>
      <c r="B14" s="2171"/>
      <c r="C14" s="922" t="str">
        <f>F!C18</f>
        <v>less than 1%, or &lt;0.01 hectare (about 10 m on a side) never has surface water.  In other words, all or nearly all of the AA is inundated permanently or at least seasonally.</v>
      </c>
      <c r="D14" s="728">
        <f>F!D18</f>
        <v>0</v>
      </c>
      <c r="E14" s="868">
        <v>0</v>
      </c>
      <c r="F14" s="868">
        <f t="shared" ref="F14:F19" si="0">D14*E14</f>
        <v>0</v>
      </c>
      <c r="G14" s="467"/>
      <c r="H14" s="2078"/>
      <c r="I14" s="2083"/>
      <c r="K14" s="7"/>
      <c r="L14" s="7"/>
      <c r="M14" s="7"/>
    </row>
    <row r="15" spans="1:13" ht="15" customHeight="1" x14ac:dyDescent="0.2">
      <c r="A15" s="2108"/>
      <c r="B15" s="2171"/>
      <c r="C15" s="923" t="str">
        <f>F!C19</f>
        <v>1-25% of the AA never contains surface water.</v>
      </c>
      <c r="D15" s="728">
        <f>F!D19</f>
        <v>0</v>
      </c>
      <c r="E15" s="868">
        <v>1</v>
      </c>
      <c r="F15" s="868">
        <f t="shared" si="0"/>
        <v>0</v>
      </c>
      <c r="G15" s="467"/>
      <c r="H15" s="2078"/>
      <c r="I15" s="2083"/>
      <c r="K15" s="7"/>
      <c r="L15" s="7"/>
      <c r="M15" s="7"/>
    </row>
    <row r="16" spans="1:13" ht="15" customHeight="1" x14ac:dyDescent="0.2">
      <c r="A16" s="2108"/>
      <c r="B16" s="2171"/>
      <c r="C16" s="923" t="str">
        <f>F!C20</f>
        <v>25-50% of the AA never contains surface water.</v>
      </c>
      <c r="D16" s="728">
        <f>F!D20</f>
        <v>0</v>
      </c>
      <c r="E16" s="868">
        <v>2</v>
      </c>
      <c r="F16" s="868">
        <f t="shared" si="0"/>
        <v>0</v>
      </c>
      <c r="G16" s="467"/>
      <c r="H16" s="2078"/>
      <c r="I16" s="2083"/>
      <c r="K16" s="7"/>
      <c r="L16" s="7"/>
      <c r="M16" s="7"/>
    </row>
    <row r="17" spans="1:13" ht="15" customHeight="1" x14ac:dyDescent="0.2">
      <c r="A17" s="2108"/>
      <c r="B17" s="2171"/>
      <c r="C17" s="923" t="str">
        <f>F!C21</f>
        <v>50-99% of the AA never contains surface water.</v>
      </c>
      <c r="D17" s="728">
        <f>F!D21</f>
        <v>0</v>
      </c>
      <c r="E17" s="868">
        <v>3</v>
      </c>
      <c r="F17" s="868">
        <f t="shared" si="0"/>
        <v>0</v>
      </c>
      <c r="G17" s="467"/>
      <c r="H17" s="2078"/>
      <c r="I17" s="2083"/>
      <c r="K17" s="7"/>
      <c r="L17" s="7"/>
      <c r="M17" s="7"/>
    </row>
    <row r="18" spans="1:13" ht="39.75" customHeight="1" x14ac:dyDescent="0.2">
      <c r="A18" s="2108"/>
      <c r="B18" s="2171"/>
      <c r="C18" s="923" t="str">
        <f>F!C22</f>
        <v>&gt;99% of the AA never contains surface water, except for water flowing in channels and/or in pools that occupy &lt;1% of the AA. SKIP to F26 (Channel Connection &amp; Outflow Duration)</v>
      </c>
      <c r="D18" s="728">
        <f>F!D22</f>
        <v>0</v>
      </c>
      <c r="E18" s="868">
        <v>4</v>
      </c>
      <c r="F18" s="868">
        <f t="shared" si="0"/>
        <v>0</v>
      </c>
      <c r="G18" s="467"/>
      <c r="H18" s="2078"/>
      <c r="I18" s="2083"/>
      <c r="K18" s="7"/>
      <c r="L18" s="7"/>
      <c r="M18" s="7"/>
    </row>
    <row r="19" spans="1:13" ht="27" customHeight="1" thickBot="1" x14ac:dyDescent="0.25">
      <c r="A19" s="2109"/>
      <c r="B19" s="2204"/>
      <c r="C19" s="938" t="str">
        <f>F!C23</f>
        <v>&gt;99% of the AA never contains surface water, and AA is not intersected by channels that have flow, not even for a few days per year. SKIP to F26.</v>
      </c>
      <c r="D19" s="939">
        <f>F!D23</f>
        <v>0</v>
      </c>
      <c r="E19" s="471">
        <v>5</v>
      </c>
      <c r="F19" s="471">
        <f t="shared" si="0"/>
        <v>0</v>
      </c>
      <c r="G19" s="472"/>
      <c r="H19" s="2079"/>
      <c r="I19" s="2088"/>
      <c r="K19" s="7"/>
      <c r="L19" s="7"/>
      <c r="M19" s="7"/>
    </row>
    <row r="20" spans="1:13" ht="32.25" customHeight="1" thickBot="1" x14ac:dyDescent="0.25">
      <c r="A20" s="2202" t="str">
        <f>F!A24</f>
        <v>F4</v>
      </c>
      <c r="B20" s="2172" t="str">
        <f>F!B24</f>
        <v>% with Persistent Surface Water</v>
      </c>
      <c r="C20" s="926" t="str">
        <f>F!C24</f>
        <v>The percentage of the AA that has surface water (either ponded or flowing, either open or obscured by vegetation) during all of the growing season during most years is:</v>
      </c>
      <c r="D20" s="866"/>
      <c r="E20" s="462"/>
      <c r="F20" s="463"/>
      <c r="G20" s="464">
        <f>IF((AllSat+AllSat1&gt;0),"",MAX(F21:F26)/MAX(E21:E26))</f>
        <v>0</v>
      </c>
      <c r="H20" s="2078" t="s">
        <v>253</v>
      </c>
      <c r="I20" s="2083" t="s">
        <v>1681</v>
      </c>
      <c r="K20" s="7"/>
      <c r="L20" s="7"/>
      <c r="M20" s="7"/>
    </row>
    <row r="21" spans="1:13" ht="27" customHeight="1" x14ac:dyDescent="0.2">
      <c r="A21" s="2202"/>
      <c r="B21" s="2172"/>
      <c r="C21" s="924" t="str">
        <f>F!C25</f>
        <v>less than 1%, or &lt;0.01 hectare (whichever is less).  SKIP to F8 (% Flooded Only Seasonally).</v>
      </c>
      <c r="D21" s="286">
        <f>F!D25</f>
        <v>0</v>
      </c>
      <c r="E21" s="462">
        <v>5</v>
      </c>
      <c r="F21" s="465">
        <f t="shared" ref="F21:F26" si="1">D21*E21</f>
        <v>0</v>
      </c>
      <c r="G21" s="466"/>
      <c r="H21" s="2078"/>
      <c r="I21" s="2083"/>
      <c r="K21" s="7"/>
      <c r="L21" s="7"/>
      <c r="M21" s="7"/>
    </row>
    <row r="22" spans="1:13" ht="15" customHeight="1" x14ac:dyDescent="0.2">
      <c r="A22" s="2202"/>
      <c r="B22" s="2172"/>
      <c r="C22" s="684" t="str">
        <f>F!C26</f>
        <v>1-25% of the AA, and mostly in narrow channels and/or small scattered pools.</v>
      </c>
      <c r="D22" s="120">
        <f>F!D26</f>
        <v>0</v>
      </c>
      <c r="E22" s="462">
        <v>4</v>
      </c>
      <c r="F22" s="465">
        <f t="shared" si="1"/>
        <v>0</v>
      </c>
      <c r="G22" s="466"/>
      <c r="H22" s="2078"/>
      <c r="I22" s="2083"/>
      <c r="K22" s="7"/>
      <c r="L22" s="7"/>
      <c r="M22" s="7"/>
    </row>
    <row r="23" spans="1:13" ht="15" customHeight="1" x14ac:dyDescent="0.2">
      <c r="A23" s="2202"/>
      <c r="B23" s="2172"/>
      <c r="C23" s="684" t="str">
        <f>F!C27</f>
        <v>1-25% of the AA, and mostly in a single large pool, pond, and/or channel.</v>
      </c>
      <c r="D23" s="120">
        <f>F!D27</f>
        <v>0</v>
      </c>
      <c r="E23" s="465">
        <v>4</v>
      </c>
      <c r="F23" s="465">
        <f t="shared" si="1"/>
        <v>0</v>
      </c>
      <c r="G23" s="466"/>
      <c r="H23" s="2078"/>
      <c r="I23" s="2083"/>
      <c r="K23" s="7"/>
      <c r="L23" s="7"/>
      <c r="M23" s="7"/>
    </row>
    <row r="24" spans="1:13" ht="15" customHeight="1" x14ac:dyDescent="0.2">
      <c r="A24" s="2202"/>
      <c r="B24" s="2172"/>
      <c r="C24" s="684" t="str">
        <f>F!C28</f>
        <v>25-50% of the AA</v>
      </c>
      <c r="D24" s="120">
        <f>F!D28</f>
        <v>0</v>
      </c>
      <c r="E24" s="465">
        <v>3</v>
      </c>
      <c r="F24" s="465">
        <f t="shared" si="1"/>
        <v>0</v>
      </c>
      <c r="G24" s="467"/>
      <c r="H24" s="2078"/>
      <c r="I24" s="2083"/>
      <c r="K24" s="7"/>
      <c r="L24" s="7"/>
      <c r="M24" s="7"/>
    </row>
    <row r="25" spans="1:13" ht="15" customHeight="1" x14ac:dyDescent="0.2">
      <c r="A25" s="2202"/>
      <c r="B25" s="2172"/>
      <c r="C25" s="684" t="str">
        <f>F!C29</f>
        <v>50-95% of the AA</v>
      </c>
      <c r="D25" s="120">
        <f>F!D29</f>
        <v>0</v>
      </c>
      <c r="E25" s="465">
        <v>2</v>
      </c>
      <c r="F25" s="465">
        <f t="shared" si="1"/>
        <v>0</v>
      </c>
      <c r="G25" s="467"/>
      <c r="H25" s="2078"/>
      <c r="I25" s="2083"/>
      <c r="K25" s="7"/>
      <c r="L25" s="7"/>
      <c r="M25" s="7"/>
    </row>
    <row r="26" spans="1:13" ht="15" customHeight="1" thickBot="1" x14ac:dyDescent="0.25">
      <c r="A26" s="2202"/>
      <c r="B26" s="2172"/>
      <c r="C26" s="688" t="str">
        <f>F!C30</f>
        <v>&gt;95% of the AA</v>
      </c>
      <c r="D26" s="697">
        <f>F!D30</f>
        <v>0</v>
      </c>
      <c r="E26" s="841">
        <v>1</v>
      </c>
      <c r="F26" s="841">
        <f t="shared" si="1"/>
        <v>0</v>
      </c>
      <c r="G26" s="840"/>
      <c r="H26" s="2078"/>
      <c r="I26" s="2083"/>
      <c r="K26" s="7"/>
      <c r="L26" s="7"/>
      <c r="M26" s="7"/>
    </row>
    <row r="27" spans="1:13" ht="60" customHeight="1" thickBot="1" x14ac:dyDescent="0.25">
      <c r="A27" s="919" t="str">
        <f>F!A38</f>
        <v>F7</v>
      </c>
      <c r="B27" s="91" t="str">
        <f>F!B38</f>
        <v>Lacustrine Wetland</v>
      </c>
      <c r="C27" s="925" t="str">
        <f>F!C38</f>
        <v>The AA borders a body of ponded open water whose size -- not counting the vegetated AA -- exceeds 8 hectares (about 300 x 300 m) during most of the growing season.  Enter "1" if true, "0" if false.</v>
      </c>
      <c r="D27" s="290">
        <f>F!D38</f>
        <v>0</v>
      </c>
      <c r="E27" s="487"/>
      <c r="F27" s="485"/>
      <c r="G27" s="470">
        <f>IF((AllSat+AllSat1&gt;D302),"",IF((NoPersis=1),"",D27))</f>
        <v>0</v>
      </c>
      <c r="H27" s="99" t="s">
        <v>252</v>
      </c>
      <c r="I27" s="53" t="s">
        <v>1682</v>
      </c>
      <c r="K27" s="7"/>
      <c r="L27" s="7"/>
      <c r="M27" s="7"/>
    </row>
    <row r="28" spans="1:13" ht="42" customHeight="1" thickBot="1" x14ac:dyDescent="0.25">
      <c r="A28" s="2196" t="str">
        <f>F!A45</f>
        <v>F9</v>
      </c>
      <c r="B28" s="2172" t="str">
        <f>F!B45</f>
        <v>Annual Water Fluctuation Range</v>
      </c>
      <c r="C28" s="926" t="str">
        <f>F!C45</f>
        <v>The annual fluctuation in surface water level within most of the parts of the AA that contain surface water is:</v>
      </c>
      <c r="D28" s="413"/>
      <c r="E28" s="462"/>
      <c r="F28" s="463"/>
      <c r="G28" s="464">
        <f>IF((AllSat+AllSat1&gt;0),"",IF((NoSeasonal=1),"",MAX(F29:F32)/MAX(E29:E32)))</f>
        <v>0</v>
      </c>
      <c r="H28" s="2078" t="s">
        <v>254</v>
      </c>
      <c r="I28" s="2083" t="s">
        <v>1683</v>
      </c>
      <c r="K28" s="7"/>
      <c r="L28" s="7"/>
      <c r="M28" s="7"/>
    </row>
    <row r="29" spans="1:13" ht="15" customHeight="1" x14ac:dyDescent="0.2">
      <c r="A29" s="2196"/>
      <c r="B29" s="2172"/>
      <c r="C29" s="924" t="str">
        <f>F!C46</f>
        <v xml:space="preserve">&lt;10 cm change (stable) </v>
      </c>
      <c r="D29" s="286">
        <f>F!D46</f>
        <v>0</v>
      </c>
      <c r="E29" s="465">
        <v>5</v>
      </c>
      <c r="F29" s="465">
        <f>D29*E29</f>
        <v>0</v>
      </c>
      <c r="G29" s="466"/>
      <c r="H29" s="2078"/>
      <c r="I29" s="2083"/>
      <c r="K29" s="7"/>
      <c r="L29" s="7"/>
      <c r="M29" s="7"/>
    </row>
    <row r="30" spans="1:13" ht="15" customHeight="1" x14ac:dyDescent="0.2">
      <c r="A30" s="2196"/>
      <c r="B30" s="2172"/>
      <c r="C30" s="684" t="str">
        <f>F!C47</f>
        <v>10 cm - 50 cm change</v>
      </c>
      <c r="D30" s="120">
        <f>F!D47</f>
        <v>0</v>
      </c>
      <c r="E30" s="486">
        <v>3</v>
      </c>
      <c r="F30" s="465">
        <f>D30*E30</f>
        <v>0</v>
      </c>
      <c r="G30" s="467"/>
      <c r="H30" s="2078"/>
      <c r="I30" s="2083"/>
      <c r="K30" s="7"/>
      <c r="L30" s="7"/>
      <c r="M30" s="7"/>
    </row>
    <row r="31" spans="1:13" ht="15" customHeight="1" x14ac:dyDescent="0.2">
      <c r="A31" s="2196"/>
      <c r="B31" s="2172"/>
      <c r="C31" s="684" t="str">
        <f>F!C49</f>
        <v>1-2 m change</v>
      </c>
      <c r="D31" s="120">
        <f>F!D49</f>
        <v>0</v>
      </c>
      <c r="E31" s="465">
        <v>2</v>
      </c>
      <c r="F31" s="465">
        <f>D31*E31</f>
        <v>0</v>
      </c>
      <c r="G31" s="467"/>
      <c r="H31" s="2078"/>
      <c r="I31" s="2083"/>
      <c r="K31" s="7"/>
      <c r="L31" s="7"/>
      <c r="M31" s="7"/>
    </row>
    <row r="32" spans="1:13" ht="17.25" customHeight="1" thickBot="1" x14ac:dyDescent="0.25">
      <c r="A32" s="2196"/>
      <c r="B32" s="2172"/>
      <c r="C32" s="688" t="str">
        <f>F!C50</f>
        <v>&gt;2 m change</v>
      </c>
      <c r="D32" s="417">
        <f>F!D50</f>
        <v>0</v>
      </c>
      <c r="E32" s="468">
        <v>1</v>
      </c>
      <c r="F32" s="468">
        <f>D32*E32</f>
        <v>0</v>
      </c>
      <c r="G32" s="840"/>
      <c r="H32" s="2078"/>
      <c r="I32" s="2083"/>
      <c r="K32" s="7"/>
      <c r="L32" s="7"/>
      <c r="M32" s="7"/>
    </row>
    <row r="33" spans="1:13" ht="30" customHeight="1" thickBot="1" x14ac:dyDescent="0.25">
      <c r="A33" s="2205" t="str">
        <f>F!A52</f>
        <v>F10</v>
      </c>
      <c r="B33" s="2208" t="str">
        <f>F!B52</f>
        <v>Predominant Depth Class</v>
      </c>
      <c r="C33" s="682" t="str">
        <f>F!C52</f>
        <v>During most of the time when water is present, its depth in most of the area is: [Note: This is not asking for the maximum depth.]</v>
      </c>
      <c r="D33" s="703"/>
      <c r="E33" s="867"/>
      <c r="F33" s="475"/>
      <c r="G33" s="470">
        <f>IF((AllSat+AllSat1&gt;0),"", IF((SmallAA=1),"", MAX(F34:F38)/MAX(E34:E38)))</f>
        <v>0</v>
      </c>
      <c r="H33" s="2077" t="s">
        <v>255</v>
      </c>
      <c r="I33" s="2087" t="s">
        <v>1684</v>
      </c>
      <c r="K33" s="7"/>
      <c r="L33" s="7"/>
      <c r="M33" s="7"/>
    </row>
    <row r="34" spans="1:13" ht="15" customHeight="1" x14ac:dyDescent="0.2">
      <c r="A34" s="2206"/>
      <c r="B34" s="2172"/>
      <c r="C34" s="924" t="str">
        <f>F!C53</f>
        <v>&lt;10 cm deep (but &gt;0)</v>
      </c>
      <c r="D34" s="720">
        <f>F!D53</f>
        <v>0</v>
      </c>
      <c r="E34" s="868">
        <v>1</v>
      </c>
      <c r="F34" s="868">
        <f>D34*E34</f>
        <v>0</v>
      </c>
      <c r="G34" s="466"/>
      <c r="H34" s="2078"/>
      <c r="I34" s="2083"/>
      <c r="K34" s="7"/>
      <c r="L34" s="7"/>
      <c r="M34" s="7"/>
    </row>
    <row r="35" spans="1:13" ht="15" customHeight="1" x14ac:dyDescent="0.2">
      <c r="A35" s="2206"/>
      <c r="B35" s="2172"/>
      <c r="C35" s="684" t="str">
        <f>F!C54</f>
        <v>10 - 50 cm deep</v>
      </c>
      <c r="D35" s="720">
        <f>F!D54</f>
        <v>0</v>
      </c>
      <c r="E35" s="868">
        <v>2</v>
      </c>
      <c r="F35" s="868">
        <f>D35*E35</f>
        <v>0</v>
      </c>
      <c r="G35" s="467"/>
      <c r="H35" s="2078"/>
      <c r="I35" s="2083"/>
      <c r="K35" s="7"/>
      <c r="L35" s="7"/>
      <c r="M35" s="7"/>
    </row>
    <row r="36" spans="1:13" ht="15" customHeight="1" x14ac:dyDescent="0.2">
      <c r="A36" s="2206"/>
      <c r="B36" s="2172"/>
      <c r="C36" s="684" t="str">
        <f>F!C55</f>
        <v>0.5 - 1 m deep</v>
      </c>
      <c r="D36" s="720">
        <f>F!D55</f>
        <v>0</v>
      </c>
      <c r="E36" s="868">
        <v>5</v>
      </c>
      <c r="F36" s="868">
        <f>D36*E36</f>
        <v>0</v>
      </c>
      <c r="G36" s="467"/>
      <c r="H36" s="2078"/>
      <c r="I36" s="2083"/>
      <c r="K36" s="7"/>
      <c r="L36" s="7"/>
      <c r="M36" s="7"/>
    </row>
    <row r="37" spans="1:13" ht="15" customHeight="1" x14ac:dyDescent="0.2">
      <c r="A37" s="2206"/>
      <c r="B37" s="2172"/>
      <c r="C37" s="684" t="str">
        <f>F!C56</f>
        <v>1 - 2 m deep</v>
      </c>
      <c r="D37" s="720">
        <f>F!D56</f>
        <v>0</v>
      </c>
      <c r="E37" s="868">
        <v>4</v>
      </c>
      <c r="F37" s="868">
        <f>D37*E37</f>
        <v>0</v>
      </c>
      <c r="G37" s="467"/>
      <c r="H37" s="2078"/>
      <c r="I37" s="2083"/>
      <c r="K37" s="7"/>
      <c r="L37" s="7"/>
      <c r="M37" s="7"/>
    </row>
    <row r="38" spans="1:13" ht="15" customHeight="1" thickBot="1" x14ac:dyDescent="0.25">
      <c r="A38" s="2207"/>
      <c r="B38" s="2173"/>
      <c r="C38" s="726" t="str">
        <f>F!C57</f>
        <v>&gt;2 m deep.  True for many fringe wetlands.</v>
      </c>
      <c r="D38" s="121">
        <f>F!D57</f>
        <v>0</v>
      </c>
      <c r="E38" s="471">
        <v>3</v>
      </c>
      <c r="F38" s="471">
        <f>D38*E38</f>
        <v>0</v>
      </c>
      <c r="G38" s="472"/>
      <c r="H38" s="2079"/>
      <c r="I38" s="2088"/>
      <c r="K38" s="7"/>
      <c r="L38" s="7"/>
      <c r="M38" s="7"/>
    </row>
    <row r="39" spans="1:13" ht="42" customHeight="1" thickBot="1" x14ac:dyDescent="0.25">
      <c r="A39" s="2157" t="str">
        <f>F!A71</f>
        <v>F14</v>
      </c>
      <c r="B39" s="2160" t="str">
        <f>F!B71</f>
        <v xml:space="preserve">% of Ponded Water That Is Open </v>
      </c>
      <c r="C39" s="689" t="str">
        <f>F!C71</f>
        <v>In ducks-eye aerial view, the percentage of the ponded water that is open (lacking emergent vegetation during most of the growing season, and unhidden by a forest or shrub canopy) is:</v>
      </c>
      <c r="D39" s="703"/>
      <c r="E39" s="867"/>
      <c r="F39" s="475"/>
      <c r="G39" s="470">
        <f>IF((AllSat+AllSat1&gt;0),"",IF((NoPonded=1),"", IF((SmallAA=1),"", MAX(F40:F45)/MAX(E40:E45))))</f>
        <v>0</v>
      </c>
      <c r="H39" s="2077" t="s">
        <v>1130</v>
      </c>
      <c r="I39" s="2087" t="s">
        <v>1738</v>
      </c>
      <c r="K39" s="7"/>
      <c r="L39" s="7"/>
      <c r="M39" s="7"/>
    </row>
    <row r="40" spans="1:13" ht="27" customHeight="1" x14ac:dyDescent="0.2">
      <c r="A40" s="2158"/>
      <c r="B40" s="2161"/>
      <c r="C40" s="927" t="str">
        <f>F!C72</f>
        <v>&lt;1% or none, or largest pool occupies &lt;0.01 hectares.  Enter "1" and SKIP to F20 (Floating Algae &amp; Duckweed).</v>
      </c>
      <c r="D40" s="291">
        <f>F!D72</f>
        <v>0</v>
      </c>
      <c r="E40" s="803">
        <v>5</v>
      </c>
      <c r="F40" s="868">
        <f t="shared" ref="F40:F45" si="2">D40*E40</f>
        <v>0</v>
      </c>
      <c r="G40" s="466"/>
      <c r="H40" s="2078"/>
      <c r="I40" s="2083"/>
      <c r="K40" s="7"/>
      <c r="L40" s="7"/>
      <c r="M40" s="7"/>
    </row>
    <row r="41" spans="1:13" ht="15" customHeight="1" x14ac:dyDescent="0.2">
      <c r="A41" s="2158"/>
      <c r="B41" s="2161"/>
      <c r="C41" s="928" t="str">
        <f>F!C73</f>
        <v>1-5% of the ponded water.  Enter "1" and SKIP to F20.</v>
      </c>
      <c r="D41" s="940">
        <f>F!D73</f>
        <v>0</v>
      </c>
      <c r="E41" s="803">
        <v>4</v>
      </c>
      <c r="F41" s="868">
        <f t="shared" si="2"/>
        <v>0</v>
      </c>
      <c r="G41" s="467"/>
      <c r="H41" s="2078"/>
      <c r="I41" s="2083"/>
      <c r="K41" s="7"/>
      <c r="L41" s="7"/>
      <c r="M41" s="7"/>
    </row>
    <row r="42" spans="1:13" ht="15" customHeight="1" x14ac:dyDescent="0.2">
      <c r="A42" s="2158"/>
      <c r="B42" s="2161"/>
      <c r="C42" s="928" t="str">
        <f>F!C74</f>
        <v>5-30% of the ponded water.</v>
      </c>
      <c r="D42" s="940">
        <f>F!D74</f>
        <v>0</v>
      </c>
      <c r="E42" s="803">
        <v>3</v>
      </c>
      <c r="F42" s="868">
        <f t="shared" si="2"/>
        <v>0</v>
      </c>
      <c r="G42" s="467"/>
      <c r="H42" s="2078"/>
      <c r="I42" s="2083"/>
      <c r="K42" s="7"/>
      <c r="L42" s="7"/>
      <c r="M42" s="7"/>
    </row>
    <row r="43" spans="1:13" ht="15" customHeight="1" x14ac:dyDescent="0.2">
      <c r="A43" s="2158"/>
      <c r="B43" s="2161"/>
      <c r="C43" s="928" t="str">
        <f>F!C75</f>
        <v>30-70% of the ponded water.</v>
      </c>
      <c r="D43" s="940">
        <f>F!D75</f>
        <v>0</v>
      </c>
      <c r="E43" s="803">
        <v>2</v>
      </c>
      <c r="F43" s="868">
        <f t="shared" si="2"/>
        <v>0</v>
      </c>
      <c r="G43" s="467"/>
      <c r="H43" s="2078"/>
      <c r="I43" s="2083"/>
      <c r="K43" s="7"/>
      <c r="L43" s="7"/>
      <c r="M43" s="7"/>
    </row>
    <row r="44" spans="1:13" ht="15" customHeight="1" x14ac:dyDescent="0.2">
      <c r="A44" s="2158"/>
      <c r="B44" s="2161"/>
      <c r="C44" s="928" t="str">
        <f>F!C76</f>
        <v>70-99% of the ponded water.</v>
      </c>
      <c r="D44" s="940">
        <f>F!D76</f>
        <v>0</v>
      </c>
      <c r="E44" s="803">
        <v>1</v>
      </c>
      <c r="F44" s="868">
        <f t="shared" si="2"/>
        <v>0</v>
      </c>
      <c r="G44" s="467"/>
      <c r="H44" s="2078"/>
      <c r="I44" s="2083"/>
      <c r="K44" s="7"/>
      <c r="L44" s="7"/>
      <c r="M44" s="7"/>
    </row>
    <row r="45" spans="1:13" ht="15" customHeight="1" thickBot="1" x14ac:dyDescent="0.25">
      <c r="A45" s="2159"/>
      <c r="B45" s="2162"/>
      <c r="C45" s="692" t="str">
        <f>F!C77</f>
        <v xml:space="preserve">100% of the ponded water. </v>
      </c>
      <c r="D45" s="285">
        <f>F!D77</f>
        <v>0</v>
      </c>
      <c r="E45" s="453">
        <v>0</v>
      </c>
      <c r="F45" s="471">
        <f t="shared" si="2"/>
        <v>0</v>
      </c>
      <c r="G45" s="472"/>
      <c r="H45" s="2079"/>
      <c r="I45" s="2088"/>
      <c r="K45" s="7"/>
      <c r="L45" s="7"/>
      <c r="M45" s="7"/>
    </row>
    <row r="46" spans="1:13" ht="39" customHeight="1" thickBot="1" x14ac:dyDescent="0.25">
      <c r="A46" s="2220" t="str">
        <f>F!A84</f>
        <v>F16</v>
      </c>
      <c r="B46" s="2221" t="str">
        <f>F!B84</f>
        <v>Predominant Width of Vegetated Zone within Wetland</v>
      </c>
      <c r="C46" s="682" t="str">
        <f>F!C84</f>
        <v>At the driest time of year (or lowest water level), the average width of vegetated area in the AA that separates adjoining uplands from open water within the AA is:</v>
      </c>
      <c r="D46" s="1409"/>
      <c r="E46" s="867"/>
      <c r="F46" s="475"/>
      <c r="G46" s="470" t="str">
        <f>IF((AllSat+AllSat1&gt;0),"",IF((OpenW=0),"",IF((SmallAA=1),"", MAX(F47:F51)/MAX(E47:E51))))</f>
        <v/>
      </c>
      <c r="H46" s="2077" t="s">
        <v>256</v>
      </c>
      <c r="I46" s="2087" t="s">
        <v>2049</v>
      </c>
      <c r="J46" s="227"/>
      <c r="K46" s="7"/>
      <c r="L46" s="7"/>
      <c r="M46" s="7"/>
    </row>
    <row r="47" spans="1:13" ht="15" customHeight="1" x14ac:dyDescent="0.2">
      <c r="A47" s="2156"/>
      <c r="B47" s="2222"/>
      <c r="C47" s="924" t="str">
        <f>F!C85</f>
        <v>&lt;1 m</v>
      </c>
      <c r="D47" s="286">
        <f>F!D85</f>
        <v>0</v>
      </c>
      <c r="E47" s="868">
        <v>0</v>
      </c>
      <c r="F47" s="868">
        <f>D47*E47</f>
        <v>0</v>
      </c>
      <c r="G47" s="466"/>
      <c r="H47" s="2078"/>
      <c r="I47" s="2083"/>
      <c r="K47" s="7"/>
      <c r="L47" s="7"/>
      <c r="M47" s="7"/>
    </row>
    <row r="48" spans="1:13" ht="15" customHeight="1" x14ac:dyDescent="0.2">
      <c r="A48" s="2156"/>
      <c r="B48" s="2222"/>
      <c r="C48" s="924" t="str">
        <f>F!C86</f>
        <v>1 - 9 m</v>
      </c>
      <c r="D48" s="286">
        <f>F!D86</f>
        <v>0</v>
      </c>
      <c r="E48" s="868">
        <v>2</v>
      </c>
      <c r="F48" s="868">
        <f>D48*E48</f>
        <v>0</v>
      </c>
      <c r="G48" s="467"/>
      <c r="H48" s="2078"/>
      <c r="I48" s="2083"/>
      <c r="K48" s="7"/>
      <c r="L48" s="7"/>
      <c r="M48" s="7"/>
    </row>
    <row r="49" spans="1:13" ht="15" customHeight="1" x14ac:dyDescent="0.2">
      <c r="A49" s="2156"/>
      <c r="B49" s="2222"/>
      <c r="C49" s="924" t="str">
        <f>F!C87</f>
        <v>10 - 29 m</v>
      </c>
      <c r="D49" s="286">
        <f>F!D87</f>
        <v>0</v>
      </c>
      <c r="E49" s="868">
        <v>3</v>
      </c>
      <c r="F49" s="868">
        <f>D49*E49</f>
        <v>0</v>
      </c>
      <c r="G49" s="467"/>
      <c r="H49" s="2078"/>
      <c r="I49" s="2083"/>
      <c r="K49" s="7"/>
      <c r="L49" s="7"/>
      <c r="M49" s="7"/>
    </row>
    <row r="50" spans="1:13" ht="15" customHeight="1" x14ac:dyDescent="0.2">
      <c r="A50" s="2156"/>
      <c r="B50" s="2222"/>
      <c r="C50" s="924" t="str">
        <f>F!C88</f>
        <v>30 - 49 m</v>
      </c>
      <c r="D50" s="286">
        <f>F!D88</f>
        <v>0</v>
      </c>
      <c r="E50" s="868">
        <v>4</v>
      </c>
      <c r="F50" s="868">
        <f>D50*E50</f>
        <v>0</v>
      </c>
      <c r="G50" s="467"/>
      <c r="H50" s="2078"/>
      <c r="I50" s="2083"/>
      <c r="K50" s="7"/>
      <c r="L50" s="7"/>
      <c r="M50" s="7"/>
    </row>
    <row r="51" spans="1:13" ht="18.75" customHeight="1" thickBot="1" x14ac:dyDescent="0.25">
      <c r="A51" s="2198"/>
      <c r="B51" s="2223"/>
      <c r="C51" s="1410" t="str">
        <f>F!C90</f>
        <v>&gt; 100 m</v>
      </c>
      <c r="D51" s="1408">
        <f>F!D90</f>
        <v>0</v>
      </c>
      <c r="E51" s="471">
        <v>5</v>
      </c>
      <c r="F51" s="471">
        <f>D51*E51</f>
        <v>0</v>
      </c>
      <c r="G51" s="472"/>
      <c r="H51" s="2079"/>
      <c r="I51" s="2088"/>
      <c r="K51" s="7"/>
      <c r="L51" s="7"/>
      <c r="M51" s="7"/>
    </row>
    <row r="52" spans="1:13" ht="30" customHeight="1" thickBot="1" x14ac:dyDescent="0.25">
      <c r="A52" s="2219" t="str">
        <f>F!A95</f>
        <v>F18</v>
      </c>
      <c r="B52" s="2161" t="str">
        <f>F!B95</f>
        <v>Interspersion of Robust Emergents &amp; Open Water</v>
      </c>
      <c r="C52" s="921" t="str">
        <f>F!C95</f>
        <v>During most of the growing season, the spatial pattern of tall robust herbaceous vegetation (e.g., cattail, bulrush) that has surface water beneath it is mostly:</v>
      </c>
      <c r="D52" s="447"/>
      <c r="E52" s="448"/>
      <c r="F52" s="462"/>
      <c r="G52" s="464">
        <f>IF((AllSat+AllSat1&gt;0),"",IF((NoPonded=1),"", IF((NoOpenPonded+ NoOpenPonded1&gt;0),"", IF((AllOpenPond=1),"", IF((SmallAA=1),"", MAX(F53:F55)/MAX(E53:E55))))))</f>
        <v>0</v>
      </c>
      <c r="H52" s="2078" t="s">
        <v>615</v>
      </c>
      <c r="I52" s="2083" t="s">
        <v>2050</v>
      </c>
      <c r="K52" s="7"/>
      <c r="L52" s="7"/>
      <c r="M52" s="7"/>
    </row>
    <row r="53" spans="1:13" ht="15" customHeight="1" x14ac:dyDescent="0.2">
      <c r="A53" s="2219"/>
      <c r="B53" s="2161"/>
      <c r="C53" s="845" t="str">
        <f>F!C96</f>
        <v>Scattered in small clumps, islands, or patches throughout the surface water area.</v>
      </c>
      <c r="D53" s="292">
        <f>F!D96</f>
        <v>0</v>
      </c>
      <c r="E53" s="450">
        <v>2</v>
      </c>
      <c r="F53" s="468">
        <f>D53*E53</f>
        <v>0</v>
      </c>
      <c r="G53" s="467"/>
      <c r="H53" s="2078"/>
      <c r="I53" s="2083"/>
      <c r="K53" s="7"/>
      <c r="L53" s="7"/>
      <c r="M53" s="7"/>
    </row>
    <row r="54" spans="1:13" ht="15" customHeight="1" x14ac:dyDescent="0.2">
      <c r="A54" s="2219"/>
      <c r="B54" s="2161"/>
      <c r="C54" s="846" t="str">
        <f>F!C97</f>
        <v>Intermediate</v>
      </c>
      <c r="D54" s="287">
        <f>F!D97</f>
        <v>0</v>
      </c>
      <c r="E54" s="450">
        <v>1</v>
      </c>
      <c r="F54" s="468">
        <f>D54*E54</f>
        <v>0</v>
      </c>
      <c r="G54" s="467"/>
      <c r="H54" s="2078"/>
      <c r="I54" s="2083"/>
      <c r="K54" s="7"/>
      <c r="L54" s="7"/>
      <c r="M54" s="7"/>
    </row>
    <row r="55" spans="1:13" ht="27" customHeight="1" thickBot="1" x14ac:dyDescent="0.25">
      <c r="A55" s="2219"/>
      <c r="B55" s="2161"/>
      <c r="C55" s="929" t="str">
        <f>F!C98</f>
        <v>Clumped at one or a few sides of the surface water area, or mostly surrounds a central area of open water.  Or such vegetation is absent or covers &lt;9 sq m and &lt;1% of the AA.</v>
      </c>
      <c r="D55" s="419">
        <f>F!D98</f>
        <v>0</v>
      </c>
      <c r="E55" s="451">
        <v>0</v>
      </c>
      <c r="F55" s="468">
        <f>D55*E55</f>
        <v>0</v>
      </c>
      <c r="G55" s="840"/>
      <c r="H55" s="2078"/>
      <c r="I55" s="2083"/>
      <c r="K55" s="7"/>
      <c r="L55" s="7"/>
      <c r="M55" s="7"/>
    </row>
    <row r="56" spans="1:13" ht="102" customHeight="1" thickBot="1" x14ac:dyDescent="0.25">
      <c r="A56" s="920" t="str">
        <f>F!A100</f>
        <v>F20</v>
      </c>
      <c r="B56" s="90" t="str">
        <f>F!B100</f>
        <v>Floating Algae &amp; Duckweed</v>
      </c>
      <c r="C56" s="1639" t="str">
        <f>F!C100</f>
        <v>At some time of the year, mats of algae and/or duckweed cover most of the AA's otherwise-unshaded water surface or blanket the underwater substrate.  If true, enter "1" in next column.  If untrue or uncertain, enter "0".</v>
      </c>
      <c r="D56" s="1640">
        <f>F!D100</f>
        <v>0</v>
      </c>
      <c r="E56" s="487"/>
      <c r="F56" s="485"/>
      <c r="G56" s="470" t="str">
        <f>IF((AllSat+AllSat1&gt;0),"", IF((NoPonded=1),"", IF((SmallAA=1),"", IF((D56=1),0,""))))</f>
        <v/>
      </c>
      <c r="H56" s="99" t="s">
        <v>616</v>
      </c>
      <c r="I56" s="99" t="s">
        <v>2051</v>
      </c>
      <c r="K56" s="7"/>
      <c r="L56" s="7"/>
      <c r="M56" s="7"/>
    </row>
    <row r="57" spans="1:13" ht="36" customHeight="1" thickBot="1" x14ac:dyDescent="0.25">
      <c r="A57" s="2199" t="str">
        <f>F!A109</f>
        <v>F25</v>
      </c>
      <c r="B57" s="2208" t="str">
        <f>F!B109</f>
        <v>Through Flow Pattern</v>
      </c>
      <c r="C57" s="926" t="str">
        <f>F!C109</f>
        <v>During its travel through the AA at the time of peak annual flow, most of the water arriving in channels [select only the ONE encountered by most of the incoming water]:</v>
      </c>
      <c r="D57" s="866"/>
      <c r="E57" s="462"/>
      <c r="F57" s="463"/>
      <c r="G57" s="464" t="str">
        <f>IF((AllSat=1),"", IF((Inflows=0),"",MAX(F58:F62)/MAX(E58:E62)))</f>
        <v/>
      </c>
      <c r="H57" s="2078" t="s">
        <v>259</v>
      </c>
      <c r="I57" s="2083" t="s">
        <v>2052</v>
      </c>
      <c r="K57" s="7"/>
      <c r="L57" s="7"/>
      <c r="M57" s="7"/>
    </row>
    <row r="58" spans="1:13" ht="42" customHeight="1" x14ac:dyDescent="0.2">
      <c r="A58" s="2200"/>
      <c r="B58" s="2172"/>
      <c r="C58" s="949" t="str">
        <f>F!C110</f>
        <v>Does not bump into plant stems as it travels through the AA.  Nearly all the water continues to travel in unvegetated (often incised) channels that have little contact with wetland vegetation, or through a zone of open water such as an instream pond or lake.</v>
      </c>
      <c r="D58" s="733">
        <f>F!D110</f>
        <v>0</v>
      </c>
      <c r="E58" s="465">
        <v>0</v>
      </c>
      <c r="F58" s="465">
        <f>D58*E58</f>
        <v>0</v>
      </c>
      <c r="G58" s="466"/>
      <c r="H58" s="2078"/>
      <c r="I58" s="2083"/>
      <c r="K58" s="7"/>
      <c r="L58" s="7"/>
      <c r="M58" s="7"/>
    </row>
    <row r="59" spans="1:13" ht="18" customHeight="1" x14ac:dyDescent="0.2">
      <c r="A59" s="2200"/>
      <c r="B59" s="2172"/>
      <c r="C59" s="950" t="str">
        <f>F!C111</f>
        <v>bumps into herbaceous vegetation but mostly remains in fairly straight channels.</v>
      </c>
      <c r="D59" s="720">
        <f>F!D111</f>
        <v>0</v>
      </c>
      <c r="E59" s="465">
        <v>1</v>
      </c>
      <c r="F59" s="465">
        <f>D59*E59</f>
        <v>0</v>
      </c>
      <c r="G59" s="467"/>
      <c r="H59" s="2078"/>
      <c r="I59" s="2083"/>
      <c r="K59" s="7"/>
      <c r="L59" s="7"/>
      <c r="M59" s="7"/>
    </row>
    <row r="60" spans="1:13" ht="27" customHeight="1" x14ac:dyDescent="0.2">
      <c r="A60" s="2200"/>
      <c r="B60" s="2172"/>
      <c r="C60" s="684" t="str">
        <f>F!C112</f>
        <v>bumps into herbaceous vegetation and mostly spreads throughout, or is in widely  meandering, multi-branched, or braided channels.</v>
      </c>
      <c r="D60" s="733">
        <f>F!D112</f>
        <v>0</v>
      </c>
      <c r="E60" s="465">
        <v>2</v>
      </c>
      <c r="F60" s="465">
        <f>D60*E60</f>
        <v>0</v>
      </c>
      <c r="G60" s="467"/>
      <c r="H60" s="2078"/>
      <c r="I60" s="2083"/>
      <c r="K60" s="7"/>
      <c r="L60" s="7"/>
      <c r="M60" s="7"/>
    </row>
    <row r="61" spans="1:13" ht="18" customHeight="1" x14ac:dyDescent="0.2">
      <c r="A61" s="2200"/>
      <c r="B61" s="2172"/>
      <c r="C61" s="684" t="str">
        <f>F!C113</f>
        <v>bumps into tree trunks and/or shrub stems but mostly remains in fairly straight channels.</v>
      </c>
      <c r="D61" s="733">
        <f>F!D113</f>
        <v>0</v>
      </c>
      <c r="E61" s="465">
        <v>3</v>
      </c>
      <c r="F61" s="465">
        <f>D61*E61</f>
        <v>0</v>
      </c>
      <c r="G61" s="467"/>
      <c r="H61" s="2078"/>
      <c r="I61" s="2083"/>
      <c r="K61" s="7"/>
      <c r="L61" s="7"/>
      <c r="M61" s="7"/>
    </row>
    <row r="62" spans="1:13" ht="27" customHeight="1" thickBot="1" x14ac:dyDescent="0.25">
      <c r="A62" s="2201"/>
      <c r="B62" s="2173"/>
      <c r="C62" s="726" t="str">
        <f>F!C114</f>
        <v>bumps into tree trunks and/or shrub stems and follows a fairly indirect path from entrance to exit (meandering, multi-branched, or braided)</v>
      </c>
      <c r="D62" s="948">
        <f>F!D114</f>
        <v>0</v>
      </c>
      <c r="E62" s="841">
        <v>4</v>
      </c>
      <c r="F62" s="841">
        <f>D62*E62</f>
        <v>0</v>
      </c>
      <c r="G62" s="840"/>
      <c r="H62" s="2078"/>
      <c r="I62" s="2083"/>
      <c r="K62" s="7"/>
      <c r="L62" s="7"/>
      <c r="M62" s="7"/>
    </row>
    <row r="63" spans="1:13" ht="30" customHeight="1" thickBot="1" x14ac:dyDescent="0.25">
      <c r="A63" s="2216" t="str">
        <f>F!A115</f>
        <v>F26</v>
      </c>
      <c r="B63" s="2208" t="str">
        <f>F!B115</f>
        <v>Channel Connection &amp; Outflow Duration</v>
      </c>
      <c r="C63" s="682" t="str">
        <f>F!C115</f>
        <v>The most persistent surface water connection (outlet channel or pipe, ditch, or overbank water exchange) between the AA and the closest off-site downslope water body is:</v>
      </c>
      <c r="D63" s="703"/>
      <c r="E63" s="867"/>
      <c r="F63" s="475"/>
      <c r="G63" s="470">
        <f>IF((AllSat+AllSat1&gt;0),"",(MAX(F64:F68))/MAX(E64:E68))</f>
        <v>0</v>
      </c>
      <c r="H63" s="2077" t="s">
        <v>257</v>
      </c>
      <c r="I63" s="2087" t="s">
        <v>2053</v>
      </c>
      <c r="K63" s="7"/>
      <c r="L63" s="7"/>
      <c r="M63" s="7"/>
    </row>
    <row r="64" spans="1:13" ht="15" customHeight="1" x14ac:dyDescent="0.2">
      <c r="A64" s="2217"/>
      <c r="B64" s="2172"/>
      <c r="C64" s="924" t="str">
        <f>F!C116</f>
        <v>persistent (&gt;9 months/year, including times when frozen)</v>
      </c>
      <c r="D64" s="720">
        <f>F!D116</f>
        <v>0</v>
      </c>
      <c r="E64" s="868">
        <v>1</v>
      </c>
      <c r="F64" s="868">
        <f>D64*E64</f>
        <v>0</v>
      </c>
      <c r="G64" s="466"/>
      <c r="H64" s="2078"/>
      <c r="I64" s="2083"/>
      <c r="K64" s="7"/>
      <c r="L64" s="7"/>
      <c r="M64" s="7"/>
    </row>
    <row r="65" spans="1:13" ht="26.25" customHeight="1" x14ac:dyDescent="0.2">
      <c r="A65" s="2217"/>
      <c r="B65" s="2172"/>
      <c r="C65" s="684" t="str">
        <f>F!C117</f>
        <v>seasonal (14 days to 9 months/year, not necessarily consecutive, including times when frozen)</v>
      </c>
      <c r="D65" s="720">
        <f>F!D117</f>
        <v>0</v>
      </c>
      <c r="E65" s="868">
        <v>2</v>
      </c>
      <c r="F65" s="868">
        <f>D65*E65</f>
        <v>0</v>
      </c>
      <c r="G65" s="467"/>
      <c r="H65" s="2078"/>
      <c r="I65" s="2083"/>
      <c r="K65" s="7"/>
      <c r="L65" s="7"/>
      <c r="M65" s="7"/>
    </row>
    <row r="66" spans="1:13" ht="15" customHeight="1" x14ac:dyDescent="0.2">
      <c r="A66" s="2217"/>
      <c r="B66" s="2172"/>
      <c r="C66" s="684" t="str">
        <f>F!C118</f>
        <v>temporary (&lt;14 days, not necessarily consecutive -- must be unfrozen)</v>
      </c>
      <c r="D66" s="697">
        <f>F!D118</f>
        <v>0</v>
      </c>
      <c r="E66" s="868">
        <v>3</v>
      </c>
      <c r="F66" s="868">
        <f>D66*E66</f>
        <v>0</v>
      </c>
      <c r="G66" s="467"/>
      <c r="H66" s="2078"/>
      <c r="I66" s="2083"/>
      <c r="K66" s="7"/>
      <c r="L66" s="7"/>
      <c r="M66" s="7"/>
    </row>
    <row r="67" spans="1:13" ht="42.75" customHeight="1" x14ac:dyDescent="0.2">
      <c r="A67" s="2217"/>
      <c r="B67" s="2172"/>
      <c r="C67" s="684" t="str">
        <f>F!C119</f>
        <v xml:space="preserve">none -- but maps show a stream or other water body that is downslope from the AA and within a distance that is less than the AA's length.  If so, mark "1" here and SKIP TO F28 (Groundwater). </v>
      </c>
      <c r="D67" s="720">
        <f>F!D119</f>
        <v>0</v>
      </c>
      <c r="E67" s="872">
        <v>6</v>
      </c>
      <c r="F67" s="868">
        <f>D67*E67</f>
        <v>0</v>
      </c>
      <c r="G67" s="840"/>
      <c r="H67" s="2078"/>
      <c r="I67" s="2083"/>
      <c r="K67" s="7"/>
      <c r="L67" s="7"/>
      <c r="M67" s="7"/>
    </row>
    <row r="68" spans="1:13" ht="42" customHeight="1" thickBot="1" x14ac:dyDescent="0.25">
      <c r="A68" s="2218"/>
      <c r="B68" s="2173"/>
      <c r="C68" s="726" t="str">
        <f>F!C120</f>
        <v xml:space="preserve">no surface water flows out of the wetland except possibly during extreme events (&lt;once per 10 years). Or, water flows only into a wetland, ditch, or lake that lacks an outlet.  If so, mark "1" here and SKIP TO F28 (Groundwater). </v>
      </c>
      <c r="D68" s="121">
        <f>F!D120</f>
        <v>0</v>
      </c>
      <c r="E68" s="479">
        <v>6</v>
      </c>
      <c r="F68" s="471">
        <f>D68*E68</f>
        <v>0</v>
      </c>
      <c r="G68" s="472"/>
      <c r="H68" s="2079"/>
      <c r="I68" s="2088"/>
      <c r="K68" s="7"/>
      <c r="L68" s="7"/>
      <c r="M68" s="7"/>
    </row>
    <row r="69" spans="1:13" ht="30" customHeight="1" thickBot="1" x14ac:dyDescent="0.25">
      <c r="A69" s="2178" t="str">
        <f>F!A121</f>
        <v>F27</v>
      </c>
      <c r="B69" s="2172" t="str">
        <f>F!B121</f>
        <v>Outflow Confinement</v>
      </c>
      <c r="C69" s="926" t="str">
        <f>F!C121</f>
        <v>During major runoff events, in the places where surface water exits the AA or connected waters nearby, it:</v>
      </c>
      <c r="D69" s="866"/>
      <c r="E69" s="462"/>
      <c r="F69" s="463"/>
      <c r="G69" s="464">
        <f>IF((OutNone + OutNone1&gt;0),"",(MAX(F70:F72)/MAX(E70:E72)))</f>
        <v>0</v>
      </c>
      <c r="H69" s="2078" t="s">
        <v>258</v>
      </c>
      <c r="I69" s="2083" t="s">
        <v>2054</v>
      </c>
      <c r="K69" s="7"/>
      <c r="L69" s="7"/>
      <c r="M69" s="7"/>
    </row>
    <row r="70" spans="1:13" ht="42" customHeight="1" x14ac:dyDescent="0.2">
      <c r="A70" s="2178"/>
      <c r="B70" s="2172"/>
      <c r="C70" s="924" t="str">
        <f>F!C122</f>
        <v>mostly passes through a pipe, culvert, narrowly breached dike, berm, beaver dam, or other partial obstruction (other than natural topography) that does not appear to drain the wetland artificially during most of the growing season.</v>
      </c>
      <c r="D70" s="286">
        <f>F!D122</f>
        <v>0</v>
      </c>
      <c r="E70" s="465">
        <v>1</v>
      </c>
      <c r="F70" s="465">
        <f>D70*E70</f>
        <v>0</v>
      </c>
      <c r="G70" s="466"/>
      <c r="H70" s="2078"/>
      <c r="I70" s="2083"/>
      <c r="K70" s="7"/>
      <c r="L70" s="7"/>
      <c r="M70" s="7"/>
    </row>
    <row r="71" spans="1:13" ht="27" customHeight="1" x14ac:dyDescent="0.2">
      <c r="A71" s="2178"/>
      <c r="B71" s="2172"/>
      <c r="C71" s="684" t="str">
        <f>F!C123</f>
        <v>leaves through natural exits (channels or diffuse outflow), not mainly through artificial or temporary features</v>
      </c>
      <c r="D71" s="120">
        <f>F!D123</f>
        <v>0</v>
      </c>
      <c r="E71" s="465">
        <v>0</v>
      </c>
      <c r="F71" s="465">
        <f>D71*E71</f>
        <v>0</v>
      </c>
      <c r="G71" s="480"/>
      <c r="H71" s="2078"/>
      <c r="I71" s="2083"/>
      <c r="K71" s="7"/>
      <c r="L71" s="7"/>
      <c r="M71" s="7"/>
    </row>
    <row r="72" spans="1:13" ht="41.25" customHeight="1" thickBot="1" x14ac:dyDescent="0.25">
      <c r="A72" s="2178"/>
      <c r="B72" s="2172"/>
      <c r="C72" s="688" t="str">
        <f>F!C124</f>
        <v>exported more quickly than usual due to ditches or pipes within the AA (or connected to its outlet or within 10 m of the AA's edge) which drain the wetland artificially, or water is pumped out of the AA.</v>
      </c>
      <c r="D72" s="697">
        <f>F!D124</f>
        <v>0</v>
      </c>
      <c r="E72" s="841">
        <v>0</v>
      </c>
      <c r="F72" s="841">
        <f>D72*E72</f>
        <v>0</v>
      </c>
      <c r="G72" s="840"/>
      <c r="H72" s="2078"/>
      <c r="I72" s="2083"/>
      <c r="K72" s="7"/>
      <c r="L72" s="7"/>
      <c r="M72" s="7"/>
    </row>
    <row r="73" spans="1:13" ht="21" customHeight="1" thickBot="1" x14ac:dyDescent="0.25">
      <c r="A73" s="2209" t="str">
        <f>F!A129</f>
        <v>F29</v>
      </c>
      <c r="B73" s="2212" t="str">
        <f>F!B129</f>
        <v>Internal Gradient</v>
      </c>
      <c r="C73" s="682" t="str">
        <f>F!C129</f>
        <v>The gradient along most of the flow path within the AA is:</v>
      </c>
      <c r="D73" s="703"/>
      <c r="E73" s="867"/>
      <c r="F73" s="475"/>
      <c r="G73" s="470">
        <f>MAX(F74:F77)/MAX(E74:E77)</f>
        <v>0</v>
      </c>
      <c r="H73" s="2077" t="s">
        <v>263</v>
      </c>
      <c r="I73" s="2087" t="s">
        <v>329</v>
      </c>
      <c r="K73" s="7"/>
      <c r="L73" s="7"/>
      <c r="M73" s="7"/>
    </row>
    <row r="74" spans="1:13" ht="27" customHeight="1" x14ac:dyDescent="0.2">
      <c r="A74" s="2210"/>
      <c r="B74" s="2213"/>
      <c r="C74" s="924" t="str">
        <f>F!C130</f>
        <v>&lt;2%, or, no slope is ever apparent (i.e., flat). Or, the wetland is in a depression or pond with no inlet and no outlet.</v>
      </c>
      <c r="D74" s="286">
        <f>F!D130</f>
        <v>0</v>
      </c>
      <c r="E74" s="868">
        <v>4</v>
      </c>
      <c r="F74" s="868">
        <f>D74*E74</f>
        <v>0</v>
      </c>
      <c r="G74" s="466"/>
      <c r="H74" s="2078"/>
      <c r="I74" s="2078"/>
      <c r="K74" s="7"/>
      <c r="L74" s="7"/>
      <c r="M74" s="7"/>
    </row>
    <row r="75" spans="1:13" ht="15" customHeight="1" x14ac:dyDescent="0.2">
      <c r="A75" s="2210"/>
      <c r="B75" s="2213"/>
      <c r="C75" s="684" t="str">
        <f>F!C131</f>
        <v>2-5%</v>
      </c>
      <c r="D75" s="720">
        <f>F!D131</f>
        <v>0</v>
      </c>
      <c r="E75" s="868">
        <v>3</v>
      </c>
      <c r="F75" s="868">
        <f>D75*E75</f>
        <v>0</v>
      </c>
      <c r="G75" s="466"/>
      <c r="H75" s="2078"/>
      <c r="I75" s="2078"/>
      <c r="K75" s="7"/>
      <c r="L75" s="7"/>
      <c r="M75" s="7"/>
    </row>
    <row r="76" spans="1:13" ht="15" customHeight="1" x14ac:dyDescent="0.2">
      <c r="A76" s="2210"/>
      <c r="B76" s="2213"/>
      <c r="C76" s="684" t="str">
        <f>F!C132</f>
        <v>6-10%</v>
      </c>
      <c r="D76" s="720">
        <f>F!D132</f>
        <v>0</v>
      </c>
      <c r="E76" s="868">
        <v>2</v>
      </c>
      <c r="F76" s="868">
        <f>D76*E76</f>
        <v>0</v>
      </c>
      <c r="G76" s="467"/>
      <c r="H76" s="2078"/>
      <c r="I76" s="2078"/>
      <c r="K76" s="7"/>
      <c r="L76" s="7"/>
      <c r="M76" s="7"/>
    </row>
    <row r="77" spans="1:13" ht="15" customHeight="1" thickBot="1" x14ac:dyDescent="0.25">
      <c r="A77" s="2211"/>
      <c r="B77" s="2214"/>
      <c r="C77" s="726" t="str">
        <f>F!C133</f>
        <v>&gt;10%</v>
      </c>
      <c r="D77" s="121">
        <f>F!D133</f>
        <v>0</v>
      </c>
      <c r="E77" s="471">
        <v>0</v>
      </c>
      <c r="F77" s="471">
        <f>D77*E77</f>
        <v>0</v>
      </c>
      <c r="G77" s="472"/>
      <c r="H77" s="2079"/>
      <c r="I77" s="2079"/>
      <c r="K77" s="7"/>
      <c r="L77" s="7"/>
      <c r="M77" s="7"/>
    </row>
    <row r="78" spans="1:13" ht="30" customHeight="1" thickBot="1" x14ac:dyDescent="0.25">
      <c r="A78" s="2178" t="str">
        <f>F!A194</f>
        <v>F41</v>
      </c>
      <c r="B78" s="2172" t="str">
        <f>F!B194</f>
        <v>% Bare Ground &amp; Thatch</v>
      </c>
      <c r="C78" s="926" t="str">
        <f>F!C194</f>
        <v>Consider the parts of the AA that lack surface water at the driest time of the growing season.  Viewed from directly above the ground layer, the predominant condition in those areas at that time is:</v>
      </c>
      <c r="D78" s="866"/>
      <c r="E78" s="462"/>
      <c r="F78" s="463"/>
      <c r="G78" s="464">
        <f>MAX(F79:F82)/MAX(E79:E82)</f>
        <v>0</v>
      </c>
      <c r="H78" s="2078" t="s">
        <v>260</v>
      </c>
      <c r="I78" s="2083" t="s">
        <v>314</v>
      </c>
      <c r="K78" s="7"/>
      <c r="L78" s="7"/>
      <c r="M78" s="7"/>
    </row>
    <row r="79" spans="1:13" ht="42" customHeight="1" x14ac:dyDescent="0.2">
      <c r="A79" s="2178"/>
      <c r="B79" s="2172"/>
      <c r="C79" s="924" t="str">
        <f>F!C195</f>
        <v>Little or no (&lt;5%) bare ground is visible between erect stems or under canopy anywhere in the vegetated AA. Ground is extensively blanketed by dense thatch, moss, lichens, graminoids with great stem densities, or plants with ground-hugging foliage. </v>
      </c>
      <c r="D79" s="286">
        <f>F!D195</f>
        <v>0</v>
      </c>
      <c r="E79" s="465">
        <v>3</v>
      </c>
      <c r="F79" s="465">
        <f>D79*E79</f>
        <v>0</v>
      </c>
      <c r="G79" s="466"/>
      <c r="H79" s="2078"/>
      <c r="I79" s="2083"/>
      <c r="K79" s="7"/>
      <c r="L79" s="7"/>
      <c r="M79" s="7"/>
    </row>
    <row r="80" spans="1:13" ht="27" customHeight="1" x14ac:dyDescent="0.2">
      <c r="A80" s="2178"/>
      <c r="B80" s="2172"/>
      <c r="C80" s="684" t="str">
        <f>F!C196</f>
        <v>Slightly bare ground (5-20% bare between plants) is visible in places, but those areas comprise less than 5% of the unflooded parts of the AA.</v>
      </c>
      <c r="D80" s="120">
        <f>F!D196</f>
        <v>0</v>
      </c>
      <c r="E80" s="465">
        <v>2</v>
      </c>
      <c r="F80" s="465">
        <f>D80*E80</f>
        <v>0</v>
      </c>
      <c r="G80" s="467"/>
      <c r="H80" s="2078"/>
      <c r="I80" s="2083"/>
      <c r="K80" s="7"/>
      <c r="L80" s="7"/>
      <c r="M80" s="7"/>
    </row>
    <row r="81" spans="1:13" ht="27" customHeight="1" x14ac:dyDescent="0.2">
      <c r="A81" s="2178"/>
      <c r="B81" s="2172"/>
      <c r="C81" s="684" t="str">
        <f>F!C197</f>
        <v>Much bare ground (20-50% bare between plants) is visible in places, and those areas comprise more than 5% of the unflooded parts of the AA. </v>
      </c>
      <c r="D81" s="120">
        <f>F!D197</f>
        <v>0</v>
      </c>
      <c r="E81" s="465">
        <v>1</v>
      </c>
      <c r="F81" s="465">
        <f>D81*E81</f>
        <v>0</v>
      </c>
      <c r="G81" s="467"/>
      <c r="H81" s="2078"/>
      <c r="I81" s="2083"/>
      <c r="K81" s="7"/>
      <c r="L81" s="7"/>
      <c r="M81" s="7"/>
    </row>
    <row r="82" spans="1:13" ht="15" customHeight="1" thickBot="1" x14ac:dyDescent="0.25">
      <c r="A82" s="2178"/>
      <c r="B82" s="2172"/>
      <c r="C82" s="688" t="str">
        <f>F!C198</f>
        <v>Other conditions</v>
      </c>
      <c r="D82" s="697">
        <f>F!D198</f>
        <v>0</v>
      </c>
      <c r="E82" s="841">
        <v>0</v>
      </c>
      <c r="F82" s="841">
        <f>D82*E82</f>
        <v>0</v>
      </c>
      <c r="G82" s="840"/>
      <c r="H82" s="2078"/>
      <c r="I82" s="2083"/>
      <c r="K82" s="7"/>
      <c r="L82" s="7"/>
      <c r="M82" s="7"/>
    </row>
    <row r="83" spans="1:13" ht="45" customHeight="1" thickBot="1" x14ac:dyDescent="0.25">
      <c r="A83" s="2203" t="str">
        <f>F!A200</f>
        <v>F42</v>
      </c>
      <c r="B83" s="2208" t="str">
        <f>F!B200</f>
        <v>Ground Irregularity</v>
      </c>
      <c r="C83" s="682"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83" s="703"/>
      <c r="E83" s="867"/>
      <c r="F83" s="475"/>
      <c r="G83" s="470">
        <f>MAX(F84:F86)/MAX(E84:E86)</f>
        <v>0</v>
      </c>
      <c r="H83" s="2077" t="s">
        <v>261</v>
      </c>
      <c r="I83" s="2087" t="s">
        <v>71</v>
      </c>
      <c r="K83" s="7"/>
      <c r="L83" s="7"/>
      <c r="M83" s="7"/>
    </row>
    <row r="84" spans="1:13" ht="15" customHeight="1" x14ac:dyDescent="0.2">
      <c r="A84" s="2178"/>
      <c r="B84" s="2172"/>
      <c r="C84" s="924" t="str">
        <f>F!C201</f>
        <v xml:space="preserve">Few or none (minimal microtopography; &lt;1% of that area) </v>
      </c>
      <c r="D84" s="720">
        <f>F!D201</f>
        <v>0</v>
      </c>
      <c r="E84" s="868">
        <v>0</v>
      </c>
      <c r="F84" s="868">
        <f>D84*E84</f>
        <v>0</v>
      </c>
      <c r="G84" s="466"/>
      <c r="H84" s="2078"/>
      <c r="I84" s="2083"/>
      <c r="K84" s="7"/>
      <c r="L84" s="7"/>
      <c r="M84" s="7"/>
    </row>
    <row r="85" spans="1:13" ht="15" customHeight="1" x14ac:dyDescent="0.2">
      <c r="A85" s="2178"/>
      <c r="B85" s="2172"/>
      <c r="C85" s="684" t="str">
        <f>F!C202</f>
        <v>Intermediate</v>
      </c>
      <c r="D85" s="720">
        <f>F!D202</f>
        <v>0</v>
      </c>
      <c r="E85" s="868">
        <v>1</v>
      </c>
      <c r="F85" s="868">
        <f>D85*E85</f>
        <v>0</v>
      </c>
      <c r="G85" s="467"/>
      <c r="H85" s="2078"/>
      <c r="I85" s="2083"/>
      <c r="K85" s="7"/>
      <c r="L85" s="7"/>
      <c r="M85" s="7"/>
    </row>
    <row r="86" spans="1:13" ht="15" customHeight="1" thickBot="1" x14ac:dyDescent="0.25">
      <c r="A86" s="2179"/>
      <c r="B86" s="2173"/>
      <c r="C86" s="726" t="str">
        <f>F!C203</f>
        <v>Several (extensive micro-topography)</v>
      </c>
      <c r="D86" s="121">
        <f>F!D203</f>
        <v>0</v>
      </c>
      <c r="E86" s="471">
        <v>2</v>
      </c>
      <c r="F86" s="471">
        <f>D86*E86</f>
        <v>0</v>
      </c>
      <c r="G86" s="472"/>
      <c r="H86" s="2079"/>
      <c r="I86" s="2088"/>
      <c r="K86" s="7"/>
      <c r="L86" s="7"/>
      <c r="M86" s="7"/>
    </row>
    <row r="87" spans="1:13" ht="45" customHeight="1" thickBot="1" x14ac:dyDescent="0.25">
      <c r="A87" s="2202" t="str">
        <f>F!A208</f>
        <v>F44</v>
      </c>
      <c r="B87" s="2172" t="str">
        <f>F!B208</f>
        <v>Soil Texture</v>
      </c>
      <c r="C87" s="680" t="str">
        <f>F!C208</f>
        <v>In parts of the AA that lack persistent water, the texture of soil in the uppermost layer is mostly:  [To determine this, use a trowel to check in at least 3 widely spaced locations, and use the soil texture key in Appendix A of the Manual]</v>
      </c>
      <c r="D87" s="413"/>
      <c r="E87" s="462"/>
      <c r="F87" s="463"/>
      <c r="G87" s="464">
        <f>MAX(F88:F91)/MAX(E88:E91)</f>
        <v>0</v>
      </c>
      <c r="H87" s="2078" t="s">
        <v>262</v>
      </c>
      <c r="I87" s="2083" t="s">
        <v>781</v>
      </c>
      <c r="K87" s="7"/>
      <c r="L87" s="7"/>
      <c r="M87" s="7"/>
    </row>
    <row r="88" spans="1:13" ht="15" customHeight="1" x14ac:dyDescent="0.2">
      <c r="A88" s="2202"/>
      <c r="B88" s="2172"/>
      <c r="C88" s="843" t="str">
        <f>F!C209</f>
        <v>Loamy: includes loam, sandy loam</v>
      </c>
      <c r="D88" s="118">
        <f>F!D209</f>
        <v>0</v>
      </c>
      <c r="E88" s="465">
        <v>1</v>
      </c>
      <c r="F88" s="465">
        <f>D88*E88</f>
        <v>0</v>
      </c>
      <c r="G88" s="466"/>
      <c r="H88" s="2078"/>
      <c r="I88" s="2083"/>
      <c r="K88" s="7"/>
      <c r="L88" s="7"/>
      <c r="M88" s="7"/>
    </row>
    <row r="89" spans="1:13" ht="27" customHeight="1" x14ac:dyDescent="0.2">
      <c r="A89" s="2202"/>
      <c r="B89" s="2172"/>
      <c r="C89" s="677" t="str">
        <f>F!C210</f>
        <v>Fines: includes silt, glacial flour, clay, clay loam, silty clay, silty clay loam, sandy clay, sandy clay loam.</v>
      </c>
      <c r="D89" s="118">
        <f>F!D210</f>
        <v>0</v>
      </c>
      <c r="E89" s="465">
        <v>3</v>
      </c>
      <c r="F89" s="465">
        <f>D89*E89</f>
        <v>0</v>
      </c>
      <c r="G89" s="467"/>
      <c r="H89" s="2078"/>
      <c r="I89" s="2083"/>
      <c r="K89" s="7"/>
      <c r="L89" s="7"/>
      <c r="M89" s="7"/>
    </row>
    <row r="90" spans="1:13" ht="15" customHeight="1" x14ac:dyDescent="0.2">
      <c r="A90" s="2202"/>
      <c r="B90" s="2172"/>
      <c r="C90" s="677" t="str">
        <f>F!C211</f>
        <v>Organic</v>
      </c>
      <c r="D90" s="118">
        <f>F!D211</f>
        <v>0</v>
      </c>
      <c r="E90" s="465">
        <v>4</v>
      </c>
      <c r="F90" s="465">
        <f>D90*E90</f>
        <v>0</v>
      </c>
      <c r="G90" s="467"/>
      <c r="H90" s="2078"/>
      <c r="I90" s="2083"/>
      <c r="K90" s="7"/>
      <c r="L90" s="7"/>
      <c r="M90" s="7"/>
    </row>
    <row r="91" spans="1:13" ht="27" customHeight="1" thickBot="1" x14ac:dyDescent="0.25">
      <c r="A91" s="2202"/>
      <c r="B91" s="2172"/>
      <c r="C91" s="673" t="str">
        <f>F!C212</f>
        <v>Coarse: includes sand, loamy sand, gravel, cobble, stones, boulders, fluvents, fluvaquents, riverwash.</v>
      </c>
      <c r="D91" s="282">
        <f>F!D212</f>
        <v>0</v>
      </c>
      <c r="E91" s="468">
        <v>0</v>
      </c>
      <c r="F91" s="468">
        <f>D91*E91</f>
        <v>0</v>
      </c>
      <c r="G91" s="840"/>
      <c r="H91" s="2078"/>
      <c r="I91" s="2083"/>
      <c r="K91" s="7"/>
      <c r="L91" s="7"/>
      <c r="M91" s="7"/>
    </row>
    <row r="92" spans="1:13" ht="30" customHeight="1" thickBot="1" x14ac:dyDescent="0.25">
      <c r="A92" s="2203" t="str">
        <f>F!A307</f>
        <v>F65</v>
      </c>
      <c r="B92" s="2174" t="str">
        <f>F!B307</f>
        <v xml:space="preserve">Salinity, Alkalinity, Conductance </v>
      </c>
      <c r="C92" s="90" t="str">
        <f>F!C307</f>
        <v>Based on measurement from a surface water area larger than .01 hectare, the AA's surface water is mostly:</v>
      </c>
      <c r="D92" s="703"/>
      <c r="E92" s="867"/>
      <c r="F92" s="867"/>
      <c r="G92" s="470">
        <f>IF((D96=1),"",MAX(F93:F95)/MAX(E93:E95))</f>
        <v>0</v>
      </c>
      <c r="H92" s="2077" t="s">
        <v>989</v>
      </c>
      <c r="I92" s="2087" t="s">
        <v>1685</v>
      </c>
      <c r="K92" s="7"/>
      <c r="L92" s="7"/>
      <c r="M92" s="7"/>
    </row>
    <row r="93" spans="1:13" ht="42" customHeight="1" x14ac:dyDescent="0.2">
      <c r="A93" s="2178"/>
      <c r="B93" s="2116"/>
      <c r="C93" s="930" t="str">
        <f>F!C308</f>
        <v>Brackish or saline (conductance of &gt;25 mS/cm, or &gt;5000 ppm TDS). Or plants that indicate saline conditions comprise &gt;20% of ground cover.  Trees and shrubs mostly absent.  Salt crust obvious around the perimeter and on flats.</v>
      </c>
      <c r="D93" s="720">
        <f>F!D308</f>
        <v>0</v>
      </c>
      <c r="E93" s="868">
        <v>2</v>
      </c>
      <c r="F93" s="868">
        <f>D93*E93</f>
        <v>0</v>
      </c>
      <c r="G93" s="467"/>
      <c r="H93" s="2078"/>
      <c r="I93" s="2083"/>
      <c r="K93" s="7"/>
      <c r="L93" s="7"/>
      <c r="M93" s="7"/>
    </row>
    <row r="94" spans="1:13" ht="42" customHeight="1" x14ac:dyDescent="0.2">
      <c r="A94" s="2178"/>
      <c r="B94" s="2116"/>
      <c r="C94" s="678" t="str">
        <f>F!C309</f>
        <v>Slightly brackish (conductance of 2.5- 25 mS/cm, or 500 - 5000 ppm TDS).  Or plants that indicate saline conditions comprise 1-20% of ground cover.  Salt crust may or may not be present along perimeter.</v>
      </c>
      <c r="D94" s="720">
        <f>F!D309</f>
        <v>0</v>
      </c>
      <c r="E94" s="868">
        <v>1</v>
      </c>
      <c r="F94" s="868">
        <f>D94*E94</f>
        <v>0</v>
      </c>
      <c r="G94" s="467"/>
      <c r="H94" s="2078"/>
      <c r="I94" s="2083"/>
      <c r="K94" s="7"/>
      <c r="L94" s="7"/>
      <c r="M94" s="7"/>
    </row>
    <row r="95" spans="1:13" ht="27" customHeight="1" x14ac:dyDescent="0.2">
      <c r="A95" s="2178"/>
      <c r="B95" s="2116"/>
      <c r="C95" s="678" t="str">
        <f>F!C310</f>
        <v>Fresh (conductance of &lt; 2.5 mS/cm, or &lt;500 ppm TDS). Plants that indicate saline conditions are sparse or absent. No salt crust along perimeter.</v>
      </c>
      <c r="D95" s="720">
        <f>F!D310</f>
        <v>0</v>
      </c>
      <c r="E95" s="868">
        <v>0</v>
      </c>
      <c r="F95" s="868">
        <f>D95*E95</f>
        <v>0</v>
      </c>
      <c r="G95" s="467"/>
      <c r="H95" s="2078"/>
      <c r="I95" s="2083"/>
      <c r="K95" s="7"/>
      <c r="L95" s="7"/>
      <c r="M95" s="7"/>
    </row>
    <row r="96" spans="1:13" ht="27" customHeight="1" thickBot="1" x14ac:dyDescent="0.25">
      <c r="A96" s="2179"/>
      <c r="B96" s="2117"/>
      <c r="C96" s="679" t="str">
        <f>F!C311</f>
        <v xml:space="preserve">Unknown condition (was not measured because surface water absent or insufficient, or measurement conflicted with plant indicators). </v>
      </c>
      <c r="D96" s="121">
        <f>F!D311</f>
        <v>0</v>
      </c>
      <c r="E96" s="471"/>
      <c r="F96" s="471"/>
      <c r="G96" s="472"/>
      <c r="H96" s="2079"/>
      <c r="I96" s="2088"/>
      <c r="K96" s="7"/>
      <c r="L96" s="7"/>
      <c r="M96" s="7"/>
    </row>
    <row r="97" spans="1:13" ht="81" customHeight="1" thickBot="1" x14ac:dyDescent="0.25">
      <c r="A97" s="2203" t="str">
        <f>F!A323</f>
        <v>F68</v>
      </c>
      <c r="B97" s="2174" t="str">
        <f>F!B323</f>
        <v>Wetland as a % of Its Contributing Area (Catchment)</v>
      </c>
      <c r="C97" s="89" t="str">
        <f>F!C323</f>
        <v>View the approximate boundaries of the wetland's catchment (CA) as shown in the map AESRD provides in response to your data request.  Then adjust those boundaries if necessary based on your field observations of the surrounding terrain, and/or by using procedures described in the ABWRET Manual. Relative to the extent of this catchment (but excluding the area of the AA), this AA and any bordering waters together comprise (select ONE):</v>
      </c>
      <c r="D97" s="484"/>
      <c r="E97" s="469"/>
      <c r="F97" s="475"/>
      <c r="G97" s="470">
        <f>(MAX(F98:F101))/MAX(E98:E101)</f>
        <v>0</v>
      </c>
      <c r="H97" s="2077" t="s">
        <v>264</v>
      </c>
      <c r="I97" s="2087" t="s">
        <v>330</v>
      </c>
      <c r="K97" s="7"/>
      <c r="L97" s="7"/>
      <c r="M97" s="7"/>
    </row>
    <row r="98" spans="1:13" ht="15" customHeight="1" x14ac:dyDescent="0.2">
      <c r="A98" s="2178"/>
      <c r="B98" s="2116"/>
      <c r="C98" s="924" t="str">
        <f>F!C324</f>
        <v>&lt;1% of their catchment</v>
      </c>
      <c r="D98" s="120">
        <f>F!D324</f>
        <v>0</v>
      </c>
      <c r="E98" s="478">
        <v>0</v>
      </c>
      <c r="F98" s="465">
        <f>D98*E98</f>
        <v>0</v>
      </c>
      <c r="G98" s="466"/>
      <c r="H98" s="2078"/>
      <c r="I98" s="2083"/>
      <c r="K98" s="7"/>
      <c r="L98" s="7"/>
      <c r="M98" s="7"/>
    </row>
    <row r="99" spans="1:13" ht="15" customHeight="1" x14ac:dyDescent="0.2">
      <c r="A99" s="2178"/>
      <c r="B99" s="2116"/>
      <c r="C99" s="684" t="str">
        <f>F!C325</f>
        <v>1 to 10% of their catchment</v>
      </c>
      <c r="D99" s="120">
        <f>F!D325</f>
        <v>0</v>
      </c>
      <c r="E99" s="478">
        <v>1</v>
      </c>
      <c r="F99" s="465">
        <f>D99*E99</f>
        <v>0</v>
      </c>
      <c r="G99" s="467"/>
      <c r="H99" s="2078"/>
      <c r="I99" s="2083"/>
      <c r="K99" s="7"/>
      <c r="L99" s="7"/>
      <c r="M99" s="7"/>
    </row>
    <row r="100" spans="1:13" ht="15" customHeight="1" x14ac:dyDescent="0.2">
      <c r="A100" s="2178"/>
      <c r="B100" s="2116"/>
      <c r="C100" s="684" t="str">
        <f>F!C326</f>
        <v>10 to 100%  of their catchment</v>
      </c>
      <c r="D100" s="120">
        <f>F!D326</f>
        <v>0</v>
      </c>
      <c r="E100" s="478">
        <v>2</v>
      </c>
      <c r="F100" s="465">
        <f>D100*E100</f>
        <v>0</v>
      </c>
      <c r="G100" s="467"/>
      <c r="H100" s="2078"/>
      <c r="I100" s="2083"/>
      <c r="K100" s="7"/>
      <c r="L100" s="7"/>
      <c r="M100" s="7"/>
    </row>
    <row r="101" spans="1:13" ht="27" customHeight="1" thickBot="1" x14ac:dyDescent="0.25">
      <c r="A101" s="2179"/>
      <c r="B101" s="2117"/>
      <c r="C101" s="726" t="str">
        <f>F!C327</f>
        <v xml:space="preserve">Larger than the area of their catchment (wetland has essentially no catchment, e.g., isolated by dikes with no input channels, or is a raised bog). </v>
      </c>
      <c r="D101" s="121">
        <f>F!D327</f>
        <v>0</v>
      </c>
      <c r="E101" s="479">
        <v>3</v>
      </c>
      <c r="F101" s="471">
        <f>D101*E101</f>
        <v>0</v>
      </c>
      <c r="G101" s="472"/>
      <c r="H101" s="2079"/>
      <c r="I101" s="2088"/>
      <c r="K101" s="7"/>
      <c r="L101" s="7"/>
      <c r="M101" s="7"/>
    </row>
    <row r="102" spans="1:13" ht="45" customHeight="1" thickBot="1" x14ac:dyDescent="0.25">
      <c r="A102" s="920" t="str">
        <f>S!A64</f>
        <v>S9</v>
      </c>
      <c r="B102" s="735" t="str">
        <f>S!B64</f>
        <v>Soil or Sediment Alteration Within the Assessment Area</v>
      </c>
      <c r="C102" s="941"/>
      <c r="D102" s="942">
        <f>S!F81</f>
        <v>0</v>
      </c>
      <c r="E102" s="487"/>
      <c r="F102" s="487"/>
      <c r="G102" s="470">
        <f>1-D102</f>
        <v>1</v>
      </c>
      <c r="H102" s="99" t="s">
        <v>1127</v>
      </c>
      <c r="I102" s="53" t="s">
        <v>1795</v>
      </c>
      <c r="K102" s="7"/>
      <c r="L102" s="7"/>
      <c r="M102" s="7"/>
    </row>
    <row r="103" spans="1:13" ht="21" customHeight="1" thickBot="1" x14ac:dyDescent="0.25">
      <c r="A103" s="1437"/>
      <c r="B103" s="1437"/>
      <c r="D103" s="1542"/>
      <c r="E103" s="1542"/>
      <c r="F103" s="1542"/>
      <c r="G103" s="1542"/>
      <c r="H103" s="1515"/>
      <c r="I103" s="1515"/>
      <c r="K103" s="7"/>
      <c r="L103" s="7"/>
      <c r="M103" s="7"/>
    </row>
    <row r="104" spans="1:13" ht="21" customHeight="1" thickBot="1" x14ac:dyDescent="0.25">
      <c r="B104" s="734"/>
      <c r="C104" s="833" t="s">
        <v>1128</v>
      </c>
      <c r="D104" s="1543"/>
      <c r="E104" s="1543"/>
      <c r="F104" s="1543"/>
      <c r="G104" s="1543"/>
      <c r="H104" s="7"/>
      <c r="I104" s="7"/>
      <c r="J104" s="274"/>
      <c r="K104" s="7"/>
      <c r="L104" s="7"/>
      <c r="M104" s="7"/>
    </row>
    <row r="105" spans="1:13" ht="30" customHeight="1" thickBot="1" x14ac:dyDescent="0.25">
      <c r="B105" s="818" t="s">
        <v>1115</v>
      </c>
      <c r="C105" s="813" t="s">
        <v>1946</v>
      </c>
      <c r="D105" s="325"/>
      <c r="E105" s="325"/>
      <c r="F105" s="325"/>
      <c r="G105" s="905">
        <f>IF((GT10HA=1),G106, (AVERAGE(SoilTex3, SoilOrgPct, Salin3) + AVERAGE(WatProb, SatPct3, Algae3, Fluctu3, DomDepth3)) / 2)</f>
        <v>0</v>
      </c>
      <c r="H105" s="7"/>
      <c r="I105" s="7"/>
      <c r="J105" s="214"/>
      <c r="K105" s="154"/>
      <c r="L105" s="7"/>
      <c r="M105" s="7"/>
    </row>
    <row r="106" spans="1:13" ht="30" customHeight="1" thickBot="1" x14ac:dyDescent="0.25">
      <c r="B106" s="819" t="s">
        <v>1116</v>
      </c>
      <c r="C106" s="737" t="s">
        <v>1944</v>
      </c>
      <c r="D106" s="327"/>
      <c r="E106" s="327"/>
      <c r="F106" s="327"/>
      <c r="G106" s="738">
        <f>(AVERAGE(SoilTex_PR, SoilOrgPct, Salin3) + AVERAGE(WatProb, SatPct3, Algae3, Fluctu3, DomDepth3)) / 2</f>
        <v>0</v>
      </c>
      <c r="H106" s="7"/>
      <c r="I106" s="7"/>
      <c r="J106" s="214"/>
      <c r="K106" s="154"/>
      <c r="L106" s="7"/>
      <c r="M106" s="7"/>
    </row>
    <row r="107" spans="1:13" ht="21" customHeight="1" thickBot="1" x14ac:dyDescent="0.25">
      <c r="B107" s="1515"/>
      <c r="D107" s="1437"/>
      <c r="E107" s="1437"/>
      <c r="F107" s="1437"/>
      <c r="G107" s="1437"/>
      <c r="H107" s="7"/>
      <c r="I107" s="7"/>
      <c r="J107" s="213"/>
      <c r="K107" s="7"/>
      <c r="L107" s="7"/>
      <c r="M107" s="7"/>
    </row>
    <row r="108" spans="1:13" ht="21" customHeight="1" thickBot="1" x14ac:dyDescent="0.25">
      <c r="B108" s="1517"/>
      <c r="C108" s="833" t="s">
        <v>1129</v>
      </c>
      <c r="D108" s="734"/>
      <c r="E108" s="734"/>
      <c r="F108" s="734"/>
      <c r="G108" s="734"/>
      <c r="H108" s="7"/>
      <c r="I108" s="7"/>
      <c r="J108" s="213"/>
      <c r="K108" s="7"/>
      <c r="L108" s="7"/>
      <c r="M108" s="7"/>
    </row>
    <row r="109" spans="1:13" ht="40.5" customHeight="1" thickBot="1" x14ac:dyDescent="0.25">
      <c r="B109" s="818" t="s">
        <v>1115</v>
      </c>
      <c r="C109" s="813" t="s">
        <v>1947</v>
      </c>
      <c r="D109" s="325"/>
      <c r="E109" s="325"/>
      <c r="F109" s="325"/>
      <c r="G109" s="530">
        <f>IF((GT10HA=1),G110,(AVERAGE(OpenWpct3, Interspers3, WetVegArea) + AVERAGE(1-Sub0Days, CApctB3, Persis3, Lake3, VegWabs3, ThruFlo3, Constric3, Gradient3, Gcover3, Girreg3, SoilAlt3)) / 2)</f>
        <v>0.1111111111111111</v>
      </c>
      <c r="H109" s="7"/>
      <c r="I109" s="7"/>
      <c r="J109" s="213"/>
      <c r="K109" s="7"/>
      <c r="L109" s="7"/>
      <c r="M109" s="7"/>
    </row>
    <row r="110" spans="1:13" ht="29.25" customHeight="1" thickBot="1" x14ac:dyDescent="0.25">
      <c r="B110" s="819" t="s">
        <v>1116</v>
      </c>
      <c r="C110" s="737" t="s">
        <v>1948</v>
      </c>
      <c r="D110" s="327"/>
      <c r="E110" s="327"/>
      <c r="F110" s="327"/>
      <c r="G110" s="781">
        <f>(AVERAGE(1-OWpct, MixWaterVeg, WetVegArea) + AVERAGE(1-Sub0Days, CApctB3, Persis3, Lake3, VegWabs3, ThruFlo3, Constric3, Gradient3, Gcover3, Girreg3, SoilAlt3)) / 2</f>
        <v>0.61111111111111116</v>
      </c>
      <c r="H110" s="7"/>
      <c r="I110" s="7"/>
      <c r="J110" s="213"/>
      <c r="K110" s="7"/>
      <c r="L110" s="7"/>
      <c r="M110" s="7"/>
    </row>
    <row r="111" spans="1:13" ht="21" customHeight="1" thickBot="1" x14ac:dyDescent="0.25">
      <c r="B111" s="1515"/>
      <c r="D111" s="1437"/>
      <c r="E111" s="1437"/>
      <c r="F111" s="1437"/>
      <c r="G111" s="1437"/>
      <c r="H111" s="7"/>
      <c r="I111" s="7"/>
      <c r="J111" s="213"/>
      <c r="K111" s="7"/>
      <c r="L111" s="7"/>
      <c r="M111" s="7"/>
    </row>
    <row r="112" spans="1:13" ht="21" customHeight="1" thickBot="1" x14ac:dyDescent="0.25">
      <c r="B112" s="7"/>
      <c r="C112" s="833" t="s">
        <v>1123</v>
      </c>
      <c r="D112" s="734"/>
      <c r="E112" s="734"/>
      <c r="F112" s="734"/>
      <c r="G112" s="734"/>
      <c r="H112" s="7"/>
      <c r="I112" s="7"/>
      <c r="J112" s="213"/>
      <c r="K112" s="7"/>
      <c r="L112" s="7"/>
      <c r="M112" s="7"/>
    </row>
    <row r="113" spans="1:13" ht="21" customHeight="1" thickBot="1" x14ac:dyDescent="0.25">
      <c r="B113" s="7"/>
      <c r="C113" s="107" t="s">
        <v>257</v>
      </c>
      <c r="D113" s="420"/>
      <c r="E113" s="420"/>
      <c r="F113" s="420"/>
      <c r="G113" s="905">
        <f>OutDura3</f>
        <v>0</v>
      </c>
      <c r="H113" s="7"/>
      <c r="I113" s="7"/>
      <c r="J113" s="213"/>
      <c r="K113" s="7"/>
      <c r="L113" s="7"/>
      <c r="M113" s="7"/>
    </row>
    <row r="114" spans="1:13" ht="21" customHeight="1" thickBot="1" x14ac:dyDescent="0.25">
      <c r="B114" s="7"/>
      <c r="D114" s="1437"/>
      <c r="E114" s="1437"/>
      <c r="F114" s="1437"/>
      <c r="G114" s="1437"/>
      <c r="H114" s="7"/>
      <c r="I114" s="7"/>
      <c r="J114" s="213"/>
      <c r="K114" s="7"/>
      <c r="L114" s="7"/>
      <c r="M114" s="7"/>
    </row>
    <row r="115" spans="1:13" ht="21" customHeight="1" thickBot="1" x14ac:dyDescent="0.25">
      <c r="B115" s="7"/>
      <c r="C115" s="1641" t="s">
        <v>1339</v>
      </c>
      <c r="D115" s="39"/>
      <c r="E115" s="39"/>
      <c r="F115" s="39"/>
      <c r="G115" s="39"/>
      <c r="H115" s="7"/>
      <c r="I115" s="7"/>
      <c r="J115" s="213"/>
      <c r="K115" s="7"/>
      <c r="L115" s="7"/>
      <c r="M115" s="7"/>
    </row>
    <row r="116" spans="1:13" ht="21" customHeight="1" thickBot="1" x14ac:dyDescent="0.25">
      <c r="B116" s="7"/>
      <c r="C116" s="903" t="s">
        <v>662</v>
      </c>
      <c r="D116" s="734"/>
      <c r="E116" s="734"/>
      <c r="F116" s="734"/>
      <c r="G116" s="734"/>
      <c r="H116" s="7"/>
      <c r="I116" s="7"/>
      <c r="J116" s="213"/>
      <c r="K116" s="7"/>
      <c r="L116" s="7"/>
      <c r="M116" s="7"/>
    </row>
    <row r="117" spans="1:13" ht="21" customHeight="1" thickBot="1" x14ac:dyDescent="0.25">
      <c r="B117" s="7"/>
      <c r="C117" s="107" t="s">
        <v>2180</v>
      </c>
      <c r="D117" s="420"/>
      <c r="E117" s="420"/>
      <c r="F117" s="420"/>
      <c r="G117" s="1631">
        <f>IF((OutNone + OutNone1&gt;0),10, 10*AVERAGE(ADSORB1A, SEDTRAP1A, OutDura3))</f>
        <v>0.37037037037037035</v>
      </c>
      <c r="H117" s="7"/>
      <c r="I117" s="1517"/>
      <c r="J117" s="213"/>
      <c r="K117" s="7"/>
      <c r="L117" s="7"/>
      <c r="M117" s="7"/>
    </row>
    <row r="118" spans="1:13" s="44" customFormat="1" ht="21" customHeight="1" thickBot="1" x14ac:dyDescent="0.25">
      <c r="A118" s="39"/>
      <c r="B118" s="7"/>
      <c r="C118" s="154"/>
      <c r="D118" s="1450"/>
      <c r="E118" s="1450"/>
      <c r="F118" s="1450"/>
      <c r="G118" s="1450"/>
      <c r="H118" s="1451"/>
      <c r="I118" s="74" t="s">
        <v>357</v>
      </c>
      <c r="J118" s="213"/>
      <c r="K118" s="8"/>
      <c r="L118" s="8"/>
      <c r="M118" s="8"/>
    </row>
    <row r="119" spans="1:13" s="42" customFormat="1" ht="42" customHeight="1" thickBot="1" x14ac:dyDescent="0.25">
      <c r="A119" s="1545"/>
      <c r="B119" s="1545"/>
      <c r="C119" s="1524" t="s">
        <v>1336</v>
      </c>
      <c r="D119" s="1550"/>
      <c r="E119" s="1450"/>
      <c r="F119" s="1450"/>
      <c r="G119" s="1450"/>
      <c r="H119" s="1451"/>
      <c r="I119" s="188" t="s">
        <v>1135</v>
      </c>
      <c r="J119" s="213"/>
      <c r="K119" s="154"/>
      <c r="L119" s="154"/>
      <c r="M119" s="154"/>
    </row>
    <row r="120" spans="1:13" ht="42" customHeight="1" x14ac:dyDescent="0.2">
      <c r="A120" s="1545"/>
      <c r="B120" s="1525">
        <v>1</v>
      </c>
      <c r="C120" s="1526" t="s">
        <v>1212</v>
      </c>
      <c r="D120" s="1527">
        <f>IF((ChannConn+RipFloodpl=0), 10, "")</f>
        <v>10</v>
      </c>
      <c r="E120" s="1478" t="s">
        <v>507</v>
      </c>
      <c r="F120" s="1478"/>
      <c r="G120" s="1478"/>
      <c r="H120" s="1479"/>
      <c r="I120" s="97" t="s">
        <v>392</v>
      </c>
      <c r="J120" s="215"/>
    </row>
    <row r="121" spans="1:13" ht="39.75" customHeight="1" x14ac:dyDescent="0.2">
      <c r="A121" s="1545"/>
      <c r="B121" s="1525">
        <v>2</v>
      </c>
      <c r="C121" s="1526" t="s">
        <v>1213</v>
      </c>
      <c r="D121" s="1529"/>
      <c r="E121" s="1478"/>
      <c r="F121" s="1478"/>
      <c r="G121" s="1478"/>
      <c r="H121" s="1479"/>
      <c r="I121" s="86" t="s">
        <v>393</v>
      </c>
      <c r="J121" s="215"/>
    </row>
    <row r="122" spans="1:13" ht="42" customHeight="1" x14ac:dyDescent="0.2">
      <c r="A122" s="1545"/>
      <c r="B122" s="1525" t="s">
        <v>1217</v>
      </c>
      <c r="C122" s="1526" t="s">
        <v>1943</v>
      </c>
      <c r="D122" s="1529">
        <f>IFERROR(AVERAGE(1-OWpct, MixWaterVeg, WetVegArea),"")</f>
        <v>1</v>
      </c>
      <c r="E122" s="1478"/>
      <c r="F122" s="1478"/>
      <c r="G122" s="1478"/>
      <c r="H122" s="1479"/>
      <c r="I122" s="86" t="s">
        <v>377</v>
      </c>
      <c r="J122" s="215"/>
    </row>
    <row r="123" spans="1:13" ht="42" customHeight="1" x14ac:dyDescent="0.2">
      <c r="A123" s="1545"/>
      <c r="B123" s="1525" t="s">
        <v>1218</v>
      </c>
      <c r="C123" s="1526" t="s">
        <v>1223</v>
      </c>
      <c r="D123" s="1529" t="str">
        <f>IFERROR(AVERAGE(SoilTex_PR, SoilOrgPct),"")</f>
        <v/>
      </c>
      <c r="E123" s="1478"/>
      <c r="F123" s="1478"/>
      <c r="G123" s="1478"/>
      <c r="H123" s="1479"/>
      <c r="I123" s="86" t="s">
        <v>394</v>
      </c>
      <c r="J123" s="215"/>
    </row>
    <row r="124" spans="1:13" ht="42" customHeight="1" x14ac:dyDescent="0.2">
      <c r="A124" s="1545"/>
      <c r="B124" s="1526">
        <v>3</v>
      </c>
      <c r="C124" s="1526" t="s">
        <v>1219</v>
      </c>
      <c r="D124" s="1529">
        <f>IF((D120=10),10, 10*AVERAGE(WatProb,Sub0Days,D122,D123))</f>
        <v>10</v>
      </c>
      <c r="E124" s="1478"/>
      <c r="F124" s="1478"/>
      <c r="G124" s="1478"/>
      <c r="H124" s="1479"/>
      <c r="I124" s="86" t="s">
        <v>934</v>
      </c>
      <c r="J124" s="215"/>
    </row>
    <row r="125" spans="1:13" s="42" customFormat="1" ht="42" customHeight="1" x14ac:dyDescent="0.2">
      <c r="A125" s="1545"/>
      <c r="B125" s="1551"/>
      <c r="C125" s="1552"/>
      <c r="D125" s="1529"/>
      <c r="E125" s="1478"/>
      <c r="F125" s="1478"/>
      <c r="G125" s="1478"/>
      <c r="H125" s="1479"/>
      <c r="I125" s="85" t="s">
        <v>395</v>
      </c>
      <c r="J125" s="215"/>
    </row>
    <row r="126" spans="1:13" s="42" customFormat="1" ht="30" customHeight="1" x14ac:dyDescent="0.2">
      <c r="A126" s="1545"/>
      <c r="B126" s="1551"/>
      <c r="C126" s="1537" t="s">
        <v>1329</v>
      </c>
      <c r="D126" s="1529"/>
      <c r="E126" s="1478"/>
      <c r="F126" s="1478"/>
      <c r="G126" s="1478"/>
      <c r="H126" s="1479"/>
      <c r="I126" s="85" t="s">
        <v>396</v>
      </c>
      <c r="J126" s="215"/>
    </row>
    <row r="127" spans="1:13" s="42" customFormat="1" ht="30" customHeight="1" x14ac:dyDescent="0.2">
      <c r="A127" s="1545"/>
      <c r="B127" s="1525">
        <v>1</v>
      </c>
      <c r="C127" s="1526" t="s">
        <v>1744</v>
      </c>
      <c r="D127" s="1527" t="str">
        <f>IF((OutNone+OutNone1&gt;0), 10, "")</f>
        <v/>
      </c>
      <c r="E127" s="1478"/>
      <c r="F127" s="1478"/>
      <c r="G127" s="1478"/>
      <c r="H127" s="1479"/>
      <c r="I127" s="189" t="s">
        <v>1134</v>
      </c>
      <c r="J127" s="215"/>
    </row>
    <row r="128" spans="1:13" s="42" customFormat="1" ht="42" customHeight="1" x14ac:dyDescent="0.2">
      <c r="A128" s="1545"/>
      <c r="B128" s="1525">
        <v>2</v>
      </c>
      <c r="C128" s="1526" t="s">
        <v>1213</v>
      </c>
      <c r="D128" s="1529"/>
      <c r="E128" s="1478"/>
      <c r="F128" s="1478"/>
      <c r="G128" s="1478"/>
      <c r="H128" s="1479"/>
      <c r="I128" s="86" t="s">
        <v>397</v>
      </c>
      <c r="J128" s="215"/>
    </row>
    <row r="129" spans="1:10" s="42" customFormat="1" ht="41.25" customHeight="1" x14ac:dyDescent="0.2">
      <c r="A129" s="1545"/>
      <c r="B129" s="1525" t="s">
        <v>1217</v>
      </c>
      <c r="C129" s="1526" t="s">
        <v>1941</v>
      </c>
      <c r="D129" s="1529">
        <f>IFERROR(AVERAGE(OpenWpct3, Interspers3, WetVegArea),"")</f>
        <v>0</v>
      </c>
      <c r="E129" s="1478"/>
      <c r="F129" s="1478"/>
      <c r="G129" s="1478"/>
      <c r="H129" s="1479"/>
      <c r="I129" s="86" t="s">
        <v>935</v>
      </c>
      <c r="J129" s="215"/>
    </row>
    <row r="130" spans="1:10" s="42" customFormat="1" ht="54" customHeight="1" x14ac:dyDescent="0.2">
      <c r="A130" s="1545"/>
      <c r="B130" s="1525" t="s">
        <v>1218</v>
      </c>
      <c r="C130" s="1526" t="s">
        <v>1942</v>
      </c>
      <c r="D130" s="1529">
        <f>IFERROR(AVERAGE(SoilTex3, SoilOrgPct),"")</f>
        <v>0</v>
      </c>
      <c r="E130" s="1478"/>
      <c r="F130" s="1478"/>
      <c r="G130" s="1478"/>
      <c r="H130" s="1479"/>
      <c r="I130" s="86" t="s">
        <v>936</v>
      </c>
      <c r="J130" s="215"/>
    </row>
    <row r="131" spans="1:10" s="42" customFormat="1" ht="42.75" customHeight="1" x14ac:dyDescent="0.2">
      <c r="A131" s="1545"/>
      <c r="B131" s="1526">
        <v>3</v>
      </c>
      <c r="C131" s="1526" t="s">
        <v>1414</v>
      </c>
      <c r="D131" s="1529">
        <f>IF((D127=10),10, 10*AVERAGE(WatProb, (1-Sub0Days),D129,D130))</f>
        <v>3.333333333333333</v>
      </c>
      <c r="E131" s="1478"/>
      <c r="F131" s="1478"/>
      <c r="G131" s="1478"/>
      <c r="H131" s="1479"/>
      <c r="I131" s="86" t="s">
        <v>398</v>
      </c>
      <c r="J131" s="215"/>
    </row>
    <row r="132" spans="1:10" s="42" customFormat="1" ht="42" customHeight="1" x14ac:dyDescent="0.2">
      <c r="H132" s="1549"/>
      <c r="I132" s="86" t="s">
        <v>383</v>
      </c>
      <c r="J132" s="215"/>
    </row>
    <row r="133" spans="1:10" ht="42" customHeight="1" x14ac:dyDescent="0.2">
      <c r="A133" s="42"/>
      <c r="B133" s="42"/>
      <c r="C133" s="42"/>
      <c r="D133" s="42"/>
      <c r="E133" s="42"/>
      <c r="F133" s="42"/>
      <c r="G133" s="42"/>
      <c r="H133" s="1549"/>
      <c r="I133" s="86" t="s">
        <v>384</v>
      </c>
      <c r="J133" s="215"/>
    </row>
    <row r="134" spans="1:10" ht="57.75" customHeight="1" x14ac:dyDescent="0.2">
      <c r="A134" s="42"/>
      <c r="B134" s="42"/>
      <c r="C134" s="42"/>
      <c r="D134" s="42"/>
      <c r="E134" s="42"/>
      <c r="F134" s="42"/>
      <c r="G134" s="42"/>
      <c r="H134" s="1549"/>
      <c r="I134" s="86" t="s">
        <v>399</v>
      </c>
      <c r="J134" s="215"/>
    </row>
    <row r="135" spans="1:10" ht="54.75" customHeight="1" x14ac:dyDescent="0.2">
      <c r="A135" s="42"/>
      <c r="B135" s="42"/>
      <c r="C135" s="42"/>
      <c r="D135" s="42"/>
      <c r="E135" s="42"/>
      <c r="F135" s="42"/>
      <c r="G135" s="42"/>
      <c r="H135" s="1549"/>
      <c r="I135" s="86" t="s">
        <v>400</v>
      </c>
      <c r="J135" s="215"/>
    </row>
    <row r="136" spans="1:10" ht="39.75" customHeight="1" x14ac:dyDescent="0.2">
      <c r="A136" s="42"/>
      <c r="B136" s="42"/>
      <c r="C136" s="42"/>
      <c r="D136" s="42"/>
      <c r="E136" s="42"/>
      <c r="F136" s="42"/>
      <c r="G136" s="42"/>
      <c r="H136" s="1549"/>
      <c r="I136" s="86" t="s">
        <v>401</v>
      </c>
      <c r="J136" s="215"/>
    </row>
    <row r="137" spans="1:10" ht="30" customHeight="1" x14ac:dyDescent="0.2">
      <c r="A137" s="42"/>
      <c r="B137" s="42"/>
      <c r="C137" s="42"/>
      <c r="D137" s="42"/>
      <c r="E137" s="42"/>
      <c r="F137" s="42"/>
      <c r="G137" s="42"/>
      <c r="H137" s="1549"/>
      <c r="I137" s="85" t="s">
        <v>402</v>
      </c>
      <c r="J137" s="215"/>
    </row>
    <row r="138" spans="1:10" ht="53.25" customHeight="1" x14ac:dyDescent="0.2">
      <c r="A138" s="42"/>
      <c r="B138" s="42"/>
      <c r="C138" s="42"/>
      <c r="D138" s="42"/>
      <c r="E138" s="42"/>
      <c r="F138" s="42"/>
      <c r="G138" s="42"/>
      <c r="H138" s="1549"/>
      <c r="I138" s="86" t="s">
        <v>403</v>
      </c>
    </row>
    <row r="139" spans="1:10" ht="42" customHeight="1" x14ac:dyDescent="0.2">
      <c r="A139" s="42"/>
      <c r="B139" s="42"/>
      <c r="C139" s="42"/>
      <c r="D139" s="42"/>
      <c r="E139" s="42"/>
      <c r="F139" s="42"/>
      <c r="G139" s="42"/>
      <c r="H139" s="1549"/>
      <c r="I139" s="86" t="s">
        <v>404</v>
      </c>
    </row>
    <row r="140" spans="1:10" ht="42" customHeight="1" thickBot="1" x14ac:dyDescent="0.25">
      <c r="A140" s="42"/>
      <c r="B140" s="42"/>
      <c r="C140" s="42"/>
      <c r="D140" s="42"/>
      <c r="E140" s="42"/>
      <c r="F140" s="42"/>
      <c r="G140" s="42"/>
      <c r="H140" s="1549"/>
      <c r="I140" s="98" t="s">
        <v>390</v>
      </c>
    </row>
  </sheetData>
  <sheetProtection password="C4B9" sheet="1" objects="1" scenarios="1"/>
  <sortState ref="A3:K10">
    <sortCondition ref="H3:H10"/>
  </sortState>
  <customSheetViews>
    <customSheetView guid="{B8E02330-2419-4DE6-AD01-7ACC7A5D18DD}" scale="75">
      <selection activeCell="H167" sqref="A2:H167"/>
      <pageMargins left="0.75" right="0.75" top="1" bottom="1" header="0.5" footer="0.5"/>
      <pageSetup orientation="portrait" r:id="rId1"/>
      <headerFooter alignWithMargins="0"/>
    </customSheetView>
  </customSheetViews>
  <mergeCells count="66">
    <mergeCell ref="A1:B1"/>
    <mergeCell ref="A63:A68"/>
    <mergeCell ref="B63:B68"/>
    <mergeCell ref="B57:B62"/>
    <mergeCell ref="A13:A19"/>
    <mergeCell ref="B20:B26"/>
    <mergeCell ref="B28:B32"/>
    <mergeCell ref="A20:A26"/>
    <mergeCell ref="A28:A32"/>
    <mergeCell ref="A39:A45"/>
    <mergeCell ref="B39:B45"/>
    <mergeCell ref="A52:A55"/>
    <mergeCell ref="B52:B55"/>
    <mergeCell ref="A46:A51"/>
    <mergeCell ref="B46:B51"/>
    <mergeCell ref="I92:I96"/>
    <mergeCell ref="I87:I91"/>
    <mergeCell ref="I57:I62"/>
    <mergeCell ref="A83:A86"/>
    <mergeCell ref="B87:B91"/>
    <mergeCell ref="A92:A96"/>
    <mergeCell ref="A73:A77"/>
    <mergeCell ref="B73:B77"/>
    <mergeCell ref="I69:I72"/>
    <mergeCell ref="I63:I68"/>
    <mergeCell ref="I73:I77"/>
    <mergeCell ref="I78:I82"/>
    <mergeCell ref="B83:B86"/>
    <mergeCell ref="B78:B82"/>
    <mergeCell ref="I83:I86"/>
    <mergeCell ref="A69:A72"/>
    <mergeCell ref="I46:I51"/>
    <mergeCell ref="H46:H51"/>
    <mergeCell ref="H39:H45"/>
    <mergeCell ref="H52:H55"/>
    <mergeCell ref="I52:I55"/>
    <mergeCell ref="I39:I45"/>
    <mergeCell ref="B97:B101"/>
    <mergeCell ref="I97:I101"/>
    <mergeCell ref="I28:I32"/>
    <mergeCell ref="A97:A101"/>
    <mergeCell ref="B13:B19"/>
    <mergeCell ref="A33:A38"/>
    <mergeCell ref="H97:H101"/>
    <mergeCell ref="H13:H19"/>
    <mergeCell ref="H20:H26"/>
    <mergeCell ref="H28:H32"/>
    <mergeCell ref="H33:H38"/>
    <mergeCell ref="I13:I19"/>
    <mergeCell ref="I20:I26"/>
    <mergeCell ref="B33:B38"/>
    <mergeCell ref="I33:I38"/>
    <mergeCell ref="H92:H96"/>
    <mergeCell ref="B69:B72"/>
    <mergeCell ref="A57:A62"/>
    <mergeCell ref="B92:B96"/>
    <mergeCell ref="A87:A91"/>
    <mergeCell ref="A78:A82"/>
    <mergeCell ref="E1:H1"/>
    <mergeCell ref="H83:H86"/>
    <mergeCell ref="H87:H91"/>
    <mergeCell ref="H57:H62"/>
    <mergeCell ref="H63:H68"/>
    <mergeCell ref="H69:H72"/>
    <mergeCell ref="H73:H77"/>
    <mergeCell ref="H78:H82"/>
  </mergeCells>
  <phoneticPr fontId="5" type="noConversion"/>
  <conditionalFormatting sqref="D91:D92 D102:D103 D54:D61 D63:D66 D68:D69 D71:D73 D75:D78 D80:D85 D87:D89 D113:D114 D105:D107 D117:D118 D109:D111 D94:D100 D41:D50 D52 D13:D18 D20 D22:D26 D28 D30:D35 D37:D39">
    <cfRule type="cellIs" dxfId="12" priority="1" operator="greaterThan">
      <formula>0</formula>
    </cfRule>
  </conditionalFormatting>
  <pageMargins left="0.75" right="0.75" top="1" bottom="1" header="0.5" footer="0.5"/>
  <pageSetup orientation="portrait"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32"/>
  <sheetViews>
    <sheetView zoomScaleNormal="100" workbookViewId="0">
      <selection activeCell="I153" sqref="I153"/>
    </sheetView>
  </sheetViews>
  <sheetFormatPr defaultColWidth="9.33203125" defaultRowHeight="12.75" x14ac:dyDescent="0.2"/>
  <cols>
    <col min="1" max="1" width="5.83203125" style="25" customWidth="1"/>
    <col min="2" max="2" width="18.83203125" style="7" customWidth="1"/>
    <col min="3" max="3" width="69.83203125" style="7" customWidth="1"/>
    <col min="4" max="4" width="6.83203125" style="507" customWidth="1"/>
    <col min="5" max="5" width="7.83203125" style="507" customWidth="1"/>
    <col min="6" max="6" width="8.33203125" style="507" customWidth="1"/>
    <col min="7" max="7" width="11" style="268" customWidth="1"/>
    <col min="8" max="8" width="13.33203125" style="159" customWidth="1"/>
    <col min="9" max="9" width="69.83203125" style="25" customWidth="1"/>
    <col min="10" max="10" width="9.33203125" style="217"/>
    <col min="11" max="11" width="52.1640625" style="7" customWidth="1"/>
    <col min="12" max="12" width="9.33203125" style="7"/>
    <col min="13" max="13" width="49.33203125" style="7" customWidth="1"/>
    <col min="14" max="16384" width="9.33203125" style="7"/>
  </cols>
  <sheetData>
    <row r="1" spans="1:11" s="79" customFormat="1" ht="77.25" customHeight="1" thickBot="1" x14ac:dyDescent="0.25">
      <c r="A1" s="2154" t="s">
        <v>2378</v>
      </c>
      <c r="B1" s="2155"/>
      <c r="C1" s="77" t="s">
        <v>1739</v>
      </c>
      <c r="D1" s="95" t="s">
        <v>664</v>
      </c>
      <c r="E1" s="2255"/>
      <c r="F1" s="2256"/>
      <c r="G1" s="2256"/>
      <c r="H1" s="2256"/>
      <c r="I1" s="823" t="s">
        <v>1434</v>
      </c>
      <c r="J1" s="222"/>
    </row>
    <row r="2" spans="1:11" s="151" customFormat="1" ht="42" customHeight="1" thickBot="1" x14ac:dyDescent="0.25">
      <c r="A2" s="1642" t="s">
        <v>110</v>
      </c>
      <c r="B2" s="1606" t="s">
        <v>1096</v>
      </c>
      <c r="C2" s="1607" t="s">
        <v>1395</v>
      </c>
      <c r="D2" s="1605"/>
      <c r="E2" s="1608"/>
      <c r="F2" s="1609"/>
      <c r="G2" s="1610" t="s">
        <v>1111</v>
      </c>
      <c r="H2" s="1611" t="s">
        <v>1108</v>
      </c>
      <c r="I2" s="1606" t="s">
        <v>304</v>
      </c>
      <c r="J2" s="258"/>
    </row>
    <row r="3" spans="1:11" s="155" customFormat="1" ht="51.75" thickBot="1" x14ac:dyDescent="0.25">
      <c r="A3" s="714" t="str">
        <f>OF!A3</f>
        <v>OF2</v>
      </c>
      <c r="B3" s="715" t="str">
        <f>OF!C3</f>
        <v>Aspect of the AA's 100m Upslope Buffer</v>
      </c>
      <c r="C3" s="960" t="s">
        <v>1396</v>
      </c>
      <c r="D3" s="716"/>
      <c r="E3" s="717"/>
      <c r="F3" s="717"/>
      <c r="G3" s="761" t="str">
        <f>IF((Aspect=""),"",1-Aspect)</f>
        <v/>
      </c>
      <c r="H3" s="975" t="s">
        <v>1298</v>
      </c>
      <c r="I3" s="974" t="s">
        <v>1724</v>
      </c>
      <c r="J3" s="221"/>
    </row>
    <row r="4" spans="1:11" s="155" customFormat="1" ht="30" customHeight="1" thickBot="1" x14ac:dyDescent="0.25">
      <c r="A4" s="709" t="str">
        <f>OF!A5</f>
        <v>OF4</v>
      </c>
      <c r="B4" s="710" t="str">
        <f>OF!C5</f>
        <v>Channel Connection</v>
      </c>
      <c r="C4" s="711"/>
      <c r="D4" s="712"/>
      <c r="E4" s="713"/>
      <c r="F4" s="713"/>
      <c r="G4" s="740" t="str">
        <f>IF((ChannConn=""),"",ChannConn)</f>
        <v/>
      </c>
      <c r="H4" s="741" t="s">
        <v>1330</v>
      </c>
      <c r="I4" s="711" t="s">
        <v>1351</v>
      </c>
      <c r="J4" s="221"/>
    </row>
    <row r="5" spans="1:11" s="155" customFormat="1" ht="30" customHeight="1" thickBot="1" x14ac:dyDescent="0.25">
      <c r="A5" s="714" t="str">
        <f>OF!A18</f>
        <v>OF17</v>
      </c>
      <c r="B5" s="715" t="str">
        <f>OF!C18</f>
        <v>Growing Degree Days</v>
      </c>
      <c r="C5" s="960"/>
      <c r="D5" s="716"/>
      <c r="E5" s="717"/>
      <c r="F5" s="717"/>
      <c r="G5" s="761" t="str">
        <f>IF((GrowDD=""),"",GrowDD)</f>
        <v/>
      </c>
      <c r="H5" s="822" t="s">
        <v>1078</v>
      </c>
      <c r="I5" s="974" t="s">
        <v>1725</v>
      </c>
      <c r="J5" s="223"/>
    </row>
    <row r="6" spans="1:11" s="155" customFormat="1" ht="30" customHeight="1" thickBot="1" x14ac:dyDescent="0.25">
      <c r="A6" s="709" t="str">
        <f>OF!A23</f>
        <v>OF22</v>
      </c>
      <c r="B6" s="710" t="str">
        <f>OF!C23</f>
        <v>L/G Index (Residence Time)</v>
      </c>
      <c r="C6" s="961"/>
      <c r="D6" s="712"/>
      <c r="E6" s="713"/>
      <c r="F6" s="713"/>
      <c r="G6" s="740" t="str">
        <f>IF((LGIndex=""),"",LGIndex)</f>
        <v/>
      </c>
      <c r="H6" s="742" t="s">
        <v>1094</v>
      </c>
      <c r="I6" s="857" t="s">
        <v>613</v>
      </c>
      <c r="J6" s="221"/>
    </row>
    <row r="7" spans="1:11" s="155" customFormat="1" ht="72" customHeight="1" thickBot="1" x14ac:dyDescent="0.25">
      <c r="A7" s="714" t="str">
        <f>OF!A28</f>
        <v>OF27</v>
      </c>
      <c r="B7" s="715" t="str">
        <f>OF!C28</f>
        <v>Interspersion Index for Internal Water &amp; Vegetation (macroscale)</v>
      </c>
      <c r="C7" s="960"/>
      <c r="D7" s="716"/>
      <c r="E7" s="717"/>
      <c r="F7" s="717"/>
      <c r="G7" s="761" t="str">
        <f>IF((MixWaterVeg=""),"",MixWaterVeg)</f>
        <v/>
      </c>
      <c r="H7" s="822" t="s">
        <v>1032</v>
      </c>
      <c r="I7" s="974" t="s">
        <v>1726</v>
      </c>
      <c r="J7" s="221"/>
      <c r="K7" s="245"/>
    </row>
    <row r="8" spans="1:11" s="155" customFormat="1" ht="72" customHeight="1" thickBot="1" x14ac:dyDescent="0.25">
      <c r="A8" s="709" t="str">
        <f>OF!A31</f>
        <v>OF30</v>
      </c>
      <c r="B8" s="710" t="str">
        <f>OF!C31</f>
        <v>% of AA that is Open Water (macro scale)</v>
      </c>
      <c r="C8" s="961" t="s">
        <v>1396</v>
      </c>
      <c r="D8" s="712"/>
      <c r="E8" s="713"/>
      <c r="F8" s="713"/>
      <c r="G8" s="740" t="str">
        <f>IF((OWpct=""),"",1-OWpct)</f>
        <v/>
      </c>
      <c r="H8" s="742" t="s">
        <v>1205</v>
      </c>
      <c r="I8" s="857" t="s">
        <v>2055</v>
      </c>
      <c r="J8" s="221"/>
      <c r="K8" s="245"/>
    </row>
    <row r="9" spans="1:11" s="155" customFormat="1" ht="57" customHeight="1" thickBot="1" x14ac:dyDescent="0.25">
      <c r="A9" s="714" t="str">
        <f>OF!A47</f>
        <v>OF46</v>
      </c>
      <c r="B9" s="715" t="str">
        <f>OF!C47</f>
        <v>Organic Soil Content (macroscale)</v>
      </c>
      <c r="C9" s="960"/>
      <c r="D9" s="716"/>
      <c r="E9" s="717"/>
      <c r="F9" s="717"/>
      <c r="G9" s="761" t="str">
        <f>IF((SoilOrgPct=""),"",SoilOrgPct)</f>
        <v/>
      </c>
      <c r="H9" s="822" t="s">
        <v>1034</v>
      </c>
      <c r="I9" s="865" t="s">
        <v>1727</v>
      </c>
      <c r="J9" s="221"/>
    </row>
    <row r="10" spans="1:11" s="155" customFormat="1" ht="30" customHeight="1" thickBot="1" x14ac:dyDescent="0.25">
      <c r="A10" s="709" t="str">
        <f>OF!A50</f>
        <v>OF49</v>
      </c>
      <c r="B10" s="710" t="str">
        <f>OF!C50</f>
        <v>Soil Texture (macroscale)</v>
      </c>
      <c r="C10" s="1761" t="s">
        <v>2199</v>
      </c>
      <c r="D10" s="915"/>
      <c r="E10" s="713"/>
      <c r="F10" s="713"/>
      <c r="G10" s="740" t="str">
        <f>IF((SoilTex_NROE=""),"",SoilTex_NROE)</f>
        <v/>
      </c>
      <c r="H10" s="742" t="s">
        <v>1399</v>
      </c>
      <c r="I10" s="857" t="s">
        <v>107</v>
      </c>
      <c r="J10" s="221"/>
    </row>
    <row r="11" spans="1:11" s="155" customFormat="1" ht="30" customHeight="1" thickBot="1" x14ac:dyDescent="0.25">
      <c r="A11" s="714" t="str">
        <f>OF!A52</f>
        <v>OF51</v>
      </c>
      <c r="B11" s="715" t="str">
        <f>OF!C52</f>
        <v>Subzero Days</v>
      </c>
      <c r="C11" s="960" t="s">
        <v>1396</v>
      </c>
      <c r="D11" s="716"/>
      <c r="E11" s="717"/>
      <c r="F11" s="717"/>
      <c r="G11" s="761" t="str">
        <f>IF((Sub0Days=""),"",1-Sub0Days)</f>
        <v/>
      </c>
      <c r="H11" s="822" t="s">
        <v>1066</v>
      </c>
      <c r="I11" s="974" t="s">
        <v>1728</v>
      </c>
      <c r="J11" s="223"/>
    </row>
    <row r="12" spans="1:11" s="155" customFormat="1" ht="30" customHeight="1" thickBot="1" x14ac:dyDescent="0.25">
      <c r="A12" s="709" t="str">
        <f>OF!A53</f>
        <v>OF52</v>
      </c>
      <c r="B12" s="710" t="str">
        <f>OF!C53</f>
        <v>Swamp + Marsh as % of the Wetland</v>
      </c>
      <c r="C12" s="961"/>
      <c r="D12" s="712"/>
      <c r="E12" s="713"/>
      <c r="F12" s="713"/>
      <c r="G12" s="740" t="str">
        <f>IF((SwampMarshPct=""),"",SwampMarshPct)</f>
        <v/>
      </c>
      <c r="H12" s="742" t="s">
        <v>1288</v>
      </c>
      <c r="I12" s="857" t="s">
        <v>1729</v>
      </c>
      <c r="J12" s="221"/>
      <c r="K12" s="245"/>
    </row>
    <row r="13" spans="1:11" s="155" customFormat="1" ht="84" customHeight="1" thickBot="1" x14ac:dyDescent="0.25">
      <c r="A13" s="714" t="str">
        <f>OF!A61</f>
        <v>OF60</v>
      </c>
      <c r="B13" s="715" t="str">
        <f>OF!C61</f>
        <v>Water Permanence Probability</v>
      </c>
      <c r="C13" s="960"/>
      <c r="D13" s="716"/>
      <c r="E13" s="717"/>
      <c r="F13" s="717"/>
      <c r="G13" s="761" t="str">
        <f>IF((WatProb=""),"",1-WatProb)</f>
        <v/>
      </c>
      <c r="H13" s="822" t="s">
        <v>1026</v>
      </c>
      <c r="I13" s="974" t="s">
        <v>1730</v>
      </c>
      <c r="J13" s="223"/>
    </row>
    <row r="14" spans="1:11" s="155" customFormat="1" ht="72" customHeight="1" thickBot="1" x14ac:dyDescent="0.25">
      <c r="A14" s="709" t="str">
        <f>OF!A70</f>
        <v>OF69</v>
      </c>
      <c r="B14" s="710" t="str">
        <f>OF!C70</f>
        <v>% of Wetland Classified as Swamp or Forested (macro scale)</v>
      </c>
      <c r="C14" s="961"/>
      <c r="D14" s="712"/>
      <c r="E14" s="713"/>
      <c r="F14" s="713"/>
      <c r="G14" s="740" t="str">
        <f>IF((WetWooded=""),"",WetWooded)</f>
        <v/>
      </c>
      <c r="H14" s="742" t="s">
        <v>1211</v>
      </c>
      <c r="I14" s="857" t="s">
        <v>1796</v>
      </c>
      <c r="J14" s="221"/>
      <c r="K14" s="245"/>
    </row>
    <row r="15" spans="1:11" s="155" customFormat="1" ht="57" customHeight="1" thickBot="1" x14ac:dyDescent="0.25">
      <c r="A15" s="671" t="str">
        <f>OF!A68</f>
        <v>OF67</v>
      </c>
      <c r="B15" s="696" t="str">
        <f>OF!C68</f>
        <v>Perimeter-Area Ratio</v>
      </c>
      <c r="C15" s="960"/>
      <c r="D15" s="716"/>
      <c r="E15" s="717"/>
      <c r="F15" s="717"/>
      <c r="G15" s="761" t="str">
        <f>IF((WetPerim2Area=""),"",WetPerim2Area)</f>
        <v/>
      </c>
      <c r="H15" s="822" t="s">
        <v>1012</v>
      </c>
      <c r="I15" s="974" t="s">
        <v>1731</v>
      </c>
      <c r="J15" s="223"/>
    </row>
    <row r="16" spans="1:11" s="2" customFormat="1" ht="42" customHeight="1" thickBot="1" x14ac:dyDescent="0.25">
      <c r="A16" s="1622" t="s">
        <v>110</v>
      </c>
      <c r="B16" s="1613" t="s">
        <v>1110</v>
      </c>
      <c r="C16" s="1623" t="s">
        <v>1109</v>
      </c>
      <c r="D16" s="1624" t="s">
        <v>45</v>
      </c>
      <c r="E16" s="1625" t="s">
        <v>2028</v>
      </c>
      <c r="F16" s="1626" t="s">
        <v>2027</v>
      </c>
      <c r="G16" s="1627" t="s">
        <v>1111</v>
      </c>
      <c r="H16" s="1628" t="s">
        <v>1108</v>
      </c>
      <c r="I16" s="1629" t="s">
        <v>1503</v>
      </c>
      <c r="J16" s="59"/>
    </row>
    <row r="17" spans="1:10" s="8" customFormat="1" ht="69" customHeight="1" thickBot="1" x14ac:dyDescent="0.25">
      <c r="A17" s="2143" t="str">
        <f>F!A6</f>
        <v>F1</v>
      </c>
      <c r="B17" s="2083" t="str">
        <f>F!B6</f>
        <v>Wetland Type - Predominant</v>
      </c>
      <c r="C17" s="826" t="str">
        <f>F!C6</f>
        <v>Most of the vegetated part of the AA (wetland Assessment Area) is a (select ONE):</v>
      </c>
      <c r="D17" s="627"/>
      <c r="E17" s="488"/>
      <c r="F17" s="489"/>
      <c r="G17" s="426">
        <f>MAX(F18:F21)/MAX(E18:E21)</f>
        <v>0</v>
      </c>
      <c r="H17" s="2087" t="s">
        <v>265</v>
      </c>
      <c r="I17" s="2105" t="s">
        <v>1778</v>
      </c>
      <c r="J17" s="208"/>
    </row>
    <row r="18" spans="1:10" s="8" customFormat="1" ht="42" customHeight="1" x14ac:dyDescent="0.2">
      <c r="A18" s="2143"/>
      <c r="B18" s="2083"/>
      <c r="C18" s="951" t="str">
        <f>F!C7</f>
        <v>Wooded Swamp</v>
      </c>
      <c r="D18" s="628">
        <f>F!D7</f>
        <v>0</v>
      </c>
      <c r="E18" s="490">
        <v>3</v>
      </c>
      <c r="F18" s="450">
        <f>D18*E18</f>
        <v>0</v>
      </c>
      <c r="G18" s="429"/>
      <c r="H18" s="2083"/>
      <c r="I18" s="2105"/>
      <c r="J18" s="208"/>
    </row>
    <row r="19" spans="1:10" s="8" customFormat="1" ht="42" customHeight="1" x14ac:dyDescent="0.2">
      <c r="A19" s="2143"/>
      <c r="B19" s="2083"/>
      <c r="C19" s="952" t="str">
        <f>F!C8</f>
        <v>Bog</v>
      </c>
      <c r="D19" s="628">
        <f>F!D8</f>
        <v>0</v>
      </c>
      <c r="E19" s="490">
        <v>4</v>
      </c>
      <c r="F19" s="450">
        <f>D19*E19</f>
        <v>0</v>
      </c>
      <c r="G19" s="430"/>
      <c r="H19" s="2083"/>
      <c r="I19" s="2105"/>
      <c r="J19" s="208"/>
    </row>
    <row r="20" spans="1:10" s="8" customFormat="1" ht="42" customHeight="1" x14ac:dyDescent="0.2">
      <c r="A20" s="2143"/>
      <c r="B20" s="2083"/>
      <c r="C20" s="952" t="str">
        <f>F!C9</f>
        <v>Fen</v>
      </c>
      <c r="D20" s="628">
        <f>F!D9</f>
        <v>0</v>
      </c>
      <c r="E20" s="490">
        <v>2</v>
      </c>
      <c r="F20" s="450">
        <f>D20*E20</f>
        <v>0</v>
      </c>
      <c r="G20" s="430"/>
      <c r="H20" s="2083"/>
      <c r="I20" s="2105"/>
      <c r="J20" s="208"/>
    </row>
    <row r="21" spans="1:10" s="8" customFormat="1" ht="42" customHeight="1" thickBot="1" x14ac:dyDescent="0.25">
      <c r="A21" s="2143"/>
      <c r="B21" s="2083"/>
      <c r="C21" s="962" t="str">
        <f>F!C10</f>
        <v>Marsh or Shallow Open Water</v>
      </c>
      <c r="D21" s="963">
        <f>F!D10</f>
        <v>0</v>
      </c>
      <c r="E21" s="964">
        <v>1</v>
      </c>
      <c r="F21" s="806">
        <f>D21*E21</f>
        <v>0</v>
      </c>
      <c r="G21" s="763"/>
      <c r="H21" s="2088"/>
      <c r="I21" s="2105"/>
      <c r="J21" s="208"/>
    </row>
    <row r="22" spans="1:10" s="8" customFormat="1" ht="39" customHeight="1" thickBot="1" x14ac:dyDescent="0.25">
      <c r="A22" s="2119" t="str">
        <f>F!A17</f>
        <v>F3</v>
      </c>
      <c r="B22" s="2077" t="str">
        <f>F!B17</f>
        <v>% Saturated Only</v>
      </c>
      <c r="C22" s="136" t="str">
        <f>F!C17</f>
        <v>The percentage of the AA that never contains surface water during an average year (that is, except perhaps for a few hours after snowmelt or rainstorms), but which is still a wetland, is:</v>
      </c>
      <c r="D22" s="804"/>
      <c r="E22" s="491"/>
      <c r="F22" s="492"/>
      <c r="G22" s="432">
        <f>MAX(F23:F28)/MAX(E23:E28)</f>
        <v>0</v>
      </c>
      <c r="H22" s="2087" t="s">
        <v>601</v>
      </c>
      <c r="I22" s="2104" t="s">
        <v>354</v>
      </c>
      <c r="J22" s="208"/>
    </row>
    <row r="23" spans="1:10" s="8" customFormat="1" ht="27" customHeight="1" x14ac:dyDescent="0.2">
      <c r="A23" s="2120"/>
      <c r="B23" s="2078"/>
      <c r="C23" s="901" t="str">
        <f>F!C18</f>
        <v>less than 1%, or &lt;0.01 hectare (about 10 m on a side) never has surface water.  In other words, all or nearly all of the AA is inundated permanently or at least seasonally.</v>
      </c>
      <c r="D23" s="965">
        <f>F!D18</f>
        <v>0</v>
      </c>
      <c r="E23" s="793">
        <v>4</v>
      </c>
      <c r="F23" s="803">
        <f t="shared" ref="F23:F28" si="0">D23*E23</f>
        <v>0</v>
      </c>
      <c r="G23" s="493"/>
      <c r="H23" s="2083"/>
      <c r="I23" s="2105"/>
      <c r="J23" s="208"/>
    </row>
    <row r="24" spans="1:10" s="8" customFormat="1" ht="15" customHeight="1" x14ac:dyDescent="0.2">
      <c r="A24" s="2120"/>
      <c r="B24" s="2078"/>
      <c r="C24" s="736" t="str">
        <f>F!C19</f>
        <v>1-25% of the AA never contains surface water.</v>
      </c>
      <c r="D24" s="965">
        <f>F!D19</f>
        <v>0</v>
      </c>
      <c r="E24" s="793">
        <v>5</v>
      </c>
      <c r="F24" s="803">
        <f t="shared" si="0"/>
        <v>0</v>
      </c>
      <c r="G24" s="493"/>
      <c r="H24" s="2083"/>
      <c r="I24" s="2105"/>
      <c r="J24" s="208"/>
    </row>
    <row r="25" spans="1:10" s="8" customFormat="1" ht="15" customHeight="1" x14ac:dyDescent="0.2">
      <c r="A25" s="2120"/>
      <c r="B25" s="2078"/>
      <c r="C25" s="736" t="str">
        <f>F!C20</f>
        <v>25-50% of the AA never contains surface water.</v>
      </c>
      <c r="D25" s="965">
        <f>F!D20</f>
        <v>0</v>
      </c>
      <c r="E25" s="793">
        <v>3</v>
      </c>
      <c r="F25" s="803">
        <f t="shared" si="0"/>
        <v>0</v>
      </c>
      <c r="G25" s="493"/>
      <c r="H25" s="2083"/>
      <c r="I25" s="2105"/>
      <c r="J25" s="208"/>
    </row>
    <row r="26" spans="1:10" s="8" customFormat="1" ht="15" customHeight="1" x14ac:dyDescent="0.2">
      <c r="A26" s="2120"/>
      <c r="B26" s="2078"/>
      <c r="C26" s="736" t="str">
        <f>F!C21</f>
        <v>50-99% of the AA never contains surface water.</v>
      </c>
      <c r="D26" s="965">
        <f>F!D21</f>
        <v>0</v>
      </c>
      <c r="E26" s="793">
        <v>2</v>
      </c>
      <c r="F26" s="803">
        <f t="shared" si="0"/>
        <v>0</v>
      </c>
      <c r="G26" s="493"/>
      <c r="H26" s="2083"/>
      <c r="I26" s="2105"/>
      <c r="J26" s="208"/>
    </row>
    <row r="27" spans="1:10" s="8" customFormat="1" ht="39.75" customHeight="1" x14ac:dyDescent="0.2">
      <c r="A27" s="2120"/>
      <c r="B27" s="2078"/>
      <c r="C27" s="736" t="str">
        <f>F!C22</f>
        <v>&gt;99% of the AA never contains surface water, except for water flowing in channels and/or in pools that occupy &lt;1% of the AA. SKIP to F26 (Channel Connection &amp; Outflow Duration)</v>
      </c>
      <c r="D27" s="965">
        <f>F!D22</f>
        <v>0</v>
      </c>
      <c r="E27" s="793">
        <v>1</v>
      </c>
      <c r="F27" s="803">
        <f t="shared" si="0"/>
        <v>0</v>
      </c>
      <c r="G27" s="493"/>
      <c r="H27" s="2083"/>
      <c r="I27" s="2105"/>
      <c r="J27" s="208"/>
    </row>
    <row r="28" spans="1:10" s="8" customFormat="1" ht="27" customHeight="1" thickBot="1" x14ac:dyDescent="0.25">
      <c r="A28" s="2121"/>
      <c r="B28" s="2079"/>
      <c r="C28" s="737" t="str">
        <f>F!C23</f>
        <v>&gt;99% of the AA never contains surface water, and AA is not intersected by channels that have flow, not even for a few days per year. SKIP to F26.</v>
      </c>
      <c r="D28" s="134">
        <f>F!D23</f>
        <v>0</v>
      </c>
      <c r="E28" s="383">
        <v>0</v>
      </c>
      <c r="F28" s="453">
        <f t="shared" si="0"/>
        <v>0</v>
      </c>
      <c r="G28" s="494"/>
      <c r="H28" s="2088"/>
      <c r="I28" s="2106"/>
      <c r="J28" s="208"/>
    </row>
    <row r="29" spans="1:10" ht="30" customHeight="1" thickBot="1" x14ac:dyDescent="0.25">
      <c r="A29" s="2143" t="str">
        <f>F!A24</f>
        <v>F4</v>
      </c>
      <c r="B29" s="2083" t="str">
        <f>F!B24</f>
        <v>% with Persistent Surface Water</v>
      </c>
      <c r="C29" s="826" t="str">
        <f>F!C24</f>
        <v>The percentage of the AA that has surface water (either ponded or flowing, either open or obscured by vegetation) during all of the growing season during most years is:</v>
      </c>
      <c r="D29" s="447"/>
      <c r="E29" s="448"/>
      <c r="F29" s="495"/>
      <c r="G29" s="426">
        <f>IF((AllSat+AllSat1&gt;0),"", MAX(F30:F35)/MAX(E30:E35))</f>
        <v>0</v>
      </c>
      <c r="H29" s="2077" t="s">
        <v>267</v>
      </c>
      <c r="I29" s="2105" t="s">
        <v>1779</v>
      </c>
      <c r="J29" s="274"/>
    </row>
    <row r="30" spans="1:10" ht="26.25" customHeight="1" x14ac:dyDescent="0.2">
      <c r="A30" s="2143"/>
      <c r="B30" s="2083"/>
      <c r="C30" s="783" t="str">
        <f>F!C25</f>
        <v>less than 1%, or &lt;0.01 hectare (whichever is less).  SKIP to F8 (% Flooded Only Seasonally).</v>
      </c>
      <c r="D30" s="456">
        <f>F!D25</f>
        <v>0</v>
      </c>
      <c r="E30" s="450">
        <v>0</v>
      </c>
      <c r="F30" s="450">
        <f t="shared" ref="F30:F35" si="1">D30*E30</f>
        <v>0</v>
      </c>
      <c r="G30" s="493"/>
      <c r="H30" s="2078"/>
      <c r="I30" s="2105"/>
      <c r="J30" s="274"/>
    </row>
    <row r="31" spans="1:10" ht="15" customHeight="1" x14ac:dyDescent="0.2">
      <c r="A31" s="2143"/>
      <c r="B31" s="2083"/>
      <c r="C31" s="784" t="str">
        <f>F!C26</f>
        <v>1-25% of the AA, and mostly in narrow channels and/or small scattered pools.</v>
      </c>
      <c r="D31" s="456">
        <f>F!D26</f>
        <v>0</v>
      </c>
      <c r="E31" s="496">
        <v>1</v>
      </c>
      <c r="F31" s="450">
        <f t="shared" si="1"/>
        <v>0</v>
      </c>
      <c r="G31" s="343"/>
      <c r="H31" s="2078"/>
      <c r="I31" s="2105"/>
      <c r="J31" s="274"/>
    </row>
    <row r="32" spans="1:10" ht="15" customHeight="1" x14ac:dyDescent="0.2">
      <c r="A32" s="2143"/>
      <c r="B32" s="2083"/>
      <c r="C32" s="784" t="str">
        <f>F!C27</f>
        <v>1-25% of the AA, and mostly in a single large pool, pond, and/or channel.</v>
      </c>
      <c r="D32" s="456">
        <f>F!D27</f>
        <v>0</v>
      </c>
      <c r="E32" s="496">
        <v>1</v>
      </c>
      <c r="F32" s="450">
        <f t="shared" si="1"/>
        <v>0</v>
      </c>
      <c r="G32" s="343"/>
      <c r="H32" s="2078"/>
      <c r="I32" s="2105"/>
      <c r="J32" s="274"/>
    </row>
    <row r="33" spans="1:10" ht="15" customHeight="1" x14ac:dyDescent="0.2">
      <c r="A33" s="2143"/>
      <c r="B33" s="2083"/>
      <c r="C33" s="784" t="str">
        <f>F!C28</f>
        <v>25-50% of the AA</v>
      </c>
      <c r="D33" s="456">
        <f>F!D28</f>
        <v>0</v>
      </c>
      <c r="E33" s="496">
        <v>3</v>
      </c>
      <c r="F33" s="450">
        <f t="shared" si="1"/>
        <v>0</v>
      </c>
      <c r="G33" s="493"/>
      <c r="H33" s="2078"/>
      <c r="I33" s="2105"/>
      <c r="J33" s="274"/>
    </row>
    <row r="34" spans="1:10" ht="15" customHeight="1" x14ac:dyDescent="0.2">
      <c r="A34" s="2143"/>
      <c r="B34" s="2083"/>
      <c r="C34" s="784" t="str">
        <f>F!C29</f>
        <v>50-95% of the AA</v>
      </c>
      <c r="D34" s="456">
        <f>F!D29</f>
        <v>0</v>
      </c>
      <c r="E34" s="496">
        <v>2</v>
      </c>
      <c r="F34" s="450">
        <f t="shared" si="1"/>
        <v>0</v>
      </c>
      <c r="G34" s="493"/>
      <c r="H34" s="2078"/>
      <c r="I34" s="2105"/>
      <c r="J34" s="274"/>
    </row>
    <row r="35" spans="1:10" ht="15" customHeight="1" thickBot="1" x14ac:dyDescent="0.25">
      <c r="A35" s="2143"/>
      <c r="B35" s="2083"/>
      <c r="C35" s="784" t="str">
        <f>F!C30</f>
        <v>&gt;95% of the AA</v>
      </c>
      <c r="D35" s="809">
        <f>F!D30</f>
        <v>0</v>
      </c>
      <c r="E35" s="966">
        <v>2</v>
      </c>
      <c r="F35" s="806">
        <f t="shared" si="1"/>
        <v>0</v>
      </c>
      <c r="G35" s="967"/>
      <c r="H35" s="2079"/>
      <c r="I35" s="2105"/>
      <c r="J35" s="274"/>
    </row>
    <row r="36" spans="1:10" s="8" customFormat="1" ht="30" customHeight="1" thickBot="1" x14ac:dyDescent="0.25">
      <c r="A36" s="2119" t="str">
        <f>F!A39</f>
        <v>F8</v>
      </c>
      <c r="B36" s="2077" t="str">
        <f>F!B39</f>
        <v>% Flooded Only Seasonally</v>
      </c>
      <c r="C36" s="136" t="str">
        <f>F!C39</f>
        <v>The percentage of the AA that is covered by surface water only during the wettest time of year (and for &gt;2 consecutive days during that time) is:</v>
      </c>
      <c r="D36" s="798"/>
      <c r="E36" s="802"/>
      <c r="F36" s="498"/>
      <c r="G36" s="432">
        <f>IF((AllSat+AllSat1&gt;0),"",MAX(F37:F41)/MAX(E37:E41))</f>
        <v>0</v>
      </c>
      <c r="H36" s="2087" t="s">
        <v>266</v>
      </c>
      <c r="I36" s="2104" t="s">
        <v>1780</v>
      </c>
      <c r="J36" s="208"/>
    </row>
    <row r="37" spans="1:10" s="8" customFormat="1" ht="15" customHeight="1" x14ac:dyDescent="0.2">
      <c r="A37" s="2120"/>
      <c r="B37" s="2078"/>
      <c r="C37" s="783" t="str">
        <f>F!C40</f>
        <v xml:space="preserve">&lt;1%. </v>
      </c>
      <c r="D37" s="968">
        <f>F!D40</f>
        <v>0</v>
      </c>
      <c r="E37" s="969">
        <v>0</v>
      </c>
      <c r="F37" s="803">
        <f>D37*E37</f>
        <v>0</v>
      </c>
      <c r="G37" s="343"/>
      <c r="H37" s="2083"/>
      <c r="I37" s="2105"/>
      <c r="J37" s="208"/>
    </row>
    <row r="38" spans="1:10" s="8" customFormat="1" ht="15" customHeight="1" x14ac:dyDescent="0.2">
      <c r="A38" s="2120"/>
      <c r="B38" s="2078"/>
      <c r="C38" s="784" t="str">
        <f>F!C41</f>
        <v xml:space="preserve">1-25% </v>
      </c>
      <c r="D38" s="968">
        <f>F!D41</f>
        <v>0</v>
      </c>
      <c r="E38" s="969">
        <v>1</v>
      </c>
      <c r="F38" s="803">
        <f>D38*E38</f>
        <v>0</v>
      </c>
      <c r="G38" s="493"/>
      <c r="H38" s="2083"/>
      <c r="I38" s="2105"/>
      <c r="J38" s="208"/>
    </row>
    <row r="39" spans="1:10" s="8" customFormat="1" ht="15" customHeight="1" x14ac:dyDescent="0.2">
      <c r="A39" s="2120"/>
      <c r="B39" s="2078"/>
      <c r="C39" s="784" t="str">
        <f>F!C42</f>
        <v xml:space="preserve">25-50% </v>
      </c>
      <c r="D39" s="968">
        <f>F!D42</f>
        <v>0</v>
      </c>
      <c r="E39" s="969">
        <v>2</v>
      </c>
      <c r="F39" s="803">
        <f>D39*E39</f>
        <v>0</v>
      </c>
      <c r="G39" s="493"/>
      <c r="H39" s="2083"/>
      <c r="I39" s="2105"/>
      <c r="J39" s="208"/>
    </row>
    <row r="40" spans="1:10" s="8" customFormat="1" ht="15" customHeight="1" x14ac:dyDescent="0.2">
      <c r="A40" s="2120"/>
      <c r="B40" s="2078"/>
      <c r="C40" s="784" t="str">
        <f>F!C43</f>
        <v xml:space="preserve">50-95% </v>
      </c>
      <c r="D40" s="968">
        <f>F!D43</f>
        <v>0</v>
      </c>
      <c r="E40" s="969">
        <v>3</v>
      </c>
      <c r="F40" s="803">
        <f>D40*E40</f>
        <v>0</v>
      </c>
      <c r="G40" s="493"/>
      <c r="H40" s="2083"/>
      <c r="I40" s="2105"/>
      <c r="J40" s="208"/>
    </row>
    <row r="41" spans="1:10" ht="15" customHeight="1" thickBot="1" x14ac:dyDescent="0.25">
      <c r="A41" s="2121"/>
      <c r="B41" s="2079"/>
      <c r="C41" s="106" t="str">
        <f>F!C44</f>
        <v xml:space="preserve">&gt;95% </v>
      </c>
      <c r="D41" s="300">
        <f>F!D44</f>
        <v>0</v>
      </c>
      <c r="E41" s="499">
        <v>4</v>
      </c>
      <c r="F41" s="453">
        <f>D41*E41</f>
        <v>0</v>
      </c>
      <c r="G41" s="494"/>
      <c r="H41" s="2088"/>
      <c r="I41" s="2106"/>
      <c r="J41" s="274"/>
    </row>
    <row r="42" spans="1:10" s="8" customFormat="1" ht="30" customHeight="1" thickBot="1" x14ac:dyDescent="0.25">
      <c r="A42" s="2226" t="str">
        <f>F!A45</f>
        <v>F9</v>
      </c>
      <c r="B42" s="2080" t="str">
        <f>F!B45</f>
        <v>Annual Water Fluctuation Range</v>
      </c>
      <c r="C42" s="827" t="str">
        <f>F!C45</f>
        <v>The annual fluctuation in surface water level within most of the parts of the AA that contain surface water is:</v>
      </c>
      <c r="D42" s="447"/>
      <c r="E42" s="448"/>
      <c r="F42" s="495"/>
      <c r="G42" s="500">
        <f>IF((AllSat+AllSat1&gt;0),"", IF((NoSeasonal=1),"",MAX(F43:F46)/MAX(E43:E46)))</f>
        <v>0</v>
      </c>
      <c r="H42" s="2087" t="s">
        <v>268</v>
      </c>
      <c r="I42" s="2105" t="s">
        <v>1781</v>
      </c>
      <c r="J42" s="208"/>
    </row>
    <row r="43" spans="1:10" s="8" customFormat="1" ht="15" customHeight="1" x14ac:dyDescent="0.2">
      <c r="A43" s="2227"/>
      <c r="B43" s="2229"/>
      <c r="C43" s="901" t="str">
        <f>F!C46</f>
        <v xml:space="preserve">&lt;10 cm change (stable) </v>
      </c>
      <c r="D43" s="124">
        <f>F!D46</f>
        <v>0</v>
      </c>
      <c r="E43" s="496">
        <v>0</v>
      </c>
      <c r="F43" s="450">
        <f>D43*E43</f>
        <v>0</v>
      </c>
      <c r="G43" s="343"/>
      <c r="H43" s="2083"/>
      <c r="I43" s="2105"/>
      <c r="J43" s="208"/>
    </row>
    <row r="44" spans="1:10" s="8" customFormat="1" ht="15" customHeight="1" x14ac:dyDescent="0.2">
      <c r="A44" s="2227"/>
      <c r="B44" s="2229"/>
      <c r="C44" s="736" t="str">
        <f>F!C47</f>
        <v>10 cm - 50 cm change</v>
      </c>
      <c r="D44" s="124">
        <f>F!D47</f>
        <v>0</v>
      </c>
      <c r="E44" s="496">
        <v>2</v>
      </c>
      <c r="F44" s="450">
        <f>D44*E44</f>
        <v>0</v>
      </c>
      <c r="G44" s="493"/>
      <c r="H44" s="2083"/>
      <c r="I44" s="2105"/>
      <c r="J44" s="208"/>
    </row>
    <row r="45" spans="1:10" s="8" customFormat="1" ht="15" customHeight="1" x14ac:dyDescent="0.2">
      <c r="A45" s="2227"/>
      <c r="B45" s="2229"/>
      <c r="C45" s="736" t="str">
        <f>F!C49</f>
        <v>1-2 m change</v>
      </c>
      <c r="D45" s="124">
        <f>F!D49</f>
        <v>0</v>
      </c>
      <c r="E45" s="496">
        <v>3</v>
      </c>
      <c r="F45" s="450">
        <f>D45*E45</f>
        <v>0</v>
      </c>
      <c r="G45" s="493"/>
      <c r="H45" s="2083"/>
      <c r="I45" s="2105"/>
      <c r="J45" s="208"/>
    </row>
    <row r="46" spans="1:10" s="8" customFormat="1" ht="15" customHeight="1" thickBot="1" x14ac:dyDescent="0.25">
      <c r="A46" s="2228"/>
      <c r="B46" s="2230"/>
      <c r="C46" s="790" t="str">
        <f>F!C50</f>
        <v>&gt;2 m change</v>
      </c>
      <c r="D46" s="299">
        <f>F!D50</f>
        <v>0</v>
      </c>
      <c r="E46" s="497">
        <v>4</v>
      </c>
      <c r="F46" s="451">
        <f>D46*E46</f>
        <v>0</v>
      </c>
      <c r="G46" s="967"/>
      <c r="H46" s="2088"/>
      <c r="I46" s="2105"/>
      <c r="J46" s="208"/>
    </row>
    <row r="47" spans="1:10" ht="45" customHeight="1" thickBot="1" x14ac:dyDescent="0.25">
      <c r="A47" s="2142" t="str">
        <f>F!A62</f>
        <v>F12</v>
      </c>
      <c r="B47" s="2087" t="str">
        <f>F!B62</f>
        <v xml:space="preserve">% of Water Ponded vs. Flowing </v>
      </c>
      <c r="C47" s="136" t="str">
        <f>F!C62</f>
        <v>The percentage of the AA's surface water that is ponded (stagnant, or flows so slowly that fine sediment is not held in suspension) during most of the time it is present, and which is either open or shaded by emergent vegetation is:</v>
      </c>
      <c r="D47" s="798"/>
      <c r="E47" s="976"/>
      <c r="F47" s="498"/>
      <c r="G47" s="432">
        <f>IF((AllSat+AllSat1&gt;0),"", IF((SmallAA=1),"", MAX(F48:F54)/MAX(E48:E54)))</f>
        <v>0</v>
      </c>
      <c r="H47" s="2077" t="s">
        <v>656</v>
      </c>
      <c r="I47" s="2104" t="s">
        <v>1783</v>
      </c>
      <c r="J47" s="274"/>
    </row>
    <row r="48" spans="1:10" ht="27" customHeight="1" x14ac:dyDescent="0.2">
      <c r="A48" s="2143"/>
      <c r="B48" s="2083"/>
      <c r="C48" s="901" t="str">
        <f>F!C63</f>
        <v>&lt;1% or none, or occupies &lt;0.01 hectare cumulatively.  Nearly all water is flowing.  Enter "1" and SKIP to F21 (Stained Surface Water).</v>
      </c>
      <c r="D48" s="965">
        <f>F!D63</f>
        <v>0</v>
      </c>
      <c r="E48" s="969">
        <v>0</v>
      </c>
      <c r="F48" s="803">
        <f t="shared" ref="F48:F54" si="2">D48*E48</f>
        <v>0</v>
      </c>
      <c r="G48" s="493"/>
      <c r="H48" s="2078"/>
      <c r="I48" s="2105"/>
      <c r="J48" s="274"/>
    </row>
    <row r="49" spans="1:10" ht="15" customHeight="1" x14ac:dyDescent="0.2">
      <c r="A49" s="2143"/>
      <c r="B49" s="2083"/>
      <c r="C49" s="736" t="str">
        <f>F!C64</f>
        <v>1-5% of the water, and mainly in small pools.  The rest is flowing.</v>
      </c>
      <c r="D49" s="965">
        <f>F!D64</f>
        <v>0</v>
      </c>
      <c r="E49" s="969">
        <v>1</v>
      </c>
      <c r="F49" s="803">
        <f t="shared" si="2"/>
        <v>0</v>
      </c>
      <c r="G49" s="493"/>
      <c r="H49" s="2078"/>
      <c r="I49" s="2105"/>
      <c r="J49" s="274"/>
    </row>
    <row r="50" spans="1:10" ht="15" customHeight="1" x14ac:dyDescent="0.2">
      <c r="A50" s="2143"/>
      <c r="B50" s="2083"/>
      <c r="C50" s="736" t="str">
        <f>F!C65</f>
        <v>1-5% of the water, and mainly in a single large pool or pond.  The rest is flowing.</v>
      </c>
      <c r="D50" s="965">
        <f>F!D65</f>
        <v>0</v>
      </c>
      <c r="E50" s="969">
        <v>1</v>
      </c>
      <c r="F50" s="803">
        <f t="shared" si="2"/>
        <v>0</v>
      </c>
      <c r="G50" s="493"/>
      <c r="H50" s="2078"/>
      <c r="I50" s="2105"/>
      <c r="J50" s="274"/>
    </row>
    <row r="51" spans="1:10" ht="15" customHeight="1" x14ac:dyDescent="0.2">
      <c r="A51" s="2143"/>
      <c r="B51" s="2083"/>
      <c r="C51" s="736" t="str">
        <f>F!C66</f>
        <v>5-30% of the water</v>
      </c>
      <c r="D51" s="965">
        <f>F!D66</f>
        <v>0</v>
      </c>
      <c r="E51" s="969">
        <v>2</v>
      </c>
      <c r="F51" s="803">
        <f t="shared" si="2"/>
        <v>0</v>
      </c>
      <c r="G51" s="493"/>
      <c r="H51" s="2078"/>
      <c r="I51" s="2105"/>
      <c r="J51" s="274"/>
    </row>
    <row r="52" spans="1:10" ht="15" customHeight="1" x14ac:dyDescent="0.2">
      <c r="A52" s="2143"/>
      <c r="B52" s="2083"/>
      <c r="C52" s="736" t="str">
        <f>F!C67</f>
        <v>30-70% of the water</v>
      </c>
      <c r="D52" s="965">
        <f>F!D67</f>
        <v>0</v>
      </c>
      <c r="E52" s="969">
        <v>3</v>
      </c>
      <c r="F52" s="803">
        <f t="shared" si="2"/>
        <v>0</v>
      </c>
      <c r="G52" s="493"/>
      <c r="H52" s="2078"/>
      <c r="I52" s="2105"/>
      <c r="J52" s="274"/>
    </row>
    <row r="53" spans="1:10" ht="15" customHeight="1" x14ac:dyDescent="0.2">
      <c r="A53" s="2143"/>
      <c r="B53" s="2083"/>
      <c r="C53" s="736" t="str">
        <f>F!C68</f>
        <v>70-95% of the water</v>
      </c>
      <c r="D53" s="965">
        <f>F!D68</f>
        <v>0</v>
      </c>
      <c r="E53" s="969">
        <v>4</v>
      </c>
      <c r="F53" s="803">
        <f t="shared" si="2"/>
        <v>0</v>
      </c>
      <c r="G53" s="493"/>
      <c r="H53" s="2078"/>
      <c r="I53" s="2105"/>
      <c r="J53" s="274"/>
    </row>
    <row r="54" spans="1:10" ht="15" customHeight="1" thickBot="1" x14ac:dyDescent="0.25">
      <c r="A54" s="2144"/>
      <c r="B54" s="2088"/>
      <c r="C54" s="737" t="str">
        <f>F!C69</f>
        <v>&gt;95% of the water.  Little or no visibly flowing water within the AA.</v>
      </c>
      <c r="D54" s="134">
        <f>F!D69</f>
        <v>0</v>
      </c>
      <c r="E54" s="499">
        <v>5</v>
      </c>
      <c r="F54" s="453">
        <f t="shared" si="2"/>
        <v>0</v>
      </c>
      <c r="G54" s="494"/>
      <c r="H54" s="2079"/>
      <c r="I54" s="2106"/>
      <c r="J54" s="274"/>
    </row>
    <row r="55" spans="1:10" ht="42" customHeight="1" thickBot="1" x14ac:dyDescent="0.25">
      <c r="A55" s="2151" t="str">
        <f>F!A71</f>
        <v>F14</v>
      </c>
      <c r="B55" s="2244" t="str">
        <f>F!B71</f>
        <v xml:space="preserve">% of Ponded Water That Is Open </v>
      </c>
      <c r="C55" s="827" t="str">
        <f>F!C71</f>
        <v>In ducks-eye aerial view, the percentage of the ponded water that is open (lacking emergent vegetation during most of the growing season, and unhidden by a forest or shrub canopy) is:</v>
      </c>
      <c r="D55" s="971"/>
      <c r="E55" s="448"/>
      <c r="F55" s="495"/>
      <c r="G55" s="426">
        <f>IF((AllSat+AllSat1&gt;0),"", IF((NoPonded=1),"", IF((SmallAA=1),"", MAX(F56:F61)/MAX(E56:E61))))</f>
        <v>0</v>
      </c>
      <c r="H55" s="2077" t="s">
        <v>1249</v>
      </c>
      <c r="I55" s="2105" t="s">
        <v>1784</v>
      </c>
      <c r="J55" s="274"/>
    </row>
    <row r="56" spans="1:10" ht="27" customHeight="1" x14ac:dyDescent="0.2">
      <c r="A56" s="2151"/>
      <c r="B56" s="2244"/>
      <c r="C56" s="901" t="str">
        <f>F!C72</f>
        <v>&lt;1% or none, or largest pool occupies &lt;0.01 hectares.  Enter "1" and SKIP to F20 (Floating Algae &amp; Duckweed).</v>
      </c>
      <c r="D56" s="629">
        <f>F!D72</f>
        <v>0</v>
      </c>
      <c r="E56" s="450">
        <v>5</v>
      </c>
      <c r="F56" s="450">
        <f t="shared" ref="F56:F61" si="3">D56*E56</f>
        <v>0</v>
      </c>
      <c r="G56" s="343"/>
      <c r="H56" s="2078"/>
      <c r="I56" s="2105"/>
      <c r="J56" s="274"/>
    </row>
    <row r="57" spans="1:10" ht="15" customHeight="1" x14ac:dyDescent="0.2">
      <c r="A57" s="2151"/>
      <c r="B57" s="2244"/>
      <c r="C57" s="736" t="str">
        <f>F!C73</f>
        <v>1-5% of the ponded water.  Enter "1" and SKIP to F20.</v>
      </c>
      <c r="D57" s="124">
        <f>F!D73</f>
        <v>0</v>
      </c>
      <c r="E57" s="450">
        <v>4</v>
      </c>
      <c r="F57" s="450">
        <f t="shared" si="3"/>
        <v>0</v>
      </c>
      <c r="G57" s="493"/>
      <c r="H57" s="2078"/>
      <c r="I57" s="2105"/>
      <c r="J57" s="274"/>
    </row>
    <row r="58" spans="1:10" ht="15" customHeight="1" x14ac:dyDescent="0.2">
      <c r="A58" s="2151"/>
      <c r="B58" s="2244"/>
      <c r="C58" s="736" t="str">
        <f>F!C74</f>
        <v>5-30% of the ponded water.</v>
      </c>
      <c r="D58" s="124">
        <f>F!D74</f>
        <v>0</v>
      </c>
      <c r="E58" s="450">
        <v>3</v>
      </c>
      <c r="F58" s="450">
        <f t="shared" si="3"/>
        <v>0</v>
      </c>
      <c r="G58" s="493"/>
      <c r="H58" s="2078"/>
      <c r="I58" s="2105"/>
      <c r="J58" s="274"/>
    </row>
    <row r="59" spans="1:10" ht="15" customHeight="1" x14ac:dyDescent="0.2">
      <c r="A59" s="2151"/>
      <c r="B59" s="2244"/>
      <c r="C59" s="736" t="str">
        <f>F!C75</f>
        <v>30-70% of the ponded water.</v>
      </c>
      <c r="D59" s="124">
        <f>F!D75</f>
        <v>0</v>
      </c>
      <c r="E59" s="450">
        <v>2</v>
      </c>
      <c r="F59" s="450">
        <f t="shared" si="3"/>
        <v>0</v>
      </c>
      <c r="G59" s="493"/>
      <c r="H59" s="2078"/>
      <c r="I59" s="2105"/>
      <c r="J59" s="274"/>
    </row>
    <row r="60" spans="1:10" ht="15" customHeight="1" x14ac:dyDescent="0.2">
      <c r="A60" s="2151"/>
      <c r="B60" s="2244"/>
      <c r="C60" s="736" t="str">
        <f>F!C76</f>
        <v>70-99% of the ponded water.</v>
      </c>
      <c r="D60" s="124">
        <f>F!D76</f>
        <v>0</v>
      </c>
      <c r="E60" s="450">
        <v>1</v>
      </c>
      <c r="F60" s="450">
        <f t="shared" si="3"/>
        <v>0</v>
      </c>
      <c r="G60" s="493"/>
      <c r="H60" s="2078"/>
      <c r="I60" s="2105"/>
      <c r="J60" s="274"/>
    </row>
    <row r="61" spans="1:10" ht="15" customHeight="1" thickBot="1" x14ac:dyDescent="0.25">
      <c r="A61" s="2254"/>
      <c r="B61" s="2245"/>
      <c r="C61" s="737" t="str">
        <f>F!C77</f>
        <v xml:space="preserve">100% of the ponded water. </v>
      </c>
      <c r="D61" s="134">
        <f>F!D77</f>
        <v>0</v>
      </c>
      <c r="E61" s="453">
        <v>0</v>
      </c>
      <c r="F61" s="453">
        <f t="shared" si="3"/>
        <v>0</v>
      </c>
      <c r="G61" s="494"/>
      <c r="H61" s="2079"/>
      <c r="I61" s="2106"/>
      <c r="J61" s="274"/>
    </row>
    <row r="62" spans="1:10" ht="45" customHeight="1" thickBot="1" x14ac:dyDescent="0.25">
      <c r="A62" s="2253" t="str">
        <f>F!A84</f>
        <v>F16</v>
      </c>
      <c r="B62" s="2243" t="str">
        <f>F!B84</f>
        <v>Predominant Width of Vegetated Zone within Wetland</v>
      </c>
      <c r="C62" s="136" t="str">
        <f>F!C84</f>
        <v>At the driest time of year (or lowest water level), the average width of vegetated area in the AA that separates adjoining uplands from open water within the AA is:</v>
      </c>
      <c r="D62" s="798"/>
      <c r="E62" s="802"/>
      <c r="F62" s="498"/>
      <c r="G62" s="432" t="str">
        <f>IF((AllSat+AllSat1&gt;0),"", IF((OpenW=0),"", IF((SmallAA=1),"", MAX(F63:F67)/MAX(E63:E67))))</f>
        <v/>
      </c>
      <c r="H62" s="2077" t="s">
        <v>1801</v>
      </c>
      <c r="I62" s="2246" t="s">
        <v>1782</v>
      </c>
      <c r="J62" s="274"/>
    </row>
    <row r="63" spans="1:10" ht="21" customHeight="1" x14ac:dyDescent="0.2">
      <c r="A63" s="2151"/>
      <c r="B63" s="2244"/>
      <c r="C63" s="828" t="str">
        <f>F!C85</f>
        <v>&lt;1 m</v>
      </c>
      <c r="D63" s="968">
        <f>F!D85</f>
        <v>0</v>
      </c>
      <c r="E63" s="803">
        <v>0</v>
      </c>
      <c r="F63" s="803">
        <f>D63*E63</f>
        <v>0</v>
      </c>
      <c r="G63" s="343"/>
      <c r="H63" s="2078"/>
      <c r="I63" s="2096"/>
      <c r="J63" s="274"/>
    </row>
    <row r="64" spans="1:10" ht="21" customHeight="1" x14ac:dyDescent="0.2">
      <c r="A64" s="2151"/>
      <c r="B64" s="2244"/>
      <c r="C64" s="790" t="str">
        <f>F!C86</f>
        <v>1 - 9 m</v>
      </c>
      <c r="D64" s="968">
        <f>F!D86</f>
        <v>0</v>
      </c>
      <c r="E64" s="803">
        <v>1</v>
      </c>
      <c r="F64" s="803">
        <f>D64*E64</f>
        <v>0</v>
      </c>
      <c r="G64" s="493"/>
      <c r="H64" s="2078"/>
      <c r="I64" s="2096"/>
      <c r="J64" s="274"/>
    </row>
    <row r="65" spans="1:10" ht="21" customHeight="1" x14ac:dyDescent="0.2">
      <c r="A65" s="2151"/>
      <c r="B65" s="2244"/>
      <c r="C65" s="790" t="str">
        <f>F!C87</f>
        <v>10 - 29 m</v>
      </c>
      <c r="D65" s="968">
        <f>F!D87</f>
        <v>0</v>
      </c>
      <c r="E65" s="803">
        <v>2</v>
      </c>
      <c r="F65" s="803">
        <f>D65*E65</f>
        <v>0</v>
      </c>
      <c r="G65" s="493"/>
      <c r="H65" s="2078"/>
      <c r="I65" s="2096"/>
      <c r="J65" s="274"/>
    </row>
    <row r="66" spans="1:10" ht="21" customHeight="1" x14ac:dyDescent="0.2">
      <c r="A66" s="2151"/>
      <c r="B66" s="2244"/>
      <c r="C66" s="790" t="str">
        <f>F!C88</f>
        <v>30 - 49 m</v>
      </c>
      <c r="D66" s="968">
        <f>F!D88</f>
        <v>0</v>
      </c>
      <c r="E66" s="803">
        <v>3</v>
      </c>
      <c r="F66" s="803">
        <f>D66*E66</f>
        <v>0</v>
      </c>
      <c r="G66" s="493"/>
      <c r="H66" s="2078"/>
      <c r="I66" s="2096"/>
      <c r="J66" s="274"/>
    </row>
    <row r="67" spans="1:10" ht="27.75" customHeight="1" thickBot="1" x14ac:dyDescent="0.25">
      <c r="A67" s="2254"/>
      <c r="B67" s="2245"/>
      <c r="C67" s="737" t="str">
        <f>F!C90</f>
        <v>&gt; 100 m</v>
      </c>
      <c r="D67" s="134">
        <f>F!D90</f>
        <v>0</v>
      </c>
      <c r="E67" s="453">
        <v>4</v>
      </c>
      <c r="F67" s="453">
        <f>D67*E67</f>
        <v>0</v>
      </c>
      <c r="G67" s="494"/>
      <c r="H67" s="2079"/>
      <c r="I67" s="2097"/>
      <c r="J67" s="274"/>
    </row>
    <row r="68" spans="1:10" ht="36" customHeight="1" thickBot="1" x14ac:dyDescent="0.25">
      <c r="A68" s="2257" t="str">
        <f>F!A95</f>
        <v>F18</v>
      </c>
      <c r="B68" s="2086" t="str">
        <f>F!B95</f>
        <v>Interspersion of Robust Emergents &amp; Open Water</v>
      </c>
      <c r="C68" s="934" t="str">
        <f>F!C95</f>
        <v>During most of the growing season, the spatial pattern of tall robust herbaceous vegetation (e.g., cattail, bulrush) that has surface water beneath it is mostly:</v>
      </c>
      <c r="D68" s="442"/>
      <c r="E68" s="452"/>
      <c r="F68" s="498"/>
      <c r="G68" s="432">
        <f>IF((AllSat+AllSat1&gt;0),"", IF((NoPonded=1),"", IF((NoOpenPonded+ NoOpenPonded1&gt;0),"", IF((AllOpenPond=1),"", IF((SmallAA=1),"", MAX(F69:F71)/MAX(E69:E71))))))</f>
        <v>0</v>
      </c>
      <c r="H68" s="2077" t="s">
        <v>269</v>
      </c>
      <c r="I68" s="2104" t="s">
        <v>1785</v>
      </c>
      <c r="J68" s="274"/>
    </row>
    <row r="69" spans="1:10" ht="18" customHeight="1" x14ac:dyDescent="0.2">
      <c r="A69" s="2143"/>
      <c r="B69" s="2083"/>
      <c r="C69" s="837" t="str">
        <f>F!C96</f>
        <v>Scattered in small clumps, islands, or patches throughout the surface water area.</v>
      </c>
      <c r="D69" s="629">
        <f>F!D96</f>
        <v>0</v>
      </c>
      <c r="E69" s="450">
        <v>3</v>
      </c>
      <c r="F69" s="450">
        <f>D69*E69</f>
        <v>0</v>
      </c>
      <c r="G69" s="501"/>
      <c r="H69" s="2078"/>
      <c r="I69" s="2105"/>
      <c r="J69" s="274"/>
    </row>
    <row r="70" spans="1:10" ht="18" customHeight="1" x14ac:dyDescent="0.2">
      <c r="A70" s="2143"/>
      <c r="B70" s="2083"/>
      <c r="C70" s="758" t="str">
        <f>F!C97</f>
        <v>Intermediate</v>
      </c>
      <c r="D70" s="124">
        <f>F!D97</f>
        <v>0</v>
      </c>
      <c r="E70" s="450">
        <v>2</v>
      </c>
      <c r="F70" s="450">
        <f>D70*E70</f>
        <v>0</v>
      </c>
      <c r="G70" s="501"/>
      <c r="H70" s="2078"/>
      <c r="I70" s="2105"/>
      <c r="J70" s="274"/>
    </row>
    <row r="71" spans="1:10" ht="27" customHeight="1" thickBot="1" x14ac:dyDescent="0.25">
      <c r="A71" s="2143"/>
      <c r="B71" s="2083"/>
      <c r="C71" s="753" t="str">
        <f>F!C98</f>
        <v>Clumped at one or a few sides of the surface water area, or mostly surrounds a central area of open water.  Or such vegetation is absent or covers &lt;9 sq m and &lt;1% of the AA.</v>
      </c>
      <c r="D71" s="968">
        <f>F!D98</f>
        <v>0</v>
      </c>
      <c r="E71" s="806">
        <v>1</v>
      </c>
      <c r="F71" s="806">
        <f>D71*E71</f>
        <v>0</v>
      </c>
      <c r="G71" s="970"/>
      <c r="H71" s="2079"/>
      <c r="I71" s="2105"/>
      <c r="J71" s="274"/>
    </row>
    <row r="72" spans="1:10" ht="30" customHeight="1" thickBot="1" x14ac:dyDescent="0.25">
      <c r="A72" s="2119" t="str">
        <f>F!A109</f>
        <v>F25</v>
      </c>
      <c r="B72" s="2077" t="str">
        <f>F!B109</f>
        <v>Through Flow Pattern</v>
      </c>
      <c r="C72" s="136" t="str">
        <f>F!C109</f>
        <v>During its travel through the AA at the time of peak annual flow, most of the water arriving in channels [select only the ONE encountered by most of the incoming water]:</v>
      </c>
      <c r="D72" s="798"/>
      <c r="E72" s="802"/>
      <c r="F72" s="498"/>
      <c r="G72" s="432" t="str">
        <f>IF((AllSat=1),"", IF((Inflows=0),"",MAX(F73:F77)/MAX(E73:E77)))</f>
        <v/>
      </c>
      <c r="H72" s="2077" t="s">
        <v>1300</v>
      </c>
      <c r="I72" s="2104" t="s">
        <v>1786</v>
      </c>
      <c r="J72" s="274"/>
    </row>
    <row r="73" spans="1:10" ht="42" customHeight="1" x14ac:dyDescent="0.2">
      <c r="A73" s="2120"/>
      <c r="B73" s="2078"/>
      <c r="C73" s="739" t="str">
        <f>F!C110</f>
        <v>Does not bump into plant stems as it travels through the AA.  Nearly all the water continues to travel in unvegetated (often incised) channels that have little contact with wetland vegetation, or through a zone of open water such as an instream pond or lake.</v>
      </c>
      <c r="D73" s="965">
        <f>F!D110</f>
        <v>0</v>
      </c>
      <c r="E73" s="803">
        <v>0</v>
      </c>
      <c r="F73" s="803">
        <f>D73*E73</f>
        <v>0</v>
      </c>
      <c r="G73" s="343"/>
      <c r="H73" s="2078"/>
      <c r="I73" s="2105"/>
      <c r="J73" s="274"/>
    </row>
    <row r="74" spans="1:10" s="2" customFormat="1" ht="15" customHeight="1" x14ac:dyDescent="0.2">
      <c r="A74" s="2120"/>
      <c r="B74" s="2078"/>
      <c r="C74" s="977" t="str">
        <f>F!C111</f>
        <v>bumps into herbaceous vegetation but mostly remains in fairly straight channels.</v>
      </c>
      <c r="D74" s="965">
        <f>F!D111</f>
        <v>0</v>
      </c>
      <c r="E74" s="803">
        <v>1</v>
      </c>
      <c r="F74" s="803">
        <f>D74*E74</f>
        <v>0</v>
      </c>
      <c r="G74" s="493"/>
      <c r="H74" s="2078"/>
      <c r="I74" s="2105"/>
      <c r="J74" s="274"/>
    </row>
    <row r="75" spans="1:10" s="2" customFormat="1" ht="27" customHeight="1" x14ac:dyDescent="0.2">
      <c r="A75" s="2120"/>
      <c r="B75" s="2078"/>
      <c r="C75" s="977" t="str">
        <f>F!C112</f>
        <v>bumps into herbaceous vegetation and mostly spreads throughout, or is in widely  meandering, multi-branched, or braided channels.</v>
      </c>
      <c r="D75" s="965">
        <f>F!D112</f>
        <v>0</v>
      </c>
      <c r="E75" s="803">
        <v>2</v>
      </c>
      <c r="F75" s="803">
        <f>D75*E75</f>
        <v>0</v>
      </c>
      <c r="G75" s="493"/>
      <c r="H75" s="2078"/>
      <c r="I75" s="2105"/>
      <c r="J75" s="274"/>
    </row>
    <row r="76" spans="1:10" s="2" customFormat="1" ht="15" customHeight="1" x14ac:dyDescent="0.2">
      <c r="A76" s="2120"/>
      <c r="B76" s="2078"/>
      <c r="C76" s="977" t="str">
        <f>F!C113</f>
        <v>bumps into tree trunks and/or shrub stems but mostly remains in fairly straight channels.</v>
      </c>
      <c r="D76" s="965">
        <f>F!D113</f>
        <v>0</v>
      </c>
      <c r="E76" s="803">
        <v>3</v>
      </c>
      <c r="F76" s="803">
        <f>D76*E76</f>
        <v>0</v>
      </c>
      <c r="G76" s="493"/>
      <c r="H76" s="2078"/>
      <c r="I76" s="2105"/>
      <c r="J76" s="274"/>
    </row>
    <row r="77" spans="1:10" s="2" customFormat="1" ht="27" customHeight="1" thickBot="1" x14ac:dyDescent="0.25">
      <c r="A77" s="2121"/>
      <c r="B77" s="2079"/>
      <c r="C77" s="135" t="str">
        <f>F!C114</f>
        <v>bumps into tree trunks and/or shrub stems and follows a fairly indirect path from entrance to exit (meandering, multi-branched, or braided)</v>
      </c>
      <c r="D77" s="134">
        <f>F!D114</f>
        <v>0</v>
      </c>
      <c r="E77" s="453">
        <v>4</v>
      </c>
      <c r="F77" s="453">
        <f>D77*E77</f>
        <v>0</v>
      </c>
      <c r="G77" s="494"/>
      <c r="H77" s="2079"/>
      <c r="I77" s="2106"/>
      <c r="J77" s="274"/>
    </row>
    <row r="78" spans="1:10" ht="30" customHeight="1" thickBot="1" x14ac:dyDescent="0.25">
      <c r="A78" s="2120" t="str">
        <f>F!A115</f>
        <v>F26</v>
      </c>
      <c r="B78" s="2078" t="str">
        <f>F!B115</f>
        <v>Channel Connection &amp; Outflow Duration</v>
      </c>
      <c r="C78" s="827" t="str">
        <f>F!C115</f>
        <v>The most persistent surface water connection (outlet channel or pipe, ditch, or overbank water exchange) between the AA and the closest off-site downslope water body is:</v>
      </c>
      <c r="D78" s="971"/>
      <c r="E78" s="448"/>
      <c r="F78" s="495"/>
      <c r="G78" s="426">
        <f>IF((AllSat+AllSat1&gt;0),"", MAX(F79:F83)/MAX(E79:E83))</f>
        <v>0</v>
      </c>
      <c r="H78" s="2078" t="s">
        <v>271</v>
      </c>
      <c r="I78" s="2105" t="s">
        <v>1787</v>
      </c>
      <c r="J78" s="274"/>
    </row>
    <row r="79" spans="1:10" ht="15" customHeight="1" x14ac:dyDescent="0.2">
      <c r="A79" s="2120"/>
      <c r="B79" s="2078"/>
      <c r="C79" s="901" t="str">
        <f>F!C116</f>
        <v>persistent (&gt;9 months/year, including times when frozen)</v>
      </c>
      <c r="D79" s="124">
        <f>F!D116</f>
        <v>0</v>
      </c>
      <c r="E79" s="450">
        <v>1</v>
      </c>
      <c r="F79" s="450">
        <f>D79*E79</f>
        <v>0</v>
      </c>
      <c r="G79" s="343"/>
      <c r="H79" s="2078"/>
      <c r="I79" s="2105"/>
      <c r="J79" s="274"/>
    </row>
    <row r="80" spans="1:10" ht="26.25" customHeight="1" x14ac:dyDescent="0.2">
      <c r="A80" s="2120"/>
      <c r="B80" s="2078"/>
      <c r="C80" s="736" t="str">
        <f>F!C117</f>
        <v>seasonal (14 days to 9 months/year, not necessarily consecutive, including times when frozen)</v>
      </c>
      <c r="D80" s="124">
        <f>F!D117</f>
        <v>0</v>
      </c>
      <c r="E80" s="450">
        <v>2</v>
      </c>
      <c r="F80" s="450">
        <f>D80*E80</f>
        <v>0</v>
      </c>
      <c r="G80" s="493"/>
      <c r="H80" s="2078"/>
      <c r="I80" s="2105"/>
      <c r="J80" s="274"/>
    </row>
    <row r="81" spans="1:11" ht="15" customHeight="1" x14ac:dyDescent="0.2">
      <c r="A81" s="2120"/>
      <c r="B81" s="2078"/>
      <c r="C81" s="736" t="str">
        <f>F!C118</f>
        <v>temporary (&lt;14 days, not necessarily consecutive -- must be unfrozen)</v>
      </c>
      <c r="D81" s="299">
        <f>F!D118</f>
        <v>0</v>
      </c>
      <c r="E81" s="450">
        <v>3</v>
      </c>
      <c r="F81" s="450">
        <f>D81*E81</f>
        <v>0</v>
      </c>
      <c r="G81" s="493"/>
      <c r="H81" s="2078"/>
      <c r="I81" s="2105"/>
      <c r="J81" s="274"/>
    </row>
    <row r="82" spans="1:11" ht="39.75" customHeight="1" x14ac:dyDescent="0.2">
      <c r="A82" s="2120"/>
      <c r="B82" s="2078"/>
      <c r="C82" s="736" t="str">
        <f>F!C119</f>
        <v xml:space="preserve">none -- but maps show a stream or other water body that is downslope from the AA and within a distance that is less than the AA's length.  If so, mark "1" here and SKIP TO F28 (Groundwater). </v>
      </c>
      <c r="D82" s="124">
        <f>F!D119</f>
        <v>0</v>
      </c>
      <c r="E82" s="454">
        <v>6</v>
      </c>
      <c r="F82" s="450">
        <f>D82*E82</f>
        <v>0</v>
      </c>
      <c r="G82" s="967"/>
      <c r="H82" s="2078"/>
      <c r="I82" s="2105"/>
      <c r="J82" s="274"/>
    </row>
    <row r="83" spans="1:11" ht="42" customHeight="1" thickBot="1" x14ac:dyDescent="0.25">
      <c r="A83" s="2120"/>
      <c r="B83" s="2078"/>
      <c r="C83" s="790" t="str">
        <f>F!C120</f>
        <v xml:space="preserve">no surface water flows out of the wetland except possibly during extreme events (&lt;once per 10 years). Or, water flows only into a wetland, ditch, or lake that lacks an outlet.  If so, mark "1" here and SKIP TO F28 (Groundwater). </v>
      </c>
      <c r="D83" s="299">
        <f>F!D120</f>
        <v>0</v>
      </c>
      <c r="E83" s="457">
        <v>6</v>
      </c>
      <c r="F83" s="451">
        <f>D83*E83</f>
        <v>0</v>
      </c>
      <c r="G83" s="967"/>
      <c r="H83" s="2079"/>
      <c r="I83" s="2105"/>
      <c r="J83" s="274"/>
    </row>
    <row r="84" spans="1:11" ht="30" customHeight="1" thickBot="1" x14ac:dyDescent="0.25">
      <c r="A84" s="2119" t="str">
        <f>F!A121</f>
        <v>F27</v>
      </c>
      <c r="B84" s="2077" t="str">
        <f>F!B121</f>
        <v>Outflow Confinement</v>
      </c>
      <c r="C84" s="136" t="str">
        <f>F!C121</f>
        <v>During major runoff events, in the places where surface water exits the AA or connected waters nearby, it:</v>
      </c>
      <c r="D84" s="798"/>
      <c r="E84" s="802"/>
      <c r="F84" s="498"/>
      <c r="G84" s="432">
        <f>IF((OutNone=1),"",MAX(F85:F87)/MAX(E85:E87))</f>
        <v>0</v>
      </c>
      <c r="H84" s="2077" t="s">
        <v>272</v>
      </c>
      <c r="I84" s="2104" t="s">
        <v>1788</v>
      </c>
      <c r="J84" s="274"/>
    </row>
    <row r="85" spans="1:11" ht="42" customHeight="1" x14ac:dyDescent="0.2">
      <c r="A85" s="2120"/>
      <c r="B85" s="2078"/>
      <c r="C85" s="901" t="str">
        <f>F!C122</f>
        <v>mostly passes through a pipe, culvert, narrowly breached dike, berm, beaver dam, or other partial obstruction (other than natural topography) that does not appear to drain the wetland artificially during most of the growing season.</v>
      </c>
      <c r="D85" s="629">
        <f>F!D122</f>
        <v>0</v>
      </c>
      <c r="E85" s="803">
        <v>2</v>
      </c>
      <c r="F85" s="803">
        <f>D85*E85</f>
        <v>0</v>
      </c>
      <c r="G85" s="343"/>
      <c r="H85" s="2078"/>
      <c r="I85" s="2105"/>
      <c r="J85" s="274"/>
    </row>
    <row r="86" spans="1:11" ht="27" customHeight="1" x14ac:dyDescent="0.2">
      <c r="A86" s="2120"/>
      <c r="B86" s="2078"/>
      <c r="C86" s="736" t="str">
        <f>F!C123</f>
        <v>leaves through natural exits (channels or diffuse outflow), not mainly through artificial or temporary features</v>
      </c>
      <c r="D86" s="965">
        <f>F!D123</f>
        <v>0</v>
      </c>
      <c r="E86" s="803">
        <v>1</v>
      </c>
      <c r="F86" s="803">
        <f>D86*E86</f>
        <v>0</v>
      </c>
      <c r="G86" s="503"/>
      <c r="H86" s="2078"/>
      <c r="I86" s="2105"/>
      <c r="J86" s="274"/>
    </row>
    <row r="87" spans="1:11" ht="39" customHeight="1" thickBot="1" x14ac:dyDescent="0.25">
      <c r="A87" s="2121"/>
      <c r="B87" s="2079"/>
      <c r="C87" s="737" t="str">
        <f>F!C124</f>
        <v>exported more quickly than usual due to ditches or pipes within the AA (or connected to its outlet or within 10 m of the AA's edge) which drain the wetland artificially, or water is pumped out of the AA.</v>
      </c>
      <c r="D87" s="134">
        <f>F!D124</f>
        <v>0</v>
      </c>
      <c r="E87" s="453">
        <v>0</v>
      </c>
      <c r="F87" s="453">
        <f>D87*E87</f>
        <v>0</v>
      </c>
      <c r="G87" s="494"/>
      <c r="H87" s="2079"/>
      <c r="I87" s="2106"/>
      <c r="J87" s="274"/>
    </row>
    <row r="88" spans="1:11" ht="21" customHeight="1" thickBot="1" x14ac:dyDescent="0.25">
      <c r="A88" s="2143" t="str">
        <f>F!A125</f>
        <v>F28</v>
      </c>
      <c r="B88" s="2083" t="str">
        <f>F!B125</f>
        <v>Groundwater: Strength of Evidence</v>
      </c>
      <c r="C88" s="826" t="str">
        <f>F!C125</f>
        <v xml:space="preserve">Select first applicable choice. </v>
      </c>
      <c r="D88" s="447"/>
      <c r="E88" s="448"/>
      <c r="F88" s="495"/>
      <c r="G88" s="426">
        <f>IF((D91=1),"",MAX(F89:F91)/MAX(E89:E91))</f>
        <v>0</v>
      </c>
      <c r="H88" s="2077" t="s">
        <v>270</v>
      </c>
      <c r="I88" s="2105" t="s">
        <v>1789</v>
      </c>
      <c r="J88" s="274"/>
      <c r="K88" s="155"/>
    </row>
    <row r="89" spans="1:11" ht="42" customHeight="1" x14ac:dyDescent="0.2">
      <c r="A89" s="2143"/>
      <c r="B89" s="2083"/>
      <c r="C89" s="783" t="str">
        <f>F!C126</f>
        <v xml:space="preserve">Groundwater monitoring has demonstrated that groundwater primarily discharges to the wetland for longer periods during the year than periods when the wetland recharges the groundwater.  Or, springs are known to be present within the AA.
</v>
      </c>
      <c r="D89" s="630">
        <f>F!D126</f>
        <v>0</v>
      </c>
      <c r="E89" s="450">
        <v>3</v>
      </c>
      <c r="F89" s="450">
        <f>D89*E89</f>
        <v>0</v>
      </c>
      <c r="G89" s="343"/>
      <c r="H89" s="2078"/>
      <c r="I89" s="2105"/>
      <c r="J89" s="274"/>
    </row>
    <row r="90" spans="1:11" ht="111" customHeight="1" x14ac:dyDescent="0.2">
      <c r="A90" s="2143"/>
      <c r="B90" s="2083"/>
      <c r="C90" s="784"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90" s="456">
        <f>F!D127</f>
        <v>0</v>
      </c>
      <c r="E90" s="450">
        <v>2</v>
      </c>
      <c r="F90" s="450">
        <f>D90*E90</f>
        <v>0</v>
      </c>
      <c r="G90" s="493"/>
      <c r="H90" s="2078"/>
      <c r="I90" s="2105"/>
      <c r="J90" s="274"/>
    </row>
    <row r="91" spans="1:11" ht="27" customHeight="1" thickBot="1" x14ac:dyDescent="0.25">
      <c r="A91" s="2143"/>
      <c r="B91" s="2083"/>
      <c r="C91" s="784" t="str">
        <f>F!C128</f>
        <v>Neither of above is true, although some groundwater may discharge to or flow through the AA.  Or groundwater influx is unknown.</v>
      </c>
      <c r="D91" s="456">
        <f>F!D128</f>
        <v>0</v>
      </c>
      <c r="E91" s="451">
        <v>0</v>
      </c>
      <c r="F91" s="451">
        <f>D91*E91</f>
        <v>0</v>
      </c>
      <c r="G91" s="967"/>
      <c r="H91" s="2079"/>
      <c r="I91" s="2105"/>
      <c r="J91" s="274"/>
    </row>
    <row r="92" spans="1:11" ht="21" customHeight="1" thickBot="1" x14ac:dyDescent="0.25">
      <c r="A92" s="2258" t="str">
        <f>F!A129</f>
        <v>F29</v>
      </c>
      <c r="B92" s="2237" t="str">
        <f>F!B129</f>
        <v>Internal Gradient</v>
      </c>
      <c r="C92" s="136" t="str">
        <f>F!C129</f>
        <v>The gradient along most of the flow path within the AA is:</v>
      </c>
      <c r="D92" s="798"/>
      <c r="E92" s="802"/>
      <c r="F92" s="498"/>
      <c r="G92" s="432">
        <f>MAX(F93:F96)/MAX(E93:E96)</f>
        <v>0</v>
      </c>
      <c r="H92" s="2077" t="s">
        <v>277</v>
      </c>
      <c r="I92" s="2104" t="s">
        <v>326</v>
      </c>
      <c r="J92" s="274"/>
    </row>
    <row r="93" spans="1:11" ht="27" customHeight="1" x14ac:dyDescent="0.2">
      <c r="A93" s="2241"/>
      <c r="B93" s="2238"/>
      <c r="C93" s="901" t="str">
        <f>F!C130</f>
        <v>&lt;2%, or, no slope is ever apparent (i.e., flat). Or, the wetland is in a depression or pond with no inlet and no outlet.</v>
      </c>
      <c r="D93" s="629">
        <f>F!D130</f>
        <v>0</v>
      </c>
      <c r="E93" s="803">
        <v>4</v>
      </c>
      <c r="F93" s="803">
        <f>D93*E93</f>
        <v>0</v>
      </c>
      <c r="G93" s="343"/>
      <c r="H93" s="2078"/>
      <c r="I93" s="2231"/>
      <c r="J93" s="274"/>
    </row>
    <row r="94" spans="1:11" ht="15" customHeight="1" x14ac:dyDescent="0.2">
      <c r="A94" s="2241"/>
      <c r="B94" s="2238"/>
      <c r="C94" s="901" t="str">
        <f>F!C131</f>
        <v>2-5%</v>
      </c>
      <c r="D94" s="965">
        <f>F!D131</f>
        <v>0</v>
      </c>
      <c r="E94" s="803">
        <v>2</v>
      </c>
      <c r="F94" s="803">
        <f>D94*E94</f>
        <v>0</v>
      </c>
      <c r="G94" s="493"/>
      <c r="H94" s="2078"/>
      <c r="I94" s="2231"/>
      <c r="J94" s="274"/>
    </row>
    <row r="95" spans="1:11" ht="15" customHeight="1" x14ac:dyDescent="0.2">
      <c r="A95" s="2241"/>
      <c r="B95" s="2238"/>
      <c r="C95" s="901" t="str">
        <f>F!C132</f>
        <v>6-10%</v>
      </c>
      <c r="D95" s="965">
        <f>F!D132</f>
        <v>0</v>
      </c>
      <c r="E95" s="803">
        <v>1</v>
      </c>
      <c r="F95" s="803">
        <f>D95*E95</f>
        <v>0</v>
      </c>
      <c r="G95" s="493"/>
      <c r="H95" s="2078"/>
      <c r="I95" s="2231"/>
      <c r="J95" s="274"/>
    </row>
    <row r="96" spans="1:11" ht="15" customHeight="1" thickBot="1" x14ac:dyDescent="0.25">
      <c r="A96" s="2242"/>
      <c r="B96" s="2239"/>
      <c r="C96" s="829" t="str">
        <f>F!C133</f>
        <v>&gt;10%</v>
      </c>
      <c r="D96" s="134">
        <f>F!D133</f>
        <v>0</v>
      </c>
      <c r="E96" s="453">
        <v>0</v>
      </c>
      <c r="F96" s="453">
        <f>D96*E96</f>
        <v>0</v>
      </c>
      <c r="G96" s="494"/>
      <c r="H96" s="2079"/>
      <c r="I96" s="2236"/>
      <c r="J96" s="274"/>
    </row>
    <row r="97" spans="1:11" ht="30" customHeight="1" thickBot="1" x14ac:dyDescent="0.25">
      <c r="A97" s="2120" t="str">
        <f>F!A134</f>
        <v>F30</v>
      </c>
      <c r="B97" s="2078" t="str">
        <f>F!B134</f>
        <v>Total Woody Cover -% of the Vegetated AA</v>
      </c>
      <c r="C97" s="827" t="str">
        <f>F!C134</f>
        <v>Within the entire vegetated part of the AA, the percentage occupied by trees or shrubs taller than 1 m is:</v>
      </c>
      <c r="D97" s="447"/>
      <c r="E97" s="448"/>
      <c r="F97" s="495"/>
      <c r="G97" s="426">
        <f>MAX(F98:F102)/MAX(E98:E102)</f>
        <v>0</v>
      </c>
      <c r="H97" s="2077" t="s">
        <v>1248</v>
      </c>
      <c r="I97" s="2110" t="s">
        <v>1796</v>
      </c>
      <c r="J97" s="274"/>
      <c r="K97" s="155"/>
    </row>
    <row r="98" spans="1:11" ht="29.25" customHeight="1" x14ac:dyDescent="0.2">
      <c r="A98" s="2120"/>
      <c r="B98" s="2078"/>
      <c r="C98" s="828" t="str">
        <f>F!C135</f>
        <v>&lt;5% of the vegetated AA, or there is no woody vegetation in the AA.  SKIP to F38 (N Fixers)</v>
      </c>
      <c r="D98" s="299">
        <f>F!D135</f>
        <v>0</v>
      </c>
      <c r="E98" s="450">
        <v>0</v>
      </c>
      <c r="F98" s="451">
        <f>D98*E98</f>
        <v>0</v>
      </c>
      <c r="G98" s="343"/>
      <c r="H98" s="2078"/>
      <c r="I98" s="2096"/>
      <c r="J98" s="274"/>
    </row>
    <row r="99" spans="1:11" ht="15" customHeight="1" x14ac:dyDescent="0.2">
      <c r="A99" s="2120"/>
      <c r="B99" s="2078"/>
      <c r="C99" s="790" t="str">
        <f>F!C136</f>
        <v xml:space="preserve">5-25%.  </v>
      </c>
      <c r="D99" s="299">
        <f>F!D136</f>
        <v>0</v>
      </c>
      <c r="E99" s="450">
        <v>1</v>
      </c>
      <c r="F99" s="451">
        <f>D99*E99</f>
        <v>0</v>
      </c>
      <c r="G99" s="493"/>
      <c r="H99" s="2078"/>
      <c r="I99" s="2096"/>
      <c r="J99" s="274"/>
    </row>
    <row r="100" spans="1:11" ht="15" customHeight="1" x14ac:dyDescent="0.2">
      <c r="A100" s="2120"/>
      <c r="B100" s="2078"/>
      <c r="C100" s="790" t="str">
        <f>F!C137</f>
        <v>25-50%</v>
      </c>
      <c r="D100" s="299">
        <f>F!D137</f>
        <v>0</v>
      </c>
      <c r="E100" s="450">
        <v>2</v>
      </c>
      <c r="F100" s="451">
        <f>D100*E100</f>
        <v>0</v>
      </c>
      <c r="G100" s="493"/>
      <c r="H100" s="2078"/>
      <c r="I100" s="2096"/>
      <c r="J100" s="274"/>
    </row>
    <row r="101" spans="1:11" ht="15" customHeight="1" x14ac:dyDescent="0.2">
      <c r="A101" s="2120"/>
      <c r="B101" s="2078"/>
      <c r="C101" s="790" t="str">
        <f>F!C138</f>
        <v>50-75%</v>
      </c>
      <c r="D101" s="299">
        <f>F!D138</f>
        <v>0</v>
      </c>
      <c r="E101" s="450">
        <v>3</v>
      </c>
      <c r="F101" s="451">
        <f>D101*E101</f>
        <v>0</v>
      </c>
      <c r="G101" s="493"/>
      <c r="H101" s="2078"/>
      <c r="I101" s="2096"/>
      <c r="J101" s="274"/>
    </row>
    <row r="102" spans="1:11" ht="15" customHeight="1" thickBot="1" x14ac:dyDescent="0.25">
      <c r="A102" s="2120"/>
      <c r="B102" s="2078"/>
      <c r="C102" s="790" t="str">
        <f>F!C139</f>
        <v>&gt;75%</v>
      </c>
      <c r="D102" s="299">
        <f>F!D139</f>
        <v>0</v>
      </c>
      <c r="E102" s="451">
        <v>4</v>
      </c>
      <c r="F102" s="451">
        <f>D102*E102</f>
        <v>0</v>
      </c>
      <c r="G102" s="967"/>
      <c r="H102" s="2079"/>
      <c r="I102" s="2247"/>
      <c r="J102" s="274"/>
    </row>
    <row r="103" spans="1:11" ht="30" customHeight="1" thickBot="1" x14ac:dyDescent="0.25">
      <c r="A103" s="2258" t="str">
        <f>F!A194</f>
        <v>F41</v>
      </c>
      <c r="B103" s="2237" t="str">
        <f>F!B194</f>
        <v>% Bare Ground &amp; Thatch</v>
      </c>
      <c r="C103" s="136" t="str">
        <f>F!C194</f>
        <v>Consider the parts of the AA that lack surface water at the driest time of the growing season.  Viewed from directly above the ground layer, the predominant condition in those areas at that time is:</v>
      </c>
      <c r="D103" s="798"/>
      <c r="E103" s="802"/>
      <c r="F103" s="498"/>
      <c r="G103" s="432">
        <f>MAX(F104:F107)/MAX(E104:E107)</f>
        <v>0</v>
      </c>
      <c r="H103" s="2077" t="s">
        <v>273</v>
      </c>
      <c r="I103" s="2104" t="s">
        <v>1790</v>
      </c>
      <c r="J103" s="274"/>
    </row>
    <row r="104" spans="1:11" ht="42" customHeight="1" x14ac:dyDescent="0.2">
      <c r="A104" s="2241"/>
      <c r="B104" s="2238"/>
      <c r="C104" s="901" t="str">
        <f>F!C195</f>
        <v>Little or no (&lt;5%) bare ground is visible between erect stems or under canopy anywhere in the vegetated AA. Ground is extensively blanketed by dense thatch, moss, lichens, graminoids with great stem densities, or plants with ground-hugging foliage. </v>
      </c>
      <c r="D104" s="629">
        <f>F!D195</f>
        <v>0</v>
      </c>
      <c r="E104" s="803">
        <v>3</v>
      </c>
      <c r="F104" s="803">
        <f>D104*E104</f>
        <v>0</v>
      </c>
      <c r="G104" s="343"/>
      <c r="H104" s="2078"/>
      <c r="I104" s="2105"/>
      <c r="J104" s="274"/>
    </row>
    <row r="105" spans="1:11" ht="27" customHeight="1" x14ac:dyDescent="0.2">
      <c r="A105" s="2241"/>
      <c r="B105" s="2238"/>
      <c r="C105" s="736" t="str">
        <f>F!C196</f>
        <v>Slightly bare ground (5-20% bare between plants) is visible in places, but those areas comprise less than 5% of the unflooded parts of the AA.</v>
      </c>
      <c r="D105" s="965">
        <f>F!D196</f>
        <v>0</v>
      </c>
      <c r="E105" s="803">
        <v>2</v>
      </c>
      <c r="F105" s="803">
        <f>D105*E105</f>
        <v>0</v>
      </c>
      <c r="G105" s="493"/>
      <c r="H105" s="2078"/>
      <c r="I105" s="2105"/>
      <c r="J105" s="274"/>
    </row>
    <row r="106" spans="1:11" ht="27" customHeight="1" x14ac:dyDescent="0.2">
      <c r="A106" s="2241"/>
      <c r="B106" s="2238"/>
      <c r="C106" s="736" t="str">
        <f>F!C197</f>
        <v>Much bare ground (20-50% bare between plants) is visible in places, and those areas comprise more than 5% of the unflooded parts of the AA. </v>
      </c>
      <c r="D106" s="965">
        <f>F!D197</f>
        <v>0</v>
      </c>
      <c r="E106" s="803">
        <v>1</v>
      </c>
      <c r="F106" s="803">
        <f>D106*E106</f>
        <v>0</v>
      </c>
      <c r="G106" s="493"/>
      <c r="H106" s="2078"/>
      <c r="I106" s="2105"/>
      <c r="J106" s="274"/>
    </row>
    <row r="107" spans="1:11" ht="15" customHeight="1" thickBot="1" x14ac:dyDescent="0.25">
      <c r="A107" s="2242"/>
      <c r="B107" s="2239"/>
      <c r="C107" s="737" t="str">
        <f>F!C198</f>
        <v>Other conditions</v>
      </c>
      <c r="D107" s="134">
        <f>F!D198</f>
        <v>0</v>
      </c>
      <c r="E107" s="453">
        <v>0</v>
      </c>
      <c r="F107" s="453">
        <f>D107*E107</f>
        <v>0</v>
      </c>
      <c r="G107" s="494"/>
      <c r="H107" s="2079"/>
      <c r="I107" s="2106"/>
      <c r="J107" s="274"/>
    </row>
    <row r="108" spans="1:11" ht="53.25" customHeight="1" thickBot="1" x14ac:dyDescent="0.25">
      <c r="A108" s="2241" t="str">
        <f>F!A200</f>
        <v>F42</v>
      </c>
      <c r="B108" s="2238" t="str">
        <f>F!B200</f>
        <v>Ground Irregularity</v>
      </c>
      <c r="C108" s="827"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108" s="971"/>
      <c r="E108" s="448"/>
      <c r="F108" s="495"/>
      <c r="G108" s="426">
        <f>MAX(F109:F111)/MAX(E109:E111)</f>
        <v>0</v>
      </c>
      <c r="H108" s="2077" t="s">
        <v>274</v>
      </c>
      <c r="I108" s="2105" t="s">
        <v>324</v>
      </c>
      <c r="J108" s="274"/>
    </row>
    <row r="109" spans="1:11" ht="15" customHeight="1" x14ac:dyDescent="0.2">
      <c r="A109" s="2241"/>
      <c r="B109" s="2238"/>
      <c r="C109" s="901" t="str">
        <f>F!C201</f>
        <v xml:space="preserve">Few or none (minimal microtopography; &lt;1% of that area) </v>
      </c>
      <c r="D109" s="124">
        <f>F!D201</f>
        <v>0</v>
      </c>
      <c r="E109" s="450">
        <v>0</v>
      </c>
      <c r="F109" s="450">
        <f>D109*E109</f>
        <v>0</v>
      </c>
      <c r="G109" s="343"/>
      <c r="H109" s="2078"/>
      <c r="I109" s="2105"/>
      <c r="J109" s="274"/>
    </row>
    <row r="110" spans="1:11" ht="15" customHeight="1" x14ac:dyDescent="0.2">
      <c r="A110" s="2241"/>
      <c r="B110" s="2238"/>
      <c r="C110" s="736" t="str">
        <f>F!C202</f>
        <v>Intermediate</v>
      </c>
      <c r="D110" s="124">
        <f>F!D202</f>
        <v>0</v>
      </c>
      <c r="E110" s="450">
        <v>2</v>
      </c>
      <c r="F110" s="450">
        <f>D110*E110</f>
        <v>0</v>
      </c>
      <c r="G110" s="493"/>
      <c r="H110" s="2078"/>
      <c r="I110" s="2105"/>
      <c r="J110" s="274"/>
    </row>
    <row r="111" spans="1:11" ht="15" customHeight="1" thickBot="1" x14ac:dyDescent="0.25">
      <c r="A111" s="2241"/>
      <c r="B111" s="2238"/>
      <c r="C111" s="790" t="str">
        <f>F!C203</f>
        <v>Several (extensive micro-topography)</v>
      </c>
      <c r="D111" s="968">
        <f>F!D203</f>
        <v>0</v>
      </c>
      <c r="E111" s="806">
        <v>3</v>
      </c>
      <c r="F111" s="806">
        <f>D111*E111</f>
        <v>0</v>
      </c>
      <c r="G111" s="967"/>
      <c r="H111" s="2079"/>
      <c r="I111" s="2105"/>
      <c r="J111" s="274"/>
    </row>
    <row r="112" spans="1:11" ht="21" customHeight="1" thickBot="1" x14ac:dyDescent="0.25">
      <c r="A112" s="2240" t="str">
        <f>F!A204</f>
        <v>F43</v>
      </c>
      <c r="B112" s="2248" t="str">
        <f>F!B204</f>
        <v>Upland Inclusions</v>
      </c>
      <c r="C112" s="116" t="str">
        <f>F!C204</f>
        <v>Within the AA, inclusions of upland that individually are &gt;100 sq.m. are:</v>
      </c>
      <c r="D112" s="798"/>
      <c r="E112" s="802"/>
      <c r="F112" s="498"/>
      <c r="G112" s="432">
        <f>IF((D113=1),"", MAX(F113:F115)/MAX(E113:E115))</f>
        <v>0</v>
      </c>
      <c r="H112" s="2077" t="s">
        <v>275</v>
      </c>
      <c r="I112" s="2104" t="s">
        <v>325</v>
      </c>
      <c r="J112" s="274"/>
    </row>
    <row r="113" spans="1:10" ht="15" customHeight="1" x14ac:dyDescent="0.2">
      <c r="A113" s="2241"/>
      <c r="B113" s="2238"/>
      <c r="C113" s="953" t="str">
        <f>F!C205</f>
        <v>Few or none</v>
      </c>
      <c r="D113" s="808">
        <f>F!D205</f>
        <v>0</v>
      </c>
      <c r="E113" s="803">
        <v>0</v>
      </c>
      <c r="F113" s="803">
        <f>D113*E113</f>
        <v>0</v>
      </c>
      <c r="G113" s="343"/>
      <c r="H113" s="2078"/>
      <c r="I113" s="2105"/>
      <c r="J113" s="274"/>
    </row>
    <row r="114" spans="1:10" ht="15" customHeight="1" x14ac:dyDescent="0.2">
      <c r="A114" s="2241"/>
      <c r="B114" s="2238"/>
      <c r="C114" s="785" t="str">
        <f>F!C206</f>
        <v>Intermediate (1 - 10% of vegetated part of the AA).</v>
      </c>
      <c r="D114" s="808">
        <f>F!D206</f>
        <v>0</v>
      </c>
      <c r="E114" s="803">
        <v>1</v>
      </c>
      <c r="F114" s="803">
        <f>D114*E114</f>
        <v>0</v>
      </c>
      <c r="G114" s="503"/>
      <c r="H114" s="2078"/>
      <c r="I114" s="2105"/>
      <c r="J114" s="274"/>
    </row>
    <row r="115" spans="1:10" ht="15" customHeight="1" thickBot="1" x14ac:dyDescent="0.25">
      <c r="A115" s="2242"/>
      <c r="B115" s="2239"/>
      <c r="C115" s="106" t="str">
        <f>F!C207</f>
        <v>Many (e.g., wetland-upland "mosaic", &gt;10% of the vegetated AA).</v>
      </c>
      <c r="D115" s="300">
        <f>F!D207</f>
        <v>0</v>
      </c>
      <c r="E115" s="453">
        <v>2</v>
      </c>
      <c r="F115" s="453">
        <f>D115*E115</f>
        <v>0</v>
      </c>
      <c r="G115" s="494"/>
      <c r="H115" s="2079"/>
      <c r="I115" s="2106"/>
      <c r="J115" s="274"/>
    </row>
    <row r="116" spans="1:10" ht="45" customHeight="1" thickBot="1" x14ac:dyDescent="0.25">
      <c r="A116" s="2241" t="str">
        <f>F!A208</f>
        <v>F44</v>
      </c>
      <c r="B116" s="2238" t="str">
        <f>F!B208</f>
        <v>Soil Texture</v>
      </c>
      <c r="C116" s="827" t="str">
        <f>F!C208</f>
        <v>In parts of the AA that lack persistent water, the texture of soil in the uppermost layer is mostly:  [To determine this, use a trowel to check in at least 3 widely spaced locations, and use the soil texture key in Appendix A of the Manual]</v>
      </c>
      <c r="D116" s="971"/>
      <c r="E116" s="448"/>
      <c r="F116" s="495"/>
      <c r="G116" s="426">
        <f>MAX(F117:F120)/MAX(E117:E120)</f>
        <v>0</v>
      </c>
      <c r="H116" s="2077" t="s">
        <v>276</v>
      </c>
      <c r="I116" s="2105" t="s">
        <v>1675</v>
      </c>
      <c r="J116" s="274"/>
    </row>
    <row r="117" spans="1:10" ht="15" customHeight="1" x14ac:dyDescent="0.2">
      <c r="A117" s="2241"/>
      <c r="B117" s="2238"/>
      <c r="C117" s="901" t="str">
        <f>F!C209</f>
        <v>Loamy: includes loam, sandy loam</v>
      </c>
      <c r="D117" s="124">
        <f>F!D209</f>
        <v>0</v>
      </c>
      <c r="E117" s="450">
        <v>1</v>
      </c>
      <c r="F117" s="450">
        <f>D117*E117</f>
        <v>0</v>
      </c>
      <c r="G117" s="343"/>
      <c r="H117" s="2078"/>
      <c r="I117" s="2105"/>
      <c r="J117" s="274"/>
    </row>
    <row r="118" spans="1:10" ht="27" customHeight="1" x14ac:dyDescent="0.2">
      <c r="A118" s="2241"/>
      <c r="B118" s="2238"/>
      <c r="C118" s="736" t="str">
        <f>F!C210</f>
        <v>Fines: includes silt, glacial flour, clay, clay loam, silty clay, silty clay loam, sandy clay, sandy clay loam.</v>
      </c>
      <c r="D118" s="124">
        <f>F!D210</f>
        <v>0</v>
      </c>
      <c r="E118" s="450">
        <v>2</v>
      </c>
      <c r="F118" s="450">
        <f>D118*E118</f>
        <v>0</v>
      </c>
      <c r="G118" s="493"/>
      <c r="H118" s="2078"/>
      <c r="I118" s="2105"/>
      <c r="J118" s="274"/>
    </row>
    <row r="119" spans="1:10" ht="15" customHeight="1" x14ac:dyDescent="0.2">
      <c r="A119" s="2241"/>
      <c r="B119" s="2238"/>
      <c r="C119" s="736" t="str">
        <f>F!C211</f>
        <v>Organic</v>
      </c>
      <c r="D119" s="124">
        <f>F!D211</f>
        <v>0</v>
      </c>
      <c r="E119" s="450">
        <v>3</v>
      </c>
      <c r="F119" s="450">
        <f>D119*E119</f>
        <v>0</v>
      </c>
      <c r="G119" s="493"/>
      <c r="H119" s="2078"/>
      <c r="I119" s="2105"/>
      <c r="J119" s="274"/>
    </row>
    <row r="120" spans="1:10" ht="27" customHeight="1" thickBot="1" x14ac:dyDescent="0.25">
      <c r="A120" s="2241"/>
      <c r="B120" s="2238"/>
      <c r="C120" s="790" t="str">
        <f>F!C212</f>
        <v>Coarse: includes sand, loamy sand, gravel, cobble, stones, boulders, fluvents, fluvaquents, riverwash.</v>
      </c>
      <c r="D120" s="299">
        <f>F!D212</f>
        <v>0</v>
      </c>
      <c r="E120" s="451">
        <v>0</v>
      </c>
      <c r="F120" s="451">
        <f>D120*E120</f>
        <v>0</v>
      </c>
      <c r="G120" s="967"/>
      <c r="H120" s="2079"/>
      <c r="I120" s="2105"/>
      <c r="J120" s="274"/>
    </row>
    <row r="121" spans="1:10" ht="30" customHeight="1" thickBot="1" x14ac:dyDescent="0.25">
      <c r="A121" s="2249" t="str">
        <f>F!A259</f>
        <v>F55</v>
      </c>
      <c r="B121" s="2233" t="str">
        <f>F!B259</f>
        <v>New Wetland</v>
      </c>
      <c r="C121" s="954" t="str">
        <f>F!C259</f>
        <v>The AA is (or is within, or contains) a "new" wetland resulting from human actions (e.g., excavation, impoundment) or debris flows,  or other factors affecting what once was upland (non-hydric) soil.</v>
      </c>
      <c r="D121" s="523"/>
      <c r="E121" s="492"/>
      <c r="F121" s="504"/>
      <c r="G121" s="432">
        <f>IF((D127=1),"",MAX(F122:F126)/MAX(E122:E126))</f>
        <v>0</v>
      </c>
      <c r="H121" s="2077" t="s">
        <v>278</v>
      </c>
      <c r="I121" s="2252" t="s">
        <v>785</v>
      </c>
      <c r="J121" s="274"/>
    </row>
    <row r="122" spans="1:10" ht="15" customHeight="1" x14ac:dyDescent="0.2">
      <c r="A122" s="2250"/>
      <c r="B122" s="2234"/>
      <c r="C122" s="955" t="str">
        <f>F!C260</f>
        <v>No</v>
      </c>
      <c r="D122" s="965">
        <f>F!D260</f>
        <v>0</v>
      </c>
      <c r="E122" s="806">
        <v>5</v>
      </c>
      <c r="F122" s="803">
        <f>D122*E122</f>
        <v>0</v>
      </c>
      <c r="G122" s="503"/>
      <c r="H122" s="2078"/>
      <c r="I122" s="2231"/>
      <c r="J122" s="274"/>
    </row>
    <row r="123" spans="1:10" ht="15" customHeight="1" x14ac:dyDescent="0.2">
      <c r="A123" s="2250"/>
      <c r="B123" s="2234"/>
      <c r="C123" s="956" t="str">
        <f>F!C261</f>
        <v xml:space="preserve">yes, and created 20 - 100 years ago </v>
      </c>
      <c r="D123" s="968">
        <f>F!D261</f>
        <v>0</v>
      </c>
      <c r="E123" s="806">
        <v>2</v>
      </c>
      <c r="F123" s="803">
        <f>D123*E123</f>
        <v>0</v>
      </c>
      <c r="G123" s="967"/>
      <c r="H123" s="2078"/>
      <c r="I123" s="2231"/>
      <c r="J123" s="274"/>
    </row>
    <row r="124" spans="1:10" ht="15" customHeight="1" x14ac:dyDescent="0.2">
      <c r="A124" s="2250"/>
      <c r="B124" s="2234"/>
      <c r="C124" s="956" t="str">
        <f>F!C262</f>
        <v>yes, and created 3-20 years ago</v>
      </c>
      <c r="D124" s="968">
        <f>F!D262</f>
        <v>0</v>
      </c>
      <c r="E124" s="806">
        <v>1</v>
      </c>
      <c r="F124" s="803">
        <f>D124*E124</f>
        <v>0</v>
      </c>
      <c r="G124" s="967"/>
      <c r="H124" s="2078"/>
      <c r="I124" s="2231"/>
      <c r="J124" s="274"/>
    </row>
    <row r="125" spans="1:10" ht="15" customHeight="1" x14ac:dyDescent="0.2">
      <c r="A125" s="2250"/>
      <c r="B125" s="2234"/>
      <c r="C125" s="956" t="str">
        <f>F!C263</f>
        <v>yes, and created within last 3 years</v>
      </c>
      <c r="D125" s="968">
        <f>F!D263</f>
        <v>0</v>
      </c>
      <c r="E125" s="806">
        <v>0</v>
      </c>
      <c r="F125" s="803">
        <f>D125*E125</f>
        <v>0</v>
      </c>
      <c r="G125" s="967"/>
      <c r="H125" s="2078"/>
      <c r="I125" s="2231"/>
      <c r="J125" s="274"/>
    </row>
    <row r="126" spans="1:10" ht="15" customHeight="1" x14ac:dyDescent="0.2">
      <c r="A126" s="2250"/>
      <c r="B126" s="2234"/>
      <c r="C126" s="956" t="str">
        <f>F!C264</f>
        <v>yes, but time of origin unknown</v>
      </c>
      <c r="D126" s="968">
        <f>F!D264</f>
        <v>0</v>
      </c>
      <c r="E126" s="806">
        <v>1</v>
      </c>
      <c r="F126" s="803">
        <f>D126*E126</f>
        <v>0</v>
      </c>
      <c r="G126" s="967"/>
      <c r="H126" s="2078"/>
      <c r="I126" s="2231"/>
      <c r="J126" s="274"/>
    </row>
    <row r="127" spans="1:10" ht="15" customHeight="1" thickBot="1" x14ac:dyDescent="0.25">
      <c r="A127" s="2251"/>
      <c r="B127" s="2235"/>
      <c r="C127" s="973" t="str">
        <f>F!C265</f>
        <v>unknown if new within 20 years or not</v>
      </c>
      <c r="D127" s="134">
        <f>F!D265</f>
        <v>0</v>
      </c>
      <c r="E127" s="453"/>
      <c r="F127" s="453"/>
      <c r="G127" s="494"/>
      <c r="H127" s="2079"/>
      <c r="I127" s="2236"/>
      <c r="J127" s="274"/>
    </row>
    <row r="128" spans="1:10" ht="80.25" customHeight="1" thickBot="1" x14ac:dyDescent="0.25">
      <c r="A128" s="2225" t="str">
        <f>F!A323</f>
        <v>F68</v>
      </c>
      <c r="B128" s="2232" t="str">
        <f>F!B323</f>
        <v>Wetland as a % of Its Contributing Area (Catchment)</v>
      </c>
      <c r="C128" s="972" t="str">
        <f>F!C323</f>
        <v>View the approximate boundaries of the wetland's catchment (CA) as shown in the map AESRD provides in response to your data request.  Then adjust those boundaries if necessary based on your field observations of the surrounding terrain, and/or by using procedures described in the ABWRET Manual. Relative to the extent of this catchment (but excluding the area of the AA), this AA and any bordering waters together comprise (select ONE):</v>
      </c>
      <c r="D128" s="971"/>
      <c r="E128" s="448"/>
      <c r="F128" s="448"/>
      <c r="G128" s="464">
        <f>(MAX(F129:F132))/MAX(E129:E132)</f>
        <v>0</v>
      </c>
      <c r="H128" s="2077" t="s">
        <v>1232</v>
      </c>
      <c r="I128" s="2231" t="s">
        <v>692</v>
      </c>
      <c r="J128" s="274"/>
    </row>
    <row r="129" spans="1:11" ht="15" customHeight="1" x14ac:dyDescent="0.2">
      <c r="A129" s="2225"/>
      <c r="B129" s="2232"/>
      <c r="C129" s="957" t="str">
        <f>F!C324</f>
        <v>&lt;1% of their catchment</v>
      </c>
      <c r="D129" s="299">
        <f>F!D324</f>
        <v>0</v>
      </c>
      <c r="E129" s="465">
        <v>0</v>
      </c>
      <c r="F129" s="465">
        <f>D129*E129</f>
        <v>0</v>
      </c>
      <c r="G129" s="493"/>
      <c r="H129" s="2078"/>
      <c r="I129" s="2231"/>
      <c r="J129" s="274"/>
    </row>
    <row r="130" spans="1:11" ht="15" customHeight="1" x14ac:dyDescent="0.2">
      <c r="A130" s="2225"/>
      <c r="B130" s="2232"/>
      <c r="C130" s="958" t="str">
        <f>F!C325</f>
        <v>1 to 10% of their catchment</v>
      </c>
      <c r="D130" s="299">
        <f>F!D325</f>
        <v>0</v>
      </c>
      <c r="E130" s="465">
        <v>1</v>
      </c>
      <c r="F130" s="465">
        <f>D130*E130</f>
        <v>0</v>
      </c>
      <c r="G130" s="493"/>
      <c r="H130" s="2078"/>
      <c r="I130" s="2231"/>
      <c r="J130" s="274"/>
    </row>
    <row r="131" spans="1:11" ht="15" customHeight="1" x14ac:dyDescent="0.2">
      <c r="A131" s="2225"/>
      <c r="B131" s="2232"/>
      <c r="C131" s="958" t="str">
        <f>F!C326</f>
        <v>10 to 100%  of their catchment</v>
      </c>
      <c r="D131" s="299">
        <f>F!D326</f>
        <v>0</v>
      </c>
      <c r="E131" s="465">
        <v>2</v>
      </c>
      <c r="F131" s="465">
        <f>D131*E131</f>
        <v>0</v>
      </c>
      <c r="G131" s="493"/>
      <c r="H131" s="2078"/>
      <c r="I131" s="2231"/>
      <c r="J131" s="274"/>
    </row>
    <row r="132" spans="1:11" ht="27" customHeight="1" thickBot="1" x14ac:dyDescent="0.25">
      <c r="A132" s="2225"/>
      <c r="B132" s="2232"/>
      <c r="C132" s="958" t="str">
        <f>F!C327</f>
        <v xml:space="preserve">Larger than the area of their catchment (wetland has essentially no catchment, e.g., isolated by dikes with no input channels, or is a raised bog). </v>
      </c>
      <c r="D132" s="968">
        <f>F!D327</f>
        <v>0</v>
      </c>
      <c r="E132" s="841">
        <v>3</v>
      </c>
      <c r="F132" s="841">
        <f>D132*E132</f>
        <v>0</v>
      </c>
      <c r="G132" s="967"/>
      <c r="H132" s="2079"/>
      <c r="I132" s="2231"/>
      <c r="J132" s="274"/>
    </row>
    <row r="133" spans="1:11" ht="60" customHeight="1" thickBot="1" x14ac:dyDescent="0.25">
      <c r="A133" s="99" t="str">
        <f>S!A64</f>
        <v>S9</v>
      </c>
      <c r="B133" s="934" t="str">
        <f>S!B64</f>
        <v>Soil or Sediment Alteration Within the Assessment Area</v>
      </c>
      <c r="C133" s="136" t="str">
        <f>S!E81</f>
        <v>Stressor Subscore=</v>
      </c>
      <c r="D133" s="631">
        <f>S!F81</f>
        <v>0</v>
      </c>
      <c r="E133" s="505"/>
      <c r="F133" s="506"/>
      <c r="G133" s="432" t="str">
        <f>IF((D133=0),"",1-(D133/5))</f>
        <v/>
      </c>
      <c r="H133" s="99" t="s">
        <v>1802</v>
      </c>
      <c r="I133" s="195" t="s">
        <v>322</v>
      </c>
      <c r="J133" s="274"/>
    </row>
    <row r="134" spans="1:11" ht="21" customHeight="1" thickBot="1" x14ac:dyDescent="0.25">
      <c r="A134" s="1515"/>
      <c r="B134" s="1515"/>
      <c r="C134" s="127"/>
      <c r="D134" s="1515"/>
      <c r="E134" s="1515"/>
      <c r="F134" s="1515"/>
      <c r="G134" s="1515"/>
      <c r="H134" s="1442"/>
      <c r="I134" s="1442"/>
    </row>
    <row r="135" spans="1:11" s="39" customFormat="1" ht="21" customHeight="1" thickBot="1" x14ac:dyDescent="0.25">
      <c r="A135" s="7"/>
      <c r="B135" s="1517"/>
      <c r="C135" s="833" t="s">
        <v>1131</v>
      </c>
      <c r="D135" s="1517"/>
      <c r="E135" s="1517"/>
      <c r="F135" s="1517"/>
      <c r="G135" s="1517"/>
      <c r="H135" s="162"/>
      <c r="I135" s="162"/>
      <c r="J135" s="200"/>
    </row>
    <row r="136" spans="1:11" s="39" customFormat="1" ht="27.75" customHeight="1" thickBot="1" x14ac:dyDescent="0.25">
      <c r="A136" s="7"/>
      <c r="B136" s="818" t="s">
        <v>1115</v>
      </c>
      <c r="C136" s="813" t="s">
        <v>1951</v>
      </c>
      <c r="D136" s="632"/>
      <c r="E136" s="325"/>
      <c r="F136" s="325"/>
      <c r="G136" s="530">
        <f>IF((GT10HA=1),G137,IFERROR(AVERAGE(GrowDD, 1-Sub0Days, Aspect, WoodyPct4, Gcover4),""))</f>
        <v>0.33333333333333331</v>
      </c>
      <c r="H136" s="162"/>
      <c r="I136" s="162"/>
      <c r="J136" s="214"/>
      <c r="K136" s="42"/>
    </row>
    <row r="137" spans="1:11" s="39" customFormat="1" ht="29.25" customHeight="1" thickBot="1" x14ac:dyDescent="0.25">
      <c r="A137" s="7"/>
      <c r="B137" s="819" t="s">
        <v>1116</v>
      </c>
      <c r="C137" s="737" t="s">
        <v>1950</v>
      </c>
      <c r="D137" s="633"/>
      <c r="E137" s="327"/>
      <c r="F137" s="327"/>
      <c r="G137" s="781">
        <f>IFERROR(AVERAGE(GrowDD, 1-Sub0Days, Aspect, WetWooded, Gcover4),"")</f>
        <v>0.5</v>
      </c>
      <c r="H137" s="162"/>
      <c r="I137" s="162"/>
      <c r="J137" s="214"/>
      <c r="K137" s="42"/>
    </row>
    <row r="138" spans="1:11" s="39" customFormat="1" ht="21" customHeight="1" thickBot="1" x14ac:dyDescent="0.25">
      <c r="A138" s="7"/>
      <c r="B138" s="1515"/>
      <c r="D138" s="1542"/>
      <c r="E138" s="1542"/>
      <c r="F138" s="1542"/>
      <c r="G138" s="1542"/>
      <c r="H138" s="162"/>
      <c r="I138" s="162"/>
      <c r="J138" s="199"/>
    </row>
    <row r="139" spans="1:11" s="39" customFormat="1" ht="21" customHeight="1" thickBot="1" x14ac:dyDescent="0.25">
      <c r="A139" s="7"/>
      <c r="B139" s="1517"/>
      <c r="C139" s="833" t="s">
        <v>1741</v>
      </c>
      <c r="D139" s="1543"/>
      <c r="E139" s="1543"/>
      <c r="F139" s="1543"/>
      <c r="G139" s="1543"/>
      <c r="H139" s="162"/>
      <c r="I139" s="162"/>
      <c r="J139" s="199"/>
    </row>
    <row r="140" spans="1:11" s="39" customFormat="1" ht="25.5" customHeight="1" thickBot="1" x14ac:dyDescent="0.25">
      <c r="A140" s="7"/>
      <c r="B140" s="818" t="s">
        <v>1115</v>
      </c>
      <c r="C140" s="813" t="s">
        <v>1797</v>
      </c>
      <c r="D140" s="632"/>
      <c r="E140" s="325"/>
      <c r="F140" s="325"/>
      <c r="G140" s="530">
        <f>IF((GT10HA=1),G141,IFERROR(AVERAGE(SoilTex4, SoilOrgPct, SoilDisturb4, WetVegArea, OWpct4, Wettype4, NewWet),""))</f>
        <v>0</v>
      </c>
      <c r="H140" s="162"/>
      <c r="I140" s="162"/>
      <c r="J140" s="199"/>
    </row>
    <row r="141" spans="1:11" s="39" customFormat="1" ht="27" customHeight="1" thickBot="1" x14ac:dyDescent="0.25">
      <c r="A141" s="7"/>
      <c r="B141" s="819" t="s">
        <v>1116</v>
      </c>
      <c r="C141" s="737" t="s">
        <v>2181</v>
      </c>
      <c r="D141" s="633"/>
      <c r="E141" s="327"/>
      <c r="F141" s="327"/>
      <c r="G141" s="781">
        <f>IFERROR(AVERAGE(SoilTex_NROE, SoilOrgPct, SoilDisturb4, WetVegArea, 1-OWpct, Wettype4, NewWet),"")</f>
        <v>0.33333333333333331</v>
      </c>
      <c r="H141" s="162"/>
      <c r="I141" s="162"/>
      <c r="J141" s="199"/>
    </row>
    <row r="142" spans="1:11" s="39" customFormat="1" ht="21" customHeight="1" thickBot="1" x14ac:dyDescent="0.25">
      <c r="A142" s="7"/>
      <c r="B142" s="1515"/>
      <c r="D142" s="1542"/>
      <c r="E142" s="1542"/>
      <c r="F142" s="1542"/>
      <c r="G142" s="1542"/>
      <c r="H142" s="162"/>
      <c r="I142" s="162"/>
      <c r="J142" s="199"/>
    </row>
    <row r="143" spans="1:11" s="39" customFormat="1" ht="21" customHeight="1" thickBot="1" x14ac:dyDescent="0.25">
      <c r="A143" s="7"/>
      <c r="B143" s="1517"/>
      <c r="C143" s="833" t="s">
        <v>1132</v>
      </c>
      <c r="D143" s="1543"/>
      <c r="E143" s="1543"/>
      <c r="F143" s="1543"/>
      <c r="G143" s="1543"/>
      <c r="H143" s="162"/>
      <c r="I143" s="162"/>
      <c r="J143" s="199"/>
    </row>
    <row r="144" spans="1:11" s="39" customFormat="1" ht="30" customHeight="1" thickBot="1" x14ac:dyDescent="0.25">
      <c r="A144" s="7"/>
      <c r="B144" s="818" t="s">
        <v>1115</v>
      </c>
      <c r="C144" s="813" t="s">
        <v>1798</v>
      </c>
      <c r="D144" s="632"/>
      <c r="E144" s="325"/>
      <c r="F144" s="325"/>
      <c r="G144" s="530">
        <f>IF((GT10HA=1),G145, IFERROR(AVERAGE(1-WatProb, WetPerim2Area, SwampMarshPct, Interspers4,Inclus4,Groundw4, PermWpct4, SatPct4, SeasWpct4, Fluctu4),""))</f>
        <v>0.125</v>
      </c>
      <c r="H144" s="162"/>
      <c r="I144" s="162"/>
      <c r="J144" s="199"/>
    </row>
    <row r="145" spans="1:10" s="39" customFormat="1" ht="30.75" customHeight="1" thickBot="1" x14ac:dyDescent="0.25">
      <c r="A145" s="7"/>
      <c r="B145" s="819" t="s">
        <v>1116</v>
      </c>
      <c r="C145" s="737" t="s">
        <v>1952</v>
      </c>
      <c r="D145" s="633"/>
      <c r="E145" s="327"/>
      <c r="F145" s="327"/>
      <c r="G145" s="781">
        <f>IFERROR(AVERAGE(1-WatProb, WetPerim2Area, SwampMarshPct, MixWaterVeg,Groundw4, Inclus4, PermWpct4, SatPct4, SeasWpct4, Fluctu4),"")</f>
        <v>0.14285714285714285</v>
      </c>
      <c r="H145" s="162"/>
      <c r="I145" s="162"/>
      <c r="J145" s="213"/>
    </row>
    <row r="146" spans="1:10" s="39" customFormat="1" ht="21" customHeight="1" thickBot="1" x14ac:dyDescent="0.25">
      <c r="A146" s="7"/>
      <c r="B146" s="1515"/>
      <c r="C146" s="5"/>
      <c r="D146" s="1553"/>
      <c r="E146" s="1553"/>
      <c r="F146" s="1553"/>
      <c r="G146" s="1553"/>
      <c r="H146" s="162"/>
      <c r="I146" s="162"/>
      <c r="J146" s="213"/>
    </row>
    <row r="147" spans="1:10" s="39" customFormat="1" ht="21" customHeight="1" thickBot="1" x14ac:dyDescent="0.25">
      <c r="A147" s="7"/>
      <c r="B147" s="1517"/>
      <c r="C147" s="833" t="s">
        <v>1133</v>
      </c>
      <c r="D147" s="1554"/>
      <c r="E147" s="1554"/>
      <c r="F147" s="1554"/>
      <c r="G147" s="1554"/>
      <c r="H147" s="162"/>
      <c r="I147" s="162"/>
      <c r="J147" s="199"/>
    </row>
    <row r="148" spans="1:10" s="39" customFormat="1" ht="27.75" customHeight="1" thickBot="1" x14ac:dyDescent="0.25">
      <c r="A148" s="7"/>
      <c r="B148" s="818" t="s">
        <v>1115</v>
      </c>
      <c r="C148" s="813" t="s">
        <v>1799</v>
      </c>
      <c r="D148" s="632"/>
      <c r="E148" s="325"/>
      <c r="F148" s="325"/>
      <c r="G148" s="530">
        <f>IF((GT10HA=1),G149, IFERROR(AVERAGE(WetPctCA4, Gradient4, PondPct4,  ThruFlo4, Girreg4, Constric4, VwidthAbs4),""))</f>
        <v>0</v>
      </c>
      <c r="H148" s="162"/>
      <c r="I148" s="162"/>
      <c r="J148" s="199"/>
    </row>
    <row r="149" spans="1:10" s="39" customFormat="1" ht="28.5" customHeight="1" thickBot="1" x14ac:dyDescent="0.25">
      <c r="A149" s="7"/>
      <c r="B149" s="819" t="s">
        <v>1116</v>
      </c>
      <c r="C149" s="737" t="s">
        <v>1953</v>
      </c>
      <c r="D149" s="633"/>
      <c r="E149" s="327"/>
      <c r="F149" s="327"/>
      <c r="G149" s="781">
        <f>IFERROR(AVERAGE(WetPctCA4, LGIndex, Gradient4, PondPct4,  ThruFlo4, Girreg4, Constric4, VwidthAbs4),"")</f>
        <v>0</v>
      </c>
      <c r="H149" s="162"/>
      <c r="I149" s="162"/>
      <c r="J149" s="213"/>
    </row>
    <row r="150" spans="1:10" s="39" customFormat="1" ht="21" customHeight="1" thickBot="1" x14ac:dyDescent="0.25">
      <c r="A150" s="191"/>
      <c r="B150" s="191"/>
      <c r="C150" s="5"/>
      <c r="D150" s="1553"/>
      <c r="E150" s="1553"/>
      <c r="F150" s="1553"/>
      <c r="G150" s="1553"/>
      <c r="H150" s="162"/>
      <c r="I150" s="162"/>
      <c r="J150" s="213"/>
    </row>
    <row r="151" spans="1:10" s="39" customFormat="1" ht="21" customHeight="1" thickBot="1" x14ac:dyDescent="0.25">
      <c r="A151" s="191"/>
      <c r="B151" s="191"/>
      <c r="C151" s="833" t="s">
        <v>1123</v>
      </c>
      <c r="D151" s="1554"/>
      <c r="E151" s="1554"/>
      <c r="F151" s="1554"/>
      <c r="G151" s="1554"/>
      <c r="H151" s="162"/>
      <c r="I151" s="162"/>
      <c r="J151" s="199"/>
    </row>
    <row r="152" spans="1:10" s="39" customFormat="1" ht="21" customHeight="1" thickBot="1" x14ac:dyDescent="0.25">
      <c r="A152" s="191"/>
      <c r="B152" s="191"/>
      <c r="C152" s="107" t="s">
        <v>271</v>
      </c>
      <c r="D152" s="978"/>
      <c r="E152" s="420"/>
      <c r="F152" s="420"/>
      <c r="G152" s="1643">
        <f>OutDura4</f>
        <v>0</v>
      </c>
      <c r="H152" s="162"/>
      <c r="I152" s="162"/>
      <c r="J152" s="199"/>
    </row>
    <row r="153" spans="1:10" s="39" customFormat="1" ht="21" customHeight="1" thickBot="1" x14ac:dyDescent="0.25">
      <c r="A153" s="191"/>
      <c r="B153" s="191"/>
      <c r="D153" s="1542"/>
      <c r="E153" s="1542"/>
      <c r="F153" s="1542"/>
      <c r="G153" s="1542"/>
      <c r="H153" s="162"/>
      <c r="I153" s="162"/>
      <c r="J153" s="199"/>
    </row>
    <row r="154" spans="1:10" s="39" customFormat="1" ht="21" customHeight="1" thickBot="1" x14ac:dyDescent="0.25">
      <c r="A154" s="191"/>
      <c r="B154" s="191"/>
      <c r="C154" s="1635" t="s">
        <v>1339</v>
      </c>
      <c r="D154" s="1555"/>
      <c r="E154" s="1555"/>
      <c r="F154" s="1555"/>
      <c r="G154" s="1555"/>
      <c r="H154" s="162"/>
      <c r="I154" s="162"/>
      <c r="J154" s="199"/>
    </row>
    <row r="155" spans="1:10" s="39" customFormat="1" ht="21" customHeight="1" thickBot="1" x14ac:dyDescent="0.25">
      <c r="A155" s="191"/>
      <c r="B155" s="191"/>
      <c r="C155" s="903" t="s">
        <v>1138</v>
      </c>
      <c r="D155" s="1543"/>
      <c r="E155" s="1543"/>
      <c r="F155" s="1543"/>
      <c r="G155" s="1543"/>
      <c r="H155" s="162"/>
      <c r="I155" s="162"/>
      <c r="J155" s="199"/>
    </row>
    <row r="156" spans="1:10" s="39" customFormat="1" ht="31.5" customHeight="1" thickBot="1" x14ac:dyDescent="0.25">
      <c r="A156" s="191"/>
      <c r="B156" s="191"/>
      <c r="C156" s="107" t="s">
        <v>2182</v>
      </c>
      <c r="D156" s="978"/>
      <c r="E156" s="420"/>
      <c r="F156" s="420"/>
      <c r="G156" s="1631">
        <f>IF((OutNone + OutNone1&gt;0),10, 10*AVERAGE(TEMP1A, CARB1A, REDOX1A, DELAY1A, OutDura4))</f>
        <v>0.91666666666666663</v>
      </c>
      <c r="H156" s="162"/>
      <c r="I156" s="162"/>
      <c r="J156" s="199"/>
    </row>
    <row r="157" spans="1:10" ht="21" customHeight="1" thickBot="1" x14ac:dyDescent="0.25">
      <c r="A157" s="191"/>
      <c r="B157" s="191"/>
      <c r="D157" s="1557"/>
      <c r="E157" s="1556"/>
      <c r="F157" s="1556"/>
      <c r="G157" s="1556"/>
      <c r="H157" s="1441"/>
      <c r="I157" s="160" t="s">
        <v>357</v>
      </c>
      <c r="J157" s="213"/>
    </row>
    <row r="158" spans="1:10" ht="39" thickBot="1" x14ac:dyDescent="0.25">
      <c r="A158" s="1544"/>
      <c r="B158" s="1544"/>
      <c r="C158" s="1534" t="s">
        <v>1334</v>
      </c>
      <c r="D158" s="1558"/>
      <c r="E158" s="1556"/>
      <c r="F158" s="1556"/>
      <c r="G158" s="1556"/>
      <c r="H158" s="1441"/>
      <c r="I158" s="398" t="s">
        <v>1746</v>
      </c>
      <c r="J158" s="213"/>
    </row>
    <row r="159" spans="1:10" s="177" customFormat="1" ht="39.75" customHeight="1" x14ac:dyDescent="0.2">
      <c r="A159" s="1559"/>
      <c r="B159" s="1525">
        <v>1</v>
      </c>
      <c r="C159" s="1532" t="s">
        <v>1212</v>
      </c>
      <c r="D159" s="1558"/>
      <c r="E159" s="1556"/>
      <c r="F159" s="1556"/>
      <c r="G159" s="1556"/>
      <c r="H159" s="1441"/>
      <c r="I159" s="398" t="s">
        <v>937</v>
      </c>
      <c r="J159" s="214"/>
    </row>
    <row r="160" spans="1:10" s="177" customFormat="1" ht="40.5" customHeight="1" x14ac:dyDescent="0.2">
      <c r="A160" s="1559"/>
      <c r="B160" s="1525">
        <v>2</v>
      </c>
      <c r="C160" s="1532" t="s">
        <v>1213</v>
      </c>
      <c r="D160" s="1558"/>
      <c r="E160" s="1556"/>
      <c r="F160" s="1556"/>
      <c r="G160" s="1556"/>
      <c r="H160" s="1441"/>
      <c r="I160" s="202" t="s">
        <v>405</v>
      </c>
      <c r="J160" s="214"/>
    </row>
    <row r="161" spans="1:10" s="177" customFormat="1" ht="27" customHeight="1" x14ac:dyDescent="0.2">
      <c r="A161" s="1559"/>
      <c r="B161" s="1533" t="s">
        <v>1217</v>
      </c>
      <c r="C161" s="1560" t="s">
        <v>1740</v>
      </c>
      <c r="D161" s="1561">
        <f>IFERROR(AVERAGE(1-Sub0Days, GrowDD),"")</f>
        <v>1</v>
      </c>
      <c r="E161" s="1556"/>
      <c r="F161" s="1556"/>
      <c r="G161" s="1556"/>
      <c r="H161" s="1441"/>
      <c r="I161" s="202" t="s">
        <v>1747</v>
      </c>
      <c r="J161" s="214"/>
    </row>
    <row r="162" spans="1:10" s="177" customFormat="1" ht="57" customHeight="1" x14ac:dyDescent="0.2">
      <c r="A162" s="1559"/>
      <c r="B162" s="1533" t="s">
        <v>1218</v>
      </c>
      <c r="C162" s="1560" t="s">
        <v>1742</v>
      </c>
      <c r="D162" s="1561" t="str">
        <f>IFERROR(AVERAGE(Aspect,WetWooded),"")</f>
        <v/>
      </c>
      <c r="E162" s="1556"/>
      <c r="F162" s="1556"/>
      <c r="G162" s="1556"/>
      <c r="H162" s="1441"/>
      <c r="I162" s="161" t="s">
        <v>1748</v>
      </c>
      <c r="J162" s="214"/>
    </row>
    <row r="163" spans="1:10" s="177" customFormat="1" ht="53.25" customHeight="1" x14ac:dyDescent="0.2">
      <c r="A163" s="1559"/>
      <c r="B163" s="1533" t="s">
        <v>1220</v>
      </c>
      <c r="C163" s="1560" t="s">
        <v>1221</v>
      </c>
      <c r="D163" s="1561">
        <f>IFERROR(AVERAGE(D161,D162),"")</f>
        <v>1</v>
      </c>
      <c r="E163" s="1556"/>
      <c r="F163" s="1556"/>
      <c r="G163" s="1556"/>
      <c r="H163" s="1441"/>
      <c r="I163" s="202" t="s">
        <v>1749</v>
      </c>
      <c r="J163" s="214"/>
    </row>
    <row r="164" spans="1:10" s="177" customFormat="1" ht="57" customHeight="1" x14ac:dyDescent="0.2">
      <c r="A164" s="1559"/>
      <c r="B164" s="1533" t="s">
        <v>1222</v>
      </c>
      <c r="C164" s="1560" t="s">
        <v>1223</v>
      </c>
      <c r="D164" s="1561" t="str">
        <f>IFERROR(AVERAGE(SoilTex, SoilOrgPct),"")</f>
        <v/>
      </c>
      <c r="E164" s="1556"/>
      <c r="F164" s="1556"/>
      <c r="G164" s="1556"/>
      <c r="H164" s="1441"/>
      <c r="I164" s="603" t="s">
        <v>1750</v>
      </c>
      <c r="J164" s="214"/>
    </row>
    <row r="165" spans="1:10" s="177" customFormat="1" ht="27" customHeight="1" x14ac:dyDescent="0.2">
      <c r="A165" s="1559"/>
      <c r="B165" s="1533" t="s">
        <v>1224</v>
      </c>
      <c r="C165" s="1560" t="s">
        <v>1225</v>
      </c>
      <c r="D165" s="1561" t="str">
        <f>IF((LGIndex=""),"", LGIndex)</f>
        <v/>
      </c>
      <c r="E165" s="1556"/>
      <c r="F165" s="1556"/>
      <c r="G165" s="1556"/>
      <c r="H165" s="1441"/>
      <c r="I165" s="174" t="s">
        <v>1751</v>
      </c>
      <c r="J165" s="214"/>
    </row>
    <row r="166" spans="1:10" s="177" customFormat="1" ht="42" customHeight="1" x14ac:dyDescent="0.2">
      <c r="A166" s="1559"/>
      <c r="B166" s="1562">
        <v>3</v>
      </c>
      <c r="C166" s="1532" t="s">
        <v>1743</v>
      </c>
      <c r="D166" s="1563">
        <f>10*AVERAGE(WatProb, SwampMarshPct, WetPerim2Area, MixWaterVeg, D163, D164, D165)</f>
        <v>10</v>
      </c>
      <c r="E166" s="1556"/>
      <c r="F166" s="1556"/>
      <c r="G166" s="1556"/>
      <c r="H166" s="1441"/>
      <c r="I166" s="174" t="s">
        <v>934</v>
      </c>
      <c r="J166" s="214"/>
    </row>
    <row r="167" spans="1:10" ht="42" customHeight="1" x14ac:dyDescent="0.2">
      <c r="A167" s="1559"/>
      <c r="B167" s="2224"/>
      <c r="C167" s="1537"/>
      <c r="D167" s="1564"/>
      <c r="E167" s="1556"/>
      <c r="F167" s="1556"/>
      <c r="G167" s="1556"/>
      <c r="H167" s="1441"/>
      <c r="I167" s="174" t="s">
        <v>1752</v>
      </c>
      <c r="J167" s="213"/>
    </row>
    <row r="168" spans="1:10" ht="52.5" customHeight="1" x14ac:dyDescent="0.2">
      <c r="A168" s="1559"/>
      <c r="B168" s="2224"/>
      <c r="C168" s="1534" t="s">
        <v>1329</v>
      </c>
      <c r="D168" s="1564"/>
      <c r="E168" s="1556"/>
      <c r="F168" s="1556"/>
      <c r="G168" s="1556"/>
      <c r="H168" s="1441"/>
      <c r="I168" s="161" t="s">
        <v>1753</v>
      </c>
      <c r="J168" s="213"/>
    </row>
    <row r="169" spans="1:10" ht="42" customHeight="1" x14ac:dyDescent="0.2">
      <c r="A169" s="1559"/>
      <c r="B169" s="1525">
        <v>1</v>
      </c>
      <c r="C169" s="1532" t="s">
        <v>1744</v>
      </c>
      <c r="D169" s="1564"/>
      <c r="E169" s="1556"/>
      <c r="F169" s="1556"/>
      <c r="G169" s="1556"/>
      <c r="H169" s="1441"/>
      <c r="I169" s="202" t="s">
        <v>1754</v>
      </c>
      <c r="J169" s="213"/>
    </row>
    <row r="170" spans="1:10" ht="27" customHeight="1" x14ac:dyDescent="0.2">
      <c r="A170" s="1559"/>
      <c r="B170" s="1525">
        <v>2</v>
      </c>
      <c r="C170" s="1532" t="s">
        <v>1213</v>
      </c>
      <c r="D170" s="1564"/>
      <c r="E170" s="1556"/>
      <c r="F170" s="1556"/>
      <c r="G170" s="1556"/>
      <c r="H170" s="1441"/>
      <c r="I170" s="174" t="s">
        <v>379</v>
      </c>
      <c r="J170" s="213"/>
    </row>
    <row r="171" spans="1:10" ht="42" customHeight="1" x14ac:dyDescent="0.2">
      <c r="A171" s="1559"/>
      <c r="B171" s="1533" t="s">
        <v>1217</v>
      </c>
      <c r="C171" s="1560" t="s">
        <v>1740</v>
      </c>
      <c r="D171" s="1561">
        <f>IFERROR(AVERAGE(1-Sub0Days, GrowDD),"")</f>
        <v>1</v>
      </c>
      <c r="E171" s="1556"/>
      <c r="F171" s="1556"/>
      <c r="G171" s="1556"/>
      <c r="H171" s="1441"/>
      <c r="I171" s="174" t="s">
        <v>378</v>
      </c>
      <c r="J171" s="213"/>
    </row>
    <row r="172" spans="1:10" ht="27" customHeight="1" x14ac:dyDescent="0.2">
      <c r="A172" s="1559"/>
      <c r="B172" s="1533" t="s">
        <v>1218</v>
      </c>
      <c r="C172" s="1560" t="s">
        <v>1742</v>
      </c>
      <c r="D172" s="1561" t="str">
        <f>IFERROR(AVERAGE(Aspect,WetWooded),"")</f>
        <v/>
      </c>
      <c r="E172" s="1556"/>
      <c r="F172" s="1556"/>
      <c r="G172" s="1556"/>
      <c r="H172" s="1441"/>
      <c r="I172" s="174" t="s">
        <v>1755</v>
      </c>
      <c r="J172" s="213"/>
    </row>
    <row r="173" spans="1:10" ht="27" customHeight="1" x14ac:dyDescent="0.2">
      <c r="A173" s="1559"/>
      <c r="B173" s="1533" t="s">
        <v>1220</v>
      </c>
      <c r="C173" s="1560" t="s">
        <v>1221</v>
      </c>
      <c r="D173" s="1561">
        <f>IFERROR(AVERAGE(D171,D172),"")</f>
        <v>1</v>
      </c>
      <c r="E173" s="1556"/>
      <c r="F173" s="1556"/>
      <c r="G173" s="1556"/>
      <c r="H173" s="1441"/>
      <c r="I173" s="202" t="s">
        <v>1756</v>
      </c>
      <c r="J173" s="213"/>
    </row>
    <row r="174" spans="1:10" ht="42" customHeight="1" x14ac:dyDescent="0.2">
      <c r="A174" s="1559"/>
      <c r="B174" s="1533" t="s">
        <v>1222</v>
      </c>
      <c r="C174" s="1560" t="s">
        <v>1745</v>
      </c>
      <c r="D174" s="1561" t="str">
        <f>IFERROR(AVERAGE(SoilTex, SoilOrgPct),"")</f>
        <v/>
      </c>
      <c r="E174" s="1556"/>
      <c r="F174" s="1556"/>
      <c r="G174" s="1556"/>
      <c r="H174" s="1441"/>
      <c r="I174" s="174" t="s">
        <v>1757</v>
      </c>
      <c r="J174" s="213"/>
    </row>
    <row r="175" spans="1:10" ht="54" customHeight="1" x14ac:dyDescent="0.2">
      <c r="A175" s="1559"/>
      <c r="B175" s="1533" t="s">
        <v>1224</v>
      </c>
      <c r="C175" s="1560" t="s">
        <v>1225</v>
      </c>
      <c r="D175" s="1561" t="str">
        <f>IF((LGIndex=""),"", LGIndex)</f>
        <v/>
      </c>
      <c r="E175" s="1556"/>
      <c r="F175" s="1556"/>
      <c r="G175" s="1556"/>
      <c r="H175" s="1441"/>
      <c r="I175" s="603" t="s">
        <v>1758</v>
      </c>
      <c r="J175" s="213"/>
    </row>
    <row r="176" spans="1:10" ht="42" customHeight="1" x14ac:dyDescent="0.2">
      <c r="A176" s="1559"/>
      <c r="B176" s="1562">
        <v>3</v>
      </c>
      <c r="C176" s="1532" t="s">
        <v>1949</v>
      </c>
      <c r="D176" s="1563">
        <f>10*AVERAGE(WatProb, SwampMarshPct, WetPerim2Area, Interspers4, D173, D174, D175)</f>
        <v>5</v>
      </c>
      <c r="E176" s="1556"/>
      <c r="F176" s="1556"/>
      <c r="G176" s="1556"/>
      <c r="H176" s="1441"/>
      <c r="I176" s="174" t="s">
        <v>1759</v>
      </c>
      <c r="J176" s="213"/>
    </row>
    <row r="177" spans="1:10" ht="39" customHeight="1" x14ac:dyDescent="0.2">
      <c r="A177" s="7"/>
      <c r="D177" s="7"/>
      <c r="E177" s="7"/>
      <c r="F177" s="7"/>
      <c r="G177" s="7"/>
      <c r="H177" s="1381"/>
      <c r="I177" s="202" t="s">
        <v>1760</v>
      </c>
      <c r="J177" s="213"/>
    </row>
    <row r="178" spans="1:10" ht="27" customHeight="1" x14ac:dyDescent="0.2">
      <c r="A178" s="7"/>
      <c r="D178" s="7"/>
      <c r="E178" s="7"/>
      <c r="F178" s="7"/>
      <c r="G178" s="7"/>
      <c r="H178" s="1381"/>
      <c r="I178" s="202" t="s">
        <v>1761</v>
      </c>
      <c r="J178" s="213"/>
    </row>
    <row r="179" spans="1:10" ht="42" customHeight="1" x14ac:dyDescent="0.2">
      <c r="A179" s="7"/>
      <c r="D179" s="7"/>
      <c r="E179" s="7"/>
      <c r="F179" s="7"/>
      <c r="G179" s="7"/>
      <c r="H179" s="1381"/>
      <c r="I179" s="174" t="s">
        <v>1762</v>
      </c>
      <c r="J179" s="213"/>
    </row>
    <row r="180" spans="1:10" ht="27" customHeight="1" x14ac:dyDescent="0.2">
      <c r="A180" s="7"/>
      <c r="D180" s="7"/>
      <c r="E180" s="7"/>
      <c r="F180" s="7"/>
      <c r="G180" s="7"/>
      <c r="H180" s="1381"/>
      <c r="I180" s="174" t="s">
        <v>2247</v>
      </c>
      <c r="J180" s="213"/>
    </row>
    <row r="181" spans="1:10" ht="42.75" customHeight="1" x14ac:dyDescent="0.2">
      <c r="A181" s="7"/>
      <c r="D181" s="7"/>
      <c r="E181" s="7"/>
      <c r="F181" s="7"/>
      <c r="G181" s="7"/>
      <c r="H181" s="1381"/>
      <c r="I181" s="174" t="s">
        <v>935</v>
      </c>
      <c r="J181" s="213"/>
    </row>
    <row r="182" spans="1:10" ht="42" customHeight="1" x14ac:dyDescent="0.2">
      <c r="A182" s="7"/>
      <c r="D182" s="7"/>
      <c r="E182" s="7"/>
      <c r="F182" s="7"/>
      <c r="G182" s="7"/>
      <c r="H182" s="1381"/>
      <c r="I182" s="174" t="s">
        <v>1763</v>
      </c>
      <c r="J182" s="213"/>
    </row>
    <row r="183" spans="1:10" ht="54" customHeight="1" x14ac:dyDescent="0.2">
      <c r="A183" s="7"/>
      <c r="D183" s="7"/>
      <c r="E183" s="7"/>
      <c r="F183" s="7"/>
      <c r="G183" s="7"/>
      <c r="H183" s="1381"/>
      <c r="I183" s="603" t="s">
        <v>936</v>
      </c>
      <c r="J183" s="213"/>
    </row>
    <row r="184" spans="1:10" ht="39" customHeight="1" x14ac:dyDescent="0.2">
      <c r="A184" s="7"/>
      <c r="D184" s="7"/>
      <c r="E184" s="7"/>
      <c r="F184" s="7"/>
      <c r="G184" s="7"/>
      <c r="H184" s="1381"/>
      <c r="I184" s="174" t="s">
        <v>1764</v>
      </c>
      <c r="J184" s="213"/>
    </row>
    <row r="185" spans="1:10" ht="42" customHeight="1" x14ac:dyDescent="0.2">
      <c r="A185" s="7"/>
      <c r="D185" s="7"/>
      <c r="E185" s="7"/>
      <c r="F185" s="7"/>
      <c r="G185" s="7"/>
      <c r="H185" s="1381"/>
      <c r="I185" s="174" t="s">
        <v>1765</v>
      </c>
      <c r="J185" s="213"/>
    </row>
    <row r="186" spans="1:10" ht="42" customHeight="1" x14ac:dyDescent="0.2">
      <c r="A186" s="7"/>
      <c r="D186" s="7"/>
      <c r="E186" s="7"/>
      <c r="F186" s="7"/>
      <c r="G186" s="7"/>
      <c r="H186" s="1381"/>
      <c r="I186" s="174" t="s">
        <v>1766</v>
      </c>
      <c r="J186" s="213"/>
    </row>
    <row r="187" spans="1:10" ht="39.75" customHeight="1" x14ac:dyDescent="0.2">
      <c r="A187" s="7"/>
      <c r="D187" s="7"/>
      <c r="E187" s="7"/>
      <c r="F187" s="7"/>
      <c r="G187" s="7"/>
      <c r="H187" s="1381"/>
      <c r="I187" s="174" t="s">
        <v>398</v>
      </c>
    </row>
    <row r="188" spans="1:10" ht="27" customHeight="1" x14ac:dyDescent="0.2">
      <c r="A188" s="7"/>
      <c r="D188" s="7"/>
      <c r="E188" s="7"/>
      <c r="F188" s="7"/>
      <c r="G188" s="7"/>
      <c r="H188" s="1381"/>
      <c r="I188" s="174" t="s">
        <v>1767</v>
      </c>
    </row>
    <row r="189" spans="1:10" ht="39.75" customHeight="1" x14ac:dyDescent="0.2">
      <c r="A189" s="7"/>
      <c r="D189" s="7"/>
      <c r="E189" s="7"/>
      <c r="F189" s="7"/>
      <c r="G189" s="7"/>
      <c r="H189" s="1381"/>
      <c r="I189" s="202" t="s">
        <v>406</v>
      </c>
    </row>
    <row r="190" spans="1:10" ht="27" customHeight="1" x14ac:dyDescent="0.2">
      <c r="A190" s="7"/>
      <c r="D190" s="7"/>
      <c r="E190" s="7"/>
      <c r="F190" s="7"/>
      <c r="G190" s="7"/>
      <c r="H190" s="1381"/>
      <c r="I190" s="202" t="s">
        <v>1768</v>
      </c>
    </row>
    <row r="191" spans="1:10" ht="42" customHeight="1" x14ac:dyDescent="0.2">
      <c r="A191" s="7"/>
      <c r="D191" s="7"/>
      <c r="E191" s="7"/>
      <c r="F191" s="7"/>
      <c r="G191" s="7"/>
      <c r="H191" s="1381"/>
      <c r="I191" s="174" t="s">
        <v>1769</v>
      </c>
    </row>
    <row r="192" spans="1:10" ht="53.25" customHeight="1" x14ac:dyDescent="0.2">
      <c r="A192" s="7"/>
      <c r="D192" s="7"/>
      <c r="E192" s="7"/>
      <c r="F192" s="7"/>
      <c r="G192" s="7"/>
      <c r="H192" s="1381"/>
      <c r="I192" s="603" t="s">
        <v>1770</v>
      </c>
    </row>
    <row r="193" spans="1:9" ht="27" customHeight="1" x14ac:dyDescent="0.2">
      <c r="A193" s="7"/>
      <c r="D193" s="7"/>
      <c r="E193" s="7"/>
      <c r="F193" s="7"/>
      <c r="G193" s="7"/>
      <c r="H193" s="1381"/>
      <c r="I193" s="174" t="s">
        <v>1771</v>
      </c>
    </row>
    <row r="194" spans="1:9" ht="42" customHeight="1" x14ac:dyDescent="0.2">
      <c r="A194" s="7"/>
      <c r="D194" s="7"/>
      <c r="E194" s="7"/>
      <c r="F194" s="7"/>
      <c r="G194" s="7"/>
      <c r="H194" s="1381"/>
      <c r="I194" s="174" t="s">
        <v>383</v>
      </c>
    </row>
    <row r="195" spans="1:9" ht="55.5" customHeight="1" x14ac:dyDescent="0.2">
      <c r="A195" s="7"/>
      <c r="D195" s="7"/>
      <c r="E195" s="7"/>
      <c r="F195" s="7"/>
      <c r="G195" s="7"/>
      <c r="H195" s="1381"/>
      <c r="I195" s="161" t="s">
        <v>2183</v>
      </c>
    </row>
    <row r="196" spans="1:9" ht="42" customHeight="1" x14ac:dyDescent="0.2">
      <c r="A196" s="7"/>
      <c r="D196" s="7"/>
      <c r="E196" s="7"/>
      <c r="F196" s="7"/>
      <c r="G196" s="7"/>
      <c r="H196" s="1381"/>
      <c r="I196" s="174" t="s">
        <v>384</v>
      </c>
    </row>
    <row r="197" spans="1:9" ht="42" customHeight="1" x14ac:dyDescent="0.2">
      <c r="A197" s="7"/>
      <c r="D197" s="7"/>
      <c r="E197" s="7"/>
      <c r="F197" s="7"/>
      <c r="G197" s="7"/>
      <c r="H197" s="1381"/>
      <c r="I197" s="174" t="s">
        <v>385</v>
      </c>
    </row>
    <row r="198" spans="1:9" ht="27" customHeight="1" x14ac:dyDescent="0.2">
      <c r="A198" s="7"/>
      <c r="D198" s="7"/>
      <c r="E198" s="7"/>
      <c r="F198" s="7"/>
      <c r="G198" s="7"/>
      <c r="H198" s="1381"/>
      <c r="I198" s="174" t="s">
        <v>387</v>
      </c>
    </row>
    <row r="199" spans="1:9" ht="27" customHeight="1" x14ac:dyDescent="0.2">
      <c r="A199" s="7"/>
      <c r="D199" s="7"/>
      <c r="E199" s="7"/>
      <c r="F199" s="7"/>
      <c r="G199" s="7"/>
      <c r="H199" s="1381"/>
      <c r="I199" s="161" t="s">
        <v>1772</v>
      </c>
    </row>
    <row r="200" spans="1:9" ht="27" customHeight="1" x14ac:dyDescent="0.2">
      <c r="A200" s="7"/>
      <c r="D200" s="7"/>
      <c r="E200" s="7"/>
      <c r="F200" s="7"/>
      <c r="G200" s="7"/>
      <c r="H200" s="1381"/>
      <c r="I200" s="161" t="s">
        <v>938</v>
      </c>
    </row>
    <row r="201" spans="1:9" ht="41.25" customHeight="1" x14ac:dyDescent="0.2">
      <c r="A201" s="7"/>
      <c r="D201" s="7"/>
      <c r="E201" s="7"/>
      <c r="F201" s="7"/>
      <c r="G201" s="7"/>
      <c r="H201" s="1381"/>
      <c r="I201" s="174" t="s">
        <v>401</v>
      </c>
    </row>
    <row r="202" spans="1:9" ht="42" customHeight="1" x14ac:dyDescent="0.2">
      <c r="A202" s="7"/>
      <c r="D202" s="7"/>
      <c r="E202" s="7"/>
      <c r="F202" s="7"/>
      <c r="G202" s="7"/>
      <c r="H202" s="1381"/>
      <c r="I202" s="174" t="s">
        <v>1773</v>
      </c>
    </row>
    <row r="203" spans="1:9" ht="40.5" customHeight="1" x14ac:dyDescent="0.2">
      <c r="A203" s="7"/>
      <c r="D203" s="7"/>
      <c r="E203" s="7"/>
      <c r="F203" s="7"/>
      <c r="G203" s="7"/>
      <c r="H203" s="1381"/>
      <c r="I203" s="202" t="s">
        <v>1774</v>
      </c>
    </row>
    <row r="204" spans="1:9" ht="42" customHeight="1" x14ac:dyDescent="0.2">
      <c r="A204" s="7"/>
      <c r="D204" s="7"/>
      <c r="E204" s="7"/>
      <c r="F204" s="7"/>
      <c r="G204" s="7"/>
      <c r="H204" s="1381"/>
      <c r="I204" s="202" t="s">
        <v>1775</v>
      </c>
    </row>
    <row r="205" spans="1:9" ht="30.75" customHeight="1" x14ac:dyDescent="0.2">
      <c r="A205" s="7"/>
      <c r="D205" s="7"/>
      <c r="E205" s="7"/>
      <c r="F205" s="7"/>
      <c r="G205" s="7"/>
      <c r="H205" s="1381"/>
      <c r="I205" s="174" t="s">
        <v>389</v>
      </c>
    </row>
    <row r="206" spans="1:9" ht="42" customHeight="1" x14ac:dyDescent="0.2">
      <c r="A206" s="7"/>
      <c r="D206" s="7"/>
      <c r="E206" s="7"/>
      <c r="F206" s="7"/>
      <c r="G206" s="7"/>
      <c r="H206" s="1381"/>
      <c r="I206" s="174" t="s">
        <v>407</v>
      </c>
    </row>
    <row r="207" spans="1:9" ht="27" customHeight="1" x14ac:dyDescent="0.2">
      <c r="A207" s="7"/>
      <c r="D207" s="7"/>
      <c r="E207" s="7"/>
      <c r="F207" s="7"/>
      <c r="G207" s="7"/>
      <c r="H207" s="1381"/>
      <c r="I207" s="202" t="s">
        <v>367</v>
      </c>
    </row>
    <row r="208" spans="1:9" ht="54.75" customHeight="1" x14ac:dyDescent="0.2">
      <c r="A208" s="7"/>
      <c r="D208" s="7"/>
      <c r="E208" s="7"/>
      <c r="F208" s="7"/>
      <c r="G208" s="7"/>
      <c r="H208" s="1381"/>
      <c r="I208" s="603" t="s">
        <v>1776</v>
      </c>
    </row>
    <row r="209" spans="1:9" ht="54.6" customHeight="1" thickBot="1" x14ac:dyDescent="0.25">
      <c r="A209" s="7"/>
      <c r="D209" s="7"/>
      <c r="E209" s="7"/>
      <c r="F209" s="7"/>
      <c r="G209" s="7"/>
      <c r="H209" s="1381"/>
      <c r="I209" s="604" t="s">
        <v>1777</v>
      </c>
    </row>
    <row r="210" spans="1:9" x14ac:dyDescent="0.2">
      <c r="I210" s="166"/>
    </row>
    <row r="211" spans="1:9" x14ac:dyDescent="0.2">
      <c r="I211" s="185"/>
    </row>
    <row r="212" spans="1:9" x14ac:dyDescent="0.2">
      <c r="I212" s="185"/>
    </row>
    <row r="213" spans="1:9" x14ac:dyDescent="0.2">
      <c r="I213" s="166"/>
    </row>
    <row r="214" spans="1:9" x14ac:dyDescent="0.2">
      <c r="I214" s="166"/>
    </row>
    <row r="215" spans="1:9" x14ac:dyDescent="0.2">
      <c r="I215" s="166"/>
    </row>
    <row r="216" spans="1:9" x14ac:dyDescent="0.2">
      <c r="I216" s="166"/>
    </row>
    <row r="217" spans="1:9" x14ac:dyDescent="0.2">
      <c r="I217" s="185"/>
    </row>
    <row r="218" spans="1:9" x14ac:dyDescent="0.2">
      <c r="I218" s="166"/>
    </row>
    <row r="219" spans="1:9" x14ac:dyDescent="0.2">
      <c r="I219" s="166"/>
    </row>
    <row r="220" spans="1:9" x14ac:dyDescent="0.2">
      <c r="I220" s="166"/>
    </row>
    <row r="221" spans="1:9" x14ac:dyDescent="0.2">
      <c r="I221" s="331"/>
    </row>
    <row r="222" spans="1:9" x14ac:dyDescent="0.2">
      <c r="I222" s="331"/>
    </row>
    <row r="223" spans="1:9" x14ac:dyDescent="0.2">
      <c r="I223" s="166"/>
    </row>
    <row r="224" spans="1:9" x14ac:dyDescent="0.2">
      <c r="I224" s="166"/>
    </row>
    <row r="225" spans="1:9" x14ac:dyDescent="0.2">
      <c r="I225" s="185"/>
    </row>
    <row r="226" spans="1:9" x14ac:dyDescent="0.2">
      <c r="I226" s="185"/>
    </row>
    <row r="227" spans="1:9" x14ac:dyDescent="0.2">
      <c r="I227" s="166"/>
    </row>
    <row r="228" spans="1:9" x14ac:dyDescent="0.2">
      <c r="I228" s="166"/>
    </row>
    <row r="229" spans="1:9" x14ac:dyDescent="0.2">
      <c r="I229" s="185"/>
    </row>
    <row r="230" spans="1:9" x14ac:dyDescent="0.2">
      <c r="I230" s="166"/>
    </row>
    <row r="231" spans="1:9" ht="39.6" customHeight="1" x14ac:dyDescent="0.2">
      <c r="A231" s="7"/>
      <c r="E231" s="825"/>
      <c r="F231" s="825"/>
      <c r="G231" s="825"/>
      <c r="I231" s="166"/>
    </row>
    <row r="232" spans="1:9" ht="21" customHeight="1" x14ac:dyDescent="0.2">
      <c r="A232" s="7"/>
      <c r="E232" s="825"/>
      <c r="F232" s="825"/>
      <c r="G232" s="825"/>
    </row>
  </sheetData>
  <sheetProtection password="C4B9" sheet="1" objects="1" scenarios="1"/>
  <sortState ref="A3:K14">
    <sortCondition ref="H3:H14"/>
  </sortState>
  <customSheetViews>
    <customSheetView guid="{B8E02330-2419-4DE6-AD01-7ACC7A5D18DD}" scale="75" topLeftCell="A162">
      <selection activeCell="A2" sqref="A2:H172"/>
      <pageMargins left="0.75" right="0.75" top="1" bottom="1" header="0.5" footer="0.5"/>
      <pageSetup orientation="portrait" horizontalDpi="300" verticalDpi="300" r:id="rId1"/>
      <headerFooter alignWithMargins="0"/>
    </customSheetView>
  </customSheetViews>
  <mergeCells count="87">
    <mergeCell ref="A121:A127"/>
    <mergeCell ref="I121:I127"/>
    <mergeCell ref="H128:H132"/>
    <mergeCell ref="A1:B1"/>
    <mergeCell ref="A47:A54"/>
    <mergeCell ref="A62:A67"/>
    <mergeCell ref="B36:B41"/>
    <mergeCell ref="E1:H1"/>
    <mergeCell ref="H29:H35"/>
    <mergeCell ref="H36:H41"/>
    <mergeCell ref="H42:H46"/>
    <mergeCell ref="A72:A77"/>
    <mergeCell ref="A55:A61"/>
    <mergeCell ref="A68:A71"/>
    <mergeCell ref="A92:A96"/>
    <mergeCell ref="A103:A107"/>
    <mergeCell ref="I78:I83"/>
    <mergeCell ref="I47:I54"/>
    <mergeCell ref="B78:B83"/>
    <mergeCell ref="B84:B87"/>
    <mergeCell ref="B55:B61"/>
    <mergeCell ref="B72:B77"/>
    <mergeCell ref="I55:I61"/>
    <mergeCell ref="B47:B54"/>
    <mergeCell ref="H47:H54"/>
    <mergeCell ref="H55:H61"/>
    <mergeCell ref="H108:H111"/>
    <mergeCell ref="H112:H115"/>
    <mergeCell ref="A116:A120"/>
    <mergeCell ref="B92:B96"/>
    <mergeCell ref="I62:I67"/>
    <mergeCell ref="I97:I102"/>
    <mergeCell ref="I68:I71"/>
    <mergeCell ref="B116:B120"/>
    <mergeCell ref="I103:I107"/>
    <mergeCell ref="I108:I111"/>
    <mergeCell ref="B112:B115"/>
    <mergeCell ref="B108:B111"/>
    <mergeCell ref="A97:A102"/>
    <mergeCell ref="A108:A111"/>
    <mergeCell ref="B97:B102"/>
    <mergeCell ref="I84:I87"/>
    <mergeCell ref="A112:A115"/>
    <mergeCell ref="B62:B67"/>
    <mergeCell ref="B88:B91"/>
    <mergeCell ref="A88:A91"/>
    <mergeCell ref="A78:A83"/>
    <mergeCell ref="B68:B71"/>
    <mergeCell ref="H92:H96"/>
    <mergeCell ref="H103:H107"/>
    <mergeCell ref="I92:I96"/>
    <mergeCell ref="B103:B107"/>
    <mergeCell ref="A84:A87"/>
    <mergeCell ref="H97:H102"/>
    <mergeCell ref="I88:I91"/>
    <mergeCell ref="A29:A35"/>
    <mergeCell ref="I29:I35"/>
    <mergeCell ref="H17:H21"/>
    <mergeCell ref="H22:H28"/>
    <mergeCell ref="I128:I132"/>
    <mergeCell ref="B128:B132"/>
    <mergeCell ref="I116:I120"/>
    <mergeCell ref="B121:B127"/>
    <mergeCell ref="I72:I77"/>
    <mergeCell ref="I112:I115"/>
    <mergeCell ref="H62:H67"/>
    <mergeCell ref="H68:H71"/>
    <mergeCell ref="H72:H77"/>
    <mergeCell ref="H78:H83"/>
    <mergeCell ref="H84:H87"/>
    <mergeCell ref="H88:H91"/>
    <mergeCell ref="H116:H120"/>
    <mergeCell ref="H121:H127"/>
    <mergeCell ref="B167:B168"/>
    <mergeCell ref="A128:A132"/>
    <mergeCell ref="I17:I21"/>
    <mergeCell ref="I36:I41"/>
    <mergeCell ref="A42:A46"/>
    <mergeCell ref="B22:B28"/>
    <mergeCell ref="B17:B21"/>
    <mergeCell ref="A17:A21"/>
    <mergeCell ref="I42:I46"/>
    <mergeCell ref="I22:I28"/>
    <mergeCell ref="B42:B46"/>
    <mergeCell ref="A36:A41"/>
    <mergeCell ref="A22:A28"/>
    <mergeCell ref="B29:B35"/>
  </mergeCells>
  <phoneticPr fontId="5" type="noConversion"/>
  <conditionalFormatting sqref="H13">
    <cfRule type="cellIs" dxfId="11" priority="16" stopIfTrue="1" operator="equal">
      <formula>1</formula>
    </cfRule>
  </conditionalFormatting>
  <conditionalFormatting sqref="D47:D53 D55 D42:D45 D70:D76 D78:D81 D83:D84 D86:D88 D90:D92 D94:D98 D100:D103 D105:D110 D112:D114 D116:D118 D120:D121 D123:D131 D57:D66 D68 D18 D20:D23 D25:D32 D34:D40 D133 D136:D138 D140:D142 D144:D146 D148:D150 D152:D153 D156:D157">
    <cfRule type="cellIs" dxfId="10" priority="1" operator="greaterThan">
      <formula>0</formula>
    </cfRule>
  </conditionalFormatting>
  <pageMargins left="0.75" right="0.75" top="1" bottom="1" header="0.5" footer="0.5"/>
  <pageSetup orientation="portrait" horizontalDpi="300" verticalDpi="300"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L167"/>
  <sheetViews>
    <sheetView zoomScaleNormal="100" workbookViewId="0">
      <selection activeCell="H124" sqref="H124"/>
    </sheetView>
  </sheetViews>
  <sheetFormatPr defaultColWidth="9.33203125" defaultRowHeight="12.75" x14ac:dyDescent="0.2"/>
  <cols>
    <col min="1" max="1" width="5.83203125" style="25" customWidth="1"/>
    <col min="2" max="2" width="18.83203125" style="7" customWidth="1"/>
    <col min="3" max="3" width="69.83203125" style="7" customWidth="1"/>
    <col min="4" max="4" width="6.83203125" style="1386" customWidth="1"/>
    <col min="5" max="5" width="8" style="1386" customWidth="1"/>
    <col min="6" max="6" width="8.1640625" style="1386" customWidth="1"/>
    <col min="7" max="7" width="11.5" style="268" customWidth="1"/>
    <col min="8" max="8" width="12.1640625" style="159" customWidth="1"/>
    <col min="9" max="9" width="69.83203125" style="8" customWidth="1"/>
    <col min="10" max="10" width="9.33203125" style="217"/>
    <col min="11" max="16384" width="9.33203125" style="7"/>
  </cols>
  <sheetData>
    <row r="1" spans="1:11" s="79" customFormat="1" ht="110.25" customHeight="1" thickBot="1" x14ac:dyDescent="0.25">
      <c r="A1" s="2113" t="s">
        <v>2379</v>
      </c>
      <c r="B1" s="2114"/>
      <c r="C1" s="77" t="s">
        <v>676</v>
      </c>
      <c r="D1" s="1421" t="s">
        <v>665</v>
      </c>
      <c r="E1" s="2267"/>
      <c r="F1" s="2268"/>
      <c r="G1" s="2268"/>
      <c r="H1" s="2269"/>
      <c r="I1" s="1389" t="s">
        <v>1430</v>
      </c>
      <c r="J1" s="222"/>
    </row>
    <row r="2" spans="1:11" s="1022" customFormat="1" ht="42" customHeight="1" thickBot="1" x14ac:dyDescent="0.25">
      <c r="A2" s="1605" t="s">
        <v>110</v>
      </c>
      <c r="B2" s="1606" t="s">
        <v>1096</v>
      </c>
      <c r="C2" s="1607" t="s">
        <v>1395</v>
      </c>
      <c r="D2" s="1605"/>
      <c r="E2" s="1608"/>
      <c r="F2" s="1609"/>
      <c r="G2" s="1610" t="s">
        <v>1111</v>
      </c>
      <c r="H2" s="1611" t="s">
        <v>1108</v>
      </c>
      <c r="I2" s="1606" t="s">
        <v>304</v>
      </c>
    </row>
    <row r="3" spans="1:11" s="151" customFormat="1" ht="69" customHeight="1" thickBot="1" x14ac:dyDescent="0.25">
      <c r="A3" s="714" t="str">
        <f>OF!A5</f>
        <v>OF4</v>
      </c>
      <c r="B3" s="715" t="str">
        <f>OF!C5</f>
        <v>Channel Connection</v>
      </c>
      <c r="C3" s="749"/>
      <c r="D3" s="716"/>
      <c r="E3" s="717"/>
      <c r="F3" s="717"/>
      <c r="G3" s="761" t="str">
        <f>IF((ChannConn=""),"",ChannConn)</f>
        <v/>
      </c>
      <c r="H3" s="1374" t="s">
        <v>1330</v>
      </c>
      <c r="I3" s="1382" t="s">
        <v>1668</v>
      </c>
      <c r="J3" s="226"/>
    </row>
    <row r="4" spans="1:11" s="155" customFormat="1" ht="30" customHeight="1" thickBot="1" x14ac:dyDescent="0.25">
      <c r="A4" s="709" t="str">
        <f>OF!A13</f>
        <v>OF12</v>
      </c>
      <c r="B4" s="710" t="str">
        <f>OF!C13</f>
        <v>% of the Wetland that is Fen Bog or Marsh</v>
      </c>
      <c r="C4" s="748"/>
      <c r="D4" s="712"/>
      <c r="E4" s="713"/>
      <c r="F4" s="713"/>
      <c r="G4" s="740" t="str">
        <f>IF((FenBogMarsh=""),"",FenBogMarsh)</f>
        <v/>
      </c>
      <c r="H4" s="741" t="s">
        <v>1250</v>
      </c>
      <c r="I4" s="768" t="s">
        <v>1669</v>
      </c>
      <c r="J4" s="221"/>
      <c r="K4" s="245"/>
    </row>
    <row r="5" spans="1:11" s="155" customFormat="1" ht="99" customHeight="1" thickBot="1" x14ac:dyDescent="0.25">
      <c r="A5" s="714" t="str">
        <f>OF!A18</f>
        <v>OF17</v>
      </c>
      <c r="B5" s="715" t="str">
        <f>OF!C18</f>
        <v>Growing Degree Days</v>
      </c>
      <c r="C5" s="749"/>
      <c r="D5" s="716"/>
      <c r="E5" s="717"/>
      <c r="F5" s="717"/>
      <c r="G5" s="761" t="str">
        <f>IF((GrowDD=""),"",GrowDD)</f>
        <v/>
      </c>
      <c r="H5" s="767" t="s">
        <v>1078</v>
      </c>
      <c r="I5" s="1018" t="s">
        <v>782</v>
      </c>
      <c r="J5" s="221"/>
    </row>
    <row r="6" spans="1:11" s="155" customFormat="1" ht="30" customHeight="1" thickBot="1" x14ac:dyDescent="0.25">
      <c r="A6" s="709" t="str">
        <f>OF!A23</f>
        <v>OF22</v>
      </c>
      <c r="B6" s="710" t="str">
        <f>OF!C23</f>
        <v>L/G Index (Residence Time)</v>
      </c>
      <c r="C6" s="748"/>
      <c r="D6" s="712"/>
      <c r="E6" s="713"/>
      <c r="F6" s="713"/>
      <c r="G6" s="740" t="str">
        <f>IF((LGIndex=""),"",LGIndex)</f>
        <v/>
      </c>
      <c r="H6" s="741" t="s">
        <v>1024</v>
      </c>
      <c r="I6" s="1019" t="s">
        <v>614</v>
      </c>
      <c r="J6" s="221"/>
    </row>
    <row r="7" spans="1:11" s="155" customFormat="1" ht="42" customHeight="1" thickBot="1" x14ac:dyDescent="0.25">
      <c r="A7" s="714" t="str">
        <f>OF!A28</f>
        <v>OF27</v>
      </c>
      <c r="B7" s="715" t="str">
        <f>OF!C28</f>
        <v>Interspersion Index for Internal Water &amp; Vegetation (macroscale)</v>
      </c>
      <c r="C7" s="749"/>
      <c r="D7" s="716"/>
      <c r="E7" s="717"/>
      <c r="F7" s="717"/>
      <c r="G7" s="761" t="str">
        <f>IF((MixWaterVeg=""),"",MixWaterVeg)</f>
        <v/>
      </c>
      <c r="H7" s="767" t="s">
        <v>1032</v>
      </c>
      <c r="I7" s="1388" t="s">
        <v>2057</v>
      </c>
      <c r="J7" s="221"/>
      <c r="K7" s="245"/>
    </row>
    <row r="8" spans="1:11" s="155" customFormat="1" ht="30" customHeight="1" thickBot="1" x14ac:dyDescent="0.25">
      <c r="A8" s="709" t="str">
        <f>OF!A31</f>
        <v>OF30</v>
      </c>
      <c r="B8" s="710" t="str">
        <f>OF!C31</f>
        <v>% of AA that is Open Water (macro scale)</v>
      </c>
      <c r="C8" s="748" t="s">
        <v>1396</v>
      </c>
      <c r="D8" s="712"/>
      <c r="E8" s="713"/>
      <c r="F8" s="916"/>
      <c r="G8" s="740" t="str">
        <f>IF((OWpct=""),"",1-OWpct)</f>
        <v/>
      </c>
      <c r="H8" s="741" t="s">
        <v>1205</v>
      </c>
      <c r="I8" s="1019" t="s">
        <v>1670</v>
      </c>
      <c r="J8" s="221"/>
      <c r="K8" s="245"/>
    </row>
    <row r="9" spans="1:11" s="155" customFormat="1" ht="30" customHeight="1" thickBot="1" x14ac:dyDescent="0.25">
      <c r="A9" s="714" t="str">
        <f>OF!A43</f>
        <v>OF42</v>
      </c>
      <c r="B9" s="715" t="str">
        <f>OF!C43</f>
        <v>Riparian or Floodway Location</v>
      </c>
      <c r="C9" s="749"/>
      <c r="D9" s="716"/>
      <c r="E9" s="717"/>
      <c r="F9" s="1103"/>
      <c r="G9" s="761" t="str">
        <f>IF((RipFloodpl=""),"",RipFloodpl)</f>
        <v/>
      </c>
      <c r="H9" s="767" t="s">
        <v>1077</v>
      </c>
      <c r="I9" s="1388" t="s">
        <v>1671</v>
      </c>
      <c r="J9" s="221"/>
    </row>
    <row r="10" spans="1:11" s="155" customFormat="1" ht="30" customHeight="1" thickBot="1" x14ac:dyDescent="0.25">
      <c r="A10" s="709" t="str">
        <f>OF!A47</f>
        <v>OF46</v>
      </c>
      <c r="B10" s="710" t="str">
        <f>OF!C47</f>
        <v>Organic Soil Content (macroscale)</v>
      </c>
      <c r="C10" s="748"/>
      <c r="D10" s="712"/>
      <c r="E10" s="713"/>
      <c r="F10" s="916"/>
      <c r="G10" s="740" t="str">
        <f>IF((SoilOrgPct=""),"",SoilOrgPct)</f>
        <v/>
      </c>
      <c r="H10" s="741" t="s">
        <v>1034</v>
      </c>
      <c r="I10" s="195" t="s">
        <v>1672</v>
      </c>
      <c r="J10" s="221"/>
    </row>
    <row r="11" spans="1:11" s="155" customFormat="1" ht="30" customHeight="1" thickBot="1" x14ac:dyDescent="0.25">
      <c r="A11" s="714" t="str">
        <f>OF!A50</f>
        <v>OF49</v>
      </c>
      <c r="B11" s="715" t="str">
        <f>OF!C50</f>
        <v>Soil Texture (macroscale)</v>
      </c>
      <c r="C11" s="749" t="s">
        <v>2199</v>
      </c>
      <c r="D11" s="716"/>
      <c r="E11" s="717"/>
      <c r="F11" s="1103"/>
      <c r="G11" s="761" t="str">
        <f>IF((SoilTex_NROE=""),"",SoilTex_NROE)</f>
        <v/>
      </c>
      <c r="H11" s="767" t="s">
        <v>1399</v>
      </c>
      <c r="I11" s="1388" t="s">
        <v>107</v>
      </c>
      <c r="J11" s="221"/>
    </row>
    <row r="12" spans="1:11" s="155" customFormat="1" ht="30" customHeight="1" thickBot="1" x14ac:dyDescent="0.25">
      <c r="A12" s="709" t="str">
        <f>OF!A69</f>
        <v>OF68</v>
      </c>
      <c r="B12" s="710" t="str">
        <f>OF!C69</f>
        <v>Wetland Vegetated Area</v>
      </c>
      <c r="C12" s="748"/>
      <c r="D12" s="712"/>
      <c r="E12" s="713"/>
      <c r="F12" s="713"/>
      <c r="G12" s="740" t="str">
        <f>IF((WetVegArea=""),"",WetVegArea)</f>
        <v/>
      </c>
      <c r="H12" s="742" t="s">
        <v>1011</v>
      </c>
      <c r="I12" s="711" t="s">
        <v>2056</v>
      </c>
      <c r="J12" s="221"/>
      <c r="K12" s="245"/>
    </row>
    <row r="13" spans="1:11" s="2" customFormat="1" ht="42" customHeight="1" thickBot="1" x14ac:dyDescent="0.25">
      <c r="A13" s="1622" t="s">
        <v>110</v>
      </c>
      <c r="B13" s="1613" t="s">
        <v>1110</v>
      </c>
      <c r="C13" s="1623" t="s">
        <v>1109</v>
      </c>
      <c r="D13" s="1624" t="s">
        <v>45</v>
      </c>
      <c r="E13" s="1625" t="s">
        <v>2028</v>
      </c>
      <c r="F13" s="1626" t="s">
        <v>2027</v>
      </c>
      <c r="G13" s="1627" t="s">
        <v>1111</v>
      </c>
      <c r="H13" s="1628" t="s">
        <v>1108</v>
      </c>
      <c r="I13" s="1629" t="s">
        <v>1503</v>
      </c>
      <c r="J13" s="59"/>
    </row>
    <row r="14" spans="1:11" ht="39" customHeight="1" thickBot="1" x14ac:dyDescent="0.25">
      <c r="A14" s="1387" t="str">
        <f>F!A6</f>
        <v>F1</v>
      </c>
      <c r="B14" s="2087" t="str">
        <f>F!B6</f>
        <v>Wetland Type - Predominant</v>
      </c>
      <c r="C14" s="116" t="str">
        <f>F!C6</f>
        <v>Most of the vegetated part of the AA (wetland Assessment Area) is a (select ONE):</v>
      </c>
      <c r="D14" s="798"/>
      <c r="E14" s="802"/>
      <c r="F14" s="802"/>
      <c r="G14" s="432">
        <f>MAX(F15:F18)/MAX(E15:E18)</f>
        <v>0</v>
      </c>
      <c r="H14" s="2087" t="s">
        <v>617</v>
      </c>
      <c r="I14" s="2262" t="s">
        <v>1057</v>
      </c>
      <c r="J14" s="274"/>
    </row>
    <row r="15" spans="1:11" ht="15" customHeight="1" x14ac:dyDescent="0.2">
      <c r="A15" s="145" t="str">
        <f>F!A7</f>
        <v>F1.1</v>
      </c>
      <c r="B15" s="2083"/>
      <c r="C15" s="783" t="str">
        <f>F!C7</f>
        <v>Wooded Swamp</v>
      </c>
      <c r="D15" s="795">
        <f>F!D7</f>
        <v>0</v>
      </c>
      <c r="E15" s="803">
        <v>2</v>
      </c>
      <c r="F15" s="803">
        <f>D15*E15</f>
        <v>0</v>
      </c>
      <c r="G15" s="967"/>
      <c r="H15" s="2083"/>
      <c r="I15" s="2260"/>
      <c r="J15" s="274"/>
    </row>
    <row r="16" spans="1:11" ht="15" customHeight="1" x14ac:dyDescent="0.2">
      <c r="A16" s="145" t="str">
        <f>F!A8</f>
        <v>F1.2</v>
      </c>
      <c r="B16" s="2083"/>
      <c r="C16" s="784" t="str">
        <f>F!C8</f>
        <v>Bog</v>
      </c>
      <c r="D16" s="795">
        <f>F!D8</f>
        <v>0</v>
      </c>
      <c r="E16" s="803">
        <v>1</v>
      </c>
      <c r="F16" s="803">
        <f>D16*E16</f>
        <v>0</v>
      </c>
      <c r="G16" s="967"/>
      <c r="H16" s="2083"/>
      <c r="I16" s="2260"/>
      <c r="J16" s="274"/>
    </row>
    <row r="17" spans="1:10" ht="15" customHeight="1" x14ac:dyDescent="0.2">
      <c r="A17" s="145" t="str">
        <f>F!A9</f>
        <v>F1.3</v>
      </c>
      <c r="B17" s="2083"/>
      <c r="C17" s="784" t="str">
        <f>F!C9</f>
        <v>Fen</v>
      </c>
      <c r="D17" s="795">
        <f>F!D9</f>
        <v>0</v>
      </c>
      <c r="E17" s="803">
        <v>5</v>
      </c>
      <c r="F17" s="803">
        <f>D17*E17</f>
        <v>0</v>
      </c>
      <c r="G17" s="967"/>
      <c r="H17" s="2083"/>
      <c r="I17" s="2260"/>
      <c r="J17" s="274"/>
    </row>
    <row r="18" spans="1:10" ht="15" customHeight="1" thickBot="1" x14ac:dyDescent="0.25">
      <c r="A18" s="145" t="str">
        <f>F!A10</f>
        <v>F1.4</v>
      </c>
      <c r="B18" s="2088"/>
      <c r="C18" s="784" t="str">
        <f>F!C10</f>
        <v>Marsh or Shallow Open Water</v>
      </c>
      <c r="D18" s="795">
        <f>F!D10</f>
        <v>0</v>
      </c>
      <c r="E18" s="806">
        <v>4</v>
      </c>
      <c r="F18" s="806">
        <f>D18*E18</f>
        <v>0</v>
      </c>
      <c r="G18" s="967"/>
      <c r="H18" s="2088"/>
      <c r="I18" s="2261"/>
      <c r="J18" s="274"/>
    </row>
    <row r="19" spans="1:10" ht="45" customHeight="1" thickBot="1" x14ac:dyDescent="0.25">
      <c r="A19" s="2087" t="str">
        <f>F!A31</f>
        <v>F5</v>
      </c>
      <c r="B19" s="2087" t="str">
        <f>F!B31</f>
        <v>% of Summertime Water That Is Shaded</v>
      </c>
      <c r="C19" s="53" t="str">
        <f>F!C31</f>
        <v>At mid-day during the warmest time of year, the area of surface water within the AA that is shaded (by emergent or woody vegetation, incised channels, streambanks, or other features also present within the AA) is:</v>
      </c>
      <c r="D19" s="798"/>
      <c r="E19" s="802"/>
      <c r="F19" s="498"/>
      <c r="G19" s="512">
        <f>IF((NoPersis=1),"",MAX(F20:F24)/MAX(E20:E24))</f>
        <v>0</v>
      </c>
      <c r="H19" s="2087" t="s">
        <v>990</v>
      </c>
      <c r="I19" s="2262" t="s">
        <v>2185</v>
      </c>
      <c r="J19" s="274"/>
    </row>
    <row r="20" spans="1:10" ht="15" customHeight="1" x14ac:dyDescent="0.2">
      <c r="A20" s="2083"/>
      <c r="B20" s="2083"/>
      <c r="C20" s="1383" t="str">
        <f>F!C32</f>
        <v>&lt;5% of the water is shaded, or no surface water is present then.</v>
      </c>
      <c r="D20" s="771">
        <f>F!D32</f>
        <v>0</v>
      </c>
      <c r="E20" s="803">
        <v>0</v>
      </c>
      <c r="F20" s="803">
        <f>D20*E20</f>
        <v>0</v>
      </c>
      <c r="G20" s="343"/>
      <c r="H20" s="2083"/>
      <c r="I20" s="2260"/>
      <c r="J20" s="274"/>
    </row>
    <row r="21" spans="1:10" ht="15" customHeight="1" x14ac:dyDescent="0.2">
      <c r="A21" s="2083"/>
      <c r="B21" s="2083"/>
      <c r="C21" s="1384" t="str">
        <f>F!C33</f>
        <v>5-25% of the water is shaded</v>
      </c>
      <c r="D21" s="771">
        <f>F!D33</f>
        <v>0</v>
      </c>
      <c r="E21" s="803">
        <v>1</v>
      </c>
      <c r="F21" s="803">
        <f>D21*E21</f>
        <v>0</v>
      </c>
      <c r="G21" s="493"/>
      <c r="H21" s="2083"/>
      <c r="I21" s="2260"/>
      <c r="J21" s="274"/>
    </row>
    <row r="22" spans="1:10" ht="15" customHeight="1" x14ac:dyDescent="0.2">
      <c r="A22" s="2083"/>
      <c r="B22" s="2083"/>
      <c r="C22" s="1384" t="str">
        <f>F!C34</f>
        <v>25-50% of the water is shaded</v>
      </c>
      <c r="D22" s="771">
        <f>F!D34</f>
        <v>0</v>
      </c>
      <c r="E22" s="803">
        <v>2</v>
      </c>
      <c r="F22" s="803">
        <f>D22*E22</f>
        <v>0</v>
      </c>
      <c r="G22" s="493"/>
      <c r="H22" s="2083"/>
      <c r="I22" s="2260"/>
      <c r="J22" s="274"/>
    </row>
    <row r="23" spans="1:10" ht="15" customHeight="1" x14ac:dyDescent="0.2">
      <c r="A23" s="2083"/>
      <c r="B23" s="2083"/>
      <c r="C23" s="1384" t="str">
        <f>F!C35</f>
        <v>50-75% of the water is shaded</v>
      </c>
      <c r="D23" s="771">
        <f>F!D35</f>
        <v>0</v>
      </c>
      <c r="E23" s="803">
        <v>3</v>
      </c>
      <c r="F23" s="803">
        <f>D23*E23</f>
        <v>0</v>
      </c>
      <c r="G23" s="493"/>
      <c r="H23" s="2083"/>
      <c r="I23" s="2260"/>
      <c r="J23" s="274"/>
    </row>
    <row r="24" spans="1:10" ht="15" customHeight="1" thickBot="1" x14ac:dyDescent="0.25">
      <c r="A24" s="2088"/>
      <c r="B24" s="2088"/>
      <c r="C24" s="1005" t="str">
        <f>F!C36</f>
        <v>&gt;75% of the water is shaded</v>
      </c>
      <c r="D24" s="126">
        <f>F!D36</f>
        <v>0</v>
      </c>
      <c r="E24" s="453">
        <v>4</v>
      </c>
      <c r="F24" s="453">
        <f>D24*E24</f>
        <v>0</v>
      </c>
      <c r="G24" s="494"/>
      <c r="H24" s="2088"/>
      <c r="I24" s="2261"/>
      <c r="J24" s="274"/>
    </row>
    <row r="25" spans="1:10" ht="30" customHeight="1" thickBot="1" x14ac:dyDescent="0.25">
      <c r="A25" s="2087" t="str">
        <f>F!A39</f>
        <v>F8</v>
      </c>
      <c r="B25" s="2087" t="str">
        <f>F!B39</f>
        <v>% Flooded Only Seasonally</v>
      </c>
      <c r="C25" s="1380" t="str">
        <f>F!C39</f>
        <v>The percentage of the AA that is covered by surface water only during the wettest time of year (and for &gt;2 consecutive days during that time) is:</v>
      </c>
      <c r="D25" s="971"/>
      <c r="E25" s="448"/>
      <c r="F25" s="495"/>
      <c r="G25" s="426">
        <f>IF((AllSat+AllSat1&gt;0),"", MAX(F26:F30)/MAX(E26:E30))</f>
        <v>0</v>
      </c>
      <c r="H25" s="2087" t="s">
        <v>313</v>
      </c>
      <c r="I25" s="2259" t="s">
        <v>2186</v>
      </c>
      <c r="J25" s="274"/>
    </row>
    <row r="26" spans="1:10" ht="15" customHeight="1" x14ac:dyDescent="0.2">
      <c r="A26" s="2083"/>
      <c r="B26" s="2083"/>
      <c r="C26" s="783" t="str">
        <f>F!C40</f>
        <v xml:space="preserve">&lt;1%. </v>
      </c>
      <c r="D26" s="795">
        <f>F!D40</f>
        <v>0</v>
      </c>
      <c r="E26" s="803">
        <v>0</v>
      </c>
      <c r="F26" s="803">
        <f>D26*E26</f>
        <v>0</v>
      </c>
      <c r="G26" s="343"/>
      <c r="H26" s="2083"/>
      <c r="I26" s="2260"/>
      <c r="J26" s="274"/>
    </row>
    <row r="27" spans="1:10" ht="15" customHeight="1" x14ac:dyDescent="0.2">
      <c r="A27" s="2083"/>
      <c r="B27" s="2083"/>
      <c r="C27" s="784" t="str">
        <f>F!C41</f>
        <v xml:space="preserve">1-25% </v>
      </c>
      <c r="D27" s="795">
        <f>F!D41</f>
        <v>0</v>
      </c>
      <c r="E27" s="803">
        <v>1</v>
      </c>
      <c r="F27" s="803">
        <f>D27*E27</f>
        <v>0</v>
      </c>
      <c r="G27" s="493"/>
      <c r="H27" s="2083"/>
      <c r="I27" s="2260"/>
      <c r="J27" s="274"/>
    </row>
    <row r="28" spans="1:10" ht="15" customHeight="1" x14ac:dyDescent="0.2">
      <c r="A28" s="2083"/>
      <c r="B28" s="2083"/>
      <c r="C28" s="784" t="str">
        <f>F!C42</f>
        <v xml:space="preserve">25-50% </v>
      </c>
      <c r="D28" s="795">
        <f>F!D42</f>
        <v>0</v>
      </c>
      <c r="E28" s="803">
        <v>2</v>
      </c>
      <c r="F28" s="803">
        <f>D28*E28</f>
        <v>0</v>
      </c>
      <c r="G28" s="493"/>
      <c r="H28" s="2083"/>
      <c r="I28" s="2260"/>
      <c r="J28" s="274"/>
    </row>
    <row r="29" spans="1:10" ht="15" customHeight="1" x14ac:dyDescent="0.2">
      <c r="A29" s="2083"/>
      <c r="B29" s="2083"/>
      <c r="C29" s="784" t="str">
        <f>F!C43</f>
        <v xml:space="preserve">50-95% </v>
      </c>
      <c r="D29" s="795">
        <f>F!D43</f>
        <v>0</v>
      </c>
      <c r="E29" s="803">
        <v>3</v>
      </c>
      <c r="F29" s="803">
        <f>D29*E29</f>
        <v>0</v>
      </c>
      <c r="G29" s="493"/>
      <c r="H29" s="2083"/>
      <c r="I29" s="2260"/>
      <c r="J29" s="274"/>
    </row>
    <row r="30" spans="1:10" ht="15" customHeight="1" thickBot="1" x14ac:dyDescent="0.25">
      <c r="A30" s="2088"/>
      <c r="B30" s="2088"/>
      <c r="C30" s="784" t="str">
        <f>F!C44</f>
        <v xml:space="preserve">&gt;95% </v>
      </c>
      <c r="D30" s="795">
        <f>F!D44</f>
        <v>0</v>
      </c>
      <c r="E30" s="806">
        <v>4</v>
      </c>
      <c r="F30" s="806">
        <f>D30*E30</f>
        <v>0</v>
      </c>
      <c r="G30" s="967"/>
      <c r="H30" s="2088"/>
      <c r="I30" s="2261"/>
      <c r="J30" s="274"/>
    </row>
    <row r="31" spans="1:10" ht="30" customHeight="1" thickBot="1" x14ac:dyDescent="0.25">
      <c r="A31" s="2077" t="str">
        <f>F!A45</f>
        <v>F9</v>
      </c>
      <c r="B31" s="2248" t="str">
        <f>F!B45</f>
        <v>Annual Water Fluctuation Range</v>
      </c>
      <c r="C31" s="136" t="str">
        <f>F!C45</f>
        <v>The annual fluctuation in surface water level within most of the parts of the AA that contain surface water is:</v>
      </c>
      <c r="D31" s="798"/>
      <c r="E31" s="802"/>
      <c r="F31" s="498"/>
      <c r="G31" s="432">
        <f>IF((AllSat+AllSat1&gt;0),"", IF((NoSeasonal=1),"",MAX(F32:F35)/MAX(E32:E35)))</f>
        <v>0</v>
      </c>
      <c r="H31" s="2087" t="s">
        <v>1141</v>
      </c>
      <c r="I31" s="2259" t="s">
        <v>2187</v>
      </c>
      <c r="J31" s="274"/>
    </row>
    <row r="32" spans="1:10" ht="15" customHeight="1" x14ac:dyDescent="0.2">
      <c r="A32" s="2078"/>
      <c r="B32" s="2265"/>
      <c r="C32" s="901" t="str">
        <f>F!C46</f>
        <v xml:space="preserve">&lt;10 cm change (stable) </v>
      </c>
      <c r="D32" s="779">
        <f>F!D46</f>
        <v>0</v>
      </c>
      <c r="E32" s="803">
        <v>0</v>
      </c>
      <c r="F32" s="803">
        <f>D32*E32</f>
        <v>0</v>
      </c>
      <c r="G32" s="343"/>
      <c r="H32" s="2083"/>
      <c r="I32" s="2260"/>
      <c r="J32" s="274"/>
    </row>
    <row r="33" spans="1:10" ht="15" customHeight="1" x14ac:dyDescent="0.2">
      <c r="A33" s="2078"/>
      <c r="B33" s="2265"/>
      <c r="C33" s="736" t="str">
        <f>F!C47</f>
        <v>10 cm - 50 cm change</v>
      </c>
      <c r="D33" s="779">
        <f>F!D47</f>
        <v>0</v>
      </c>
      <c r="E33" s="803">
        <v>1</v>
      </c>
      <c r="F33" s="803">
        <f>D33*E33</f>
        <v>0</v>
      </c>
      <c r="G33" s="493"/>
      <c r="H33" s="2083"/>
      <c r="I33" s="2260"/>
      <c r="J33" s="274"/>
    </row>
    <row r="34" spans="1:10" ht="15" customHeight="1" x14ac:dyDescent="0.2">
      <c r="A34" s="2078"/>
      <c r="B34" s="2265"/>
      <c r="C34" s="736" t="str">
        <f>F!C49</f>
        <v>1-2 m change</v>
      </c>
      <c r="D34" s="779">
        <f>F!D49</f>
        <v>0</v>
      </c>
      <c r="E34" s="803">
        <v>2</v>
      </c>
      <c r="F34" s="803">
        <f>D34*E34</f>
        <v>0</v>
      </c>
      <c r="G34" s="493"/>
      <c r="H34" s="2083"/>
      <c r="I34" s="2260"/>
      <c r="J34" s="274"/>
    </row>
    <row r="35" spans="1:10" ht="15" customHeight="1" thickBot="1" x14ac:dyDescent="0.25">
      <c r="A35" s="2079"/>
      <c r="B35" s="2266"/>
      <c r="C35" s="737" t="str">
        <f>F!C50</f>
        <v>&gt;2 m change</v>
      </c>
      <c r="D35" s="105">
        <f>F!D50</f>
        <v>0</v>
      </c>
      <c r="E35" s="453">
        <v>3</v>
      </c>
      <c r="F35" s="453">
        <f>D35*E35</f>
        <v>0</v>
      </c>
      <c r="G35" s="494"/>
      <c r="H35" s="2088"/>
      <c r="I35" s="2261"/>
      <c r="J35" s="274"/>
    </row>
    <row r="36" spans="1:10" ht="45" customHeight="1" thickBot="1" x14ac:dyDescent="0.25">
      <c r="A36" s="2086" t="str">
        <f>F!A62</f>
        <v>F12</v>
      </c>
      <c r="B36" s="2086" t="str">
        <f>F!B62</f>
        <v xml:space="preserve">% of Water Ponded vs. Flowing </v>
      </c>
      <c r="C36" s="1016" t="str">
        <f>F!C62</f>
        <v>The percentage of the AA's surface water that is ponded (stagnant, or flows so slowly that fine sediment is not held in suspension) during most of the time it is present, and which is either open or shaded by emergent vegetation is:</v>
      </c>
      <c r="D36" s="798"/>
      <c r="E36" s="802"/>
      <c r="F36" s="492"/>
      <c r="G36" s="432">
        <f>IF((AllSat=1),"", IF((SmallAA=1),"", MAX(F37:F43)/MAX(E37:E43)))</f>
        <v>0</v>
      </c>
      <c r="H36" s="2087" t="s">
        <v>608</v>
      </c>
      <c r="I36" s="2262" t="s">
        <v>2188</v>
      </c>
      <c r="J36" s="274"/>
    </row>
    <row r="37" spans="1:10" ht="27" customHeight="1" x14ac:dyDescent="0.2">
      <c r="A37" s="2084"/>
      <c r="B37" s="2084"/>
      <c r="C37" s="1007" t="str">
        <f>F!C63</f>
        <v>&lt;1% or none, or occupies &lt;0.01 hectare cumulatively.  Nearly all water is flowing.  Enter "1" and SKIP to F21 (Stained Surface Water).</v>
      </c>
      <c r="D37" s="630">
        <f>F!D63</f>
        <v>0</v>
      </c>
      <c r="E37" s="803">
        <v>5</v>
      </c>
      <c r="F37" s="806">
        <f t="shared" ref="F37:F43" si="0">D37*E37</f>
        <v>0</v>
      </c>
      <c r="G37" s="493"/>
      <c r="H37" s="2083"/>
      <c r="I37" s="2260"/>
      <c r="J37" s="274"/>
    </row>
    <row r="38" spans="1:10" ht="15" customHeight="1" x14ac:dyDescent="0.2">
      <c r="A38" s="2084"/>
      <c r="B38" s="2084"/>
      <c r="C38" s="1008" t="str">
        <f>F!C64</f>
        <v>1-5% of the water, and mainly in small pools.  The rest is flowing.</v>
      </c>
      <c r="D38" s="809">
        <f>F!D64</f>
        <v>0</v>
      </c>
      <c r="E38" s="803">
        <v>4</v>
      </c>
      <c r="F38" s="806">
        <f t="shared" si="0"/>
        <v>0</v>
      </c>
      <c r="G38" s="493"/>
      <c r="H38" s="2083"/>
      <c r="I38" s="2260"/>
      <c r="J38" s="274"/>
    </row>
    <row r="39" spans="1:10" ht="15" customHeight="1" x14ac:dyDescent="0.2">
      <c r="A39" s="2084"/>
      <c r="B39" s="2084"/>
      <c r="C39" s="1008" t="str">
        <f>F!C65</f>
        <v>1-5% of the water, and mainly in a single large pool or pond.  The rest is flowing.</v>
      </c>
      <c r="D39" s="809">
        <f>F!D65</f>
        <v>0</v>
      </c>
      <c r="E39" s="803">
        <v>4</v>
      </c>
      <c r="F39" s="806">
        <f t="shared" si="0"/>
        <v>0</v>
      </c>
      <c r="G39" s="493"/>
      <c r="H39" s="2083"/>
      <c r="I39" s="2260"/>
      <c r="J39" s="274"/>
    </row>
    <row r="40" spans="1:10" ht="15" customHeight="1" x14ac:dyDescent="0.2">
      <c r="A40" s="2084"/>
      <c r="B40" s="2084"/>
      <c r="C40" s="1008" t="str">
        <f>F!C66</f>
        <v>5-30% of the water</v>
      </c>
      <c r="D40" s="809">
        <f>F!D66</f>
        <v>0</v>
      </c>
      <c r="E40" s="803">
        <v>3</v>
      </c>
      <c r="F40" s="806">
        <f t="shared" si="0"/>
        <v>0</v>
      </c>
      <c r="G40" s="493"/>
      <c r="H40" s="2083"/>
      <c r="I40" s="2260"/>
      <c r="J40" s="274"/>
    </row>
    <row r="41" spans="1:10" ht="15" customHeight="1" x14ac:dyDescent="0.2">
      <c r="A41" s="2084"/>
      <c r="B41" s="2084"/>
      <c r="C41" s="1008" t="str">
        <f>F!C67</f>
        <v>30-70% of the water</v>
      </c>
      <c r="D41" s="809">
        <f>F!D67</f>
        <v>0</v>
      </c>
      <c r="E41" s="803">
        <v>2</v>
      </c>
      <c r="F41" s="806">
        <f t="shared" si="0"/>
        <v>0</v>
      </c>
      <c r="G41" s="493"/>
      <c r="H41" s="2083"/>
      <c r="I41" s="2260"/>
      <c r="J41" s="274"/>
    </row>
    <row r="42" spans="1:10" ht="15" customHeight="1" x14ac:dyDescent="0.2">
      <c r="A42" s="2084"/>
      <c r="B42" s="2084"/>
      <c r="C42" s="1008" t="str">
        <f>F!C68</f>
        <v>70-95% of the water</v>
      </c>
      <c r="D42" s="809">
        <f>F!D68</f>
        <v>0</v>
      </c>
      <c r="E42" s="803">
        <v>1</v>
      </c>
      <c r="F42" s="806">
        <f t="shared" si="0"/>
        <v>0</v>
      </c>
      <c r="G42" s="493"/>
      <c r="H42" s="2083"/>
      <c r="I42" s="2260"/>
      <c r="J42" s="274"/>
    </row>
    <row r="43" spans="1:10" ht="15" customHeight="1" thickBot="1" x14ac:dyDescent="0.25">
      <c r="A43" s="2085"/>
      <c r="B43" s="2085"/>
      <c r="C43" s="1009" t="str">
        <f>F!C69</f>
        <v>&gt;95% of the water.  Little or no visibly flowing water within the AA.</v>
      </c>
      <c r="D43" s="300">
        <f>F!D69</f>
        <v>0</v>
      </c>
      <c r="E43" s="453">
        <v>0</v>
      </c>
      <c r="F43" s="453">
        <f t="shared" si="0"/>
        <v>0</v>
      </c>
      <c r="G43" s="494"/>
      <c r="H43" s="2088"/>
      <c r="I43" s="2261"/>
      <c r="J43" s="274"/>
    </row>
    <row r="44" spans="1:10" ht="30" customHeight="1" thickBot="1" x14ac:dyDescent="0.25">
      <c r="A44" s="2086" t="str">
        <f>F!A71</f>
        <v>F14</v>
      </c>
      <c r="B44" s="2086" t="str">
        <f>F!B71</f>
        <v xml:space="preserve">% of Ponded Water That Is Open </v>
      </c>
      <c r="C44" s="1006" t="str">
        <f>F!C71</f>
        <v>In ducks-eye aerial view, the percentage of the ponded water that is open (lacking emergent vegetation during most of the growing season, and unhidden by a forest or shrub canopy) is:</v>
      </c>
      <c r="D44" s="971"/>
      <c r="E44" s="448"/>
      <c r="F44" s="448"/>
      <c r="G44" s="426">
        <f>IF((AllSat+AllSat&gt;0),"",IF((NoPonded=1),"", IF((SmallAA=1),"", MAX(F45:F50)/MAX(E45:E50))))</f>
        <v>0</v>
      </c>
      <c r="H44" s="2087" t="s">
        <v>1251</v>
      </c>
      <c r="I44" s="2262" t="s">
        <v>2189</v>
      </c>
      <c r="J44" s="274"/>
    </row>
    <row r="45" spans="1:10" ht="27" customHeight="1" x14ac:dyDescent="0.2">
      <c r="A45" s="2084"/>
      <c r="B45" s="2084"/>
      <c r="C45" s="1007" t="str">
        <f>F!C72</f>
        <v>&lt;1% or none, or largest pool occupies &lt;0.01 hectares.  Enter "1" and SKIP to F20 (Floating Algae &amp; Duckweed).</v>
      </c>
      <c r="D45" s="630">
        <f>F!D72</f>
        <v>0</v>
      </c>
      <c r="E45" s="803">
        <v>6</v>
      </c>
      <c r="F45" s="806">
        <f t="shared" ref="F45:F60" si="1">D45*E45</f>
        <v>0</v>
      </c>
      <c r="G45" s="493"/>
      <c r="H45" s="2083"/>
      <c r="I45" s="2263"/>
      <c r="J45" s="274"/>
    </row>
    <row r="46" spans="1:10" ht="15" customHeight="1" x14ac:dyDescent="0.2">
      <c r="A46" s="2084"/>
      <c r="B46" s="2084"/>
      <c r="C46" s="1008" t="str">
        <f>F!C73</f>
        <v>1-5% of the ponded water.  Enter "1" and SKIP to F20.</v>
      </c>
      <c r="D46" s="809">
        <f>F!D73</f>
        <v>0</v>
      </c>
      <c r="E46" s="803">
        <v>5</v>
      </c>
      <c r="F46" s="806">
        <f t="shared" si="1"/>
        <v>0</v>
      </c>
      <c r="G46" s="493"/>
      <c r="H46" s="2083"/>
      <c r="I46" s="2263"/>
      <c r="J46" s="274"/>
    </row>
    <row r="47" spans="1:10" ht="15" customHeight="1" x14ac:dyDescent="0.2">
      <c r="A47" s="2084"/>
      <c r="B47" s="2084"/>
      <c r="C47" s="1008" t="str">
        <f>F!C74</f>
        <v>5-30% of the ponded water.</v>
      </c>
      <c r="D47" s="809">
        <f>F!D74</f>
        <v>0</v>
      </c>
      <c r="E47" s="803">
        <v>4</v>
      </c>
      <c r="F47" s="806">
        <f t="shared" si="1"/>
        <v>0</v>
      </c>
      <c r="G47" s="493"/>
      <c r="H47" s="2083"/>
      <c r="I47" s="2263"/>
      <c r="J47" s="274"/>
    </row>
    <row r="48" spans="1:10" ht="15" customHeight="1" x14ac:dyDescent="0.2">
      <c r="A48" s="2084"/>
      <c r="B48" s="2084"/>
      <c r="C48" s="1008" t="str">
        <f>F!C75</f>
        <v>30-70% of the ponded water.</v>
      </c>
      <c r="D48" s="809">
        <f>F!D75</f>
        <v>0</v>
      </c>
      <c r="E48" s="803">
        <v>3</v>
      </c>
      <c r="F48" s="806">
        <f t="shared" si="1"/>
        <v>0</v>
      </c>
      <c r="G48" s="493"/>
      <c r="H48" s="2083"/>
      <c r="I48" s="2263"/>
      <c r="J48" s="274"/>
    </row>
    <row r="49" spans="1:10" ht="15" customHeight="1" x14ac:dyDescent="0.2">
      <c r="A49" s="2084"/>
      <c r="B49" s="2084"/>
      <c r="C49" s="1008" t="str">
        <f>F!C76</f>
        <v>70-99% of the ponded water.</v>
      </c>
      <c r="D49" s="809">
        <f>F!D76</f>
        <v>0</v>
      </c>
      <c r="E49" s="803">
        <v>2</v>
      </c>
      <c r="F49" s="806">
        <f t="shared" si="1"/>
        <v>0</v>
      </c>
      <c r="G49" s="493"/>
      <c r="H49" s="2083"/>
      <c r="I49" s="2263"/>
      <c r="J49" s="274"/>
    </row>
    <row r="50" spans="1:10" ht="15" customHeight="1" thickBot="1" x14ac:dyDescent="0.25">
      <c r="A50" s="2085"/>
      <c r="B50" s="2085"/>
      <c r="C50" s="1008" t="str">
        <f>F!C77</f>
        <v xml:space="preserve">100% of the ponded water. </v>
      </c>
      <c r="D50" s="809">
        <f>F!D77</f>
        <v>0</v>
      </c>
      <c r="E50" s="806">
        <v>1</v>
      </c>
      <c r="F50" s="806">
        <f t="shared" si="1"/>
        <v>0</v>
      </c>
      <c r="G50" s="967"/>
      <c r="H50" s="2088"/>
      <c r="I50" s="2264"/>
      <c r="J50" s="274"/>
    </row>
    <row r="51" spans="1:10" ht="30" customHeight="1" thickBot="1" x14ac:dyDescent="0.25">
      <c r="A51" s="2086" t="str">
        <f>F!A84</f>
        <v>F16</v>
      </c>
      <c r="B51" s="2086" t="str">
        <f>F!B84</f>
        <v>Predominant Width of Vegetated Zone within Wetland</v>
      </c>
      <c r="C51" s="116" t="str">
        <f>F!C84</f>
        <v>At the driest time of year (or lowest water level), the average width of vegetated area in the AA that separates adjoining uplands from open water within the AA is:</v>
      </c>
      <c r="D51" s="798"/>
      <c r="E51" s="802"/>
      <c r="F51" s="498"/>
      <c r="G51" s="432" t="str">
        <f>IF((AllSat+AllSat&gt;0),"",IF((OpenW=0),"", IF((SmallAA=1),"", MAX(F52:F56)/MAX(E52:E56))))</f>
        <v/>
      </c>
      <c r="H51" s="2087" t="s">
        <v>111</v>
      </c>
      <c r="I51" s="2259" t="s">
        <v>2190</v>
      </c>
      <c r="J51" s="274"/>
    </row>
    <row r="52" spans="1:10" ht="15" customHeight="1" x14ac:dyDescent="0.2">
      <c r="A52" s="2084"/>
      <c r="B52" s="2084"/>
      <c r="C52" s="953" t="str">
        <f>F!C85</f>
        <v>&lt;1 m</v>
      </c>
      <c r="D52" s="271">
        <f>F!D85</f>
        <v>0</v>
      </c>
      <c r="E52" s="803">
        <v>4</v>
      </c>
      <c r="F52" s="803">
        <f>D52*E52</f>
        <v>0</v>
      </c>
      <c r="G52" s="343"/>
      <c r="H52" s="2083"/>
      <c r="I52" s="2260"/>
      <c r="J52" s="274"/>
    </row>
    <row r="53" spans="1:10" ht="15" customHeight="1" x14ac:dyDescent="0.2">
      <c r="A53" s="2084"/>
      <c r="B53" s="2084"/>
      <c r="C53" s="785" t="str">
        <f>F!C86</f>
        <v>1 - 9 m</v>
      </c>
      <c r="D53" s="771">
        <f>F!D86</f>
        <v>0</v>
      </c>
      <c r="E53" s="803">
        <v>3</v>
      </c>
      <c r="F53" s="803">
        <f>D53*E53</f>
        <v>0</v>
      </c>
      <c r="G53" s="493"/>
      <c r="H53" s="2083"/>
      <c r="I53" s="2260"/>
      <c r="J53" s="274"/>
    </row>
    <row r="54" spans="1:10" ht="15" customHeight="1" x14ac:dyDescent="0.2">
      <c r="A54" s="2084"/>
      <c r="B54" s="2084"/>
      <c r="C54" s="785" t="str">
        <f>F!C87</f>
        <v>10 - 29 m</v>
      </c>
      <c r="D54" s="771">
        <f>F!D87</f>
        <v>0</v>
      </c>
      <c r="E54" s="803">
        <v>2</v>
      </c>
      <c r="F54" s="803">
        <f>D54*E54</f>
        <v>0</v>
      </c>
      <c r="G54" s="493"/>
      <c r="H54" s="2083"/>
      <c r="I54" s="2260"/>
      <c r="J54" s="274"/>
    </row>
    <row r="55" spans="1:10" ht="15" customHeight="1" x14ac:dyDescent="0.2">
      <c r="A55" s="2084"/>
      <c r="B55" s="2084"/>
      <c r="C55" s="785" t="str">
        <f>F!C88</f>
        <v>30 - 49 m</v>
      </c>
      <c r="D55" s="771">
        <f>F!D88</f>
        <v>0</v>
      </c>
      <c r="E55" s="803">
        <v>1</v>
      </c>
      <c r="F55" s="803">
        <f>D55*E55</f>
        <v>0</v>
      </c>
      <c r="G55" s="493"/>
      <c r="H55" s="2083"/>
      <c r="I55" s="2260"/>
      <c r="J55" s="274"/>
    </row>
    <row r="56" spans="1:10" ht="15" customHeight="1" thickBot="1" x14ac:dyDescent="0.25">
      <c r="A56" s="2085"/>
      <c r="B56" s="2085"/>
      <c r="C56" s="106" t="str">
        <f>F!C90</f>
        <v>&gt; 100 m</v>
      </c>
      <c r="D56" s="126">
        <f>F!D90</f>
        <v>0</v>
      </c>
      <c r="E56" s="453">
        <v>0</v>
      </c>
      <c r="F56" s="453">
        <f>D56*E56</f>
        <v>0</v>
      </c>
      <c r="G56" s="494"/>
      <c r="H56" s="2088"/>
      <c r="I56" s="2261"/>
      <c r="J56" s="274"/>
    </row>
    <row r="57" spans="1:10" ht="30" customHeight="1" thickBot="1" x14ac:dyDescent="0.25">
      <c r="A57" s="2086" t="str">
        <f>F!A95</f>
        <v>F18</v>
      </c>
      <c r="B57" s="2086" t="str">
        <f>F!B95</f>
        <v>Interspersion of Robust Emergents &amp; Open Water</v>
      </c>
      <c r="C57" s="1010" t="str">
        <f>F!C95</f>
        <v>During most of the growing season, the spatial pattern of tall robust herbaceous vegetation (e.g., cattail, bulrush) that has surface water beneath it is mostly:</v>
      </c>
      <c r="D57" s="798"/>
      <c r="E57" s="802"/>
      <c r="F57" s="498"/>
      <c r="G57" s="432">
        <f>IF((AllSat+AllSat&gt;0),"",IF((NoPonded=1),"",IF((NoOpenPonded+NoOpenPonded1&gt;0),"",IF((AllOpenPond=1),"", IF((SmallAA=1),"", MAX(F58:F60)/MAX(E58:E60))))))</f>
        <v>0</v>
      </c>
      <c r="H57" s="2087" t="s">
        <v>623</v>
      </c>
      <c r="I57" s="2262" t="s">
        <v>2191</v>
      </c>
      <c r="J57" s="274"/>
    </row>
    <row r="58" spans="1:10" ht="15" customHeight="1" x14ac:dyDescent="0.2">
      <c r="A58" s="2084"/>
      <c r="B58" s="2084"/>
      <c r="C58" s="1011" t="str">
        <f>F!C96</f>
        <v>Scattered in small clumps, islands, or patches throughout the surface water area.</v>
      </c>
      <c r="D58" s="288">
        <f>F!D96</f>
        <v>0</v>
      </c>
      <c r="E58" s="803">
        <v>2</v>
      </c>
      <c r="F58" s="806">
        <f t="shared" si="1"/>
        <v>0</v>
      </c>
      <c r="G58" s="493"/>
      <c r="H58" s="2083"/>
      <c r="I58" s="2260"/>
      <c r="J58" s="274"/>
    </row>
    <row r="59" spans="1:10" ht="15" customHeight="1" x14ac:dyDescent="0.2">
      <c r="A59" s="2084"/>
      <c r="B59" s="2084"/>
      <c r="C59" s="1011" t="str">
        <f>F!C97</f>
        <v>Intermediate</v>
      </c>
      <c r="D59" s="288">
        <f>F!D97</f>
        <v>0</v>
      </c>
      <c r="E59" s="803">
        <v>1</v>
      </c>
      <c r="F59" s="806">
        <f t="shared" si="1"/>
        <v>0</v>
      </c>
      <c r="G59" s="493"/>
      <c r="H59" s="2083"/>
      <c r="I59" s="2260"/>
      <c r="J59" s="274"/>
    </row>
    <row r="60" spans="1:10" ht="27" customHeight="1" thickBot="1" x14ac:dyDescent="0.25">
      <c r="A60" s="2085"/>
      <c r="B60" s="2085"/>
      <c r="C60" s="1012" t="str">
        <f>F!C98</f>
        <v>Clumped at one or a few sides of the surface water area, or mostly surrounds a central area of open water.  Or such vegetation is absent or covers &lt;9 sq m and &lt;1% of the AA.</v>
      </c>
      <c r="D60" s="1422">
        <f>F!D98</f>
        <v>0</v>
      </c>
      <c r="E60" s="453">
        <v>0</v>
      </c>
      <c r="F60" s="453">
        <f t="shared" si="1"/>
        <v>0</v>
      </c>
      <c r="G60" s="494"/>
      <c r="H60" s="2088"/>
      <c r="I60" s="2261"/>
      <c r="J60" s="274"/>
    </row>
    <row r="61" spans="1:10" ht="45" customHeight="1" thickBot="1" x14ac:dyDescent="0.25">
      <c r="A61" s="1362" t="str">
        <f>F!A101</f>
        <v>F21</v>
      </c>
      <c r="B61" s="1373" t="str">
        <f>F!B101</f>
        <v>Stained Surface Water</v>
      </c>
      <c r="C61" s="750" t="str">
        <f>F!C101</f>
        <v xml:space="preserve">Most surface water is tea-colored (from tannins, not iron bacteria or silt), and/or its pH is usually &lt;5.5. Nearby vegetation is mostly moss and/or conifers. </v>
      </c>
      <c r="D61" s="294">
        <f>F!D101</f>
        <v>0</v>
      </c>
      <c r="E61" s="508"/>
      <c r="F61" s="520"/>
      <c r="G61" s="1081" t="str">
        <f>IF((AllSat+AllSat&gt;0),"", IF((SmallAA=1),"", IF((D61=0),"",1)))</f>
        <v/>
      </c>
      <c r="H61" s="1373" t="s">
        <v>624</v>
      </c>
      <c r="I61" s="1420" t="s">
        <v>2192</v>
      </c>
      <c r="J61" s="274"/>
    </row>
    <row r="62" spans="1:10" ht="30" customHeight="1" thickBot="1" x14ac:dyDescent="0.25">
      <c r="A62" s="2248" t="str">
        <f>F!A109</f>
        <v>F25</v>
      </c>
      <c r="B62" s="2248" t="str">
        <f>F!B109</f>
        <v>Through Flow Pattern</v>
      </c>
      <c r="C62" s="116" t="str">
        <f>F!C109</f>
        <v>During its travel through the AA at the time of peak annual flow, most of the water arriving in channels [select only the ONE encountered by most of the incoming water]:</v>
      </c>
      <c r="D62" s="798"/>
      <c r="E62" s="802"/>
      <c r="F62" s="498"/>
      <c r="G62" s="432" t="str">
        <f>IF((AllSat+AllSat&gt;0),"", IF((Inflows=0),"",MAX(F63:F67)/MAX(E63:E67)))</f>
        <v/>
      </c>
      <c r="H62" s="2087" t="s">
        <v>114</v>
      </c>
      <c r="I62" s="2259" t="s">
        <v>2193</v>
      </c>
      <c r="J62" s="274"/>
    </row>
    <row r="63" spans="1:10" ht="42" customHeight="1" x14ac:dyDescent="0.2">
      <c r="A63" s="2265"/>
      <c r="B63" s="2265"/>
      <c r="C63" s="154" t="str">
        <f>F!C110</f>
        <v>Does not bump into plant stems as it travels through the AA.  Nearly all the water continues to travel in unvegetated (often incised) channels that have little contact with wetland vegetation, or through a zone of open water such as an instream pond or lake.</v>
      </c>
      <c r="D63" s="808">
        <f>F!D110</f>
        <v>0</v>
      </c>
      <c r="E63" s="803">
        <v>1</v>
      </c>
      <c r="F63" s="803">
        <f>D63*E63</f>
        <v>0</v>
      </c>
      <c r="G63" s="343"/>
      <c r="H63" s="2083"/>
      <c r="I63" s="2260"/>
      <c r="J63" s="274"/>
    </row>
    <row r="64" spans="1:10" ht="15" customHeight="1" x14ac:dyDescent="0.2">
      <c r="A64" s="2265"/>
      <c r="B64" s="2265"/>
      <c r="C64" s="1020" t="str">
        <f>F!C111</f>
        <v>bumps into herbaceous vegetation but mostly remains in fairly straight channels.</v>
      </c>
      <c r="D64" s="1423">
        <f>F!D111</f>
        <v>0</v>
      </c>
      <c r="E64" s="803">
        <v>2</v>
      </c>
      <c r="F64" s="803">
        <f>D64*E64</f>
        <v>0</v>
      </c>
      <c r="G64" s="493"/>
      <c r="H64" s="2083"/>
      <c r="I64" s="2260"/>
      <c r="J64" s="274"/>
    </row>
    <row r="65" spans="1:10" ht="27" customHeight="1" x14ac:dyDescent="0.2">
      <c r="A65" s="2265"/>
      <c r="B65" s="2265"/>
      <c r="C65" s="1021" t="str">
        <f>F!C112</f>
        <v>bumps into herbaceous vegetation and mostly spreads throughout, or is in widely  meandering, multi-branched, or braided channels.</v>
      </c>
      <c r="D65" s="771">
        <f>F!D112</f>
        <v>0</v>
      </c>
      <c r="E65" s="803">
        <v>4</v>
      </c>
      <c r="F65" s="803">
        <f>D65*E65</f>
        <v>0</v>
      </c>
      <c r="G65" s="493"/>
      <c r="H65" s="2083"/>
      <c r="I65" s="2260"/>
      <c r="J65" s="274"/>
    </row>
    <row r="66" spans="1:10" ht="15" customHeight="1" x14ac:dyDescent="0.2">
      <c r="A66" s="2265"/>
      <c r="B66" s="2265"/>
      <c r="C66" s="154" t="str">
        <f>F!C113</f>
        <v>bumps into tree trunks and/or shrub stems but mostly remains in fairly straight channels.</v>
      </c>
      <c r="D66" s="808">
        <f>F!D113</f>
        <v>0</v>
      </c>
      <c r="E66" s="803">
        <v>3</v>
      </c>
      <c r="F66" s="803">
        <f>D66*E66</f>
        <v>0</v>
      </c>
      <c r="G66" s="493"/>
      <c r="H66" s="2083"/>
      <c r="I66" s="2260"/>
      <c r="J66" s="274"/>
    </row>
    <row r="67" spans="1:10" ht="27" customHeight="1" thickBot="1" x14ac:dyDescent="0.25">
      <c r="A67" s="2266"/>
      <c r="B67" s="2266"/>
      <c r="C67" s="146" t="str">
        <f>F!C114</f>
        <v>bumps into tree trunks and/or shrub stems and follows a fairly indirect path from entrance to exit (meandering, multi-branched, or braided)</v>
      </c>
      <c r="D67" s="126">
        <f>F!D114</f>
        <v>0</v>
      </c>
      <c r="E67" s="453">
        <v>4</v>
      </c>
      <c r="F67" s="453">
        <f>D67*E67</f>
        <v>0</v>
      </c>
      <c r="G67" s="494"/>
      <c r="H67" s="2088"/>
      <c r="I67" s="2261"/>
      <c r="J67" s="274"/>
    </row>
    <row r="68" spans="1:10" ht="30" customHeight="1" thickBot="1" x14ac:dyDescent="0.25">
      <c r="A68" s="2087" t="str">
        <f>F!A115</f>
        <v>F26</v>
      </c>
      <c r="B68" s="2248" t="str">
        <f>F!B115</f>
        <v>Channel Connection &amp; Outflow Duration</v>
      </c>
      <c r="C68" s="1380" t="str">
        <f>F!C115</f>
        <v>The most persistent surface water connection (outlet channel or pipe, ditch, or overbank water exchange) between the AA and the closest off-site downslope water body is:</v>
      </c>
      <c r="D68" s="971"/>
      <c r="E68" s="448"/>
      <c r="F68" s="495"/>
      <c r="G68" s="426">
        <f>IF((AllSat+AllSat1&gt;0),"",MAX(F69:F73)/MAX(E69:E73))</f>
        <v>0</v>
      </c>
      <c r="H68" s="2087" t="s">
        <v>112</v>
      </c>
      <c r="I68" s="2259" t="s">
        <v>2194</v>
      </c>
      <c r="J68" s="274"/>
    </row>
    <row r="69" spans="1:10" ht="15" customHeight="1" x14ac:dyDescent="0.2">
      <c r="A69" s="2083"/>
      <c r="B69" s="2265"/>
      <c r="C69" s="953" t="str">
        <f>F!C116</f>
        <v>persistent (&gt;9 months/year, including times when frozen)</v>
      </c>
      <c r="D69" s="271">
        <f>F!D116</f>
        <v>0</v>
      </c>
      <c r="E69" s="803">
        <v>5</v>
      </c>
      <c r="F69" s="803">
        <f>D69*E69</f>
        <v>0</v>
      </c>
      <c r="G69" s="343"/>
      <c r="H69" s="2083"/>
      <c r="I69" s="2260"/>
      <c r="J69" s="274"/>
    </row>
    <row r="70" spans="1:10" ht="26.25" customHeight="1" x14ac:dyDescent="0.2">
      <c r="A70" s="2083"/>
      <c r="B70" s="2265"/>
      <c r="C70" s="785" t="str">
        <f>F!C117</f>
        <v>seasonal (14 days to 9 months/year, not necessarily consecutive, including times when frozen)</v>
      </c>
      <c r="D70" s="808">
        <f>F!D117</f>
        <v>0</v>
      </c>
      <c r="E70" s="803">
        <v>4</v>
      </c>
      <c r="F70" s="803">
        <f>D70*E70</f>
        <v>0</v>
      </c>
      <c r="G70" s="493"/>
      <c r="H70" s="2083"/>
      <c r="I70" s="2260"/>
      <c r="J70" s="274"/>
    </row>
    <row r="71" spans="1:10" ht="15" customHeight="1" x14ac:dyDescent="0.2">
      <c r="A71" s="2083"/>
      <c r="B71" s="2265"/>
      <c r="C71" s="785" t="str">
        <f>F!C118</f>
        <v>temporary (&lt;14 days, not necessarily consecutive -- must be unfrozen)</v>
      </c>
      <c r="D71" s="808">
        <f>F!D118</f>
        <v>0</v>
      </c>
      <c r="E71" s="803">
        <v>3</v>
      </c>
      <c r="F71" s="803">
        <f>D71*E71</f>
        <v>0</v>
      </c>
      <c r="G71" s="493"/>
      <c r="H71" s="2083"/>
      <c r="I71" s="2260"/>
      <c r="J71" s="274"/>
    </row>
    <row r="72" spans="1:10" ht="42" customHeight="1" x14ac:dyDescent="0.2">
      <c r="A72" s="2083"/>
      <c r="B72" s="2265"/>
      <c r="C72" s="785" t="str">
        <f>F!C119</f>
        <v xml:space="preserve">none -- but maps show a stream or other water body that is downslope from the AA and within a distance that is less than the AA's length.  If so, mark "1" here and SKIP TO F28 (Groundwater). </v>
      </c>
      <c r="D72" s="808">
        <f>F!D119</f>
        <v>0</v>
      </c>
      <c r="E72" s="803">
        <v>1</v>
      </c>
      <c r="F72" s="803">
        <f>D72*E72</f>
        <v>0</v>
      </c>
      <c r="G72" s="493"/>
      <c r="H72" s="2083"/>
      <c r="I72" s="2260"/>
      <c r="J72" s="274"/>
    </row>
    <row r="73" spans="1:10" ht="42" customHeight="1" thickBot="1" x14ac:dyDescent="0.25">
      <c r="A73" s="2088"/>
      <c r="B73" s="2266"/>
      <c r="C73" s="784" t="str">
        <f>F!C120</f>
        <v xml:space="preserve">no surface water flows out of the wetland except possibly during extreme events (&lt;once per 10 years). Or, water flows only into a wetland, ditch, or lake that lacks an outlet.  If so, mark "1" here and SKIP TO F28 (Groundwater). </v>
      </c>
      <c r="D73" s="809">
        <f>F!D120</f>
        <v>0</v>
      </c>
      <c r="E73" s="810">
        <v>0</v>
      </c>
      <c r="F73" s="806">
        <f>D73*E73</f>
        <v>0</v>
      </c>
      <c r="G73" s="967"/>
      <c r="H73" s="2088"/>
      <c r="I73" s="2261"/>
      <c r="J73" s="274"/>
    </row>
    <row r="74" spans="1:10" ht="30" customHeight="1" thickBot="1" x14ac:dyDescent="0.25">
      <c r="A74" s="2248" t="str">
        <f>F!A121</f>
        <v>F27</v>
      </c>
      <c r="B74" s="2248" t="str">
        <f>F!B121</f>
        <v>Outflow Confinement</v>
      </c>
      <c r="C74" s="116" t="str">
        <f>F!C121</f>
        <v>During major runoff events, in the places where surface water exits the AA or connected waters nearby, it:</v>
      </c>
      <c r="D74" s="798"/>
      <c r="E74" s="802"/>
      <c r="F74" s="498"/>
      <c r="G74" s="432">
        <f>IF((OutNone + OutNone1&gt;0),"",MAX(F75:F77)/MAX(E75:E77))</f>
        <v>0</v>
      </c>
      <c r="H74" s="2087" t="s">
        <v>113</v>
      </c>
      <c r="I74" s="2259" t="s">
        <v>2195</v>
      </c>
      <c r="J74" s="274"/>
    </row>
    <row r="75" spans="1:10" ht="42" customHeight="1" x14ac:dyDescent="0.2">
      <c r="A75" s="2265"/>
      <c r="B75" s="2265"/>
      <c r="C75" s="953" t="str">
        <f>F!C122</f>
        <v>mostly passes through a pipe, culvert, narrowly breached dike, berm, beaver dam, or other partial obstruction (other than natural topography) that does not appear to drain the wetland artificially during most of the growing season.</v>
      </c>
      <c r="D75" s="808">
        <f>F!D122</f>
        <v>0</v>
      </c>
      <c r="E75" s="803">
        <v>0</v>
      </c>
      <c r="F75" s="803">
        <f>D75*E75</f>
        <v>0</v>
      </c>
      <c r="G75" s="343"/>
      <c r="H75" s="2083"/>
      <c r="I75" s="2260"/>
      <c r="J75" s="274"/>
    </row>
    <row r="76" spans="1:10" ht="27" customHeight="1" x14ac:dyDescent="0.2">
      <c r="A76" s="2265"/>
      <c r="B76" s="2265"/>
      <c r="C76" s="785" t="str">
        <f>F!C123</f>
        <v>leaves through natural exits (channels or diffuse outflow), not mainly through artificial or temporary features</v>
      </c>
      <c r="D76" s="808">
        <f>F!D123</f>
        <v>0</v>
      </c>
      <c r="E76" s="803">
        <v>1</v>
      </c>
      <c r="F76" s="803">
        <f>D76*E76</f>
        <v>0</v>
      </c>
      <c r="G76" s="503"/>
      <c r="H76" s="2083"/>
      <c r="I76" s="2260"/>
      <c r="J76" s="274"/>
    </row>
    <row r="77" spans="1:10" ht="42" customHeight="1" thickBot="1" x14ac:dyDescent="0.25">
      <c r="A77" s="2266"/>
      <c r="B77" s="2266"/>
      <c r="C77" s="106" t="str">
        <f>F!C124</f>
        <v>exported more quickly than usual due to ditches or pipes within the AA (or connected to its outlet or within 10 m of the AA's edge) which drain the wetland artificially, or water is pumped out of the AA.</v>
      </c>
      <c r="D77" s="126">
        <f>F!D124</f>
        <v>0</v>
      </c>
      <c r="E77" s="453">
        <v>2</v>
      </c>
      <c r="F77" s="453">
        <f>D77*E77</f>
        <v>0</v>
      </c>
      <c r="G77" s="494"/>
      <c r="H77" s="2088"/>
      <c r="I77" s="2261"/>
      <c r="J77" s="274"/>
    </row>
    <row r="78" spans="1:10" ht="21" customHeight="1" thickBot="1" x14ac:dyDescent="0.25">
      <c r="A78" s="2248" t="str">
        <f>F!A129</f>
        <v>F29</v>
      </c>
      <c r="B78" s="2248" t="str">
        <f>F!B129</f>
        <v>Internal Gradient</v>
      </c>
      <c r="C78" s="116" t="str">
        <f>F!C129</f>
        <v>The gradient along most of the flow path within the AA is:</v>
      </c>
      <c r="D78" s="798"/>
      <c r="E78" s="802"/>
      <c r="F78" s="498"/>
      <c r="G78" s="432">
        <f>MAX(F79:F82)/MAX(E79:E82)</f>
        <v>0</v>
      </c>
      <c r="H78" s="2087" t="s">
        <v>118</v>
      </c>
      <c r="I78" s="2259" t="s">
        <v>68</v>
      </c>
      <c r="J78" s="274"/>
    </row>
    <row r="79" spans="1:10" ht="27" customHeight="1" x14ac:dyDescent="0.2">
      <c r="A79" s="2265"/>
      <c r="B79" s="2265"/>
      <c r="C79" s="953" t="str">
        <f>F!C130</f>
        <v>&lt;2%, or, no slope is ever apparent (i.e., flat). Or, the wetland is in a depression or pond with no inlet and no outlet.</v>
      </c>
      <c r="D79" s="771">
        <f>F!D130</f>
        <v>0</v>
      </c>
      <c r="E79" s="803">
        <v>0</v>
      </c>
      <c r="F79" s="803">
        <f>D79*E79</f>
        <v>0</v>
      </c>
      <c r="G79" s="343"/>
      <c r="H79" s="2083"/>
      <c r="I79" s="2260"/>
      <c r="J79" s="274"/>
    </row>
    <row r="80" spans="1:10" ht="15" customHeight="1" x14ac:dyDescent="0.2">
      <c r="A80" s="2265"/>
      <c r="B80" s="2265"/>
      <c r="C80" s="785" t="str">
        <f>F!C131</f>
        <v>2-5%</v>
      </c>
      <c r="D80" s="771">
        <f>F!D131</f>
        <v>0</v>
      </c>
      <c r="E80" s="803">
        <v>2</v>
      </c>
      <c r="F80" s="803">
        <f>D80*E80</f>
        <v>0</v>
      </c>
      <c r="G80" s="493"/>
      <c r="H80" s="2083"/>
      <c r="I80" s="2260"/>
      <c r="J80" s="274"/>
    </row>
    <row r="81" spans="1:10" ht="15" customHeight="1" x14ac:dyDescent="0.2">
      <c r="A81" s="2265"/>
      <c r="B81" s="2265"/>
      <c r="C81" s="785" t="str">
        <f>F!C132</f>
        <v>6-10%</v>
      </c>
      <c r="D81" s="771">
        <f>F!D132</f>
        <v>0</v>
      </c>
      <c r="E81" s="803">
        <v>3</v>
      </c>
      <c r="F81" s="803">
        <f>D81*E81</f>
        <v>0</v>
      </c>
      <c r="G81" s="493"/>
      <c r="H81" s="2083"/>
      <c r="I81" s="2260"/>
      <c r="J81" s="274"/>
    </row>
    <row r="82" spans="1:10" ht="15" customHeight="1" thickBot="1" x14ac:dyDescent="0.25">
      <c r="A82" s="2266"/>
      <c r="B82" s="2266"/>
      <c r="C82" s="106" t="str">
        <f>F!C133</f>
        <v>&gt;10%</v>
      </c>
      <c r="D82" s="126">
        <f>F!D133</f>
        <v>0</v>
      </c>
      <c r="E82" s="453">
        <v>4</v>
      </c>
      <c r="F82" s="453">
        <f>D82*E82</f>
        <v>0</v>
      </c>
      <c r="G82" s="494"/>
      <c r="H82" s="2088"/>
      <c r="I82" s="2261"/>
      <c r="J82" s="274"/>
    </row>
    <row r="83" spans="1:10" ht="30" customHeight="1" thickBot="1" x14ac:dyDescent="0.25">
      <c r="A83" s="2087" t="str">
        <f>F!A172</f>
        <v>F37</v>
      </c>
      <c r="B83" s="2087" t="str">
        <f>F!B172</f>
        <v>Broad-leaved Deciduous Trees and Shrubs</v>
      </c>
      <c r="C83" s="1646" t="str">
        <f>F!C172</f>
        <v>The percentage of the AA's tree or shrub cover that is broad-leaved deciduous and is taller than 1 meter is:</v>
      </c>
      <c r="D83" s="1644"/>
      <c r="E83" s="802"/>
      <c r="F83" s="498"/>
      <c r="G83" s="432">
        <f>IF((NoWoodyVeg=1),"",MAX(F84:F88)/MAX(E84:E88))</f>
        <v>0</v>
      </c>
      <c r="H83" s="2087" t="s">
        <v>622</v>
      </c>
      <c r="I83" s="2270" t="s">
        <v>2196</v>
      </c>
      <c r="J83" s="274"/>
    </row>
    <row r="84" spans="1:10" ht="15" customHeight="1" x14ac:dyDescent="0.2">
      <c r="A84" s="2083"/>
      <c r="B84" s="2083"/>
      <c r="C84" s="1645" t="str">
        <f>F!C173</f>
        <v>&lt;1%, or largest patch occupies less than 0.01 hectare</v>
      </c>
      <c r="D84" s="771">
        <f>F!D173</f>
        <v>0</v>
      </c>
      <c r="E84" s="803">
        <v>0</v>
      </c>
      <c r="F84" s="803">
        <f>D84*E84</f>
        <v>0</v>
      </c>
      <c r="G84" s="493"/>
      <c r="H84" s="2083"/>
      <c r="I84" s="2260"/>
      <c r="J84" s="274"/>
    </row>
    <row r="85" spans="1:10" ht="15" customHeight="1" x14ac:dyDescent="0.2">
      <c r="A85" s="2083"/>
      <c r="B85" s="2083"/>
      <c r="C85" s="785" t="str">
        <f>F!C174</f>
        <v>1-25% of the tree or shrub cover (whichever has more)</v>
      </c>
      <c r="D85" s="771">
        <f>F!D174</f>
        <v>0</v>
      </c>
      <c r="E85" s="803">
        <v>1</v>
      </c>
      <c r="F85" s="803">
        <f>D85*E85</f>
        <v>0</v>
      </c>
      <c r="G85" s="493"/>
      <c r="H85" s="2083"/>
      <c r="I85" s="2260"/>
      <c r="J85" s="274"/>
    </row>
    <row r="86" spans="1:10" ht="15" customHeight="1" x14ac:dyDescent="0.2">
      <c r="A86" s="2083"/>
      <c r="B86" s="2083"/>
      <c r="C86" s="785" t="str">
        <f>F!C175</f>
        <v>25-50% of the tree or shrub cover (whichever has more)</v>
      </c>
      <c r="D86" s="771">
        <f>F!D175</f>
        <v>0</v>
      </c>
      <c r="E86" s="803">
        <v>2</v>
      </c>
      <c r="F86" s="803">
        <f>D86*E86</f>
        <v>0</v>
      </c>
      <c r="G86" s="493"/>
      <c r="H86" s="2083"/>
      <c r="I86" s="2260"/>
      <c r="J86" s="274"/>
    </row>
    <row r="87" spans="1:10" ht="15" customHeight="1" x14ac:dyDescent="0.2">
      <c r="A87" s="2083"/>
      <c r="B87" s="2083"/>
      <c r="C87" s="785" t="str">
        <f>F!C176</f>
        <v>50-75% of the tree or shrub cover (whichever has more)</v>
      </c>
      <c r="D87" s="771">
        <f>F!D176</f>
        <v>0</v>
      </c>
      <c r="E87" s="803">
        <v>3</v>
      </c>
      <c r="F87" s="803">
        <f>D87*E87</f>
        <v>0</v>
      </c>
      <c r="G87" s="493"/>
      <c r="H87" s="2083"/>
      <c r="I87" s="2260"/>
      <c r="J87" s="274"/>
    </row>
    <row r="88" spans="1:10" ht="15" customHeight="1" thickBot="1" x14ac:dyDescent="0.25">
      <c r="A88" s="2088"/>
      <c r="B88" s="2088"/>
      <c r="C88" s="106" t="str">
        <f>F!C177</f>
        <v>&gt;75% of the tree or shrub cover (whichever has more)</v>
      </c>
      <c r="D88" s="126">
        <f>F!D177</f>
        <v>0</v>
      </c>
      <c r="E88" s="453">
        <v>4</v>
      </c>
      <c r="F88" s="453">
        <f>D88*E88</f>
        <v>0</v>
      </c>
      <c r="G88" s="494"/>
      <c r="H88" s="2088"/>
      <c r="I88" s="2261"/>
      <c r="J88" s="274"/>
    </row>
    <row r="89" spans="1:10" ht="30" customHeight="1" thickBot="1" x14ac:dyDescent="0.25">
      <c r="A89" s="2248" t="str">
        <f>F!A178</f>
        <v>F38</v>
      </c>
      <c r="B89" s="2248" t="str">
        <f>F!B178</f>
        <v>N Fixers</v>
      </c>
      <c r="C89" s="1380" t="str">
        <f>F!C178</f>
        <v>The percent of the AA's shrub plus ground cover that is nitrogen-fixing plants (e.g., alder, baltic (wire) rush, sweetgale, lupine, clover, other legumes) is:</v>
      </c>
      <c r="D89" s="971"/>
      <c r="E89" s="448"/>
      <c r="F89" s="495"/>
      <c r="G89" s="426">
        <f>MAX(F90:F94)/MAX(E90:E94)</f>
        <v>0</v>
      </c>
      <c r="H89" s="2087" t="s">
        <v>115</v>
      </c>
      <c r="I89" s="2259" t="s">
        <v>323</v>
      </c>
      <c r="J89" s="274"/>
    </row>
    <row r="90" spans="1:10" ht="15" customHeight="1" x14ac:dyDescent="0.2">
      <c r="A90" s="2265"/>
      <c r="B90" s="2265"/>
      <c r="C90" s="953" t="str">
        <f>F!C179</f>
        <v>&lt;1% or none</v>
      </c>
      <c r="D90" s="808">
        <f>F!D179</f>
        <v>0</v>
      </c>
      <c r="E90" s="803">
        <v>0</v>
      </c>
      <c r="F90" s="803">
        <f>D90*E90</f>
        <v>0</v>
      </c>
      <c r="G90" s="343"/>
      <c r="H90" s="2083"/>
      <c r="I90" s="2260"/>
      <c r="J90" s="274"/>
    </row>
    <row r="91" spans="1:10" ht="27" customHeight="1" x14ac:dyDescent="0.2">
      <c r="A91" s="2265"/>
      <c r="B91" s="2265"/>
      <c r="C91" s="785" t="str">
        <f>F!C180</f>
        <v>1-25% of the shrub plus ground cover, in the AA or along its water edge (whichever has more).</v>
      </c>
      <c r="D91" s="808">
        <f>F!D180</f>
        <v>0</v>
      </c>
      <c r="E91" s="803">
        <v>1</v>
      </c>
      <c r="F91" s="803">
        <f>D91*E91</f>
        <v>0</v>
      </c>
      <c r="G91" s="493"/>
      <c r="H91" s="2083"/>
      <c r="I91" s="2260"/>
      <c r="J91" s="274"/>
    </row>
    <row r="92" spans="1:10" ht="24.75" customHeight="1" x14ac:dyDescent="0.2">
      <c r="A92" s="2265"/>
      <c r="B92" s="2265"/>
      <c r="C92" s="785" t="str">
        <f>F!C181</f>
        <v>25-50% of the shrub plus ground cover, in the AA or along its water edge (whichever has more).</v>
      </c>
      <c r="D92" s="808">
        <f>F!D181</f>
        <v>0</v>
      </c>
      <c r="E92" s="803">
        <v>2</v>
      </c>
      <c r="F92" s="803">
        <f>D92*E92</f>
        <v>0</v>
      </c>
      <c r="G92" s="493"/>
      <c r="H92" s="2083"/>
      <c r="I92" s="2260"/>
      <c r="J92" s="274"/>
    </row>
    <row r="93" spans="1:10" ht="25.5" customHeight="1" x14ac:dyDescent="0.2">
      <c r="A93" s="2265"/>
      <c r="B93" s="2265"/>
      <c r="C93" s="785" t="str">
        <f>F!C182</f>
        <v>50-75% of the shrub plus ground cover, in the AA or along its water edge (whichever has more).</v>
      </c>
      <c r="D93" s="808">
        <f>F!D182</f>
        <v>0</v>
      </c>
      <c r="E93" s="803">
        <v>3</v>
      </c>
      <c r="F93" s="803">
        <f>D93*E93</f>
        <v>0</v>
      </c>
      <c r="G93" s="493"/>
      <c r="H93" s="2083"/>
      <c r="I93" s="2260"/>
      <c r="J93" s="274"/>
    </row>
    <row r="94" spans="1:10" ht="27.75" customHeight="1" thickBot="1" x14ac:dyDescent="0.25">
      <c r="A94" s="2266"/>
      <c r="B94" s="2266"/>
      <c r="C94" s="784" t="str">
        <f>F!C183</f>
        <v>&gt;75% of the shrub plus ground cover, in the AA or along its water edge (whichever has more).</v>
      </c>
      <c r="D94" s="795">
        <f>F!D183</f>
        <v>0</v>
      </c>
      <c r="E94" s="806">
        <v>4</v>
      </c>
      <c r="F94" s="806">
        <f>D94*E94</f>
        <v>0</v>
      </c>
      <c r="G94" s="967"/>
      <c r="H94" s="2088"/>
      <c r="I94" s="2261"/>
      <c r="J94" s="274"/>
    </row>
    <row r="95" spans="1:10" ht="21" customHeight="1" thickBot="1" x14ac:dyDescent="0.25">
      <c r="A95" s="2087" t="str">
        <f>F!A188</f>
        <v>F40</v>
      </c>
      <c r="B95" s="2087" t="str">
        <f>F!B188</f>
        <v>Moss Extent</v>
      </c>
      <c r="C95" s="6" t="str">
        <f>F!C188</f>
        <v>Within the part of the AA that lacks persistent surface water, the cover of moss is:</v>
      </c>
      <c r="D95" s="798"/>
      <c r="E95" s="802"/>
      <c r="F95" s="802"/>
      <c r="G95" s="432">
        <f>MAX(F96:F100)/MAX(E96:E100)</f>
        <v>0</v>
      </c>
      <c r="H95" s="2087" t="s">
        <v>997</v>
      </c>
      <c r="I95" s="2262" t="s">
        <v>1673</v>
      </c>
      <c r="J95" s="274"/>
    </row>
    <row r="96" spans="1:10" ht="15" customHeight="1" x14ac:dyDescent="0.2">
      <c r="A96" s="2083"/>
      <c r="B96" s="2083"/>
      <c r="C96" s="953" t="str">
        <f>F!C189</f>
        <v>&lt;5% of the ground cover</v>
      </c>
      <c r="D96" s="771">
        <f>F!D189</f>
        <v>0</v>
      </c>
      <c r="E96" s="803">
        <v>0</v>
      </c>
      <c r="F96" s="803">
        <f>D96*E96</f>
        <v>0</v>
      </c>
      <c r="G96" s="493"/>
      <c r="H96" s="2083"/>
      <c r="I96" s="2260"/>
      <c r="J96" s="274"/>
    </row>
    <row r="97" spans="1:10" ht="15" customHeight="1" x14ac:dyDescent="0.2">
      <c r="A97" s="2083"/>
      <c r="B97" s="2083"/>
      <c r="C97" s="785" t="str">
        <f>F!C190</f>
        <v>5-25% of the ground cover</v>
      </c>
      <c r="D97" s="771">
        <f>F!D190</f>
        <v>0</v>
      </c>
      <c r="E97" s="803">
        <v>1</v>
      </c>
      <c r="F97" s="803">
        <f>D97*E97</f>
        <v>0</v>
      </c>
      <c r="G97" s="493"/>
      <c r="H97" s="2083"/>
      <c r="I97" s="2260"/>
      <c r="J97" s="274"/>
    </row>
    <row r="98" spans="1:10" ht="15" customHeight="1" x14ac:dyDescent="0.2">
      <c r="A98" s="2083"/>
      <c r="B98" s="2083"/>
      <c r="C98" s="785" t="str">
        <f>F!C191</f>
        <v>25-50% of the ground cover</v>
      </c>
      <c r="D98" s="771">
        <f>F!D191</f>
        <v>0</v>
      </c>
      <c r="E98" s="803">
        <v>2</v>
      </c>
      <c r="F98" s="803">
        <f>D98*E98</f>
        <v>0</v>
      </c>
      <c r="G98" s="493"/>
      <c r="H98" s="2083"/>
      <c r="I98" s="2260"/>
      <c r="J98" s="274"/>
    </row>
    <row r="99" spans="1:10" ht="15" customHeight="1" x14ac:dyDescent="0.2">
      <c r="A99" s="2083"/>
      <c r="B99" s="2083"/>
      <c r="C99" s="785" t="str">
        <f>F!C192</f>
        <v>50-95% of the ground cover</v>
      </c>
      <c r="D99" s="771">
        <f>F!D192</f>
        <v>0</v>
      </c>
      <c r="E99" s="803">
        <v>3</v>
      </c>
      <c r="F99" s="803">
        <f>D99*E99</f>
        <v>0</v>
      </c>
      <c r="G99" s="493"/>
      <c r="H99" s="2083"/>
      <c r="I99" s="2260"/>
      <c r="J99" s="274"/>
    </row>
    <row r="100" spans="1:10" ht="15" customHeight="1" thickBot="1" x14ac:dyDescent="0.25">
      <c r="A100" s="2088"/>
      <c r="B100" s="2088"/>
      <c r="C100" s="106" t="str">
        <f>F!C193</f>
        <v>&gt;95% of the ground cover</v>
      </c>
      <c r="D100" s="126">
        <f>F!D193</f>
        <v>0</v>
      </c>
      <c r="E100" s="453">
        <v>4</v>
      </c>
      <c r="F100" s="453">
        <f>D100*E100</f>
        <v>0</v>
      </c>
      <c r="G100" s="494"/>
      <c r="H100" s="2088"/>
      <c r="I100" s="2261"/>
      <c r="J100" s="274"/>
    </row>
    <row r="101" spans="1:10" ht="39.75" customHeight="1" thickBot="1" x14ac:dyDescent="0.25">
      <c r="A101" s="2248" t="str">
        <f>F!A194</f>
        <v>F41</v>
      </c>
      <c r="B101" s="2248" t="str">
        <f>F!B194</f>
        <v>% Bare Ground &amp; Thatch</v>
      </c>
      <c r="C101" s="1380" t="str">
        <f>F!C194</f>
        <v>Consider the parts of the AA that lack surface water at the driest time of the growing season.  Viewed from directly above the ground layer, the predominant condition in those areas at that time is:</v>
      </c>
      <c r="D101" s="971"/>
      <c r="E101" s="448"/>
      <c r="F101" s="495"/>
      <c r="G101" s="426">
        <f>MAX(F102:F105)/MAX(E102:E105)</f>
        <v>0</v>
      </c>
      <c r="H101" s="2087" t="s">
        <v>116</v>
      </c>
      <c r="I101" s="2259" t="s">
        <v>1674</v>
      </c>
      <c r="J101" s="274"/>
    </row>
    <row r="102" spans="1:10" ht="42" customHeight="1" x14ac:dyDescent="0.2">
      <c r="A102" s="2265"/>
      <c r="B102" s="2265"/>
      <c r="C102" s="953" t="str">
        <f>F!C195</f>
        <v>Little or no (&lt;5%) bare ground is visible between erect stems or under canopy anywhere in the vegetated AA. Ground is extensively blanketed by dense thatch, moss, lichens, graminoids with great stem densities, or plants with ground-hugging foliage. </v>
      </c>
      <c r="D102" s="271">
        <f>F!D195</f>
        <v>0</v>
      </c>
      <c r="E102" s="803">
        <v>3</v>
      </c>
      <c r="F102" s="803">
        <f>D102*E102</f>
        <v>0</v>
      </c>
      <c r="G102" s="343"/>
      <c r="H102" s="2083"/>
      <c r="I102" s="2260"/>
      <c r="J102" s="274"/>
    </row>
    <row r="103" spans="1:10" ht="27" customHeight="1" x14ac:dyDescent="0.2">
      <c r="A103" s="2265"/>
      <c r="B103" s="2265"/>
      <c r="C103" s="785" t="str">
        <f>F!C196</f>
        <v>Slightly bare ground (5-20% bare between plants) is visible in places, but those areas comprise less than 5% of the unflooded parts of the AA.</v>
      </c>
      <c r="D103" s="808">
        <f>F!D196</f>
        <v>0</v>
      </c>
      <c r="E103" s="803">
        <v>2</v>
      </c>
      <c r="F103" s="803">
        <f>D103*E103</f>
        <v>0</v>
      </c>
      <c r="G103" s="493"/>
      <c r="H103" s="2083"/>
      <c r="I103" s="2260"/>
      <c r="J103" s="274"/>
    </row>
    <row r="104" spans="1:10" ht="27" customHeight="1" x14ac:dyDescent="0.2">
      <c r="A104" s="2265"/>
      <c r="B104" s="2265"/>
      <c r="C104" s="785" t="str">
        <f>F!C197</f>
        <v>Much bare ground (20-50% bare between plants) is visible in places, and those areas comprise more than 5% of the unflooded parts of the AA. </v>
      </c>
      <c r="D104" s="808">
        <f>F!D197</f>
        <v>0</v>
      </c>
      <c r="E104" s="803">
        <v>1</v>
      </c>
      <c r="F104" s="803">
        <f>D104*E104</f>
        <v>0</v>
      </c>
      <c r="G104" s="493"/>
      <c r="H104" s="2083"/>
      <c r="I104" s="2260"/>
      <c r="J104" s="274"/>
    </row>
    <row r="105" spans="1:10" ht="15" customHeight="1" thickBot="1" x14ac:dyDescent="0.25">
      <c r="A105" s="2266"/>
      <c r="B105" s="2266"/>
      <c r="C105" s="784" t="str">
        <f>F!C198</f>
        <v>Other conditions</v>
      </c>
      <c r="D105" s="809">
        <f>F!D198</f>
        <v>0</v>
      </c>
      <c r="E105" s="806">
        <v>0</v>
      </c>
      <c r="F105" s="806">
        <f>D105*E105</f>
        <v>0</v>
      </c>
      <c r="G105" s="967"/>
      <c r="H105" s="2088"/>
      <c r="I105" s="2261"/>
      <c r="J105" s="274"/>
    </row>
    <row r="106" spans="1:10" ht="45" customHeight="1" thickBot="1" x14ac:dyDescent="0.25">
      <c r="A106" s="2087" t="str">
        <f>F!A208</f>
        <v>F44</v>
      </c>
      <c r="B106" s="2087" t="str">
        <f>F!B208</f>
        <v>Soil Texture</v>
      </c>
      <c r="C106" s="116" t="str">
        <f>F!C208</f>
        <v>In parts of the AA that lack persistent water, the texture of soil in the uppermost layer is mostly:  [To determine this, use a trowel to check in at least 3 widely spaced locations, and use the soil texture key in Appendix A of the Manual]</v>
      </c>
      <c r="D106" s="798"/>
      <c r="E106" s="802"/>
      <c r="F106" s="498"/>
      <c r="G106" s="432">
        <f>MAX(F107:F110)/MAX(E107:E110)</f>
        <v>0</v>
      </c>
      <c r="H106" s="2087" t="s">
        <v>117</v>
      </c>
      <c r="I106" s="2259" t="s">
        <v>539</v>
      </c>
      <c r="J106" s="274"/>
    </row>
    <row r="107" spans="1:10" ht="15" customHeight="1" x14ac:dyDescent="0.2">
      <c r="A107" s="2083"/>
      <c r="B107" s="2083"/>
      <c r="C107" s="953" t="str">
        <f>F!C209</f>
        <v>Loamy: includes loam, sandy loam</v>
      </c>
      <c r="D107" s="771">
        <f>F!D209</f>
        <v>0</v>
      </c>
      <c r="E107" s="803">
        <v>1</v>
      </c>
      <c r="F107" s="803">
        <f>D107*E107</f>
        <v>0</v>
      </c>
      <c r="G107" s="343"/>
      <c r="H107" s="2083"/>
      <c r="I107" s="2260"/>
      <c r="J107" s="274"/>
    </row>
    <row r="108" spans="1:10" ht="27" customHeight="1" x14ac:dyDescent="0.2">
      <c r="A108" s="2083"/>
      <c r="B108" s="2083"/>
      <c r="C108" s="785" t="str">
        <f>F!C210</f>
        <v>Fines: includes silt, glacial flour, clay, clay loam, silty clay, silty clay loam, sandy clay, sandy clay loam.</v>
      </c>
      <c r="D108" s="771">
        <f>F!D210</f>
        <v>0</v>
      </c>
      <c r="E108" s="803">
        <v>2</v>
      </c>
      <c r="F108" s="803">
        <f>D108*E108</f>
        <v>0</v>
      </c>
      <c r="G108" s="493"/>
      <c r="H108" s="2083"/>
      <c r="I108" s="2260"/>
      <c r="J108" s="274"/>
    </row>
    <row r="109" spans="1:10" ht="15" customHeight="1" x14ac:dyDescent="0.2">
      <c r="A109" s="2083"/>
      <c r="B109" s="2083"/>
      <c r="C109" s="785" t="str">
        <f>F!C211</f>
        <v>Organic</v>
      </c>
      <c r="D109" s="771">
        <f>F!D211</f>
        <v>0</v>
      </c>
      <c r="E109" s="803">
        <v>4</v>
      </c>
      <c r="F109" s="803">
        <f>D109*E109</f>
        <v>0</v>
      </c>
      <c r="G109" s="493"/>
      <c r="H109" s="2083"/>
      <c r="I109" s="2260"/>
      <c r="J109" s="274"/>
    </row>
    <row r="110" spans="1:10" ht="27" customHeight="1" thickBot="1" x14ac:dyDescent="0.25">
      <c r="A110" s="2088"/>
      <c r="B110" s="2088"/>
      <c r="C110" s="106" t="str">
        <f>F!C212</f>
        <v>Coarse: includes sand, loamy sand, gravel, cobble, stones, boulders, fluvents, fluvaquents, riverwash.</v>
      </c>
      <c r="D110" s="126">
        <f>F!D212</f>
        <v>0</v>
      </c>
      <c r="E110" s="453">
        <v>0</v>
      </c>
      <c r="F110" s="453">
        <f>D110*E110</f>
        <v>0</v>
      </c>
      <c r="G110" s="494"/>
      <c r="H110" s="2088"/>
      <c r="I110" s="2261"/>
      <c r="J110" s="274"/>
    </row>
    <row r="111" spans="1:10" ht="41.25" customHeight="1" thickBot="1" x14ac:dyDescent="0.25">
      <c r="A111" s="2233" t="str">
        <f>F!A259</f>
        <v>F55</v>
      </c>
      <c r="B111" s="2233" t="str">
        <f>F!B259</f>
        <v>New Wetland</v>
      </c>
      <c r="C111" s="1017" t="str">
        <f>F!C259</f>
        <v>The AA is (or is within, or contains) a "new" wetland resulting from human actions (e.g., excavation, impoundment) or debris flows,  or other factors affecting what once was upland (non-hydric) soil.</v>
      </c>
      <c r="D111" s="1424"/>
      <c r="E111" s="448"/>
      <c r="F111" s="495"/>
      <c r="G111" s="426">
        <f>IF((D117=1),"",MAX(F112:F116)/MAX(E112:E116))</f>
        <v>0</v>
      </c>
      <c r="H111" s="2087" t="s">
        <v>119</v>
      </c>
      <c r="I111" s="2262" t="s">
        <v>786</v>
      </c>
      <c r="J111" s="274"/>
    </row>
    <row r="112" spans="1:10" ht="15" customHeight="1" x14ac:dyDescent="0.2">
      <c r="A112" s="2234"/>
      <c r="B112" s="2234"/>
      <c r="C112" s="955" t="str">
        <f>F!C260</f>
        <v>No</v>
      </c>
      <c r="D112" s="1425">
        <f>F!D260</f>
        <v>0</v>
      </c>
      <c r="E112" s="806">
        <v>5</v>
      </c>
      <c r="F112" s="803">
        <f>D112*E112</f>
        <v>0</v>
      </c>
      <c r="G112" s="343"/>
      <c r="H112" s="2083"/>
      <c r="I112" s="2260"/>
      <c r="J112" s="274"/>
    </row>
    <row r="113" spans="1:12" ht="15" customHeight="1" x14ac:dyDescent="0.2">
      <c r="A113" s="2234"/>
      <c r="B113" s="2234"/>
      <c r="C113" s="956" t="str">
        <f>F!C261</f>
        <v xml:space="preserve">yes, and created 20 - 100 years ago </v>
      </c>
      <c r="D113" s="1426">
        <f>F!D261</f>
        <v>0</v>
      </c>
      <c r="E113" s="806">
        <v>2</v>
      </c>
      <c r="F113" s="803">
        <f>D113*E113</f>
        <v>0</v>
      </c>
      <c r="G113" s="493"/>
      <c r="H113" s="2083"/>
      <c r="I113" s="2260"/>
      <c r="J113" s="274"/>
    </row>
    <row r="114" spans="1:12" ht="15" customHeight="1" x14ac:dyDescent="0.2">
      <c r="A114" s="2234"/>
      <c r="B114" s="2234"/>
      <c r="C114" s="956" t="str">
        <f>F!C262</f>
        <v>yes, and created 3-20 years ago</v>
      </c>
      <c r="D114" s="1426">
        <f>F!D262</f>
        <v>0</v>
      </c>
      <c r="E114" s="806">
        <v>1</v>
      </c>
      <c r="F114" s="803">
        <f>D114*E114</f>
        <v>0</v>
      </c>
      <c r="G114" s="493"/>
      <c r="H114" s="2083"/>
      <c r="I114" s="2260"/>
      <c r="J114" s="274"/>
    </row>
    <row r="115" spans="1:12" ht="15" customHeight="1" x14ac:dyDescent="0.2">
      <c r="A115" s="2234"/>
      <c r="B115" s="2234"/>
      <c r="C115" s="956" t="str">
        <f>F!C263</f>
        <v>yes, and created within last 3 years</v>
      </c>
      <c r="D115" s="1426">
        <f>F!D263</f>
        <v>0</v>
      </c>
      <c r="E115" s="806">
        <v>0</v>
      </c>
      <c r="F115" s="803">
        <f>D115*E115</f>
        <v>0</v>
      </c>
      <c r="G115" s="493"/>
      <c r="H115" s="2083"/>
      <c r="I115" s="2260"/>
      <c r="J115" s="274"/>
    </row>
    <row r="116" spans="1:12" ht="15" customHeight="1" x14ac:dyDescent="0.2">
      <c r="A116" s="2234"/>
      <c r="B116" s="2234"/>
      <c r="C116" s="956" t="str">
        <f>F!C264</f>
        <v>yes, but time of origin unknown</v>
      </c>
      <c r="D116" s="1426">
        <f>F!D264</f>
        <v>0</v>
      </c>
      <c r="E116" s="806">
        <v>1</v>
      </c>
      <c r="F116" s="803">
        <f>D116*E116</f>
        <v>0</v>
      </c>
      <c r="G116" s="493"/>
      <c r="H116" s="2083"/>
      <c r="I116" s="2260"/>
      <c r="J116" s="274"/>
    </row>
    <row r="117" spans="1:12" ht="15" customHeight="1" thickBot="1" x14ac:dyDescent="0.25">
      <c r="A117" s="2235"/>
      <c r="B117" s="2235"/>
      <c r="C117" s="973" t="str">
        <f>F!C265</f>
        <v>unknown if new within 20 years or not</v>
      </c>
      <c r="D117" s="1427">
        <f>F!D265</f>
        <v>0</v>
      </c>
      <c r="E117" s="453"/>
      <c r="F117" s="502"/>
      <c r="G117" s="494"/>
      <c r="H117" s="2088"/>
      <c r="I117" s="2261"/>
      <c r="J117" s="274"/>
    </row>
    <row r="118" spans="1:12" ht="21" customHeight="1" thickBot="1" x14ac:dyDescent="0.25">
      <c r="A118" s="1515"/>
      <c r="B118" s="1515"/>
      <c r="D118" s="1557"/>
      <c r="E118" s="1557"/>
      <c r="F118" s="1557"/>
      <c r="G118" s="1557"/>
      <c r="H118" s="1566" t="s">
        <v>507</v>
      </c>
      <c r="I118" s="1566"/>
      <c r="J118" s="274"/>
    </row>
    <row r="119" spans="1:12" s="39" customFormat="1" ht="21" customHeight="1" thickBot="1" x14ac:dyDescent="0.25">
      <c r="A119" s="1516"/>
      <c r="B119" s="1517"/>
      <c r="C119" s="833" t="s">
        <v>1136</v>
      </c>
      <c r="D119" s="1565"/>
      <c r="E119" s="1565"/>
      <c r="F119" s="1565"/>
      <c r="G119" s="1565"/>
      <c r="H119" s="103"/>
      <c r="I119" s="103"/>
      <c r="J119" s="274"/>
      <c r="K119" s="7"/>
      <c r="L119" s="7"/>
    </row>
    <row r="120" spans="1:12" s="39" customFormat="1" ht="30" customHeight="1" thickBot="1" x14ac:dyDescent="0.25">
      <c r="A120" s="1516"/>
      <c r="B120" s="1363" t="s">
        <v>1115</v>
      </c>
      <c r="C120" s="813" t="s">
        <v>1958</v>
      </c>
      <c r="D120" s="540"/>
      <c r="E120" s="540"/>
      <c r="F120" s="540"/>
      <c r="G120" s="530">
        <f>IF((GT10HA=1),G121, IFERROR(AVERAGE(FenBogMarsh, WetVegArea, OWpct6,SoilTex6, SoilOrgPct,Moss6, Stained6, Fluctu6, NewWet6, VwidthAbs6),""))</f>
        <v>0</v>
      </c>
      <c r="H120" s="103"/>
      <c r="I120" s="103"/>
      <c r="J120" s="214"/>
      <c r="K120" s="154"/>
      <c r="L120" s="7"/>
    </row>
    <row r="121" spans="1:12" s="39" customFormat="1" ht="28.5" customHeight="1" thickBot="1" x14ac:dyDescent="0.25">
      <c r="A121" s="1516"/>
      <c r="B121" s="1365" t="s">
        <v>1116</v>
      </c>
      <c r="C121" s="737" t="s">
        <v>1956</v>
      </c>
      <c r="D121" s="541"/>
      <c r="E121" s="541"/>
      <c r="F121" s="541"/>
      <c r="G121" s="781">
        <f>IFERROR(AVERAGE(FenBogMarsh, WetVegArea, 1-OWpct,SoilTex_NROE, SoilOrgPct,Moss6, Stained6, Fluctu6, NewWet6, VwidthAbs6),"")</f>
        <v>0.25</v>
      </c>
      <c r="H121" s="103"/>
      <c r="I121" s="103"/>
      <c r="J121" s="214"/>
      <c r="K121" s="154"/>
      <c r="L121" s="7"/>
    </row>
    <row r="122" spans="1:12" s="39" customFormat="1" ht="21" customHeight="1" thickBot="1" x14ac:dyDescent="0.25">
      <c r="A122" s="1516"/>
      <c r="B122" s="1515"/>
      <c r="D122" s="1515"/>
      <c r="E122" s="1515"/>
      <c r="F122" s="1515"/>
      <c r="G122" s="1515"/>
      <c r="H122" s="103"/>
      <c r="I122" s="103"/>
      <c r="J122" s="213"/>
      <c r="K122" s="7"/>
      <c r="L122" s="7"/>
    </row>
    <row r="123" spans="1:12" s="39" customFormat="1" ht="21" customHeight="1" thickBot="1" x14ac:dyDescent="0.25">
      <c r="A123" s="1516"/>
      <c r="B123" s="1517"/>
      <c r="C123" s="833" t="s">
        <v>1137</v>
      </c>
      <c r="D123" s="1517"/>
      <c r="E123" s="1517"/>
      <c r="F123" s="1517"/>
      <c r="G123" s="1517"/>
      <c r="H123" s="103"/>
      <c r="I123" s="103"/>
      <c r="J123" s="213"/>
      <c r="K123" s="7"/>
      <c r="L123" s="7"/>
    </row>
    <row r="124" spans="1:12" s="39" customFormat="1" ht="30" customHeight="1" thickBot="1" x14ac:dyDescent="0.25">
      <c r="A124" s="1516"/>
      <c r="B124" s="1363" t="s">
        <v>1115</v>
      </c>
      <c r="C124" s="902" t="s">
        <v>1959</v>
      </c>
      <c r="D124" s="540"/>
      <c r="E124" s="540"/>
      <c r="F124" s="540"/>
      <c r="G124" s="530">
        <f>IF((GT10HA=1),G125, IFERROR(AVERAGE(GrowDD, Wettype6, Gradient6, Interspers6, ThruFlo6, Gcover6, PondedPct6, SeasWpct6, Shade6, Decid6, Nfixer6),""))</f>
        <v>0</v>
      </c>
      <c r="H124" s="103"/>
      <c r="I124" s="103"/>
      <c r="J124" s="213"/>
      <c r="K124" s="7"/>
      <c r="L124" s="7"/>
    </row>
    <row r="125" spans="1:12" s="39" customFormat="1" ht="28.5" customHeight="1" thickBot="1" x14ac:dyDescent="0.25">
      <c r="A125" s="1516"/>
      <c r="B125" s="1365" t="s">
        <v>1116</v>
      </c>
      <c r="C125" s="193" t="s">
        <v>1957</v>
      </c>
      <c r="D125" s="541"/>
      <c r="E125" s="541"/>
      <c r="F125" s="541"/>
      <c r="G125" s="781">
        <f>IFERROR(AVERAGE(GrowDD, Wettype6, LGIndex, Gradient6, MixWaterVeg, Interspers6, ThruFlo6, Gcover6, PondedPct6, SeasWpct6, Shade6, Decid6, Nfixer6),"")</f>
        <v>0</v>
      </c>
      <c r="H125" s="103"/>
      <c r="I125" s="103"/>
      <c r="J125" s="213"/>
      <c r="K125" s="7"/>
      <c r="L125" s="7"/>
    </row>
    <row r="126" spans="1:12" s="39" customFormat="1" ht="21" customHeight="1" thickBot="1" x14ac:dyDescent="0.25">
      <c r="A126" s="191"/>
      <c r="B126" s="191"/>
      <c r="D126" s="1515"/>
      <c r="E126" s="1515"/>
      <c r="F126" s="1515"/>
      <c r="G126" s="1515"/>
      <c r="H126" s="103"/>
      <c r="I126" s="103"/>
      <c r="J126" s="199"/>
    </row>
    <row r="127" spans="1:12" s="39" customFormat="1" ht="21" customHeight="1" thickBot="1" x14ac:dyDescent="0.25">
      <c r="A127" s="191"/>
      <c r="B127" s="191"/>
      <c r="C127" s="833" t="s">
        <v>1142</v>
      </c>
      <c r="D127" s="1517"/>
      <c r="E127" s="1517"/>
      <c r="F127" s="1517"/>
      <c r="G127" s="1517"/>
      <c r="H127" s="103"/>
      <c r="I127" s="103"/>
      <c r="J127" s="199"/>
    </row>
    <row r="128" spans="1:12" s="39" customFormat="1" ht="21" customHeight="1" thickBot="1" x14ac:dyDescent="0.25">
      <c r="A128" s="191"/>
      <c r="B128" s="191"/>
      <c r="C128" s="107" t="s">
        <v>1960</v>
      </c>
      <c r="D128" s="1111"/>
      <c r="E128" s="1111"/>
      <c r="F128" s="1111"/>
      <c r="G128" s="530">
        <f>IFERROR(AVERAGE(Constric6, OutDura6, RipFloodpl),"")</f>
        <v>0</v>
      </c>
      <c r="H128" s="103"/>
      <c r="I128" s="103"/>
      <c r="J128" s="199"/>
    </row>
    <row r="129" spans="1:10" s="39" customFormat="1" ht="21" customHeight="1" thickBot="1" x14ac:dyDescent="0.25">
      <c r="A129" s="191"/>
      <c r="B129" s="191"/>
      <c r="D129" s="1515"/>
      <c r="E129" s="1515"/>
      <c r="F129" s="1515"/>
      <c r="G129" s="1515"/>
      <c r="H129" s="103"/>
      <c r="I129" s="103"/>
      <c r="J129" s="199"/>
    </row>
    <row r="130" spans="1:10" s="39" customFormat="1" ht="21" customHeight="1" thickBot="1" x14ac:dyDescent="0.25">
      <c r="A130" s="191"/>
      <c r="B130" s="191"/>
      <c r="C130" s="1635" t="s">
        <v>1339</v>
      </c>
      <c r="D130" s="1516"/>
      <c r="E130" s="1516"/>
      <c r="F130" s="1516"/>
      <c r="G130" s="1516"/>
      <c r="H130" s="103"/>
      <c r="I130" s="103"/>
      <c r="J130" s="199"/>
    </row>
    <row r="131" spans="1:10" s="39" customFormat="1" ht="21" customHeight="1" thickBot="1" x14ac:dyDescent="0.25">
      <c r="A131" s="191"/>
      <c r="B131" s="191"/>
      <c r="C131" s="1024" t="s">
        <v>1140</v>
      </c>
      <c r="D131" s="1517"/>
      <c r="E131" s="1517"/>
      <c r="F131" s="1517"/>
      <c r="G131" s="1517"/>
      <c r="H131" s="103"/>
      <c r="I131" s="103"/>
      <c r="J131" s="199"/>
    </row>
    <row r="132" spans="1:10" s="39" customFormat="1" ht="21" customHeight="1" thickBot="1" x14ac:dyDescent="0.25">
      <c r="A132" s="191"/>
      <c r="B132" s="191"/>
      <c r="C132" s="107" t="s">
        <v>2184</v>
      </c>
      <c r="D132" s="1111"/>
      <c r="E132" s="1111"/>
      <c r="F132" s="1111"/>
      <c r="G132" s="1415">
        <f>IF((OutNone + OutNone1&gt;0),0, 10*AVERAGE(Cstock1a, LabileC1a, OutC1a))</f>
        <v>0</v>
      </c>
      <c r="H132" s="103"/>
      <c r="I132" s="103"/>
      <c r="J132" s="199"/>
    </row>
    <row r="133" spans="1:10" ht="21" customHeight="1" thickBot="1" x14ac:dyDescent="0.25">
      <c r="A133" s="191"/>
      <c r="B133" s="191"/>
      <c r="C133" s="2081"/>
      <c r="D133" s="2081"/>
      <c r="E133" s="1556"/>
      <c r="F133" s="1556"/>
      <c r="G133" s="1556"/>
      <c r="H133" s="1077"/>
      <c r="I133" s="164" t="s">
        <v>357</v>
      </c>
      <c r="J133" s="213"/>
    </row>
    <row r="134" spans="1:10" ht="42" customHeight="1" x14ac:dyDescent="0.2">
      <c r="A134" s="1544"/>
      <c r="B134" s="1544"/>
      <c r="C134" s="1524" t="s">
        <v>1334</v>
      </c>
      <c r="D134" s="1558"/>
      <c r="E134" s="1556"/>
      <c r="F134" s="1556"/>
      <c r="G134" s="1556"/>
      <c r="H134" s="1077"/>
      <c r="I134" s="173" t="s">
        <v>413</v>
      </c>
      <c r="J134" s="213"/>
    </row>
    <row r="135" spans="1:10" ht="42" customHeight="1" x14ac:dyDescent="0.2">
      <c r="A135" s="1545"/>
      <c r="B135" s="1567">
        <v>1</v>
      </c>
      <c r="C135" s="1530" t="s">
        <v>1226</v>
      </c>
      <c r="D135" s="1527">
        <f>IF((ChannConn+RipFloodpl=0), 0, "")</f>
        <v>0</v>
      </c>
      <c r="E135" s="1556"/>
      <c r="F135" s="1556"/>
      <c r="G135" s="1556"/>
      <c r="H135" s="1077"/>
      <c r="I135" s="174" t="s">
        <v>405</v>
      </c>
      <c r="J135" s="213"/>
    </row>
    <row r="136" spans="1:10" ht="42" customHeight="1" x14ac:dyDescent="0.2">
      <c r="A136" s="1545"/>
      <c r="B136" s="1567">
        <v>2</v>
      </c>
      <c r="C136" s="1530" t="s">
        <v>1213</v>
      </c>
      <c r="D136" s="1568"/>
      <c r="E136" s="1556"/>
      <c r="F136" s="1556"/>
      <c r="G136" s="1556"/>
      <c r="H136" s="1077"/>
      <c r="I136" s="174" t="s">
        <v>408</v>
      </c>
      <c r="J136" s="213"/>
    </row>
    <row r="137" spans="1:10" ht="28.5" customHeight="1" x14ac:dyDescent="0.2">
      <c r="A137" s="1545"/>
      <c r="B137" s="1567" t="s">
        <v>1227</v>
      </c>
      <c r="C137" s="1530" t="s">
        <v>1338</v>
      </c>
      <c r="D137" s="1527" t="str">
        <f>IFERROR(AVERAGE(SoilTex_NROE, SoilOrgPct, FenBogMarsh),"")</f>
        <v/>
      </c>
      <c r="E137" s="1556"/>
      <c r="F137" s="1556"/>
      <c r="G137" s="1556"/>
      <c r="H137" s="1077"/>
      <c r="I137" s="174" t="s">
        <v>414</v>
      </c>
      <c r="J137" s="213"/>
    </row>
    <row r="138" spans="1:10" ht="54" customHeight="1" x14ac:dyDescent="0.2">
      <c r="A138" s="1545"/>
      <c r="B138" s="1567" t="s">
        <v>1228</v>
      </c>
      <c r="C138" s="1530" t="s">
        <v>1231</v>
      </c>
      <c r="D138" s="1527" t="str">
        <f>IFERROR(AVERAGE(GrowDD, WetVegArea),"")</f>
        <v/>
      </c>
      <c r="E138" s="1556"/>
      <c r="F138" s="1556"/>
      <c r="G138" s="1556"/>
      <c r="H138" s="1077"/>
      <c r="I138" s="174" t="s">
        <v>415</v>
      </c>
      <c r="J138" s="213"/>
    </row>
    <row r="139" spans="1:10" ht="42" customHeight="1" x14ac:dyDescent="0.2">
      <c r="A139" s="1545"/>
      <c r="B139" s="1530">
        <v>3</v>
      </c>
      <c r="C139" s="1530" t="s">
        <v>2380</v>
      </c>
      <c r="D139" s="1527">
        <f>IF((D135=0),0, 10* AVERAGE(MixWaterVeg, D137, D138))</f>
        <v>0</v>
      </c>
      <c r="E139" s="1556"/>
      <c r="F139" s="1556"/>
      <c r="G139" s="1556"/>
      <c r="H139" s="1077"/>
      <c r="I139" s="174" t="s">
        <v>682</v>
      </c>
      <c r="J139" s="213"/>
    </row>
    <row r="140" spans="1:10" s="8" customFormat="1" ht="41.25" customHeight="1" x14ac:dyDescent="0.2">
      <c r="A140" s="1545"/>
      <c r="B140" s="1530"/>
      <c r="C140" s="1530"/>
      <c r="D140" s="1568"/>
      <c r="E140" s="1556"/>
      <c r="F140" s="1556"/>
      <c r="G140" s="1556"/>
      <c r="H140" s="1077"/>
      <c r="I140" s="174" t="s">
        <v>416</v>
      </c>
      <c r="J140" s="213"/>
    </row>
    <row r="141" spans="1:10" s="8" customFormat="1" ht="27" customHeight="1" x14ac:dyDescent="0.2">
      <c r="A141" s="1545"/>
      <c r="B141" s="1530"/>
      <c r="C141" s="1524" t="s">
        <v>1329</v>
      </c>
      <c r="D141" s="1568"/>
      <c r="E141" s="1556"/>
      <c r="F141" s="1556"/>
      <c r="G141" s="1556"/>
      <c r="H141" s="1077"/>
      <c r="I141" s="174" t="s">
        <v>683</v>
      </c>
      <c r="J141" s="213"/>
    </row>
    <row r="142" spans="1:10" s="8" customFormat="1" ht="42" customHeight="1" x14ac:dyDescent="0.2">
      <c r="A142" s="1545"/>
      <c r="B142" s="1567">
        <v>1</v>
      </c>
      <c r="C142" s="1526" t="s">
        <v>1915</v>
      </c>
      <c r="D142" s="1535" t="str">
        <f>IF((OutNone+OutNone1&gt;0), 0, "")</f>
        <v/>
      </c>
      <c r="E142" s="1556"/>
      <c r="F142" s="1556"/>
      <c r="G142" s="1556"/>
      <c r="H142" s="1077"/>
      <c r="I142" s="174" t="s">
        <v>409</v>
      </c>
      <c r="J142" s="213"/>
    </row>
    <row r="143" spans="1:10" s="8" customFormat="1" ht="32.25" customHeight="1" x14ac:dyDescent="0.2">
      <c r="A143" s="1545"/>
      <c r="B143" s="1567">
        <v>2</v>
      </c>
      <c r="C143" s="1530" t="s">
        <v>1213</v>
      </c>
      <c r="D143" s="1568"/>
      <c r="E143" s="1556"/>
      <c r="F143" s="1556"/>
      <c r="G143" s="1556"/>
      <c r="H143" s="1077"/>
      <c r="I143" s="174" t="s">
        <v>410</v>
      </c>
      <c r="J143" s="213"/>
    </row>
    <row r="144" spans="1:10" s="8" customFormat="1" ht="69" customHeight="1" x14ac:dyDescent="0.2">
      <c r="A144" s="1545"/>
      <c r="B144" s="1567" t="s">
        <v>1227</v>
      </c>
      <c r="C144" s="1530" t="s">
        <v>1954</v>
      </c>
      <c r="D144" s="1527">
        <f>IFERROR(AVERAGE(SoilTex6, SoilOrgPct, FenBogMarsh),"")</f>
        <v>0</v>
      </c>
      <c r="E144" s="1556"/>
      <c r="F144" s="1556"/>
      <c r="G144" s="1556"/>
      <c r="H144" s="1077"/>
      <c r="I144" s="174" t="s">
        <v>411</v>
      </c>
      <c r="J144" s="213"/>
    </row>
    <row r="145" spans="1:10" s="8" customFormat="1" ht="42" customHeight="1" x14ac:dyDescent="0.2">
      <c r="A145" s="1545"/>
      <c r="B145" s="1567" t="s">
        <v>1228</v>
      </c>
      <c r="C145" s="1530" t="s">
        <v>1231</v>
      </c>
      <c r="D145" s="1527" t="str">
        <f>IFERROR(AVERAGE(GrowDD, WetVegArea),"")</f>
        <v/>
      </c>
      <c r="E145" s="1556"/>
      <c r="F145" s="1556"/>
      <c r="G145" s="1556"/>
      <c r="H145" s="1077"/>
      <c r="I145" s="1472" t="s">
        <v>684</v>
      </c>
      <c r="J145" s="213"/>
    </row>
    <row r="146" spans="1:10" s="8" customFormat="1" ht="69" customHeight="1" x14ac:dyDescent="0.2">
      <c r="A146" s="1545"/>
      <c r="B146" s="1530">
        <v>3</v>
      </c>
      <c r="C146" s="1530" t="s">
        <v>1955</v>
      </c>
      <c r="D146" s="1527">
        <f>IF((D142=0),0, 10* AVERAGE(Interspers6, D144, D145))</f>
        <v>0</v>
      </c>
      <c r="E146" s="1556"/>
      <c r="F146" s="1556"/>
      <c r="G146" s="1556"/>
      <c r="H146" s="1077"/>
      <c r="I146" s="154"/>
      <c r="J146" s="213"/>
    </row>
    <row r="147" spans="1:10" ht="45" customHeight="1" x14ac:dyDescent="0.2">
      <c r="A147" s="7"/>
      <c r="D147" s="7"/>
      <c r="E147" s="7"/>
      <c r="F147" s="7"/>
      <c r="G147" s="7"/>
      <c r="H147" s="1516"/>
      <c r="I147" s="154"/>
      <c r="J147" s="213"/>
    </row>
    <row r="148" spans="1:10" x14ac:dyDescent="0.2">
      <c r="A148" s="7"/>
      <c r="D148" s="7"/>
      <c r="E148" s="7"/>
      <c r="F148" s="7"/>
      <c r="G148" s="7"/>
      <c r="H148" s="1516"/>
      <c r="I148" s="154"/>
      <c r="J148" s="213"/>
    </row>
    <row r="149" spans="1:10" ht="27" customHeight="1" x14ac:dyDescent="0.2">
      <c r="A149" s="7"/>
      <c r="D149" s="7"/>
      <c r="E149" s="7"/>
      <c r="F149" s="7"/>
      <c r="G149" s="7"/>
      <c r="H149" s="1516"/>
      <c r="I149" s="154"/>
      <c r="J149" s="213"/>
    </row>
    <row r="150" spans="1:10" ht="42" customHeight="1" x14ac:dyDescent="0.2">
      <c r="A150" s="7"/>
      <c r="D150" s="7"/>
      <c r="E150" s="7"/>
      <c r="F150" s="7"/>
      <c r="G150" s="7"/>
      <c r="H150" s="1516"/>
      <c r="I150" s="154"/>
      <c r="J150" s="213"/>
    </row>
    <row r="151" spans="1:10" ht="42" customHeight="1" x14ac:dyDescent="0.2">
      <c r="A151" s="7"/>
      <c r="D151" s="7"/>
      <c r="E151" s="7"/>
      <c r="F151" s="7"/>
      <c r="G151" s="7"/>
      <c r="H151" s="1516"/>
      <c r="I151" s="154"/>
      <c r="J151" s="213"/>
    </row>
    <row r="152" spans="1:10" ht="42" customHeight="1" x14ac:dyDescent="0.2">
      <c r="A152" s="7"/>
      <c r="D152" s="7"/>
      <c r="E152" s="7"/>
      <c r="F152" s="7"/>
      <c r="G152" s="7"/>
      <c r="H152" s="1516"/>
      <c r="I152" s="154"/>
      <c r="J152" s="213"/>
    </row>
    <row r="153" spans="1:10" x14ac:dyDescent="0.2">
      <c r="J153" s="213"/>
    </row>
    <row r="165" spans="1:7" ht="21" customHeight="1" x14ac:dyDescent="0.2">
      <c r="A165" s="1378"/>
      <c r="B165" s="1378"/>
      <c r="D165" s="1378"/>
      <c r="E165" s="1378"/>
      <c r="F165" s="1378"/>
      <c r="G165" s="1376"/>
    </row>
    <row r="166" spans="1:7" ht="42" customHeight="1" x14ac:dyDescent="0.2">
      <c r="A166" s="1378"/>
      <c r="B166" s="1378"/>
      <c r="D166" s="1378"/>
      <c r="E166" s="1378"/>
      <c r="F166" s="1378"/>
      <c r="G166" s="1376"/>
    </row>
    <row r="167" spans="1:7" ht="42" customHeight="1" x14ac:dyDescent="0.2">
      <c r="A167" s="1378"/>
      <c r="B167" s="1378"/>
      <c r="D167" s="1378"/>
      <c r="E167" s="1378"/>
      <c r="F167" s="1378"/>
      <c r="G167" s="1376"/>
    </row>
  </sheetData>
  <sheetProtection password="C4B9" sheet="1" objects="1" scenarios="1"/>
  <sortState ref="A3:M11">
    <sortCondition ref="H3:H11"/>
  </sortState>
  <customSheetViews>
    <customSheetView guid="{B8E02330-2419-4DE6-AD01-7ACC7A5D18DD}" scale="75">
      <selection activeCell="H127" sqref="A2:H127"/>
      <pageMargins left="0.75" right="0.75" top="1" bottom="1" header="0.5" footer="0.5"/>
      <pageSetup orientation="portrait" r:id="rId1"/>
      <headerFooter alignWithMargins="0"/>
    </customSheetView>
  </customSheetViews>
  <mergeCells count="74">
    <mergeCell ref="B111:B117"/>
    <mergeCell ref="A111:A117"/>
    <mergeCell ref="A106:A110"/>
    <mergeCell ref="A101:A105"/>
    <mergeCell ref="A89:A94"/>
    <mergeCell ref="B106:B110"/>
    <mergeCell ref="B101:B105"/>
    <mergeCell ref="B95:B100"/>
    <mergeCell ref="B89:B94"/>
    <mergeCell ref="C133:D133"/>
    <mergeCell ref="H19:H24"/>
    <mergeCell ref="H14:H18"/>
    <mergeCell ref="I111:I117"/>
    <mergeCell ref="I101:I105"/>
    <mergeCell ref="I68:I73"/>
    <mergeCell ref="I25:I30"/>
    <mergeCell ref="I89:I94"/>
    <mergeCell ref="I78:I82"/>
    <mergeCell ref="I106:I110"/>
    <mergeCell ref="I95:I100"/>
    <mergeCell ref="I83:I88"/>
    <mergeCell ref="E1:H1"/>
    <mergeCell ref="A19:A24"/>
    <mergeCell ref="A95:A100"/>
    <mergeCell ref="H111:H117"/>
    <mergeCell ref="H106:H110"/>
    <mergeCell ref="H101:H105"/>
    <mergeCell ref="H95:H100"/>
    <mergeCell ref="H89:H94"/>
    <mergeCell ref="H83:H88"/>
    <mergeCell ref="H78:H82"/>
    <mergeCell ref="H74:H77"/>
    <mergeCell ref="H68:H73"/>
    <mergeCell ref="H62:H67"/>
    <mergeCell ref="H57:H60"/>
    <mergeCell ref="H44:H50"/>
    <mergeCell ref="H36:H43"/>
    <mergeCell ref="B74:B77"/>
    <mergeCell ref="A44:A50"/>
    <mergeCell ref="A83:A88"/>
    <mergeCell ref="B78:B82"/>
    <mergeCell ref="A78:A82"/>
    <mergeCell ref="A74:A77"/>
    <mergeCell ref="B62:B67"/>
    <mergeCell ref="A57:A60"/>
    <mergeCell ref="B83:B88"/>
    <mergeCell ref="B25:B30"/>
    <mergeCell ref="I31:I35"/>
    <mergeCell ref="I51:I56"/>
    <mergeCell ref="A31:A35"/>
    <mergeCell ref="B31:B35"/>
    <mergeCell ref="B51:B56"/>
    <mergeCell ref="A51:A56"/>
    <mergeCell ref="H51:H56"/>
    <mergeCell ref="H31:H35"/>
    <mergeCell ref="H25:H30"/>
    <mergeCell ref="I36:I43"/>
    <mergeCell ref="B44:B50"/>
    <mergeCell ref="A1:B1"/>
    <mergeCell ref="I74:I77"/>
    <mergeCell ref="I62:I67"/>
    <mergeCell ref="A36:A43"/>
    <mergeCell ref="B36:B43"/>
    <mergeCell ref="I44:I50"/>
    <mergeCell ref="A68:A73"/>
    <mergeCell ref="B68:B73"/>
    <mergeCell ref="I57:I60"/>
    <mergeCell ref="A62:A67"/>
    <mergeCell ref="B57:B60"/>
    <mergeCell ref="I14:I18"/>
    <mergeCell ref="I19:I24"/>
    <mergeCell ref="B14:B18"/>
    <mergeCell ref="B19:B24"/>
    <mergeCell ref="A25:A30"/>
  </mergeCells>
  <phoneticPr fontId="5" type="noConversion"/>
  <conditionalFormatting sqref="D36 D38:D44 D132 D59:D64 D66:D68 D70:D76 D78:D81 D83:D87 D89:D93 D95:D99 D101 D103:D108 D110:D111 D113:D118 D120:D122 D124:D126 D128:D129 D46:D51 D53:D57 D14:D16 D18:D23 D25:D29 D31:D34">
    <cfRule type="cellIs" dxfId="9" priority="1" operator="greaterThan">
      <formula>0</formula>
    </cfRule>
  </conditionalFormatting>
  <pageMargins left="0.75" right="0.75" top="1" bottom="1" header="0.5" footer="0.5"/>
  <pageSetup orientation="portrait" r:id="rId2"/>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178"/>
  <sheetViews>
    <sheetView zoomScaleNormal="100" workbookViewId="0">
      <selection activeCell="C154" sqref="C154"/>
    </sheetView>
  </sheetViews>
  <sheetFormatPr defaultColWidth="9.33203125" defaultRowHeight="16.5" x14ac:dyDescent="0.2"/>
  <cols>
    <col min="1" max="1" width="5.83203125" style="12" customWidth="1"/>
    <col min="2" max="2" width="18.83203125" style="167" customWidth="1"/>
    <col min="3" max="3" width="69.83203125" style="7" customWidth="1"/>
    <col min="4" max="4" width="6.83203125" style="458" customWidth="1"/>
    <col min="5" max="5" width="7.5" style="458" customWidth="1"/>
    <col min="6" max="6" width="8" style="458" customWidth="1"/>
    <col min="7" max="7" width="10.6640625" style="459" customWidth="1"/>
    <col min="8" max="8" width="12.1640625" style="20" customWidth="1"/>
    <col min="9" max="9" width="69.83203125" style="12" customWidth="1"/>
    <col min="10" max="10" width="9.33203125" style="259"/>
    <col min="11" max="16384" width="9.33203125" style="12"/>
  </cols>
  <sheetData>
    <row r="1" spans="1:12" ht="45" customHeight="1" thickBot="1" x14ac:dyDescent="0.25">
      <c r="A1" s="2113" t="s">
        <v>2069</v>
      </c>
      <c r="B1" s="2114"/>
      <c r="C1" s="77" t="s">
        <v>2200</v>
      </c>
      <c r="D1" s="128" t="s">
        <v>1058</v>
      </c>
      <c r="E1" s="2271"/>
      <c r="F1" s="2272"/>
      <c r="G1" s="2272"/>
      <c r="H1" s="2272"/>
      <c r="I1" s="2273"/>
    </row>
    <row r="2" spans="1:12" s="151" customFormat="1" ht="42" customHeight="1" thickBot="1" x14ac:dyDescent="0.25">
      <c r="A2" s="1605" t="s">
        <v>110</v>
      </c>
      <c r="B2" s="1606" t="s">
        <v>1096</v>
      </c>
      <c r="C2" s="1607" t="s">
        <v>1395</v>
      </c>
      <c r="D2" s="1605"/>
      <c r="E2" s="1608"/>
      <c r="F2" s="1609"/>
      <c r="G2" s="1610" t="s">
        <v>1111</v>
      </c>
      <c r="H2" s="1611" t="s">
        <v>1108</v>
      </c>
      <c r="I2" s="1647" t="s">
        <v>304</v>
      </c>
      <c r="J2" s="224"/>
    </row>
    <row r="3" spans="1:12" s="151" customFormat="1" ht="45" customHeight="1" thickBot="1" x14ac:dyDescent="0.25">
      <c r="A3" s="931" t="str">
        <f>OF!A5</f>
        <v>OF4</v>
      </c>
      <c r="B3" s="715" t="str">
        <f>OF!C5</f>
        <v>Channel Connection</v>
      </c>
      <c r="C3" s="749" t="s">
        <v>1661</v>
      </c>
      <c r="D3" s="716"/>
      <c r="E3" s="717"/>
      <c r="F3" s="717"/>
      <c r="G3" s="761" t="str">
        <f>IF((ChannConn=""),"",ChannConn)</f>
        <v/>
      </c>
      <c r="H3" s="877" t="s">
        <v>1330</v>
      </c>
      <c r="I3" s="874" t="s">
        <v>1653</v>
      </c>
      <c r="J3" s="224"/>
    </row>
    <row r="4" spans="1:12" s="155" customFormat="1" ht="30" customHeight="1" thickBot="1" x14ac:dyDescent="0.25">
      <c r="A4" s="710" t="str">
        <f>OF!A9</f>
        <v>OF8</v>
      </c>
      <c r="B4" s="710" t="str">
        <f>OF!C9</f>
        <v>Distance to Nearest Road (from Wetland Edge)</v>
      </c>
      <c r="C4" s="748"/>
      <c r="D4" s="712"/>
      <c r="E4" s="713"/>
      <c r="F4" s="713"/>
      <c r="G4" s="917" t="str">
        <f>IF((Dist2Road=""),"",Dist2Road)</f>
        <v/>
      </c>
      <c r="H4" s="742" t="s">
        <v>1270</v>
      </c>
      <c r="I4" s="53" t="s">
        <v>1654</v>
      </c>
      <c r="J4" s="104"/>
      <c r="K4" s="154"/>
      <c r="L4" s="154"/>
    </row>
    <row r="5" spans="1:12" s="155" customFormat="1" ht="57" customHeight="1" thickBot="1" x14ac:dyDescent="0.25">
      <c r="A5" s="931" t="str">
        <f>OF!A16</f>
        <v>OF15</v>
      </c>
      <c r="B5" s="715" t="str">
        <f>OF!C16</f>
        <v>Fish Presence</v>
      </c>
      <c r="C5" s="749" t="s">
        <v>1662</v>
      </c>
      <c r="D5" s="716"/>
      <c r="E5" s="717"/>
      <c r="F5" s="717"/>
      <c r="G5" s="1043" t="str">
        <f>IF((FishPres=""),"",IF((FishPres=1),1,""))</f>
        <v/>
      </c>
      <c r="H5" s="877" t="s">
        <v>1044</v>
      </c>
      <c r="I5" s="875" t="s">
        <v>1655</v>
      </c>
      <c r="J5" s="104"/>
      <c r="K5" s="228"/>
      <c r="L5" s="154"/>
    </row>
    <row r="6" spans="1:12" s="154" customFormat="1" ht="30" customHeight="1" thickBot="1" x14ac:dyDescent="0.25">
      <c r="A6" s="709" t="str">
        <f>OF!A18</f>
        <v>OF17</v>
      </c>
      <c r="B6" s="710" t="str">
        <f>OF!C18</f>
        <v>Growing Degree Days</v>
      </c>
      <c r="C6" s="748"/>
      <c r="D6" s="712"/>
      <c r="E6" s="713"/>
      <c r="F6" s="713"/>
      <c r="G6" s="740" t="str">
        <f>IF((GrowDD=""),"",GrowDD)</f>
        <v/>
      </c>
      <c r="H6" s="742" t="s">
        <v>1078</v>
      </c>
      <c r="I6" s="53" t="s">
        <v>765</v>
      </c>
      <c r="J6" s="104"/>
    </row>
    <row r="7" spans="1:12" s="154" customFormat="1" ht="52.5" customHeight="1" thickBot="1" x14ac:dyDescent="0.25">
      <c r="A7" s="931" t="str">
        <f>OF!A28</f>
        <v>OF27</v>
      </c>
      <c r="B7" s="715" t="str">
        <f>OF!C28</f>
        <v>Interspersion Index for Internal Water &amp; Vegetation (macroscale)</v>
      </c>
      <c r="C7" s="749"/>
      <c r="D7" s="716"/>
      <c r="E7" s="717"/>
      <c r="F7" s="717"/>
      <c r="G7" s="761" t="str">
        <f>IF((MixWaterVeg=""),"",MixWaterVeg)</f>
        <v/>
      </c>
      <c r="H7" s="877" t="s">
        <v>1032</v>
      </c>
      <c r="I7" s="875" t="s">
        <v>1656</v>
      </c>
      <c r="J7" s="104"/>
    </row>
    <row r="8" spans="1:12" s="154" customFormat="1" ht="45" customHeight="1" thickBot="1" x14ac:dyDescent="0.25">
      <c r="A8" s="709" t="str">
        <f>OF!A31</f>
        <v>OF30</v>
      </c>
      <c r="B8" s="710" t="str">
        <f>OF!C31</f>
        <v>% of AA that is Open Water (macro scale)</v>
      </c>
      <c r="C8" s="748"/>
      <c r="D8" s="712"/>
      <c r="E8" s="713"/>
      <c r="F8" s="713"/>
      <c r="G8" s="740" t="str">
        <f>IF((OWpct=""),"",OWpct)</f>
        <v/>
      </c>
      <c r="H8" s="742" t="s">
        <v>1205</v>
      </c>
      <c r="I8" s="1051" t="s">
        <v>2201</v>
      </c>
      <c r="J8" s="225"/>
      <c r="K8" s="155"/>
      <c r="L8" s="155"/>
    </row>
    <row r="9" spans="1:12" s="154" customFormat="1" ht="79.5" customHeight="1" thickBot="1" x14ac:dyDescent="0.25">
      <c r="A9" s="931" t="str">
        <f>OF!A35</f>
        <v>OF34</v>
      </c>
      <c r="B9" s="715" t="str">
        <f>OF!C35</f>
        <v>% of Wetland Perimeter Adjoined by Natural Cover</v>
      </c>
      <c r="C9" s="749"/>
      <c r="D9" s="716"/>
      <c r="E9" s="717"/>
      <c r="F9" s="717"/>
      <c r="G9" s="761" t="str">
        <f>IF((PerimNatCov=""),"",PerimNatCov)</f>
        <v/>
      </c>
      <c r="H9" s="877" t="s">
        <v>1064</v>
      </c>
      <c r="I9" s="875" t="s">
        <v>1657</v>
      </c>
      <c r="J9" s="104"/>
    </row>
    <row r="10" spans="1:12" s="154" customFormat="1" ht="30" customHeight="1" thickBot="1" x14ac:dyDescent="0.25">
      <c r="A10" s="709" t="str">
        <f>OF!A41</f>
        <v>OF40</v>
      </c>
      <c r="B10" s="710" t="str">
        <f>OF!C41</f>
        <v>Road Density in 1km Buffer</v>
      </c>
      <c r="C10" s="748"/>
      <c r="D10" s="712"/>
      <c r="E10" s="713"/>
      <c r="F10" s="713"/>
      <c r="G10" s="740" t="str">
        <f>IF((RdDens1k=""),"",RdDens1k)</f>
        <v/>
      </c>
      <c r="H10" s="742" t="s">
        <v>1065</v>
      </c>
      <c r="I10" s="53" t="s">
        <v>2204</v>
      </c>
      <c r="J10" s="104"/>
    </row>
    <row r="11" spans="1:12" s="154" customFormat="1" ht="53.25" customHeight="1" thickBot="1" x14ac:dyDescent="0.25">
      <c r="A11" s="931" t="str">
        <f>OF!A43</f>
        <v>OF42</v>
      </c>
      <c r="B11" s="715" t="str">
        <f>OF!C43</f>
        <v>Riparian or Floodway Location</v>
      </c>
      <c r="C11" s="749" t="s">
        <v>1800</v>
      </c>
      <c r="D11" s="716"/>
      <c r="E11" s="717"/>
      <c r="F11" s="717"/>
      <c r="G11" s="1044" t="str">
        <f>IF((RipFloodpl=""),"",IF((RipFloodpl=1),1,""))</f>
        <v/>
      </c>
      <c r="H11" s="877" t="s">
        <v>1077</v>
      </c>
      <c r="I11" s="1620" t="s">
        <v>2411</v>
      </c>
      <c r="J11" s="104"/>
    </row>
    <row r="12" spans="1:12" s="154" customFormat="1" ht="30" customHeight="1" thickBot="1" x14ac:dyDescent="0.25">
      <c r="A12" s="709" t="str">
        <f>OF!A51</f>
        <v>OF50</v>
      </c>
      <c r="B12" s="710" t="str">
        <f>OF!C51</f>
        <v>Springs within 300m</v>
      </c>
      <c r="C12" s="748"/>
      <c r="D12" s="712"/>
      <c r="E12" s="713"/>
      <c r="F12" s="713"/>
      <c r="G12" s="917" t="str">
        <f>IF((Spring=""),"",Spring)</f>
        <v/>
      </c>
      <c r="H12" s="742" t="s">
        <v>1027</v>
      </c>
      <c r="I12" s="53" t="s">
        <v>1658</v>
      </c>
      <c r="J12" s="104"/>
    </row>
    <row r="13" spans="1:12" s="154" customFormat="1" ht="30" customHeight="1" thickBot="1" x14ac:dyDescent="0.25">
      <c r="A13" s="931" t="str">
        <f>OF!A52</f>
        <v>OF51</v>
      </c>
      <c r="B13" s="715" t="str">
        <f>OF!C52</f>
        <v>Subzero Days</v>
      </c>
      <c r="C13" s="749" t="s">
        <v>1396</v>
      </c>
      <c r="D13" s="716"/>
      <c r="E13" s="717"/>
      <c r="F13" s="717"/>
      <c r="G13" s="761" t="str">
        <f>IF((Sub0Days=""),"",1-Sub0Days)</f>
        <v/>
      </c>
      <c r="H13" s="877" t="s">
        <v>1066</v>
      </c>
      <c r="I13" s="875" t="s">
        <v>766</v>
      </c>
      <c r="J13" s="104"/>
    </row>
    <row r="14" spans="1:12" s="154" customFormat="1" ht="30" customHeight="1" thickBot="1" x14ac:dyDescent="0.25">
      <c r="A14" s="709" t="str">
        <f>OF!A61</f>
        <v>OF60</v>
      </c>
      <c r="B14" s="710" t="str">
        <f>OF!C61</f>
        <v>Water Permanence Probability</v>
      </c>
      <c r="C14" s="748"/>
      <c r="D14" s="712"/>
      <c r="E14" s="713"/>
      <c r="F14" s="713"/>
      <c r="G14" s="740" t="str">
        <f>IF((WatProb=""),"",WatProb)</f>
        <v/>
      </c>
      <c r="H14" s="742" t="s">
        <v>1026</v>
      </c>
      <c r="I14" s="53" t="s">
        <v>1659</v>
      </c>
      <c r="J14" s="104"/>
    </row>
    <row r="15" spans="1:12" s="154" customFormat="1" ht="30" customHeight="1" thickBot="1" x14ac:dyDescent="0.25">
      <c r="A15" s="931" t="str">
        <f>OF!A63</f>
        <v>OF62</v>
      </c>
      <c r="B15" s="715" t="str">
        <f>OF!C63</f>
        <v>AA Size</v>
      </c>
      <c r="C15" s="749"/>
      <c r="D15" s="716"/>
      <c r="E15" s="717"/>
      <c r="F15" s="717"/>
      <c r="G15" s="761" t="str">
        <f>IF((WetArea=""),"",WetArea)</f>
        <v/>
      </c>
      <c r="H15" s="877" t="s">
        <v>1009</v>
      </c>
      <c r="I15" s="943" t="s">
        <v>1660</v>
      </c>
      <c r="J15" s="225"/>
      <c r="K15" s="256"/>
      <c r="L15" s="155"/>
    </row>
    <row r="16" spans="1:12" s="154" customFormat="1" ht="60" customHeight="1" thickBot="1" x14ac:dyDescent="0.25">
      <c r="A16" s="709" t="str">
        <f>OF!A73</f>
        <v>OF72</v>
      </c>
      <c r="B16" s="710" t="str">
        <f>OF!C73</f>
        <v>Surface Water Quality Risk Index</v>
      </c>
      <c r="C16" s="748" t="s">
        <v>1396</v>
      </c>
      <c r="D16" s="712"/>
      <c r="E16" s="713"/>
      <c r="F16" s="713"/>
      <c r="G16" s="740" t="str">
        <f>IF((WQrisk=""),"",1-WQrisk)</f>
        <v/>
      </c>
      <c r="H16" s="742" t="s">
        <v>1037</v>
      </c>
      <c r="I16" s="53" t="s">
        <v>2203</v>
      </c>
      <c r="J16" s="104"/>
    </row>
    <row r="17" spans="1:12" s="2" customFormat="1" ht="42" customHeight="1" thickBot="1" x14ac:dyDescent="0.25">
      <c r="A17" s="1622" t="s">
        <v>110</v>
      </c>
      <c r="B17" s="1613" t="s">
        <v>1110</v>
      </c>
      <c r="C17" s="1623" t="s">
        <v>1109</v>
      </c>
      <c r="D17" s="1624" t="s">
        <v>45</v>
      </c>
      <c r="E17" s="1625" t="s">
        <v>2028</v>
      </c>
      <c r="F17" s="1626" t="s">
        <v>2027</v>
      </c>
      <c r="G17" s="1627" t="s">
        <v>1111</v>
      </c>
      <c r="H17" s="1628" t="s">
        <v>1108</v>
      </c>
      <c r="I17" s="1629" t="s">
        <v>1503</v>
      </c>
      <c r="J17" s="59"/>
    </row>
    <row r="18" spans="1:12" s="8" customFormat="1" ht="21" customHeight="1" thickBot="1" x14ac:dyDescent="0.25">
      <c r="A18" s="1027" t="str">
        <f>F!A6</f>
        <v>F1</v>
      </c>
      <c r="B18" s="2286" t="str">
        <f>F!B6</f>
        <v>Wetland Type - Predominant</v>
      </c>
      <c r="C18" s="153" t="str">
        <f>F!C6</f>
        <v>Most of the vegetated part of the AA (wetland Assessment Area) is a (select ONE):</v>
      </c>
      <c r="D18" s="971"/>
      <c r="E18" s="971"/>
      <c r="F18" s="1052"/>
      <c r="G18" s="426">
        <f>MAX(F19:F22)/MAX(E19:E22)</f>
        <v>0</v>
      </c>
      <c r="H18" s="2087" t="s">
        <v>146</v>
      </c>
      <c r="I18" s="2087" t="s">
        <v>770</v>
      </c>
      <c r="J18" s="96"/>
    </row>
    <row r="19" spans="1:12" s="8" customFormat="1" ht="15" customHeight="1" x14ac:dyDescent="0.2">
      <c r="A19" s="662" t="str">
        <f>F!A7</f>
        <v>F1.1</v>
      </c>
      <c r="B19" s="2287"/>
      <c r="C19" s="889" t="str">
        <f>F!C7</f>
        <v>Wooded Swamp</v>
      </c>
      <c r="D19" s="117">
        <f>F!D7</f>
        <v>0</v>
      </c>
      <c r="E19" s="454">
        <v>1</v>
      </c>
      <c r="F19" s="450">
        <f>D19*E19</f>
        <v>0</v>
      </c>
      <c r="G19" s="1037"/>
      <c r="H19" s="2083"/>
      <c r="I19" s="2083"/>
      <c r="J19" s="96"/>
    </row>
    <row r="20" spans="1:12" s="8" customFormat="1" ht="15" customHeight="1" x14ac:dyDescent="0.2">
      <c r="A20" s="662" t="str">
        <f>F!A8</f>
        <v>F1.2</v>
      </c>
      <c r="B20" s="2287"/>
      <c r="C20" s="890" t="str">
        <f>F!C8</f>
        <v>Bog</v>
      </c>
      <c r="D20" s="117">
        <f>F!D8</f>
        <v>0</v>
      </c>
      <c r="E20" s="454">
        <v>0</v>
      </c>
      <c r="F20" s="450">
        <f>D20*E20</f>
        <v>0</v>
      </c>
      <c r="G20" s="1038"/>
      <c r="H20" s="2083"/>
      <c r="I20" s="2083"/>
      <c r="J20" s="96"/>
    </row>
    <row r="21" spans="1:12" s="8" customFormat="1" ht="15" customHeight="1" x14ac:dyDescent="0.2">
      <c r="A21" s="662" t="str">
        <f>F!A9</f>
        <v>F1.3</v>
      </c>
      <c r="B21" s="2287"/>
      <c r="C21" s="890" t="str">
        <f>F!C9</f>
        <v>Fen</v>
      </c>
      <c r="D21" s="117">
        <f>F!D9</f>
        <v>0</v>
      </c>
      <c r="E21" s="454">
        <v>3</v>
      </c>
      <c r="F21" s="450">
        <f>D21*E21</f>
        <v>0</v>
      </c>
      <c r="G21" s="1038"/>
      <c r="H21" s="2083"/>
      <c r="I21" s="2083"/>
      <c r="J21" s="96"/>
    </row>
    <row r="22" spans="1:12" s="8" customFormat="1" ht="15" customHeight="1" thickBot="1" x14ac:dyDescent="0.25">
      <c r="A22" s="145" t="str">
        <f>F!A10</f>
        <v>F1.4</v>
      </c>
      <c r="B22" s="2288"/>
      <c r="C22" s="891" t="str">
        <f>F!C10</f>
        <v>Marsh or Shallow Open Water</v>
      </c>
      <c r="D22" s="1045">
        <f>F!D10</f>
        <v>0</v>
      </c>
      <c r="E22" s="810">
        <v>4</v>
      </c>
      <c r="F22" s="806">
        <f>D22*E22</f>
        <v>0</v>
      </c>
      <c r="G22" s="1039"/>
      <c r="H22" s="2088"/>
      <c r="I22" s="2088"/>
      <c r="J22" s="96"/>
    </row>
    <row r="23" spans="1:12" s="3" customFormat="1" ht="39.75" customHeight="1" thickBot="1" x14ac:dyDescent="0.25">
      <c r="A23" s="2253" t="str">
        <f>F!A17</f>
        <v>F3</v>
      </c>
      <c r="B23" s="2283" t="str">
        <f>F!B17</f>
        <v>% Saturated Only</v>
      </c>
      <c r="C23" s="1046" t="str">
        <f>F!C17</f>
        <v>The percentage of the AA that never contains surface water during an average year (that is, except perhaps for a few hours after snowmelt or rainstorms), but which is still a wetland, is:</v>
      </c>
      <c r="D23" s="523"/>
      <c r="E23" s="798"/>
      <c r="F23" s="492"/>
      <c r="G23" s="432">
        <f>MAX(F24:F29)/MAX(E24:E29)</f>
        <v>0</v>
      </c>
      <c r="H23" s="2087" t="s">
        <v>356</v>
      </c>
      <c r="I23" s="2087" t="s">
        <v>355</v>
      </c>
      <c r="J23" s="104"/>
      <c r="K23" s="154"/>
      <c r="L23" s="154"/>
    </row>
    <row r="24" spans="1:12" s="3" customFormat="1" ht="27" customHeight="1" x14ac:dyDescent="0.2">
      <c r="A24" s="2151"/>
      <c r="B24" s="2284"/>
      <c r="C24" s="1030" t="str">
        <f>F!C18</f>
        <v>less than 1%, or &lt;0.01 hectare (about 10 m on a side) never has surface water.  In other words, all or nearly all of the AA is inundated permanently or at least seasonally.</v>
      </c>
      <c r="D24" s="296">
        <f>F!D18</f>
        <v>0</v>
      </c>
      <c r="E24" s="803">
        <v>5</v>
      </c>
      <c r="F24" s="803">
        <f t="shared" ref="F24:F29" si="0">D24*E24</f>
        <v>0</v>
      </c>
      <c r="G24" s="493"/>
      <c r="H24" s="2083"/>
      <c r="I24" s="2083"/>
      <c r="J24" s="104"/>
      <c r="K24" s="154"/>
      <c r="L24" s="154"/>
    </row>
    <row r="25" spans="1:12" s="3" customFormat="1" ht="15" customHeight="1" x14ac:dyDescent="0.2">
      <c r="A25" s="2151"/>
      <c r="B25" s="2284"/>
      <c r="C25" s="1031" t="str">
        <f>F!C19</f>
        <v>1-25% of the AA never contains surface water.</v>
      </c>
      <c r="D25" s="513">
        <f>F!D19</f>
        <v>0</v>
      </c>
      <c r="E25" s="803">
        <v>4</v>
      </c>
      <c r="F25" s="803">
        <f t="shared" si="0"/>
        <v>0</v>
      </c>
      <c r="G25" s="493"/>
      <c r="H25" s="2083"/>
      <c r="I25" s="2083"/>
      <c r="J25" s="104"/>
      <c r="K25" s="154"/>
      <c r="L25" s="154"/>
    </row>
    <row r="26" spans="1:12" s="3" customFormat="1" ht="15" customHeight="1" x14ac:dyDescent="0.2">
      <c r="A26" s="2151"/>
      <c r="B26" s="2284"/>
      <c r="C26" s="1031" t="str">
        <f>F!C20</f>
        <v>25-50% of the AA never contains surface water.</v>
      </c>
      <c r="D26" s="513">
        <f>F!D20</f>
        <v>0</v>
      </c>
      <c r="E26" s="803">
        <v>3</v>
      </c>
      <c r="F26" s="803">
        <f t="shared" si="0"/>
        <v>0</v>
      </c>
      <c r="G26" s="493"/>
      <c r="H26" s="2083"/>
      <c r="I26" s="2083"/>
      <c r="J26" s="104"/>
      <c r="K26" s="154"/>
      <c r="L26" s="154"/>
    </row>
    <row r="27" spans="1:12" s="3" customFormat="1" ht="15" customHeight="1" x14ac:dyDescent="0.2">
      <c r="A27" s="2151"/>
      <c r="B27" s="2284"/>
      <c r="C27" s="1031" t="str">
        <f>F!C21</f>
        <v>50-99% of the AA never contains surface water.</v>
      </c>
      <c r="D27" s="513">
        <f>F!D21</f>
        <v>0</v>
      </c>
      <c r="E27" s="803">
        <v>2</v>
      </c>
      <c r="F27" s="803">
        <f t="shared" si="0"/>
        <v>0</v>
      </c>
      <c r="G27" s="493"/>
      <c r="H27" s="2083"/>
      <c r="I27" s="2083"/>
      <c r="J27" s="104"/>
      <c r="K27" s="154"/>
      <c r="L27" s="154"/>
    </row>
    <row r="28" spans="1:12" s="3" customFormat="1" ht="37.5" customHeight="1" x14ac:dyDescent="0.2">
      <c r="A28" s="2151"/>
      <c r="B28" s="2284"/>
      <c r="C28" s="1031" t="str">
        <f>F!C22</f>
        <v>&gt;99% of the AA never contains surface water, except for water flowing in channels and/or in pools that occupy &lt;1% of the AA. SKIP to F26 (Channel Connection &amp; Outflow Duration)</v>
      </c>
      <c r="D28" s="513">
        <f>F!D22</f>
        <v>0</v>
      </c>
      <c r="E28" s="803">
        <v>1</v>
      </c>
      <c r="F28" s="803">
        <f t="shared" si="0"/>
        <v>0</v>
      </c>
      <c r="G28" s="493"/>
      <c r="H28" s="2083"/>
      <c r="I28" s="2083"/>
      <c r="J28" s="104"/>
      <c r="K28" s="154"/>
      <c r="L28" s="154"/>
    </row>
    <row r="29" spans="1:12" s="3" customFormat="1" ht="27" customHeight="1" thickBot="1" x14ac:dyDescent="0.25">
      <c r="A29" s="2254"/>
      <c r="B29" s="2285"/>
      <c r="C29" s="1047" t="str">
        <f>F!C23</f>
        <v>&gt;99% of the AA never contains surface water, and AA is not intersected by channels that have flow, not even for a few days per year. SKIP to F26.</v>
      </c>
      <c r="D29" s="1048">
        <f>F!D23</f>
        <v>0</v>
      </c>
      <c r="E29" s="453">
        <v>0</v>
      </c>
      <c r="F29" s="453">
        <f t="shared" si="0"/>
        <v>0</v>
      </c>
      <c r="G29" s="494"/>
      <c r="H29" s="2088"/>
      <c r="I29" s="2088"/>
      <c r="J29" s="104"/>
      <c r="K29" s="154"/>
      <c r="L29" s="154"/>
    </row>
    <row r="30" spans="1:12" s="7" customFormat="1" ht="30" customHeight="1" thickBot="1" x14ac:dyDescent="0.25">
      <c r="A30" s="2289" t="str">
        <f>F!A24</f>
        <v>F4</v>
      </c>
      <c r="B30" s="2263" t="str">
        <f>F!B24</f>
        <v>% with Persistent Surface Water</v>
      </c>
      <c r="C30" s="887" t="str">
        <f>F!C24</f>
        <v>The percentage of the AA that has surface water (either ponded or flowing, either open or obscured by vegetation) during all of the growing season during most years is:</v>
      </c>
      <c r="D30" s="971"/>
      <c r="E30" s="448"/>
      <c r="F30" s="495"/>
      <c r="G30" s="426">
        <f>IF((AllSat+AllSat1&gt;0),"",MAX(F31:F36)/MAX(E31:E36))</f>
        <v>0</v>
      </c>
      <c r="H30" s="2077" t="s">
        <v>136</v>
      </c>
      <c r="I30" s="2248" t="s">
        <v>2058</v>
      </c>
      <c r="J30" s="87"/>
    </row>
    <row r="31" spans="1:12" ht="27.75" customHeight="1" x14ac:dyDescent="0.2">
      <c r="A31" s="2289"/>
      <c r="B31" s="2263"/>
      <c r="C31" s="901" t="str">
        <f>F!C25</f>
        <v>less than 1%, or &lt;0.01 hectare (whichever is less).  SKIP to F8 (% Flooded Only Seasonally).</v>
      </c>
      <c r="D31" s="50">
        <f>F!D25</f>
        <v>0</v>
      </c>
      <c r="E31" s="450">
        <v>0</v>
      </c>
      <c r="F31" s="450">
        <f>D31*E31</f>
        <v>0</v>
      </c>
      <c r="G31" s="444"/>
      <c r="H31" s="2078"/>
      <c r="I31" s="2265"/>
    </row>
    <row r="32" spans="1:12" ht="15" customHeight="1" x14ac:dyDescent="0.2">
      <c r="A32" s="2289"/>
      <c r="B32" s="2263"/>
      <c r="C32" s="736" t="str">
        <f>F!C26</f>
        <v>1-25% of the AA, and mostly in narrow channels and/or small scattered pools.</v>
      </c>
      <c r="D32" s="50">
        <f>F!D26</f>
        <v>0</v>
      </c>
      <c r="E32" s="450">
        <v>1</v>
      </c>
      <c r="F32" s="450">
        <f>D32*E32</f>
        <v>0</v>
      </c>
      <c r="G32" s="445"/>
      <c r="H32" s="2078"/>
      <c r="I32" s="2265"/>
    </row>
    <row r="33" spans="1:12" ht="15" customHeight="1" x14ac:dyDescent="0.2">
      <c r="A33" s="2289"/>
      <c r="B33" s="2263"/>
      <c r="C33" s="736" t="str">
        <f>F!C27</f>
        <v>1-25% of the AA, and mostly in a single large pool, pond, and/or channel.</v>
      </c>
      <c r="D33" s="50">
        <f>F!D27</f>
        <v>0</v>
      </c>
      <c r="E33" s="450">
        <v>2</v>
      </c>
      <c r="F33" s="450">
        <f>D33*E33</f>
        <v>0</v>
      </c>
      <c r="G33" s="445"/>
      <c r="H33" s="2078"/>
      <c r="I33" s="2265"/>
    </row>
    <row r="34" spans="1:12" ht="15" customHeight="1" x14ac:dyDescent="0.2">
      <c r="A34" s="2289"/>
      <c r="B34" s="2263"/>
      <c r="C34" s="736" t="str">
        <f>F!C28</f>
        <v>25-50% of the AA</v>
      </c>
      <c r="D34" s="50">
        <f>F!D28</f>
        <v>0</v>
      </c>
      <c r="E34" s="450">
        <v>3</v>
      </c>
      <c r="F34" s="450">
        <f>D34*E34</f>
        <v>0</v>
      </c>
      <c r="G34" s="445"/>
      <c r="H34" s="2078"/>
      <c r="I34" s="2265"/>
    </row>
    <row r="35" spans="1:12" ht="15" customHeight="1" x14ac:dyDescent="0.2">
      <c r="A35" s="2289"/>
      <c r="B35" s="2263"/>
      <c r="C35" s="736" t="str">
        <f>F!C29</f>
        <v>50-95% of the AA</v>
      </c>
      <c r="D35" s="50">
        <f>F!D29</f>
        <v>0</v>
      </c>
      <c r="E35" s="450">
        <v>4</v>
      </c>
      <c r="F35" s="450">
        <f>D35*E35</f>
        <v>0</v>
      </c>
      <c r="G35" s="445"/>
      <c r="H35" s="2078"/>
      <c r="I35" s="2265"/>
    </row>
    <row r="36" spans="1:12" ht="15" customHeight="1" thickBot="1" x14ac:dyDescent="0.25">
      <c r="A36" s="2289"/>
      <c r="B36" s="2263"/>
      <c r="C36" s="790" t="str">
        <f>F!C30</f>
        <v>&gt;95% of the AA</v>
      </c>
      <c r="D36" s="775">
        <f>F!D30</f>
        <v>0</v>
      </c>
      <c r="E36" s="810">
        <v>5</v>
      </c>
      <c r="F36" s="806">
        <f>NoPermW10*E36</f>
        <v>0</v>
      </c>
      <c r="G36" s="791"/>
      <c r="H36" s="2079"/>
      <c r="I36" s="2266"/>
    </row>
    <row r="37" spans="1:12" ht="45" customHeight="1" thickBot="1" x14ac:dyDescent="0.25">
      <c r="A37" s="2119" t="str">
        <f>F!A31</f>
        <v>F5</v>
      </c>
      <c r="B37" s="2270" t="str">
        <f>F!B31</f>
        <v>% of Summertime Water That Is Shaded</v>
      </c>
      <c r="C37" s="136" t="str">
        <f>F!C31</f>
        <v>At mid-day during the warmest time of year, the area of surface water within the AA that is shaded (by emergent or woody vegetation, incised channels, streambanks, or other features also present within the AA) is:</v>
      </c>
      <c r="D37" s="798"/>
      <c r="E37" s="798"/>
      <c r="F37" s="802"/>
      <c r="G37" s="441">
        <f>IF((AllSat+AllSat1&gt;0),"", IF((NoPersis=1),"", MAX(F38:F42)/MAX(E38:E42)))</f>
        <v>0</v>
      </c>
      <c r="H37" s="2274" t="s">
        <v>771</v>
      </c>
      <c r="I37" s="2087" t="s">
        <v>2059</v>
      </c>
    </row>
    <row r="38" spans="1:12" ht="15" customHeight="1" x14ac:dyDescent="0.2">
      <c r="A38" s="2120"/>
      <c r="B38" s="2281"/>
      <c r="C38" s="901" t="str">
        <f>F!C32</f>
        <v>&lt;5% of the water is shaded, or no surface water is present then.</v>
      </c>
      <c r="D38" s="779">
        <f>F!D32</f>
        <v>0</v>
      </c>
      <c r="E38" s="803">
        <v>0</v>
      </c>
      <c r="F38" s="803">
        <f>D38*E38</f>
        <v>0</v>
      </c>
      <c r="G38" s="445"/>
      <c r="H38" s="2275"/>
      <c r="I38" s="2083"/>
    </row>
    <row r="39" spans="1:12" ht="15" customHeight="1" x14ac:dyDescent="0.2">
      <c r="A39" s="2120"/>
      <c r="B39" s="2281"/>
      <c r="C39" s="736" t="str">
        <f>F!C33</f>
        <v>5-25% of the water is shaded</v>
      </c>
      <c r="D39" s="779">
        <f>F!D33</f>
        <v>0</v>
      </c>
      <c r="E39" s="803">
        <v>1</v>
      </c>
      <c r="F39" s="803">
        <f>D39*E39</f>
        <v>0</v>
      </c>
      <c r="G39" s="445"/>
      <c r="H39" s="2275"/>
      <c r="I39" s="2083"/>
    </row>
    <row r="40" spans="1:12" ht="15" customHeight="1" x14ac:dyDescent="0.2">
      <c r="A40" s="2120"/>
      <c r="B40" s="2281"/>
      <c r="C40" s="736" t="str">
        <f>F!C34</f>
        <v>25-50% of the water is shaded</v>
      </c>
      <c r="D40" s="779">
        <f>F!D34</f>
        <v>0</v>
      </c>
      <c r="E40" s="803">
        <v>2</v>
      </c>
      <c r="F40" s="803">
        <f>D40*E40</f>
        <v>0</v>
      </c>
      <c r="G40" s="445"/>
      <c r="H40" s="2275"/>
      <c r="I40" s="2083"/>
    </row>
    <row r="41" spans="1:12" ht="15" customHeight="1" x14ac:dyDescent="0.2">
      <c r="A41" s="2120"/>
      <c r="B41" s="2281"/>
      <c r="C41" s="736" t="str">
        <f>F!C35</f>
        <v>50-75% of the water is shaded</v>
      </c>
      <c r="D41" s="779">
        <f>F!D35</f>
        <v>0</v>
      </c>
      <c r="E41" s="803">
        <v>4</v>
      </c>
      <c r="F41" s="803">
        <f>D41*E41</f>
        <v>0</v>
      </c>
      <c r="G41" s="445"/>
      <c r="H41" s="2275"/>
      <c r="I41" s="2083"/>
    </row>
    <row r="42" spans="1:12" ht="15" customHeight="1" thickBot="1" x14ac:dyDescent="0.25">
      <c r="A42" s="2121"/>
      <c r="B42" s="2282"/>
      <c r="C42" s="737" t="str">
        <f>F!C36</f>
        <v>&gt;75% of the water is shaded</v>
      </c>
      <c r="D42" s="105">
        <f>F!D36</f>
        <v>0</v>
      </c>
      <c r="E42" s="453">
        <v>3</v>
      </c>
      <c r="F42" s="453">
        <f>D42*E42</f>
        <v>0</v>
      </c>
      <c r="G42" s="446"/>
      <c r="H42" s="2276"/>
      <c r="I42" s="2088"/>
    </row>
    <row r="43" spans="1:12" ht="75" customHeight="1" thickBot="1" x14ac:dyDescent="0.25">
      <c r="A43" s="888" t="str">
        <f>F!A37</f>
        <v>F6</v>
      </c>
      <c r="B43" s="892" t="str">
        <f>F!B37</f>
        <v>Fringe Wetland</v>
      </c>
      <c r="C43" s="895" t="str">
        <f>F!C37</f>
        <v>If the AA meets the following conditions, it is a fringe wetland: (a) Open water that adjoins the vegetated wetland in a lake, stream, or river during annual low water condition is much wider than the vegetated wetland, and if the AA adjoins a lake (b) the maximum dimension of the lake is greater than 1 km. If true, enter "1" and continue.</v>
      </c>
      <c r="D43" s="899">
        <f>F!D37</f>
        <v>0</v>
      </c>
      <c r="E43" s="508"/>
      <c r="F43" s="520"/>
      <c r="G43" s="535" t="str">
        <f>IF((AllSat+AllSat1&gt;0),"", IF((NoPersis=1),"", IF((D43=0),"",1)))</f>
        <v/>
      </c>
      <c r="H43" s="975" t="s">
        <v>998</v>
      </c>
      <c r="I43" s="875" t="s">
        <v>1663</v>
      </c>
    </row>
    <row r="44" spans="1:12" s="3" customFormat="1" ht="75" customHeight="1" thickBot="1" x14ac:dyDescent="0.25">
      <c r="A44" s="659" t="str">
        <f>F!A38</f>
        <v>F7</v>
      </c>
      <c r="B44" s="1034" t="str">
        <f>F!B38</f>
        <v>Lacustrine Wetland</v>
      </c>
      <c r="C44" s="660" t="str">
        <f>F!C38</f>
        <v>The AA borders a body of ponded open water whose size -- not counting the vegetated AA -- exceeds 8 hectares (about 300 x 300 m) during most of the growing season.  Enter "1" if true, "0" if false.</v>
      </c>
      <c r="D44" s="165">
        <f>F!D38</f>
        <v>0</v>
      </c>
      <c r="E44" s="519"/>
      <c r="F44" s="506"/>
      <c r="G44" s="512" t="str">
        <f>IF((AllSat+AllSat1&gt;0),"", IF((NoPersis=1),"", IF((D44=0),"",1)))</f>
        <v/>
      </c>
      <c r="H44" s="53" t="s">
        <v>148</v>
      </c>
      <c r="I44" s="6" t="s">
        <v>2060</v>
      </c>
      <c r="J44" s="104"/>
      <c r="K44" s="154"/>
      <c r="L44" s="154"/>
    </row>
    <row r="45" spans="1:12" ht="30" customHeight="1" thickBot="1" x14ac:dyDescent="0.25">
      <c r="A45" s="2279" t="str">
        <f>F!A52</f>
        <v>F10</v>
      </c>
      <c r="B45" s="2263" t="str">
        <f>F!B52</f>
        <v>Predominant Depth Class</v>
      </c>
      <c r="C45" s="887" t="str">
        <f>F!C52</f>
        <v>During most of the time when water is present, its depth in most of the area is: [Note: This is not asking for the maximum depth.]</v>
      </c>
      <c r="D45" s="971"/>
      <c r="E45" s="448"/>
      <c r="F45" s="449"/>
      <c r="G45" s="439">
        <f xml:space="preserve"> IF((AllSat+AllSat1&gt;0),"", IF((SmallAA=1),"", MAX(F46:F50)/MAX(E46:E50)))</f>
        <v>0</v>
      </c>
      <c r="H45" s="2274" t="s">
        <v>139</v>
      </c>
      <c r="I45" s="2248" t="s">
        <v>2061</v>
      </c>
    </row>
    <row r="46" spans="1:12" ht="15" customHeight="1" x14ac:dyDescent="0.2">
      <c r="A46" s="2279"/>
      <c r="B46" s="2263"/>
      <c r="C46" s="901" t="str">
        <f>F!C53</f>
        <v>&lt;10 cm deep (but &gt;0)</v>
      </c>
      <c r="D46" s="50">
        <f>F!D53</f>
        <v>0</v>
      </c>
      <c r="E46" s="450">
        <v>0</v>
      </c>
      <c r="F46" s="450">
        <f t="shared" ref="F46:F54" si="1">D46*E46</f>
        <v>0</v>
      </c>
      <c r="G46" s="444"/>
      <c r="H46" s="2275"/>
      <c r="I46" s="2265"/>
    </row>
    <row r="47" spans="1:12" ht="15" customHeight="1" x14ac:dyDescent="0.2">
      <c r="A47" s="2279"/>
      <c r="B47" s="2263"/>
      <c r="C47" s="736" t="str">
        <f>F!C54</f>
        <v>10 - 50 cm deep</v>
      </c>
      <c r="D47" s="50">
        <f>F!D54</f>
        <v>0</v>
      </c>
      <c r="E47" s="450">
        <v>1</v>
      </c>
      <c r="F47" s="450">
        <f t="shared" si="1"/>
        <v>0</v>
      </c>
      <c r="G47" s="445"/>
      <c r="H47" s="2275"/>
      <c r="I47" s="2265"/>
    </row>
    <row r="48" spans="1:12" ht="15" customHeight="1" x14ac:dyDescent="0.2">
      <c r="A48" s="2279"/>
      <c r="B48" s="2263"/>
      <c r="C48" s="736" t="str">
        <f>F!C55</f>
        <v>0.5 - 1 m deep</v>
      </c>
      <c r="D48" s="50">
        <f>F!D55</f>
        <v>0</v>
      </c>
      <c r="E48" s="450">
        <v>2</v>
      </c>
      <c r="F48" s="450">
        <f t="shared" si="1"/>
        <v>0</v>
      </c>
      <c r="G48" s="445"/>
      <c r="H48" s="2275"/>
      <c r="I48" s="2265"/>
    </row>
    <row r="49" spans="1:9" ht="15" customHeight="1" x14ac:dyDescent="0.2">
      <c r="A49" s="2279"/>
      <c r="B49" s="2263"/>
      <c r="C49" s="736" t="str">
        <f>F!C56</f>
        <v>1 - 2 m deep</v>
      </c>
      <c r="D49" s="50">
        <f>F!D56</f>
        <v>0</v>
      </c>
      <c r="E49" s="450">
        <v>3</v>
      </c>
      <c r="F49" s="450">
        <f t="shared" si="1"/>
        <v>0</v>
      </c>
      <c r="G49" s="445"/>
      <c r="H49" s="2275"/>
      <c r="I49" s="2265"/>
    </row>
    <row r="50" spans="1:9" ht="15" customHeight="1" thickBot="1" x14ac:dyDescent="0.25">
      <c r="A50" s="2279"/>
      <c r="B50" s="2263"/>
      <c r="C50" s="790" t="str">
        <f>F!C57</f>
        <v>&gt;2 m deep.  True for many fringe wetlands.</v>
      </c>
      <c r="D50" s="775">
        <f>F!D57</f>
        <v>0</v>
      </c>
      <c r="E50" s="806">
        <v>4</v>
      </c>
      <c r="F50" s="806">
        <f t="shared" si="1"/>
        <v>0</v>
      </c>
      <c r="G50" s="791"/>
      <c r="H50" s="2276"/>
      <c r="I50" s="2266"/>
    </row>
    <row r="51" spans="1:9" ht="21" customHeight="1" thickBot="1" x14ac:dyDescent="0.25">
      <c r="A51" s="2240" t="str">
        <f>F!A58</f>
        <v>F11</v>
      </c>
      <c r="B51" s="2262" t="str">
        <f>F!B58</f>
        <v>Depth Classes - Evenness of Proportions</v>
      </c>
      <c r="C51" s="136" t="str">
        <f>F!C58</f>
        <v>When present, surface water in most of the AA usually consists of (select one):</v>
      </c>
      <c r="D51" s="1049"/>
      <c r="E51" s="802"/>
      <c r="F51" s="498"/>
      <c r="G51" s="441">
        <f>IF((AllSat+AllSat1&gt;0),"", IF((SmallAA=1),"", MAX(F52:F54)/MAX(E52:E54)))</f>
        <v>0</v>
      </c>
      <c r="H51" s="2274" t="s">
        <v>140</v>
      </c>
      <c r="I51" s="2248" t="s">
        <v>1664</v>
      </c>
    </row>
    <row r="52" spans="1:9" ht="27" customHeight="1" x14ac:dyDescent="0.2">
      <c r="A52" s="2289"/>
      <c r="B52" s="2263"/>
      <c r="C52" s="901" t="str">
        <f>F!C59</f>
        <v>One depth class that comprises &gt;90% of the AA’s inundated area (use the classes in the question above).</v>
      </c>
      <c r="D52" s="779">
        <f>F!D59</f>
        <v>0</v>
      </c>
      <c r="E52" s="803">
        <v>0</v>
      </c>
      <c r="F52" s="803">
        <f t="shared" si="1"/>
        <v>0</v>
      </c>
      <c r="G52" s="444"/>
      <c r="H52" s="2275"/>
      <c r="I52" s="2265"/>
    </row>
    <row r="53" spans="1:9" ht="15" customHeight="1" x14ac:dyDescent="0.2">
      <c r="A53" s="2289"/>
      <c r="B53" s="2263"/>
      <c r="C53" s="736" t="str">
        <f>F!C60</f>
        <v>One depth class that comprises 60-90% of the AA's inundated area.</v>
      </c>
      <c r="D53" s="779">
        <f>F!D60</f>
        <v>0</v>
      </c>
      <c r="E53" s="803">
        <v>1</v>
      </c>
      <c r="F53" s="803">
        <f t="shared" si="1"/>
        <v>0</v>
      </c>
      <c r="G53" s="445"/>
      <c r="H53" s="2275"/>
      <c r="I53" s="2265"/>
    </row>
    <row r="54" spans="1:9" ht="15" customHeight="1" thickBot="1" x14ac:dyDescent="0.25">
      <c r="A54" s="2290"/>
      <c r="B54" s="2264"/>
      <c r="C54" s="737" t="str">
        <f>F!C61</f>
        <v>Neither of above.  Multiple depth classes; none occupy more than 50% of the AA.</v>
      </c>
      <c r="D54" s="105">
        <f>F!D61</f>
        <v>0</v>
      </c>
      <c r="E54" s="453">
        <v>2</v>
      </c>
      <c r="F54" s="453">
        <f t="shared" si="1"/>
        <v>0</v>
      </c>
      <c r="G54" s="446"/>
      <c r="H54" s="2276"/>
      <c r="I54" s="2266"/>
    </row>
    <row r="55" spans="1:9" ht="45" customHeight="1" thickBot="1" x14ac:dyDescent="0.25">
      <c r="A55" s="2291" t="str">
        <f>F!A62</f>
        <v>F12</v>
      </c>
      <c r="B55" s="2262" t="str">
        <f>F!B62</f>
        <v xml:space="preserve">% of Water Ponded vs. Flowing </v>
      </c>
      <c r="C55" s="136" t="str">
        <f>F!C62</f>
        <v>The percentage of the AA's surface water that is ponded (stagnant, or flows so slowly that fine sediment is not held in suspension) during most of the time it is present, and which is either open or shaded by emergent vegetation is:</v>
      </c>
      <c r="D55" s="798"/>
      <c r="E55" s="802"/>
      <c r="F55" s="498"/>
      <c r="G55" s="432">
        <f xml:space="preserve"> IF((AllSat+AllSat1&gt;0),"", IF((SmallAA=1),"", MAX(F56:F62)/MAX(E56:E62)))</f>
        <v>0</v>
      </c>
      <c r="H55" s="2274" t="s">
        <v>138</v>
      </c>
      <c r="I55" s="2248" t="s">
        <v>2063</v>
      </c>
    </row>
    <row r="56" spans="1:9" ht="27" customHeight="1" x14ac:dyDescent="0.2">
      <c r="A56" s="2289"/>
      <c r="B56" s="2263"/>
      <c r="C56" s="901" t="str">
        <f>F!C63</f>
        <v>&lt;1% or none, or occupies &lt;0.01 hectare cumulatively.  Nearly all water is flowing.  Enter "1" and SKIP to F21 (Stained Surface Water).</v>
      </c>
      <c r="D56" s="779">
        <f>F!D63</f>
        <v>0</v>
      </c>
      <c r="E56" s="803">
        <v>1</v>
      </c>
      <c r="F56" s="803">
        <f t="shared" ref="F56:F62" si="2">D56*E56</f>
        <v>0</v>
      </c>
      <c r="G56" s="445"/>
      <c r="H56" s="2275"/>
      <c r="I56" s="2265"/>
    </row>
    <row r="57" spans="1:9" ht="15" customHeight="1" x14ac:dyDescent="0.2">
      <c r="A57" s="2289"/>
      <c r="B57" s="2263"/>
      <c r="C57" s="736" t="str">
        <f>F!C64</f>
        <v>1-5% of the water, and mainly in small pools.  The rest is flowing.</v>
      </c>
      <c r="D57" s="779">
        <f>F!D64</f>
        <v>0</v>
      </c>
      <c r="E57" s="803">
        <v>2</v>
      </c>
      <c r="F57" s="803">
        <f t="shared" si="2"/>
        <v>0</v>
      </c>
      <c r="G57" s="445"/>
      <c r="H57" s="2275"/>
      <c r="I57" s="2265"/>
    </row>
    <row r="58" spans="1:9" ht="15" customHeight="1" x14ac:dyDescent="0.2">
      <c r="A58" s="2289"/>
      <c r="B58" s="2263"/>
      <c r="C58" s="736" t="str">
        <f>F!C65</f>
        <v>1-5% of the water, and mainly in a single large pool or pond.  The rest is flowing.</v>
      </c>
      <c r="D58" s="779">
        <f>F!D65</f>
        <v>0</v>
      </c>
      <c r="E58" s="803">
        <v>3</v>
      </c>
      <c r="F58" s="803">
        <f t="shared" si="2"/>
        <v>0</v>
      </c>
      <c r="G58" s="445"/>
      <c r="H58" s="2275"/>
      <c r="I58" s="2265"/>
    </row>
    <row r="59" spans="1:9" ht="15" customHeight="1" x14ac:dyDescent="0.2">
      <c r="A59" s="2289"/>
      <c r="B59" s="2263"/>
      <c r="C59" s="736" t="str">
        <f>F!C66</f>
        <v>5-30% of the water</v>
      </c>
      <c r="D59" s="779">
        <f>F!D66</f>
        <v>0</v>
      </c>
      <c r="E59" s="803">
        <v>4</v>
      </c>
      <c r="F59" s="803">
        <f t="shared" si="2"/>
        <v>0</v>
      </c>
      <c r="G59" s="445"/>
      <c r="H59" s="2275"/>
      <c r="I59" s="2265"/>
    </row>
    <row r="60" spans="1:9" ht="15" customHeight="1" x14ac:dyDescent="0.2">
      <c r="A60" s="2289"/>
      <c r="B60" s="2263"/>
      <c r="C60" s="736" t="str">
        <f>F!C67</f>
        <v>30-70% of the water</v>
      </c>
      <c r="D60" s="779">
        <f>F!D67</f>
        <v>0</v>
      </c>
      <c r="E60" s="803">
        <v>5</v>
      </c>
      <c r="F60" s="803">
        <f t="shared" si="2"/>
        <v>0</v>
      </c>
      <c r="G60" s="445"/>
      <c r="H60" s="2275"/>
      <c r="I60" s="2265"/>
    </row>
    <row r="61" spans="1:9" ht="15" customHeight="1" x14ac:dyDescent="0.2">
      <c r="A61" s="2289"/>
      <c r="B61" s="2263"/>
      <c r="C61" s="736" t="str">
        <f>F!C68</f>
        <v>70-95% of the water</v>
      </c>
      <c r="D61" s="779">
        <f>F!D68</f>
        <v>0</v>
      </c>
      <c r="E61" s="803">
        <v>6</v>
      </c>
      <c r="F61" s="803">
        <f t="shared" si="2"/>
        <v>0</v>
      </c>
      <c r="G61" s="445"/>
      <c r="H61" s="2275"/>
      <c r="I61" s="2265"/>
    </row>
    <row r="62" spans="1:9" ht="15" customHeight="1" thickBot="1" x14ac:dyDescent="0.25">
      <c r="A62" s="2290"/>
      <c r="B62" s="2264"/>
      <c r="C62" s="737" t="str">
        <f>F!C69</f>
        <v>&gt;95% of the water.  Little or no visibly flowing water within the AA.</v>
      </c>
      <c r="D62" s="105">
        <f>F!D69</f>
        <v>0</v>
      </c>
      <c r="E62" s="453">
        <v>5</v>
      </c>
      <c r="F62" s="453">
        <f t="shared" si="2"/>
        <v>0</v>
      </c>
      <c r="G62" s="446"/>
      <c r="H62" s="2276"/>
      <c r="I62" s="2266"/>
    </row>
    <row r="63" spans="1:9" ht="40.5" customHeight="1" thickBot="1" x14ac:dyDescent="0.25">
      <c r="A63" s="2257" t="str">
        <f>F!A71</f>
        <v>F14</v>
      </c>
      <c r="B63" s="2262" t="str">
        <f>F!B71</f>
        <v xml:space="preserve">% of Ponded Water That Is Open </v>
      </c>
      <c r="C63" s="768" t="str">
        <f>F!C71</f>
        <v>In ducks-eye aerial view, the percentage of the ponded water that is open (lacking emergent vegetation during most of the growing season, and unhidden by a forest or shrub canopy) is:</v>
      </c>
      <c r="D63" s="1411"/>
      <c r="E63" s="802"/>
      <c r="F63" s="443"/>
      <c r="G63" s="441">
        <f>IF((AllSat+AllSat1&gt;0),"", IF((NoPonded=1),"", IF((SmallAA=1),"", MAX(F64:F68)/MAX(E64:E68))))</f>
        <v>0</v>
      </c>
      <c r="H63" s="2274" t="s">
        <v>1252</v>
      </c>
      <c r="I63" s="2248" t="s">
        <v>1665</v>
      </c>
    </row>
    <row r="64" spans="1:9" ht="27" customHeight="1" x14ac:dyDescent="0.2">
      <c r="A64" s="2152"/>
      <c r="B64" s="2263"/>
      <c r="C64" s="750" t="str">
        <f>F!C72</f>
        <v>&lt;1% or none, or largest pool occupies &lt;0.01 hectares.  Enter "1" and SKIP to F20 (Floating Algae &amp; Duckweed).</v>
      </c>
      <c r="D64" s="795">
        <f>F!D72</f>
        <v>0</v>
      </c>
      <c r="E64" s="803">
        <v>0</v>
      </c>
      <c r="F64" s="803">
        <f>D64*E64</f>
        <v>0</v>
      </c>
      <c r="G64" s="444"/>
      <c r="H64" s="2275"/>
      <c r="I64" s="2265"/>
    </row>
    <row r="65" spans="1:12" ht="15" customHeight="1" x14ac:dyDescent="0.2">
      <c r="A65" s="2152"/>
      <c r="B65" s="2263"/>
      <c r="C65" s="1182" t="str">
        <f>F!C73</f>
        <v>1-5% of the ponded water.  Enter "1" and SKIP to F20.</v>
      </c>
      <c r="D65" s="795">
        <f>F!D73</f>
        <v>0</v>
      </c>
      <c r="E65" s="803">
        <v>2</v>
      </c>
      <c r="F65" s="803">
        <f>D65*E65</f>
        <v>0</v>
      </c>
      <c r="G65" s="445"/>
      <c r="H65" s="2275"/>
      <c r="I65" s="2265"/>
    </row>
    <row r="66" spans="1:12" ht="15" customHeight="1" x14ac:dyDescent="0.2">
      <c r="A66" s="2152"/>
      <c r="B66" s="2263"/>
      <c r="C66" s="1182" t="str">
        <f>F!C74</f>
        <v>5-30% of the ponded water.</v>
      </c>
      <c r="D66" s="795">
        <f>F!D74</f>
        <v>0</v>
      </c>
      <c r="E66" s="803">
        <v>3</v>
      </c>
      <c r="F66" s="803">
        <f>D66*E66</f>
        <v>0</v>
      </c>
      <c r="G66" s="445"/>
      <c r="H66" s="2275"/>
      <c r="I66" s="2265"/>
    </row>
    <row r="67" spans="1:12" ht="15" customHeight="1" x14ac:dyDescent="0.2">
      <c r="A67" s="2152"/>
      <c r="B67" s="2263"/>
      <c r="C67" s="1182" t="str">
        <f>F!C75</f>
        <v>30-70% of the ponded water.</v>
      </c>
      <c r="D67" s="795">
        <f>F!D75</f>
        <v>0</v>
      </c>
      <c r="E67" s="803">
        <v>2</v>
      </c>
      <c r="F67" s="803">
        <f>D67*E67</f>
        <v>0</v>
      </c>
      <c r="G67" s="445"/>
      <c r="H67" s="2275"/>
      <c r="I67" s="2265"/>
    </row>
    <row r="68" spans="1:12" ht="15" customHeight="1" x14ac:dyDescent="0.2">
      <c r="A68" s="2152"/>
      <c r="B68" s="2263"/>
      <c r="C68" s="1182" t="str">
        <f>F!C76</f>
        <v>70-99% of the ponded water.</v>
      </c>
      <c r="D68" s="795">
        <f>F!D76</f>
        <v>0</v>
      </c>
      <c r="E68" s="803">
        <v>0</v>
      </c>
      <c r="F68" s="803">
        <f>D68*E68</f>
        <v>0</v>
      </c>
      <c r="G68" s="445"/>
      <c r="H68" s="2275"/>
      <c r="I68" s="2265"/>
    </row>
    <row r="69" spans="1:12" ht="15" customHeight="1" thickBot="1" x14ac:dyDescent="0.25">
      <c r="A69" s="2280"/>
      <c r="B69" s="2264"/>
      <c r="C69" s="1005" t="str">
        <f>F!C77</f>
        <v xml:space="preserve">100% of the ponded water. </v>
      </c>
      <c r="D69" s="126">
        <f>F!D77</f>
        <v>0</v>
      </c>
      <c r="E69" s="453"/>
      <c r="F69" s="453"/>
      <c r="G69" s="446"/>
      <c r="H69" s="2276"/>
      <c r="I69" s="2266"/>
    </row>
    <row r="70" spans="1:12" ht="45" customHeight="1" thickBot="1" x14ac:dyDescent="0.25">
      <c r="A70" s="2279" t="str">
        <f>F!A91</f>
        <v>F17</v>
      </c>
      <c r="B70" s="2263" t="str">
        <f>F!B91</f>
        <v>Non-vegetated Aquatic Cover</v>
      </c>
      <c r="C70" s="887" t="str">
        <f>F!C91</f>
        <v>Near waters that are deeper than 0.5 m, the cover for fish, aquatic invertebrates, and/or amphibians that is provided by horizontally incised banks and/or partly-submerged accumulations of wood thicker than 10 cm (NOT by living vegetation) is:</v>
      </c>
      <c r="D70" s="971"/>
      <c r="E70" s="448"/>
      <c r="F70" s="449"/>
      <c r="G70" s="439" t="str">
        <f>IF((OpenW=0),"", IF((SmallAA=1),"", MAX(F71:F73)/MAX(E71:E73)))</f>
        <v/>
      </c>
      <c r="H70" s="2275" t="s">
        <v>137</v>
      </c>
      <c r="I70" s="2248" t="s">
        <v>2062</v>
      </c>
    </row>
    <row r="71" spans="1:12" ht="15" customHeight="1" x14ac:dyDescent="0.2">
      <c r="A71" s="2279"/>
      <c r="B71" s="2263"/>
      <c r="C71" s="901" t="str">
        <f>F!C92</f>
        <v>Little or none, or all water is shallower than 0.5 m most of the year.</v>
      </c>
      <c r="D71" s="50">
        <f>F!D92</f>
        <v>0</v>
      </c>
      <c r="E71" s="450">
        <v>0</v>
      </c>
      <c r="F71" s="450">
        <f>D71*E71</f>
        <v>0</v>
      </c>
      <c r="G71" s="444"/>
      <c r="H71" s="2275"/>
      <c r="I71" s="2265"/>
    </row>
    <row r="72" spans="1:12" ht="15" customHeight="1" x14ac:dyDescent="0.2">
      <c r="A72" s="2279"/>
      <c r="B72" s="2263"/>
      <c r="C72" s="736" t="str">
        <f>F!C93</f>
        <v>Intermediate</v>
      </c>
      <c r="D72" s="50">
        <f>F!D93</f>
        <v>0</v>
      </c>
      <c r="E72" s="450">
        <v>1</v>
      </c>
      <c r="F72" s="450">
        <f>D72*E72</f>
        <v>0</v>
      </c>
      <c r="G72" s="516"/>
      <c r="H72" s="2275"/>
      <c r="I72" s="2265"/>
    </row>
    <row r="73" spans="1:12" ht="15" customHeight="1" thickBot="1" x14ac:dyDescent="0.25">
      <c r="A73" s="2279"/>
      <c r="B73" s="2263"/>
      <c r="C73" s="790" t="str">
        <f>F!C94</f>
        <v>Extensive</v>
      </c>
      <c r="D73" s="775">
        <f>F!D94</f>
        <v>0</v>
      </c>
      <c r="E73" s="806">
        <v>2</v>
      </c>
      <c r="F73" s="806">
        <f>D73*E73</f>
        <v>0</v>
      </c>
      <c r="G73" s="791"/>
      <c r="H73" s="2276"/>
      <c r="I73" s="2266"/>
    </row>
    <row r="74" spans="1:12" ht="30" customHeight="1" thickBot="1" x14ac:dyDescent="0.25">
      <c r="A74" s="2142" t="str">
        <f>F!A95</f>
        <v>F18</v>
      </c>
      <c r="B74" s="2262" t="str">
        <f>F!B95</f>
        <v>Interspersion of Robust Emergents &amp; Open Water</v>
      </c>
      <c r="C74" s="116" t="str">
        <f>F!C95</f>
        <v>During most of the growing season, the spatial pattern of tall robust herbaceous vegetation (e.g., cattail, bulrush) that has surface water beneath it is mostly:</v>
      </c>
      <c r="D74" s="798"/>
      <c r="E74" s="802"/>
      <c r="F74" s="443"/>
      <c r="G74" s="441">
        <f>IF((AllSat+AllSat1&gt;0),"", IF((NoPonded=1),"",IF((NoOpenPonded+NoOpenPonded1&gt;0),"",IF((AllOpenPond=1),"", IF((SmallAA=1),"", MAX(F75:F77)/MAX(E75:E77))))))</f>
        <v>0</v>
      </c>
      <c r="H74" s="2274" t="s">
        <v>141</v>
      </c>
      <c r="I74" s="2087" t="s">
        <v>2064</v>
      </c>
    </row>
    <row r="75" spans="1:12" ht="15" customHeight="1" x14ac:dyDescent="0.2">
      <c r="A75" s="2143"/>
      <c r="B75" s="2263"/>
      <c r="C75" s="953" t="str">
        <f>F!C96</f>
        <v>Scattered in small clumps, islands, or patches throughout the surface water area.</v>
      </c>
      <c r="D75" s="271">
        <f>F!D96</f>
        <v>0</v>
      </c>
      <c r="E75" s="448">
        <v>3</v>
      </c>
      <c r="F75" s="803">
        <f>D75*E75</f>
        <v>0</v>
      </c>
      <c r="G75" s="343"/>
      <c r="H75" s="2275"/>
      <c r="I75" s="2083"/>
    </row>
    <row r="76" spans="1:12" ht="15" customHeight="1" x14ac:dyDescent="0.2">
      <c r="A76" s="2143"/>
      <c r="B76" s="2263"/>
      <c r="C76" s="785" t="str">
        <f>F!C97</f>
        <v>Intermediate</v>
      </c>
      <c r="D76" s="771">
        <f>F!D97</f>
        <v>0</v>
      </c>
      <c r="E76" s="448">
        <v>2</v>
      </c>
      <c r="F76" s="803">
        <f>D76*E76</f>
        <v>0</v>
      </c>
      <c r="G76" s="343"/>
      <c r="H76" s="2275"/>
      <c r="I76" s="2083"/>
    </row>
    <row r="77" spans="1:12" ht="27" customHeight="1" thickBot="1" x14ac:dyDescent="0.25">
      <c r="A77" s="2144"/>
      <c r="B77" s="2264"/>
      <c r="C77" s="106" t="str">
        <f>F!C98</f>
        <v>Clumped at one or a few sides of the surface water area, or mostly surrounds a central area of open water.  Or such vegetation is absent or covers &lt;9 sq m and &lt;1% of the AA.</v>
      </c>
      <c r="D77" s="126">
        <f>F!D98</f>
        <v>0</v>
      </c>
      <c r="E77" s="517">
        <v>1</v>
      </c>
      <c r="F77" s="453">
        <f>D77*E77</f>
        <v>0</v>
      </c>
      <c r="G77" s="518"/>
      <c r="H77" s="2276"/>
      <c r="I77" s="2088"/>
    </row>
    <row r="78" spans="1:12" ht="129.75" customHeight="1" thickBot="1" x14ac:dyDescent="0.25">
      <c r="A78" s="243" t="str">
        <f>F!A101</f>
        <v>F21</v>
      </c>
      <c r="B78" s="892" t="str">
        <f>F!B101</f>
        <v>Stained Surface Water</v>
      </c>
      <c r="C78" s="883" t="str">
        <f>F!C101</f>
        <v xml:space="preserve">Most surface water is tea-colored (from tannins, not iron bacteria or silt), and/or its pH is usually &lt;5.5. Nearby vegetation is mostly moss and/or conifers. </v>
      </c>
      <c r="D78" s="534">
        <f>F!D101</f>
        <v>0</v>
      </c>
      <c r="E78" s="511"/>
      <c r="F78" s="520"/>
      <c r="G78" s="338" t="str">
        <f>IF((AllSat+AllSat1&gt;0),"",IF((SmallAA=1),"", IF((D78)=1,0,"")))</f>
        <v/>
      </c>
      <c r="H78" s="975" t="s">
        <v>161</v>
      </c>
      <c r="I78" s="875" t="s">
        <v>2065</v>
      </c>
    </row>
    <row r="79" spans="1:12" ht="45" customHeight="1" thickBot="1" x14ac:dyDescent="0.25">
      <c r="A79" s="73" t="str">
        <f>F!A102</f>
        <v>F22</v>
      </c>
      <c r="B79" s="1033" t="str">
        <f>F!B102</f>
        <v>Fish</v>
      </c>
      <c r="C79" s="768" t="str">
        <f>F!C102</f>
        <v>Fish (native or stocked) are known to be present in the AA.  Or fish can access at least part of the AA during one or more days annually.  If uncertain, use answer from Form OF, item  OF15, or enter "0".</v>
      </c>
      <c r="D79" s="297">
        <f>F!D102</f>
        <v>0</v>
      </c>
      <c r="E79" s="519"/>
      <c r="F79" s="506"/>
      <c r="G79" s="441">
        <f>D79</f>
        <v>0</v>
      </c>
      <c r="H79" s="1053" t="s">
        <v>654</v>
      </c>
      <c r="I79" s="53" t="s">
        <v>2066</v>
      </c>
    </row>
    <row r="80" spans="1:12" s="3" customFormat="1" ht="21" customHeight="1" thickBot="1" x14ac:dyDescent="0.25">
      <c r="A80" s="2143" t="str">
        <f>F!A103</f>
        <v>F23</v>
      </c>
      <c r="B80" s="2263" t="str">
        <f>F!B103</f>
        <v>Beaver Probability</v>
      </c>
      <c r="C80" s="884" t="str">
        <f>F!C103</f>
        <v>Use of the AA by beaver during the past 5 years is (select most applicable ONE):</v>
      </c>
      <c r="D80" s="971"/>
      <c r="E80" s="448"/>
      <c r="F80" s="495"/>
      <c r="G80" s="426">
        <f>MAX(F81:F84)/MAX(E81:E84)</f>
        <v>0</v>
      </c>
      <c r="H80" s="2087" t="s">
        <v>1301</v>
      </c>
      <c r="I80" s="2087" t="s">
        <v>1390</v>
      </c>
      <c r="J80" s="104"/>
      <c r="K80" s="154"/>
      <c r="L80" s="154"/>
    </row>
    <row r="81" spans="1:12" s="3" customFormat="1" ht="27" customHeight="1" x14ac:dyDescent="0.2">
      <c r="A81" s="2143"/>
      <c r="B81" s="2263"/>
      <c r="C81" s="889" t="str">
        <f>F!C104</f>
        <v>evident from direct observation or presence of gnawed limbs, dams, tracks, dens, lodges, or extensive stands of water-killed trees (snags).</v>
      </c>
      <c r="D81" s="271">
        <f>F!D104</f>
        <v>0</v>
      </c>
      <c r="E81" s="450">
        <v>5</v>
      </c>
      <c r="F81" s="450">
        <f>D81*E81</f>
        <v>0</v>
      </c>
      <c r="G81" s="343"/>
      <c r="H81" s="2083"/>
      <c r="I81" s="2083"/>
      <c r="J81" s="104"/>
      <c r="K81" s="154"/>
      <c r="L81" s="154"/>
    </row>
    <row r="82" spans="1:12" s="3" customFormat="1" ht="54" customHeight="1" x14ac:dyDescent="0.2">
      <c r="A82" s="2143"/>
      <c r="B82" s="2263"/>
      <c r="C82" s="890" t="str">
        <f>F!C105</f>
        <v>likely based on known occurrence in the region and proximity to suitable habitat, which may include: (a) a persistent freshwater wetland, pond, or lake, or a perennial low or mid-gradient (&lt;10%) channel, and (b) a corridor or multiple stands of hardwood trees and shrubs in vegetated areas near surface water.</v>
      </c>
      <c r="D82" s="117">
        <f>F!D105</f>
        <v>0</v>
      </c>
      <c r="E82" s="450">
        <v>2</v>
      </c>
      <c r="F82" s="450">
        <f>D82*E82</f>
        <v>0</v>
      </c>
      <c r="G82" s="493"/>
      <c r="H82" s="2083"/>
      <c r="I82" s="2083"/>
      <c r="J82" s="104"/>
      <c r="K82" s="154"/>
      <c r="L82" s="154"/>
    </row>
    <row r="83" spans="1:12" s="3" customFormat="1" ht="40.5" customHeight="1" x14ac:dyDescent="0.2">
      <c r="A83" s="2143"/>
      <c r="B83" s="2263"/>
      <c r="C83" s="890" t="str">
        <f>F!C106</f>
        <v>unlikely because site characteristics above are deficient, and/or this is a settled area or other area where beaver are routinely removed.  But beaver occur in this part of the region (i.e., within 25 km).</v>
      </c>
      <c r="D83" s="117">
        <f>F!D106</f>
        <v>0</v>
      </c>
      <c r="E83" s="450">
        <v>1</v>
      </c>
      <c r="F83" s="450">
        <f>D83*E83</f>
        <v>0</v>
      </c>
      <c r="G83" s="493"/>
      <c r="H83" s="2083"/>
      <c r="I83" s="2083"/>
      <c r="J83" s="104"/>
      <c r="K83" s="154"/>
      <c r="L83" s="154"/>
    </row>
    <row r="84" spans="1:12" s="3" customFormat="1" ht="15.6" customHeight="1" thickBot="1" x14ac:dyDescent="0.25">
      <c r="A84" s="2143"/>
      <c r="B84" s="2263"/>
      <c r="C84" s="891" t="str">
        <f>F!C107</f>
        <v>none.  Beaver are absent from this part of the region.</v>
      </c>
      <c r="D84" s="795">
        <f>F!D107</f>
        <v>0</v>
      </c>
      <c r="E84" s="806">
        <v>0</v>
      </c>
      <c r="F84" s="806">
        <f>D84*E84</f>
        <v>0</v>
      </c>
      <c r="G84" s="967"/>
      <c r="H84" s="2088"/>
      <c r="I84" s="2088"/>
      <c r="J84" s="104"/>
      <c r="K84" s="154"/>
      <c r="L84" s="154"/>
    </row>
    <row r="85" spans="1:12" ht="30" customHeight="1" thickBot="1" x14ac:dyDescent="0.25">
      <c r="A85" s="2240" t="str">
        <f>F!A109</f>
        <v>F25</v>
      </c>
      <c r="B85" s="2262" t="str">
        <f>F!B109</f>
        <v>Through Flow Pattern</v>
      </c>
      <c r="C85" s="136" t="str">
        <f>F!C109</f>
        <v>During its travel through the AA at the time of peak annual flow, most of the water arriving in channels [select only the ONE encountered by most of the incoming water]:</v>
      </c>
      <c r="D85" s="798"/>
      <c r="E85" s="802"/>
      <c r="F85" s="443"/>
      <c r="G85" s="441" t="str">
        <f>IF((Inflows=0),"",MAX(F86:F90)/MAX(E86:E90))</f>
        <v/>
      </c>
      <c r="H85" s="2274" t="s">
        <v>143</v>
      </c>
      <c r="I85" s="2248" t="s">
        <v>1389</v>
      </c>
    </row>
    <row r="86" spans="1:12" ht="42" customHeight="1" x14ac:dyDescent="0.2">
      <c r="A86" s="2289"/>
      <c r="B86" s="2263"/>
      <c r="C86" s="902" t="str">
        <f>F!C110</f>
        <v>Does not bump into plant stems as it travels through the AA.  Nearly all the water continues to travel in unvegetated (often incised) channels that have little contact with wetland vegetation, or through a zone of open water such as an instream pond or lake.</v>
      </c>
      <c r="D86" s="779">
        <f>F!D110</f>
        <v>0</v>
      </c>
      <c r="E86" s="803">
        <v>1</v>
      </c>
      <c r="F86" s="803">
        <f>D86*E86</f>
        <v>0</v>
      </c>
      <c r="G86" s="444"/>
      <c r="H86" s="2275"/>
      <c r="I86" s="2265"/>
    </row>
    <row r="87" spans="1:12" ht="15" customHeight="1" x14ac:dyDescent="0.2">
      <c r="A87" s="2289"/>
      <c r="B87" s="2263"/>
      <c r="C87" s="5" t="str">
        <f>F!C111</f>
        <v>bumps into herbaceous vegetation but mostly remains in fairly straight channels.</v>
      </c>
      <c r="D87" s="779">
        <f>F!D111</f>
        <v>0</v>
      </c>
      <c r="E87" s="803">
        <v>2</v>
      </c>
      <c r="F87" s="803">
        <f>D87*E87</f>
        <v>0</v>
      </c>
      <c r="G87" s="445"/>
      <c r="H87" s="2275"/>
      <c r="I87" s="2265"/>
    </row>
    <row r="88" spans="1:12" ht="27" customHeight="1" x14ac:dyDescent="0.2">
      <c r="A88" s="2289"/>
      <c r="B88" s="2263"/>
      <c r="C88" s="1042" t="str">
        <f>F!C112</f>
        <v>bumps into herbaceous vegetation and mostly spreads throughout, or is in widely  meandering, multi-branched, or braided channels.</v>
      </c>
      <c r="D88" s="779">
        <f>F!D112</f>
        <v>0</v>
      </c>
      <c r="E88" s="803">
        <v>4</v>
      </c>
      <c r="F88" s="803">
        <f>D88*E88</f>
        <v>0</v>
      </c>
      <c r="G88" s="445"/>
      <c r="H88" s="2275"/>
      <c r="I88" s="2265"/>
    </row>
    <row r="89" spans="1:12" ht="15" customHeight="1" x14ac:dyDescent="0.2">
      <c r="A89" s="2289"/>
      <c r="B89" s="2263"/>
      <c r="C89" s="1042" t="str">
        <f>F!C113</f>
        <v>bumps into tree trunks and/or shrub stems but mostly remains in fairly straight channels.</v>
      </c>
      <c r="D89" s="1041">
        <f>F!D113</f>
        <v>0</v>
      </c>
      <c r="E89" s="803">
        <v>3</v>
      </c>
      <c r="F89" s="803">
        <f>D89*E89</f>
        <v>0</v>
      </c>
      <c r="G89" s="445"/>
      <c r="H89" s="2275"/>
      <c r="I89" s="2265"/>
    </row>
    <row r="90" spans="1:12" ht="27.6" customHeight="1" thickBot="1" x14ac:dyDescent="0.25">
      <c r="A90" s="2290"/>
      <c r="B90" s="2264"/>
      <c r="C90" s="193" t="str">
        <f>F!C114</f>
        <v>bumps into tree trunks and/or shrub stems and follows a fairly indirect path from entrance to exit (meandering, multi-branched, or braided)</v>
      </c>
      <c r="D90" s="105">
        <f>F!D114</f>
        <v>0</v>
      </c>
      <c r="E90" s="453">
        <v>4</v>
      </c>
      <c r="F90" s="453">
        <f>D90*E90</f>
        <v>0</v>
      </c>
      <c r="G90" s="446"/>
      <c r="H90" s="2276"/>
      <c r="I90" s="2266"/>
    </row>
    <row r="91" spans="1:12" ht="30" customHeight="1" thickBot="1" x14ac:dyDescent="0.25">
      <c r="A91" s="2289" t="str">
        <f>F!A115</f>
        <v>F26</v>
      </c>
      <c r="B91" s="2263" t="str">
        <f>F!B115</f>
        <v>Channel Connection &amp; Outflow Duration</v>
      </c>
      <c r="C91" s="887" t="str">
        <f>F!C115</f>
        <v>The most persistent surface water connection (outlet channel or pipe, ditch, or overbank water exchange) between the AA and the closest off-site downslope water body is:</v>
      </c>
      <c r="D91" s="971"/>
      <c r="E91" s="448"/>
      <c r="F91" s="449"/>
      <c r="G91" s="439">
        <f>MAX(F92:F96)/MAX(E92:E96)</f>
        <v>0</v>
      </c>
      <c r="H91" s="2274" t="s">
        <v>142</v>
      </c>
      <c r="I91" s="2248" t="s">
        <v>1388</v>
      </c>
    </row>
    <row r="92" spans="1:12" ht="15" customHeight="1" x14ac:dyDescent="0.2">
      <c r="A92" s="2289"/>
      <c r="B92" s="2263"/>
      <c r="C92" s="901" t="str">
        <f>F!C116</f>
        <v>persistent (&gt;9 months/year, including times when frozen)</v>
      </c>
      <c r="D92" s="400">
        <f>F!D116</f>
        <v>0</v>
      </c>
      <c r="E92" s="450">
        <v>3</v>
      </c>
      <c r="F92" s="450">
        <f>D92*E92</f>
        <v>0</v>
      </c>
      <c r="G92" s="444"/>
      <c r="H92" s="2275"/>
      <c r="I92" s="2265"/>
    </row>
    <row r="93" spans="1:12" ht="25.5" customHeight="1" x14ac:dyDescent="0.2">
      <c r="A93" s="2289"/>
      <c r="B93" s="2263"/>
      <c r="C93" s="736" t="str">
        <f>F!C117</f>
        <v>seasonal (14 days to 9 months/year, not necessarily consecutive, including times when frozen)</v>
      </c>
      <c r="D93" s="50">
        <f>F!D117</f>
        <v>0</v>
      </c>
      <c r="E93" s="450">
        <v>2</v>
      </c>
      <c r="F93" s="450">
        <f>D93*E93</f>
        <v>0</v>
      </c>
      <c r="G93" s="445"/>
      <c r="H93" s="2275"/>
      <c r="I93" s="2265"/>
    </row>
    <row r="94" spans="1:12" ht="15" customHeight="1" x14ac:dyDescent="0.2">
      <c r="A94" s="2289"/>
      <c r="B94" s="2263"/>
      <c r="C94" s="736" t="str">
        <f>F!C118</f>
        <v>temporary (&lt;14 days, not necessarily consecutive -- must be unfrozen)</v>
      </c>
      <c r="D94" s="23">
        <f>F!D118</f>
        <v>0</v>
      </c>
      <c r="E94" s="450">
        <v>1</v>
      </c>
      <c r="F94" s="450">
        <f>D94*E94</f>
        <v>0</v>
      </c>
      <c r="G94" s="445"/>
      <c r="H94" s="2275"/>
      <c r="I94" s="2265"/>
    </row>
    <row r="95" spans="1:12" ht="41.25" customHeight="1" x14ac:dyDescent="0.2">
      <c r="A95" s="2289"/>
      <c r="B95" s="2263"/>
      <c r="C95" s="736" t="str">
        <f>F!C119</f>
        <v xml:space="preserve">none -- but maps show a stream or other water body that is downslope from the AA and within a distance that is less than the AA's length.  If so, mark "1" here and SKIP TO F28 (Groundwater). </v>
      </c>
      <c r="D95" s="23">
        <f>F!D119</f>
        <v>0</v>
      </c>
      <c r="E95" s="454">
        <v>0</v>
      </c>
      <c r="F95" s="450">
        <f>D95*E95</f>
        <v>0</v>
      </c>
      <c r="G95" s="791"/>
      <c r="H95" s="2275"/>
      <c r="I95" s="2265"/>
    </row>
    <row r="96" spans="1:12" ht="42.6" customHeight="1" thickBot="1" x14ac:dyDescent="0.25">
      <c r="A96" s="2289"/>
      <c r="B96" s="2263"/>
      <c r="C96" s="790" t="str">
        <f>F!C120</f>
        <v xml:space="preserve">no surface water flows out of the wetland except possibly during extreme events (&lt;once per 10 years). Or, water flows only into a wetland, ditch, or lake that lacks an outlet.  If so, mark "1" here and SKIP TO F28 (Groundwater). </v>
      </c>
      <c r="D96" s="775">
        <f>F!D120</f>
        <v>0</v>
      </c>
      <c r="E96" s="810">
        <v>0</v>
      </c>
      <c r="F96" s="806">
        <f>D96*E96</f>
        <v>0</v>
      </c>
      <c r="G96" s="791"/>
      <c r="H96" s="2276"/>
      <c r="I96" s="2266"/>
    </row>
    <row r="97" spans="1:12" s="3" customFormat="1" ht="21" customHeight="1" thickBot="1" x14ac:dyDescent="0.25">
      <c r="A97" s="2142" t="str">
        <f>F!A125</f>
        <v>F28</v>
      </c>
      <c r="B97" s="2262" t="str">
        <f>F!B125</f>
        <v>Groundwater: Strength of Evidence</v>
      </c>
      <c r="C97" s="768" t="str">
        <f>F!C125</f>
        <v xml:space="preserve">Select first applicable choice. </v>
      </c>
      <c r="D97" s="798"/>
      <c r="E97" s="802"/>
      <c r="F97" s="498"/>
      <c r="G97" s="432">
        <f>MAX(F98:F100)/MAX(E98:E100)</f>
        <v>0</v>
      </c>
      <c r="H97" s="2087" t="s">
        <v>147</v>
      </c>
      <c r="I97" s="2087" t="s">
        <v>1387</v>
      </c>
      <c r="J97" s="104"/>
      <c r="K97" s="154"/>
      <c r="L97" s="154"/>
    </row>
    <row r="98" spans="1:12" s="3" customFormat="1" ht="42" customHeight="1" x14ac:dyDescent="0.2">
      <c r="A98" s="2143"/>
      <c r="B98" s="2263"/>
      <c r="C98" s="889" t="str">
        <f>F!C126</f>
        <v xml:space="preserve">Groundwater monitoring has demonstrated that groundwater primarily discharges to the wetland for longer periods during the year than periods when the wetland recharges the groundwater.  Or, springs are known to be present within the AA.
</v>
      </c>
      <c r="D98" s="271">
        <f>F!D126</f>
        <v>0</v>
      </c>
      <c r="E98" s="803">
        <v>2</v>
      </c>
      <c r="F98" s="803">
        <f>D98*E98</f>
        <v>0</v>
      </c>
      <c r="G98" s="343"/>
      <c r="H98" s="2083"/>
      <c r="I98" s="2083"/>
      <c r="J98" s="104"/>
      <c r="K98" s="154"/>
      <c r="L98" s="154"/>
    </row>
    <row r="99" spans="1:12" s="3" customFormat="1" ht="111" customHeight="1" x14ac:dyDescent="0.2">
      <c r="A99" s="2143"/>
      <c r="B99" s="2263"/>
      <c r="C99" s="890"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99" s="771">
        <f>F!D127</f>
        <v>0</v>
      </c>
      <c r="E99" s="803">
        <v>1</v>
      </c>
      <c r="F99" s="803">
        <f>D99*E99</f>
        <v>0</v>
      </c>
      <c r="G99" s="343"/>
      <c r="H99" s="2083"/>
      <c r="I99" s="2083"/>
      <c r="J99" s="104"/>
      <c r="K99" s="154"/>
      <c r="L99" s="154"/>
    </row>
    <row r="100" spans="1:12" s="3" customFormat="1" ht="27.6" customHeight="1" thickBot="1" x14ac:dyDescent="0.25">
      <c r="A100" s="2144"/>
      <c r="B100" s="2264"/>
      <c r="C100" s="1005" t="str">
        <f>F!C128</f>
        <v>Neither of above is true, although some groundwater may discharge to or flow through the AA.  Or groundwater influx is unknown.</v>
      </c>
      <c r="D100" s="126">
        <f>F!D128</f>
        <v>0</v>
      </c>
      <c r="E100" s="453">
        <v>0</v>
      </c>
      <c r="F100" s="453">
        <f>D100*E100</f>
        <v>0</v>
      </c>
      <c r="G100" s="518"/>
      <c r="H100" s="2088"/>
      <c r="I100" s="2088"/>
      <c r="J100" s="104"/>
      <c r="K100" s="154"/>
      <c r="L100" s="154"/>
    </row>
    <row r="101" spans="1:12" ht="44.25" customHeight="1" thickBot="1" x14ac:dyDescent="0.25">
      <c r="A101" s="2143" t="str">
        <f>F!A249</f>
        <v>F52</v>
      </c>
      <c r="B101" s="2263" t="str">
        <f>F!B249</f>
        <v>Natural Cover in Buffer</v>
      </c>
      <c r="C101" s="887" t="str">
        <f>F!C249</f>
        <v>Along the wetland-upland edge and extending 30 m upslope, the percentage of the upland that contains natural (not necessarily native -- see column E) land cover taller than 10 cm is:</v>
      </c>
      <c r="D101" s="971"/>
      <c r="E101" s="448"/>
      <c r="F101" s="449"/>
      <c r="G101" s="426">
        <f>MAX(F102:F106)/MAX(E102:E106)</f>
        <v>0</v>
      </c>
      <c r="H101" s="2274" t="s">
        <v>144</v>
      </c>
      <c r="I101" s="2248" t="s">
        <v>334</v>
      </c>
    </row>
    <row r="102" spans="1:12" ht="15" customHeight="1" x14ac:dyDescent="0.2">
      <c r="A102" s="2120"/>
      <c r="B102" s="2281"/>
      <c r="C102" s="901" t="str">
        <f>F!C250</f>
        <v xml:space="preserve">&lt;5% </v>
      </c>
      <c r="D102" s="50">
        <f>F!D250</f>
        <v>0</v>
      </c>
      <c r="E102" s="450">
        <v>0</v>
      </c>
      <c r="F102" s="450">
        <f>D102*E102</f>
        <v>0</v>
      </c>
      <c r="G102" s="444"/>
      <c r="H102" s="2275"/>
      <c r="I102" s="2265"/>
    </row>
    <row r="103" spans="1:12" ht="15" customHeight="1" x14ac:dyDescent="0.2">
      <c r="A103" s="2120"/>
      <c r="B103" s="2281"/>
      <c r="C103" s="736" t="str">
        <f>F!C251</f>
        <v>5 to 30%</v>
      </c>
      <c r="D103" s="50">
        <f>F!D251</f>
        <v>0</v>
      </c>
      <c r="E103" s="450">
        <v>2</v>
      </c>
      <c r="F103" s="450">
        <f>D103*E103</f>
        <v>0</v>
      </c>
      <c r="G103" s="445"/>
      <c r="H103" s="2275"/>
      <c r="I103" s="2265"/>
    </row>
    <row r="104" spans="1:12" ht="15" customHeight="1" x14ac:dyDescent="0.2">
      <c r="A104" s="2120"/>
      <c r="B104" s="2281"/>
      <c r="C104" s="736" t="str">
        <f>F!C252</f>
        <v>30 to 60%</v>
      </c>
      <c r="D104" s="50">
        <f>F!D252</f>
        <v>0</v>
      </c>
      <c r="E104" s="450">
        <v>3</v>
      </c>
      <c r="F104" s="450">
        <f>D104*E104</f>
        <v>0</v>
      </c>
      <c r="G104" s="445"/>
      <c r="H104" s="2275"/>
      <c r="I104" s="2265"/>
    </row>
    <row r="105" spans="1:12" ht="15" customHeight="1" x14ac:dyDescent="0.2">
      <c r="A105" s="2120"/>
      <c r="B105" s="2281"/>
      <c r="C105" s="736" t="str">
        <f>F!C253</f>
        <v>60 to 90%</v>
      </c>
      <c r="D105" s="50">
        <f>F!D253</f>
        <v>0</v>
      </c>
      <c r="E105" s="450">
        <v>4</v>
      </c>
      <c r="F105" s="450">
        <f>D105*E105</f>
        <v>0</v>
      </c>
      <c r="G105" s="445"/>
      <c r="H105" s="2275"/>
      <c r="I105" s="2265"/>
    </row>
    <row r="106" spans="1:12" ht="15" customHeight="1" thickBot="1" x14ac:dyDescent="0.25">
      <c r="A106" s="2120"/>
      <c r="B106" s="2281"/>
      <c r="C106" s="790" t="str">
        <f>F!C254</f>
        <v>&gt;90%.  SKIP to F54 (Cliffs).</v>
      </c>
      <c r="D106" s="775">
        <f>F!D254</f>
        <v>0</v>
      </c>
      <c r="E106" s="806">
        <v>6</v>
      </c>
      <c r="F106" s="806">
        <f>D106*E106</f>
        <v>0</v>
      </c>
      <c r="G106" s="791"/>
      <c r="H106" s="2276"/>
      <c r="I106" s="2266"/>
    </row>
    <row r="107" spans="1:12" ht="30" customHeight="1" thickBot="1" x14ac:dyDescent="0.25">
      <c r="A107" s="2119" t="str">
        <f>F!A307</f>
        <v>F65</v>
      </c>
      <c r="B107" s="2262" t="str">
        <f>F!B307</f>
        <v xml:space="preserve">Salinity, Alkalinity, Conductance </v>
      </c>
      <c r="C107" s="99" t="str">
        <f>F!C307</f>
        <v>Based on measurement from a surface water area larger than .01 hectare, the AA's surface water is mostly:</v>
      </c>
      <c r="D107" s="798"/>
      <c r="E107" s="802"/>
      <c r="F107" s="802"/>
      <c r="G107" s="432" t="str">
        <f>IF((D111=1),"", IF((D108=1),0,""))</f>
        <v/>
      </c>
      <c r="H107" s="2274" t="s">
        <v>1144</v>
      </c>
      <c r="I107" s="2292" t="s">
        <v>1666</v>
      </c>
    </row>
    <row r="108" spans="1:12" ht="42" customHeight="1" x14ac:dyDescent="0.2">
      <c r="A108" s="2120"/>
      <c r="B108" s="2263"/>
      <c r="C108" s="837" t="str">
        <f>F!C308</f>
        <v>Brackish or saline (conductance of &gt;25 mS/cm, or &gt;5000 ppm TDS). Or plants that indicate saline conditions comprise &gt;20% of ground cover.  Trees and shrubs mostly absent.  Salt crust obvious around the perimeter and on flats.</v>
      </c>
      <c r="D108" s="779">
        <f>F!D308</f>
        <v>0</v>
      </c>
      <c r="E108" s="803">
        <v>0</v>
      </c>
      <c r="F108" s="806"/>
      <c r="G108" s="445"/>
      <c r="H108" s="2275"/>
      <c r="I108" s="2293"/>
    </row>
    <row r="109" spans="1:12" ht="42" customHeight="1" x14ac:dyDescent="0.2">
      <c r="A109" s="2120"/>
      <c r="B109" s="2263"/>
      <c r="C109" s="758" t="str">
        <f>F!C309</f>
        <v>Slightly brackish (conductance of 2.5- 25 mS/cm, or 500 - 5000 ppm TDS).  Or plants that indicate saline conditions comprise 1-20% of ground cover.  Salt crust may or may not be present along perimeter.</v>
      </c>
      <c r="D109" s="779">
        <f>F!D309</f>
        <v>0</v>
      </c>
      <c r="E109" s="803">
        <v>1</v>
      </c>
      <c r="F109" s="806"/>
      <c r="G109" s="445"/>
      <c r="H109" s="2275"/>
      <c r="I109" s="2293"/>
    </row>
    <row r="110" spans="1:12" ht="27" customHeight="1" x14ac:dyDescent="0.2">
      <c r="A110" s="2120"/>
      <c r="B110" s="2263"/>
      <c r="C110" s="758" t="str">
        <f>F!C310</f>
        <v>Fresh (conductance of &lt; 2.5 mS/cm, or &lt;500 ppm TDS). Plants that indicate saline conditions are sparse or absent. No salt crust along perimeter.</v>
      </c>
      <c r="D110" s="779">
        <f>F!D310</f>
        <v>0</v>
      </c>
      <c r="E110" s="803">
        <v>2</v>
      </c>
      <c r="F110" s="806"/>
      <c r="G110" s="445"/>
      <c r="H110" s="2275"/>
      <c r="I110" s="2293"/>
    </row>
    <row r="111" spans="1:12" ht="27" customHeight="1" thickBot="1" x14ac:dyDescent="0.25">
      <c r="A111" s="2121"/>
      <c r="B111" s="2264"/>
      <c r="C111" s="754" t="str">
        <f>F!C311</f>
        <v xml:space="preserve">Unknown condition (was not measured because surface water absent or insufficient, or measurement conflicted with plant indicators). </v>
      </c>
      <c r="D111" s="105">
        <f>F!D311</f>
        <v>0</v>
      </c>
      <c r="E111" s="453"/>
      <c r="F111" s="453"/>
      <c r="G111" s="446"/>
      <c r="H111" s="2276"/>
      <c r="I111" s="2294"/>
    </row>
    <row r="112" spans="1:12" ht="30" customHeight="1" thickBot="1" x14ac:dyDescent="0.25">
      <c r="A112" s="2143" t="str">
        <f>F!A312</f>
        <v>F66</v>
      </c>
      <c r="B112" s="2263" t="str">
        <f>F!B312</f>
        <v>Water Quality Problem Area Located Upslope</v>
      </c>
      <c r="C112" s="53" t="str">
        <f>F!C312</f>
        <v>Sampling indicates problems with the quality of surface waters or sediment within the AA, or within 5 km upstream or upslope, as caused by (enter 1 for ALL that apply):</v>
      </c>
      <c r="D112" s="511"/>
      <c r="E112" s="508"/>
      <c r="F112" s="520"/>
      <c r="G112" s="1050">
        <f>IF((D117=1),"",1-MAX(D113:D116))</f>
        <v>1</v>
      </c>
      <c r="H112" s="2274" t="s">
        <v>1145</v>
      </c>
      <c r="I112" s="2087" t="s">
        <v>2067</v>
      </c>
    </row>
    <row r="113" spans="1:12" ht="42" customHeight="1" x14ac:dyDescent="0.2">
      <c r="A113" s="2143"/>
      <c r="B113" s="2263"/>
      <c r="C113" s="1383" t="str">
        <f>F!C313</f>
        <v>nutrients (phosphorus, nitrate, ammonia), or a water body within 5 km that contributes to the AA has been labeled "hyper-eutrophic" based on excessive levels of either total phosphorus or chlorophyll-a.</v>
      </c>
      <c r="D113" s="117">
        <f>F!D313</f>
        <v>0</v>
      </c>
      <c r="E113" s="451"/>
      <c r="F113" s="451"/>
      <c r="G113" s="520"/>
      <c r="H113" s="2275"/>
      <c r="I113" s="2083"/>
    </row>
    <row r="114" spans="1:12" ht="15" customHeight="1" x14ac:dyDescent="0.2">
      <c r="A114" s="2143"/>
      <c r="B114" s="2263"/>
      <c r="C114" s="890" t="str">
        <f>F!C314</f>
        <v>suspended sediment or turbidity</v>
      </c>
      <c r="D114" s="117">
        <f>F!D314</f>
        <v>0</v>
      </c>
      <c r="E114" s="451"/>
      <c r="F114" s="451"/>
      <c r="G114" s="970"/>
      <c r="H114" s="2275"/>
      <c r="I114" s="2083"/>
    </row>
    <row r="115" spans="1:12" ht="15" customHeight="1" x14ac:dyDescent="0.2">
      <c r="A115" s="2143"/>
      <c r="B115" s="2263"/>
      <c r="C115" s="890" t="str">
        <f>F!C315</f>
        <v>metals (mercury, lead, zinc, copper, cadmium, others)</v>
      </c>
      <c r="D115" s="117">
        <f>F!D315</f>
        <v>0</v>
      </c>
      <c r="E115" s="451"/>
      <c r="F115" s="451"/>
      <c r="G115" s="970"/>
      <c r="H115" s="2275"/>
      <c r="I115" s="2083"/>
    </row>
    <row r="116" spans="1:12" ht="15" customHeight="1" x14ac:dyDescent="0.2">
      <c r="A116" s="2143"/>
      <c r="B116" s="2263"/>
      <c r="C116" s="890" t="str">
        <f>F!C316</f>
        <v>petrochemicals (pesticides, herbicides, PCBs, others)</v>
      </c>
      <c r="D116" s="117">
        <f>F!D316</f>
        <v>0</v>
      </c>
      <c r="E116" s="451"/>
      <c r="F116" s="451"/>
      <c r="G116" s="970"/>
      <c r="H116" s="2275"/>
      <c r="I116" s="2083"/>
    </row>
    <row r="117" spans="1:12" ht="15" customHeight="1" thickBot="1" x14ac:dyDescent="0.25">
      <c r="A117" s="2143"/>
      <c r="B117" s="2263"/>
      <c r="C117" s="891" t="str">
        <f>F!C317</f>
        <v xml:space="preserve">None of above, or no data. </v>
      </c>
      <c r="D117" s="795">
        <f>F!D317</f>
        <v>0</v>
      </c>
      <c r="E117" s="806"/>
      <c r="F117" s="806"/>
      <c r="G117" s="970"/>
      <c r="H117" s="2276"/>
      <c r="I117" s="2088"/>
    </row>
    <row r="118" spans="1:12" ht="84" customHeight="1" thickBot="1" x14ac:dyDescent="0.25">
      <c r="A118" s="2277" t="str">
        <f>F!A328</f>
        <v>F69</v>
      </c>
      <c r="B118" s="2277" t="str">
        <f>F!B328</f>
        <v>Plants or Animals of Conservation Concern</v>
      </c>
      <c r="C118" s="1296" t="str">
        <f>F!C328</f>
        <v xml:space="preserve">If required, survey the AA for plant or animal species believed to be of conservation concern in Alberta (see list on Form F in Appendix A of Manual).  Do so at appropriate times of the year, especially if the data review conducted during the office phase of this assessment indicated their past presence in the general vicinity.  If you do detect these species or have reliable knowledge of their recent (within ~5 years) occurrence within the AA, indicate that below.  </v>
      </c>
      <c r="D118" s="792"/>
      <c r="E118" s="792"/>
      <c r="F118" s="1148"/>
      <c r="G118" s="1456"/>
      <c r="H118" s="2139" t="s">
        <v>2241</v>
      </c>
      <c r="I118" s="2087" t="s">
        <v>2243</v>
      </c>
    </row>
    <row r="119" spans="1:12" ht="15" customHeight="1" thickBot="1" x14ac:dyDescent="0.25">
      <c r="A119" s="2278"/>
      <c r="B119" s="2278"/>
      <c r="C119" s="1300" t="str">
        <f>F!C330</f>
        <v>One or more of the rare fish species was detected within the AA.</v>
      </c>
      <c r="D119" s="1468">
        <f>F!D330</f>
        <v>0</v>
      </c>
      <c r="E119" s="1463"/>
      <c r="F119" s="1465"/>
      <c r="G119" s="1469" t="str">
        <f>IF((D119=1),1,"")</f>
        <v/>
      </c>
      <c r="H119" s="2141"/>
      <c r="I119" s="2088"/>
    </row>
    <row r="120" spans="1:12" ht="60" customHeight="1" thickBot="1" x14ac:dyDescent="0.25">
      <c r="A120" s="1028" t="str">
        <f>S!A3</f>
        <v>S5</v>
      </c>
      <c r="B120" s="1035" t="str">
        <f>S!B3</f>
        <v>Altered Timing of Water Inputs</v>
      </c>
      <c r="C120" s="1032" t="str">
        <f>S!E17</f>
        <v>Stressor Subscore=</v>
      </c>
      <c r="D120" s="521">
        <f>S!F17</f>
        <v>0</v>
      </c>
      <c r="E120" s="505"/>
      <c r="F120" s="506"/>
      <c r="G120" s="512">
        <f>IF((AllSat+AllSat1&gt;0),"",1-(D120/5))</f>
        <v>1</v>
      </c>
      <c r="H120" s="1053" t="s">
        <v>145</v>
      </c>
      <c r="I120" s="6" t="s">
        <v>2068</v>
      </c>
    </row>
    <row r="121" spans="1:12" ht="45" customHeight="1" thickBot="1" x14ac:dyDescent="0.25">
      <c r="A121" s="1029" t="str">
        <f>S!A18</f>
        <v>S6</v>
      </c>
      <c r="B121" s="1035" t="str">
        <f>S!B18</f>
        <v>Accelerated Inputs of Contaminants and/or Salts</v>
      </c>
      <c r="C121" s="1032"/>
      <c r="D121" s="521">
        <f>S!D18</f>
        <v>0</v>
      </c>
      <c r="E121" s="505"/>
      <c r="F121" s="506"/>
      <c r="G121" s="512">
        <f>1-D121</f>
        <v>1</v>
      </c>
      <c r="H121" s="1053" t="s">
        <v>1143</v>
      </c>
      <c r="I121" s="6" t="s">
        <v>1667</v>
      </c>
    </row>
    <row r="122" spans="1:12" ht="21" customHeight="1" thickBot="1" x14ac:dyDescent="0.25">
      <c r="A122" s="1572"/>
      <c r="B122" s="1572"/>
      <c r="C122" s="1572"/>
      <c r="D122" s="1570"/>
      <c r="E122" s="1570"/>
      <c r="F122" s="1570"/>
      <c r="G122" s="1570"/>
      <c r="H122" s="836"/>
      <c r="I122" s="836"/>
    </row>
    <row r="123" spans="1:12" s="39" customFormat="1" ht="21" customHeight="1" thickBot="1" x14ac:dyDescent="0.25">
      <c r="A123" s="191"/>
      <c r="B123" s="191"/>
      <c r="C123" s="833" t="s">
        <v>1146</v>
      </c>
      <c r="D123" s="1571"/>
      <c r="E123" s="1571"/>
      <c r="F123" s="1571"/>
      <c r="G123" s="1571"/>
      <c r="H123" s="8"/>
      <c r="I123" s="8"/>
      <c r="J123" s="154"/>
      <c r="K123" s="7"/>
      <c r="L123" s="7"/>
    </row>
    <row r="124" spans="1:12" s="39" customFormat="1" ht="30" customHeight="1" thickBot="1" x14ac:dyDescent="0.25">
      <c r="A124" s="191"/>
      <c r="B124" s="191"/>
      <c r="C124" s="107" t="s">
        <v>1961</v>
      </c>
      <c r="D124" s="420"/>
      <c r="E124" s="420"/>
      <c r="F124" s="420"/>
      <c r="G124" s="530">
        <f>IFERROR(AVERAGE(GrowDD, Spring, Groundw10, Wettype10, Lake10, MAX(FishPres, Fish10), Fringe10, Salin10, Beaver10, AcidicPool10),"")</f>
        <v>0</v>
      </c>
      <c r="H124" s="8"/>
      <c r="I124" s="8"/>
      <c r="J124" s="168"/>
      <c r="K124" s="154"/>
      <c r="L124" s="7"/>
    </row>
    <row r="125" spans="1:12" s="39" customFormat="1" ht="21" customHeight="1" thickBot="1" x14ac:dyDescent="0.25">
      <c r="A125" s="191"/>
      <c r="B125" s="191"/>
      <c r="D125" s="1437"/>
      <c r="E125" s="1437"/>
      <c r="F125" s="1437"/>
      <c r="G125" s="1437"/>
      <c r="H125" s="8"/>
      <c r="I125" s="8"/>
      <c r="J125" s="154"/>
      <c r="K125" s="7"/>
      <c r="L125" s="7"/>
    </row>
    <row r="126" spans="1:12" s="39" customFormat="1" ht="21" customHeight="1" thickBot="1" x14ac:dyDescent="0.25">
      <c r="A126" s="191"/>
      <c r="B126" s="191"/>
      <c r="C126" s="833" t="s">
        <v>1147</v>
      </c>
      <c r="D126" s="734"/>
      <c r="E126" s="734"/>
      <c r="F126" s="734"/>
      <c r="G126" s="734"/>
      <c r="H126" s="8"/>
      <c r="I126" s="8"/>
      <c r="J126" s="154"/>
      <c r="K126" s="7"/>
      <c r="L126" s="7"/>
    </row>
    <row r="127" spans="1:12" s="39" customFormat="1" ht="21" customHeight="1" thickBot="1" x14ac:dyDescent="0.25">
      <c r="A127" s="191"/>
      <c r="B127" s="191"/>
      <c r="C127" s="107" t="s">
        <v>1962</v>
      </c>
      <c r="D127" s="420"/>
      <c r="E127" s="420"/>
      <c r="F127" s="1054"/>
      <c r="G127" s="530">
        <f>IFERROR(AVERAGE(WatProb, OutDura10, PermWpct10, SatPct10),"")</f>
        <v>0</v>
      </c>
      <c r="H127" s="8"/>
      <c r="I127" s="8"/>
      <c r="J127" s="154"/>
      <c r="K127" s="7"/>
      <c r="L127" s="7"/>
    </row>
    <row r="128" spans="1:12" s="39" customFormat="1" ht="21" customHeight="1" thickBot="1" x14ac:dyDescent="0.25">
      <c r="A128" s="191"/>
      <c r="B128" s="191"/>
      <c r="D128" s="1437"/>
      <c r="E128" s="1437"/>
      <c r="F128" s="1437"/>
      <c r="G128" s="1437"/>
      <c r="H128" s="8"/>
      <c r="I128" s="8"/>
      <c r="J128" s="154"/>
      <c r="K128" s="7"/>
      <c r="L128" s="7"/>
    </row>
    <row r="129" spans="1:12" s="39" customFormat="1" ht="21" customHeight="1" thickBot="1" x14ac:dyDescent="0.25">
      <c r="A129" s="191"/>
      <c r="B129" s="191"/>
      <c r="C129" s="833" t="s">
        <v>1148</v>
      </c>
      <c r="D129" s="734"/>
      <c r="E129" s="734"/>
      <c r="F129" s="734"/>
      <c r="G129" s="734"/>
      <c r="H129" s="8"/>
      <c r="I129" s="8"/>
      <c r="J129" s="154"/>
      <c r="K129" s="7"/>
      <c r="L129" s="7"/>
    </row>
    <row r="130" spans="1:12" s="39" customFormat="1" ht="27.75" customHeight="1" thickBot="1" x14ac:dyDescent="0.25">
      <c r="A130" s="2295"/>
      <c r="B130" s="880" t="s">
        <v>1115</v>
      </c>
      <c r="C130" s="902" t="s">
        <v>2205</v>
      </c>
      <c r="D130" s="325"/>
      <c r="E130" s="325"/>
      <c r="F130" s="325"/>
      <c r="G130" s="530">
        <f>IF((GT10HA=1),G131, IFERROR(IF((AllSat+AllSat&gt;0),"",IF((SmallAA=1),"",AVERAGE(Interspers10, ThruFlo10, Depth10, DepthEven10, Shade10, WoodAbove10 ))),""))</f>
        <v>0</v>
      </c>
      <c r="H130" s="8"/>
      <c r="I130" s="8"/>
      <c r="J130" s="154"/>
      <c r="K130" s="7"/>
      <c r="L130" s="7"/>
    </row>
    <row r="131" spans="1:12" s="39" customFormat="1" ht="30" customHeight="1" thickBot="1" x14ac:dyDescent="0.25">
      <c r="A131" s="2295"/>
      <c r="B131" s="881" t="s">
        <v>1116</v>
      </c>
      <c r="C131" s="193" t="s">
        <v>1952</v>
      </c>
      <c r="D131" s="327"/>
      <c r="E131" s="327"/>
      <c r="F131" s="327"/>
      <c r="G131" s="781">
        <f>IFERROR(IF((AllSat+AllSat&gt;0),"",IF((SmallAA=1),"",AVERAGE(MixWaterVeg, ThruFlo10, Depth10, DepthEven10, Shade10, WoodAbove10 ))),"")</f>
        <v>0</v>
      </c>
      <c r="H131" s="8"/>
      <c r="I131" s="8"/>
      <c r="J131" s="154"/>
      <c r="K131" s="7"/>
      <c r="L131" s="7"/>
    </row>
    <row r="132" spans="1:12" s="44" customFormat="1" ht="21" customHeight="1" thickBot="1" x14ac:dyDescent="0.25">
      <c r="A132" s="1449"/>
      <c r="B132" s="1449"/>
      <c r="C132" s="154"/>
      <c r="D132" s="1439"/>
      <c r="E132" s="1439"/>
      <c r="F132" s="1439"/>
      <c r="G132" s="1439"/>
      <c r="H132" s="8"/>
      <c r="I132" s="8"/>
      <c r="J132" s="154"/>
      <c r="K132" s="8"/>
      <c r="L132" s="8"/>
    </row>
    <row r="133" spans="1:12" s="39" customFormat="1" ht="21" customHeight="1" thickBot="1" x14ac:dyDescent="0.25">
      <c r="A133" s="1449"/>
      <c r="B133" s="1449"/>
      <c r="C133" s="833" t="s">
        <v>1315</v>
      </c>
      <c r="D133" s="1440"/>
      <c r="E133" s="1440"/>
      <c r="F133" s="1440"/>
      <c r="G133" s="1440"/>
      <c r="H133" s="8"/>
      <c r="I133" s="8"/>
      <c r="J133" s="154"/>
      <c r="K133" s="7"/>
      <c r="L133" s="7"/>
    </row>
    <row r="134" spans="1:12" s="39" customFormat="1" ht="27" customHeight="1" thickBot="1" x14ac:dyDescent="0.25">
      <c r="A134" s="2295"/>
      <c r="B134" s="880" t="s">
        <v>1115</v>
      </c>
      <c r="C134" s="902" t="s">
        <v>1964</v>
      </c>
      <c r="D134" s="325"/>
      <c r="E134" s="325"/>
      <c r="F134" s="325"/>
      <c r="G134" s="530">
        <f>IF((GT10HA=1),G135, IFERROR(AVERAGE(Sub0Days, WetArea, OutDura10, RipFloodpl, Depth10, ISOdry10, OWpct10),""))</f>
        <v>0</v>
      </c>
      <c r="H134" s="8"/>
      <c r="I134" s="8"/>
      <c r="J134" s="154"/>
      <c r="K134" s="7"/>
      <c r="L134" s="7"/>
    </row>
    <row r="135" spans="1:12" s="39" customFormat="1" ht="30.75" customHeight="1" thickBot="1" x14ac:dyDescent="0.25">
      <c r="A135" s="2295"/>
      <c r="B135" s="881" t="s">
        <v>1116</v>
      </c>
      <c r="C135" s="193" t="s">
        <v>1963</v>
      </c>
      <c r="D135" s="327"/>
      <c r="E135" s="327"/>
      <c r="F135" s="327"/>
      <c r="G135" s="781">
        <f>IFERROR(AVERAGE(Sub0Days, WetArea,  OutDura10, RipFloodpl, Depth10, ISOdry10, OWpct),"")</f>
        <v>0</v>
      </c>
      <c r="H135" s="8"/>
      <c r="I135" s="8"/>
      <c r="J135" s="154"/>
      <c r="K135" s="7"/>
      <c r="L135" s="7"/>
    </row>
    <row r="136" spans="1:12" s="44" customFormat="1" ht="21" customHeight="1" thickBot="1" x14ac:dyDescent="0.25">
      <c r="A136" s="1449"/>
      <c r="B136" s="1449"/>
      <c r="C136" s="154"/>
      <c r="D136" s="1439"/>
      <c r="E136" s="1439"/>
      <c r="F136" s="1439"/>
      <c r="G136" s="1439"/>
      <c r="H136" s="8"/>
      <c r="I136" s="8"/>
      <c r="J136" s="154"/>
      <c r="K136" s="8"/>
      <c r="L136" s="8"/>
    </row>
    <row r="137" spans="1:12" s="39" customFormat="1" ht="21" customHeight="1" thickBot="1" x14ac:dyDescent="0.25">
      <c r="A137" s="1449"/>
      <c r="B137" s="1449"/>
      <c r="C137" s="833" t="s">
        <v>1316</v>
      </c>
      <c r="D137" s="1440"/>
      <c r="E137" s="1440"/>
      <c r="F137" s="1440"/>
      <c r="G137" s="1440"/>
      <c r="H137" s="8"/>
      <c r="I137" s="8"/>
      <c r="J137" s="154"/>
      <c r="K137" s="7"/>
      <c r="L137" s="7"/>
    </row>
    <row r="138" spans="1:12" s="39" customFormat="1" ht="30" customHeight="1" thickBot="1" x14ac:dyDescent="0.25">
      <c r="A138" s="1449"/>
      <c r="B138" s="1449"/>
      <c r="C138" s="107" t="s">
        <v>1419</v>
      </c>
      <c r="D138" s="420"/>
      <c r="E138" s="420"/>
      <c r="F138" s="420"/>
      <c r="G138" s="530">
        <f>IFERROR(AVERAGE(Dist2Road,1-RdDens1k,PerimNatCov,1-WQrisk, Toxic10, WQprob10, AltTime10, NatVegCUpct10),"")</f>
        <v>0.83333333333333337</v>
      </c>
      <c r="H138" s="8"/>
      <c r="I138" s="8"/>
      <c r="J138" s="154"/>
      <c r="K138" s="7"/>
      <c r="L138" s="7"/>
    </row>
    <row r="139" spans="1:12" s="39" customFormat="1" ht="21" customHeight="1" thickBot="1" x14ac:dyDescent="0.25">
      <c r="A139" s="1449"/>
      <c r="B139" s="1449"/>
      <c r="D139" s="1437"/>
      <c r="E139" s="1437"/>
      <c r="F139" s="1437"/>
      <c r="G139" s="1437"/>
      <c r="H139" s="8"/>
      <c r="I139" s="8"/>
      <c r="J139" s="154"/>
      <c r="K139" s="7"/>
      <c r="L139" s="7"/>
    </row>
    <row r="140" spans="1:12" s="39" customFormat="1" ht="21" customHeight="1" thickBot="1" x14ac:dyDescent="0.25">
      <c r="A140" s="1449"/>
      <c r="B140" s="1449"/>
      <c r="C140" s="835" t="s">
        <v>1339</v>
      </c>
      <c r="H140" s="8"/>
      <c r="I140" s="8"/>
      <c r="J140" s="154"/>
      <c r="K140" s="7"/>
      <c r="L140" s="7"/>
    </row>
    <row r="141" spans="1:12" s="39" customFormat="1" ht="21" customHeight="1" thickBot="1" x14ac:dyDescent="0.25">
      <c r="A141" s="1449"/>
      <c r="B141" s="1449"/>
      <c r="C141" s="903" t="s">
        <v>924</v>
      </c>
      <c r="D141" s="734"/>
      <c r="E141" s="734"/>
      <c r="F141" s="734"/>
      <c r="G141" s="734"/>
      <c r="H141" s="8"/>
      <c r="I141" s="8"/>
      <c r="J141" s="154"/>
      <c r="K141" s="7"/>
      <c r="L141" s="7"/>
    </row>
    <row r="142" spans="1:12" s="39" customFormat="1" ht="30" customHeight="1" thickBot="1" x14ac:dyDescent="0.25">
      <c r="A142" s="253"/>
      <c r="B142" s="1403"/>
      <c r="C142" s="75" t="s">
        <v>2206</v>
      </c>
      <c r="D142" s="1430"/>
      <c r="E142" s="420"/>
      <c r="F142" s="420"/>
      <c r="G142" s="605">
        <f>IF((RareFish=1),10, IF((AllSat + (1-Fish10=1)),0, IF((TooSaline + (1-Fish10=1)),0, 10*AVERAGE(CfixF1a, HabStrucF1a, Water1a, AnoxF1a, StressF1a))))</f>
        <v>0</v>
      </c>
      <c r="H142" s="8"/>
      <c r="I142" s="8"/>
      <c r="J142" s="154"/>
      <c r="K142" s="7"/>
      <c r="L142" s="7"/>
    </row>
    <row r="143" spans="1:12" s="39" customFormat="1" ht="21" customHeight="1" thickBot="1" x14ac:dyDescent="0.25">
      <c r="A143" s="1573"/>
      <c r="B143" s="1573"/>
      <c r="C143" s="1416"/>
      <c r="D143" s="1473" t="str">
        <f>IFERROR(AVERAGE(FishPres, ChannConn, RipFloodpl),"")</f>
        <v/>
      </c>
      <c r="E143" s="1473"/>
      <c r="F143" s="1473"/>
      <c r="G143" s="1473"/>
      <c r="H143" s="1474"/>
      <c r="I143" s="100" t="s">
        <v>357</v>
      </c>
      <c r="J143" s="154"/>
      <c r="K143" s="7"/>
      <c r="L143" s="7"/>
    </row>
    <row r="144" spans="1:12" ht="27" customHeight="1" x14ac:dyDescent="0.2">
      <c r="A144" s="1576"/>
      <c r="B144" s="1576"/>
      <c r="C144" s="1524" t="s">
        <v>1334</v>
      </c>
      <c r="D144" s="1577"/>
      <c r="E144" s="1473"/>
      <c r="F144" s="1473"/>
      <c r="G144" s="1473"/>
      <c r="H144" s="1474"/>
      <c r="I144" s="1370" t="s">
        <v>2248</v>
      </c>
      <c r="J144" s="260"/>
    </row>
    <row r="145" spans="1:20" ht="42" customHeight="1" x14ac:dyDescent="0.2">
      <c r="A145" s="1578"/>
      <c r="B145" s="1579">
        <v>1</v>
      </c>
      <c r="C145" s="1580" t="s">
        <v>1233</v>
      </c>
      <c r="D145" s="1577"/>
      <c r="E145" s="1473"/>
      <c r="F145" s="1473"/>
      <c r="G145" s="1473"/>
      <c r="H145" s="1474"/>
      <c r="I145" s="174" t="s">
        <v>2261</v>
      </c>
      <c r="J145" s="260"/>
    </row>
    <row r="146" spans="1:20" ht="42" customHeight="1" x14ac:dyDescent="0.2">
      <c r="A146" s="1578"/>
      <c r="B146" s="1579" t="s">
        <v>1227</v>
      </c>
      <c r="C146" s="1580" t="s">
        <v>2381</v>
      </c>
      <c r="D146" s="1577"/>
      <c r="E146" s="1473"/>
      <c r="F146" s="1473"/>
      <c r="G146" s="1473"/>
      <c r="H146" s="1474"/>
      <c r="I146" s="174" t="s">
        <v>2262</v>
      </c>
      <c r="J146" s="260"/>
    </row>
    <row r="147" spans="1:20" ht="41.25" customHeight="1" x14ac:dyDescent="0.2">
      <c r="A147" s="1578"/>
      <c r="B147" s="1579" t="s">
        <v>1228</v>
      </c>
      <c r="C147" s="1580" t="s">
        <v>1415</v>
      </c>
      <c r="D147" s="1581">
        <f>IFERROR(AVERAGE(1-Sub0Days, (WetArea-WetVegArea)),"")</f>
        <v>0.5</v>
      </c>
      <c r="E147" s="1475"/>
      <c r="F147" s="1475"/>
      <c r="G147" s="1475"/>
      <c r="H147" s="1476"/>
      <c r="I147" s="84" t="s">
        <v>854</v>
      </c>
      <c r="J147" s="260"/>
    </row>
    <row r="148" spans="1:20" ht="42" customHeight="1" x14ac:dyDescent="0.2">
      <c r="A148" s="1578"/>
      <c r="B148" s="1579" t="s">
        <v>1229</v>
      </c>
      <c r="C148" s="1580" t="s">
        <v>2382</v>
      </c>
      <c r="D148" s="1581" t="str">
        <f>IFERROR(AVERAGE(OWpct, MixWaterVeg),"")</f>
        <v/>
      </c>
      <c r="E148" s="1475"/>
      <c r="F148" s="1475"/>
      <c r="G148" s="1475"/>
      <c r="H148" s="1476"/>
      <c r="I148" s="84" t="s">
        <v>421</v>
      </c>
      <c r="J148" s="260"/>
    </row>
    <row r="149" spans="1:20" ht="42" customHeight="1" x14ac:dyDescent="0.2">
      <c r="A149" s="1578"/>
      <c r="B149" s="1579" t="s">
        <v>1234</v>
      </c>
      <c r="C149" s="1580" t="s">
        <v>2383</v>
      </c>
      <c r="D149" s="1581">
        <f>IFERROR(AVERAGE(Dist2Road, 1-RdDens1k, PerimNatCov),"")</f>
        <v>1</v>
      </c>
      <c r="E149" s="1475"/>
      <c r="F149" s="1475"/>
      <c r="G149" s="1475"/>
      <c r="H149" s="1476"/>
      <c r="I149" s="1370" t="s">
        <v>422</v>
      </c>
      <c r="J149" s="260"/>
    </row>
    <row r="150" spans="1:20" ht="54.75" customHeight="1" x14ac:dyDescent="0.2">
      <c r="A150" s="1578"/>
      <c r="B150" s="1579">
        <v>2</v>
      </c>
      <c r="C150" s="1580" t="s">
        <v>2384</v>
      </c>
      <c r="D150" s="1582">
        <f>10*AVERAGE(WatProb,D143:D149)</f>
        <v>7.5</v>
      </c>
      <c r="E150" s="1475"/>
      <c r="F150" s="1475"/>
      <c r="G150" s="1475"/>
      <c r="H150" s="1476"/>
      <c r="I150" s="174" t="s">
        <v>2263</v>
      </c>
      <c r="J150" s="260"/>
    </row>
    <row r="151" spans="1:20" s="275" customFormat="1" ht="42" customHeight="1" x14ac:dyDescent="0.2">
      <c r="A151" s="1583"/>
      <c r="B151" s="1579"/>
      <c r="C151" s="1580"/>
      <c r="D151" s="1584"/>
      <c r="E151" s="1477"/>
      <c r="F151" s="1477"/>
      <c r="G151" s="1477"/>
      <c r="H151" s="1477"/>
      <c r="I151" s="84" t="s">
        <v>853</v>
      </c>
      <c r="J151" s="276" t="s">
        <v>507</v>
      </c>
      <c r="K151" s="276"/>
      <c r="L151" s="276"/>
      <c r="M151" s="276"/>
      <c r="N151" s="276"/>
      <c r="O151" s="276"/>
      <c r="P151" s="276"/>
      <c r="Q151" s="276"/>
      <c r="R151" s="276"/>
      <c r="S151" s="276"/>
      <c r="T151" s="276"/>
    </row>
    <row r="152" spans="1:20" s="275" customFormat="1" ht="42" customHeight="1" x14ac:dyDescent="0.2">
      <c r="A152" s="1583"/>
      <c r="B152" s="1532"/>
      <c r="C152" s="1524" t="s">
        <v>1329</v>
      </c>
      <c r="D152" s="1584"/>
      <c r="E152" s="1477"/>
      <c r="F152" s="1477"/>
      <c r="G152" s="1477"/>
      <c r="H152" s="1477"/>
      <c r="I152" s="84" t="s">
        <v>699</v>
      </c>
      <c r="J152" s="276"/>
      <c r="K152" s="276"/>
      <c r="L152" s="276"/>
      <c r="M152" s="276"/>
      <c r="N152" s="276"/>
      <c r="O152" s="276"/>
      <c r="P152" s="276"/>
      <c r="Q152" s="276"/>
      <c r="R152" s="276"/>
      <c r="S152" s="276"/>
      <c r="T152" s="276"/>
    </row>
    <row r="153" spans="1:20" s="275" customFormat="1" ht="52.5" customHeight="1" x14ac:dyDescent="0.2">
      <c r="A153" s="1583"/>
      <c r="B153" s="1579">
        <v>1</v>
      </c>
      <c r="C153" s="1580" t="s">
        <v>1233</v>
      </c>
      <c r="D153" s="1584"/>
      <c r="E153" s="1477"/>
      <c r="F153" s="1477"/>
      <c r="G153" s="1477"/>
      <c r="H153" s="1477"/>
      <c r="I153" s="84" t="s">
        <v>423</v>
      </c>
      <c r="J153" s="276"/>
      <c r="K153" s="276"/>
      <c r="L153" s="276"/>
      <c r="M153" s="276"/>
      <c r="N153" s="276"/>
      <c r="O153" s="276"/>
      <c r="P153" s="276"/>
      <c r="Q153" s="276"/>
      <c r="R153" s="276"/>
      <c r="S153" s="276"/>
      <c r="T153" s="276"/>
    </row>
    <row r="154" spans="1:20" s="275" customFormat="1" ht="96" customHeight="1" thickBot="1" x14ac:dyDescent="0.25">
      <c r="A154" s="1583"/>
      <c r="B154" s="1579" t="s">
        <v>1227</v>
      </c>
      <c r="C154" s="1580" t="s">
        <v>1965</v>
      </c>
      <c r="D154" s="1581">
        <f>IFERROR(AVERAGE(FishPres, RipFloodpl, OutDura10),"")</f>
        <v>0</v>
      </c>
      <c r="E154" s="1477"/>
      <c r="F154" s="1477"/>
      <c r="G154" s="1477"/>
      <c r="H154" s="1477"/>
      <c r="I154" s="1371" t="s">
        <v>2207</v>
      </c>
      <c r="J154" s="276"/>
      <c r="K154" s="276"/>
      <c r="L154" s="276"/>
      <c r="M154" s="276"/>
      <c r="N154" s="276"/>
      <c r="O154" s="276"/>
      <c r="P154" s="276"/>
      <c r="Q154" s="276"/>
      <c r="R154" s="276"/>
      <c r="S154" s="276"/>
      <c r="T154" s="276"/>
    </row>
    <row r="155" spans="1:20" s="275" customFormat="1" ht="42" customHeight="1" x14ac:dyDescent="0.2">
      <c r="A155" s="1583"/>
      <c r="B155" s="1579" t="s">
        <v>1228</v>
      </c>
      <c r="C155" s="1580" t="s">
        <v>1415</v>
      </c>
      <c r="D155" s="1581">
        <f>IFERROR(AVERAGE(1-Sub0Days, (WetArea-WetVegArea)),"")</f>
        <v>0.5</v>
      </c>
      <c r="E155" s="1477"/>
      <c r="F155" s="1477"/>
      <c r="G155" s="1477"/>
      <c r="H155" s="1477"/>
      <c r="I155" s="1574"/>
      <c r="J155" s="276"/>
      <c r="K155" s="276"/>
      <c r="L155" s="276"/>
      <c r="M155" s="276"/>
      <c r="N155" s="276"/>
      <c r="O155" s="276"/>
      <c r="P155" s="276"/>
      <c r="Q155" s="276"/>
      <c r="R155" s="276"/>
      <c r="S155" s="276"/>
      <c r="T155" s="276"/>
    </row>
    <row r="156" spans="1:20" s="275" customFormat="1" ht="42" customHeight="1" x14ac:dyDescent="0.2">
      <c r="A156" s="1583"/>
      <c r="B156" s="1579" t="s">
        <v>1229</v>
      </c>
      <c r="C156" s="1580" t="s">
        <v>1966</v>
      </c>
      <c r="D156" s="1581">
        <f>IFERROR(IF((AllSat+AllSat&gt;0),"",IF((SmallAA=1),"", AVERAGE(OWpct10, Interspers10))),"")</f>
        <v>0</v>
      </c>
      <c r="E156" s="1477"/>
      <c r="F156" s="1477"/>
      <c r="G156" s="1477"/>
      <c r="H156" s="1477"/>
      <c r="I156" s="1575"/>
      <c r="J156" s="276"/>
      <c r="K156" s="276"/>
      <c r="L156" s="276"/>
      <c r="M156" s="276"/>
      <c r="N156" s="276"/>
      <c r="O156" s="276"/>
      <c r="P156" s="276"/>
      <c r="Q156" s="276"/>
      <c r="R156" s="276"/>
      <c r="S156" s="276"/>
      <c r="T156" s="276"/>
    </row>
    <row r="157" spans="1:20" s="275" customFormat="1" ht="42" customHeight="1" x14ac:dyDescent="0.2">
      <c r="A157" s="1583"/>
      <c r="B157" s="1579" t="s">
        <v>1234</v>
      </c>
      <c r="C157" s="1580" t="s">
        <v>2383</v>
      </c>
      <c r="D157" s="1581">
        <f>IFERROR(AVERAGE(Dist2Road, 1-RdDens1k, PerimNatCov),"")</f>
        <v>1</v>
      </c>
      <c r="E157" s="1477"/>
      <c r="F157" s="1477"/>
      <c r="G157" s="1477"/>
      <c r="H157" s="1477"/>
      <c r="I157" s="1575"/>
      <c r="J157" s="276"/>
      <c r="K157" s="276"/>
      <c r="L157" s="276"/>
      <c r="M157" s="276"/>
      <c r="N157" s="276"/>
      <c r="O157" s="276"/>
      <c r="P157" s="276"/>
      <c r="Q157" s="276"/>
      <c r="R157" s="276"/>
      <c r="S157" s="276"/>
      <c r="T157" s="276"/>
    </row>
    <row r="158" spans="1:20" s="275" customFormat="1" ht="54.75" customHeight="1" x14ac:dyDescent="0.2">
      <c r="A158" s="1583"/>
      <c r="B158" s="1579">
        <v>2</v>
      </c>
      <c r="C158" s="1580" t="s">
        <v>2384</v>
      </c>
      <c r="D158" s="1582">
        <f>10*AVERAGE(WatProb,D154:D157)</f>
        <v>3.75</v>
      </c>
      <c r="E158" s="1477"/>
      <c r="F158" s="1477"/>
      <c r="G158" s="1477"/>
      <c r="H158" s="1477"/>
      <c r="I158" s="1575"/>
      <c r="J158" s="276"/>
      <c r="K158" s="276"/>
      <c r="L158" s="276"/>
      <c r="M158" s="276"/>
      <c r="N158" s="276"/>
      <c r="O158" s="276"/>
      <c r="P158" s="276"/>
      <c r="Q158" s="276"/>
      <c r="R158" s="276"/>
      <c r="S158" s="276"/>
      <c r="T158" s="276"/>
    </row>
    <row r="159" spans="1:20" ht="91.5" customHeight="1" x14ac:dyDescent="0.2">
      <c r="A159" s="16"/>
      <c r="B159" s="16"/>
      <c r="C159" s="16"/>
      <c r="D159" s="16"/>
      <c r="E159" s="16"/>
      <c r="F159" s="16"/>
      <c r="G159" s="16" t="s">
        <v>507</v>
      </c>
      <c r="H159" s="16"/>
      <c r="I159" s="1575"/>
      <c r="J159" s="260"/>
    </row>
    <row r="160" spans="1:20" x14ac:dyDescent="0.2">
      <c r="C160" s="12"/>
      <c r="I160" s="1575"/>
      <c r="J160" s="260"/>
    </row>
    <row r="161" spans="1:10" x14ac:dyDescent="0.2">
      <c r="C161" s="12"/>
      <c r="I161" s="16"/>
      <c r="J161" s="260"/>
    </row>
    <row r="162" spans="1:10" x14ac:dyDescent="0.2">
      <c r="C162" s="12"/>
      <c r="I162" s="16"/>
      <c r="J162" s="260"/>
    </row>
    <row r="163" spans="1:10" x14ac:dyDescent="0.2">
      <c r="C163" s="12"/>
      <c r="I163" s="16"/>
      <c r="J163" s="260"/>
    </row>
    <row r="164" spans="1:10" x14ac:dyDescent="0.2">
      <c r="C164" s="12"/>
      <c r="I164" s="16"/>
      <c r="J164" s="260"/>
    </row>
    <row r="165" spans="1:10" x14ac:dyDescent="0.2">
      <c r="C165" s="12"/>
      <c r="I165" s="16"/>
      <c r="J165" s="260"/>
    </row>
    <row r="166" spans="1:10" x14ac:dyDescent="0.2">
      <c r="C166" s="12"/>
      <c r="I166" s="16"/>
      <c r="J166" s="260"/>
    </row>
    <row r="167" spans="1:10" x14ac:dyDescent="0.2">
      <c r="B167" s="166"/>
      <c r="C167" s="12"/>
      <c r="I167" s="16"/>
      <c r="J167" s="260"/>
    </row>
    <row r="168" spans="1:10" x14ac:dyDescent="0.2">
      <c r="C168" s="12"/>
      <c r="I168" s="16"/>
      <c r="J168" s="260"/>
    </row>
    <row r="169" spans="1:10" x14ac:dyDescent="0.2">
      <c r="C169" s="12"/>
      <c r="I169" s="16"/>
      <c r="J169" s="260"/>
    </row>
    <row r="170" spans="1:10" s="16" customFormat="1" ht="33.6" customHeight="1" x14ac:dyDescent="0.2">
      <c r="A170" s="171"/>
      <c r="B170" s="171"/>
      <c r="D170" s="205"/>
      <c r="E170" s="205"/>
      <c r="F170" s="205"/>
      <c r="G170" s="205"/>
      <c r="H170" s="20"/>
      <c r="I170" s="12"/>
      <c r="J170" s="260"/>
    </row>
    <row r="171" spans="1:10" s="16" customFormat="1" ht="21" customHeight="1" x14ac:dyDescent="0.2">
      <c r="D171" s="205"/>
      <c r="G171" s="205"/>
      <c r="H171" s="20"/>
      <c r="I171" s="12"/>
      <c r="J171" s="260"/>
    </row>
    <row r="172" spans="1:10" s="16" customFormat="1" x14ac:dyDescent="0.2">
      <c r="D172" s="205"/>
      <c r="G172" s="205"/>
      <c r="H172" s="20"/>
      <c r="I172" s="12"/>
      <c r="J172" s="260"/>
    </row>
    <row r="173" spans="1:10" s="16" customFormat="1" ht="55.9" customHeight="1" x14ac:dyDescent="0.2">
      <c r="D173" s="205"/>
      <c r="G173" s="205"/>
      <c r="H173" s="20"/>
      <c r="I173" s="12"/>
      <c r="J173" s="261"/>
    </row>
    <row r="174" spans="1:10" s="16" customFormat="1" ht="42" customHeight="1" x14ac:dyDescent="0.2">
      <c r="D174" s="205"/>
      <c r="G174" s="205"/>
      <c r="H174" s="20"/>
      <c r="I174" s="12"/>
      <c r="J174" s="261"/>
    </row>
    <row r="175" spans="1:10" s="16" customFormat="1" ht="57" customHeight="1" x14ac:dyDescent="0.2">
      <c r="D175" s="205"/>
      <c r="G175" s="205"/>
      <c r="H175" s="20"/>
      <c r="I175" s="12"/>
      <c r="J175" s="261"/>
    </row>
    <row r="176" spans="1:10" s="16" customFormat="1" ht="41.45" customHeight="1" x14ac:dyDescent="0.2">
      <c r="D176" s="205"/>
      <c r="G176" s="205"/>
      <c r="H176" s="20"/>
      <c r="I176" s="12"/>
      <c r="J176" s="261"/>
    </row>
    <row r="177" spans="2:10" s="16" customFormat="1" x14ac:dyDescent="0.2">
      <c r="B177" s="166"/>
      <c r="C177" s="5"/>
      <c r="D177" s="272"/>
      <c r="E177" s="272"/>
      <c r="F177" s="272"/>
      <c r="G177" s="460"/>
      <c r="H177" s="20"/>
      <c r="I177" s="12"/>
      <c r="J177" s="261"/>
    </row>
    <row r="178" spans="2:10" s="16" customFormat="1" x14ac:dyDescent="0.2">
      <c r="B178" s="166"/>
      <c r="C178" s="5"/>
      <c r="D178" s="272"/>
      <c r="E178" s="272"/>
      <c r="F178" s="272"/>
      <c r="G178" s="460"/>
      <c r="H178" s="20"/>
      <c r="I178" s="12"/>
      <c r="J178" s="261"/>
    </row>
  </sheetData>
  <sheetProtection password="C4B9" sheet="1" objects="1" scenarios="1"/>
  <sortState ref="A3:M15">
    <sortCondition ref="H3:H15"/>
  </sortState>
  <customSheetViews>
    <customSheetView guid="{B8E02330-2419-4DE6-AD01-7ACC7A5D18DD}" scale="75">
      <selection activeCell="H120" sqref="A2:H120"/>
      <pageMargins left="0.75" right="0.75" top="1" bottom="1" header="0.5" footer="0.5"/>
      <pageSetup orientation="portrait" r:id="rId1"/>
      <headerFooter alignWithMargins="0"/>
    </customSheetView>
  </customSheetViews>
  <mergeCells count="75">
    <mergeCell ref="A134:A135"/>
    <mergeCell ref="A85:A90"/>
    <mergeCell ref="A91:A96"/>
    <mergeCell ref="A97:A100"/>
    <mergeCell ref="A107:A111"/>
    <mergeCell ref="A101:A106"/>
    <mergeCell ref="B91:B96"/>
    <mergeCell ref="A130:A131"/>
    <mergeCell ref="B85:B90"/>
    <mergeCell ref="B97:B100"/>
    <mergeCell ref="B101:B106"/>
    <mergeCell ref="B107:B111"/>
    <mergeCell ref="I107:I111"/>
    <mergeCell ref="I101:I106"/>
    <mergeCell ref="I74:I77"/>
    <mergeCell ref="H74:H77"/>
    <mergeCell ref="H107:H111"/>
    <mergeCell ref="H101:H106"/>
    <mergeCell ref="H80:H84"/>
    <mergeCell ref="H85:H90"/>
    <mergeCell ref="H91:H96"/>
    <mergeCell ref="H97:H100"/>
    <mergeCell ref="I97:I100"/>
    <mergeCell ref="I91:I96"/>
    <mergeCell ref="I80:I84"/>
    <mergeCell ref="I85:I90"/>
    <mergeCell ref="I55:I62"/>
    <mergeCell ref="H51:H54"/>
    <mergeCell ref="H70:H73"/>
    <mergeCell ref="H55:H62"/>
    <mergeCell ref="H63:H69"/>
    <mergeCell ref="I70:I73"/>
    <mergeCell ref="I63:I69"/>
    <mergeCell ref="A80:A84"/>
    <mergeCell ref="B63:B69"/>
    <mergeCell ref="A74:A77"/>
    <mergeCell ref="B74:B77"/>
    <mergeCell ref="B55:B62"/>
    <mergeCell ref="A55:A62"/>
    <mergeCell ref="A70:A73"/>
    <mergeCell ref="B70:B73"/>
    <mergeCell ref="B80:B84"/>
    <mergeCell ref="A1:B1"/>
    <mergeCell ref="A45:A50"/>
    <mergeCell ref="A63:A69"/>
    <mergeCell ref="B30:B36"/>
    <mergeCell ref="B37:B42"/>
    <mergeCell ref="A23:A29"/>
    <mergeCell ref="B23:B29"/>
    <mergeCell ref="A37:A42"/>
    <mergeCell ref="B45:B50"/>
    <mergeCell ref="B18:B22"/>
    <mergeCell ref="A30:A36"/>
    <mergeCell ref="B51:B54"/>
    <mergeCell ref="A51:A54"/>
    <mergeCell ref="H118:H119"/>
    <mergeCell ref="I118:I119"/>
    <mergeCell ref="I112:I117"/>
    <mergeCell ref="B112:B117"/>
    <mergeCell ref="A112:A117"/>
    <mergeCell ref="H112:H117"/>
    <mergeCell ref="A118:A119"/>
    <mergeCell ref="B118:B119"/>
    <mergeCell ref="E1:I1"/>
    <mergeCell ref="I18:I22"/>
    <mergeCell ref="I51:I54"/>
    <mergeCell ref="I45:I50"/>
    <mergeCell ref="I37:I42"/>
    <mergeCell ref="I30:I36"/>
    <mergeCell ref="I23:I29"/>
    <mergeCell ref="H30:H36"/>
    <mergeCell ref="H18:H22"/>
    <mergeCell ref="H23:H29"/>
    <mergeCell ref="H37:H42"/>
    <mergeCell ref="H45:H50"/>
  </mergeCells>
  <phoneticPr fontId="5" type="noConversion"/>
  <conditionalFormatting sqref="H14">
    <cfRule type="cellIs" dxfId="8" priority="11" stopIfTrue="1" operator="equal">
      <formula>1</formula>
    </cfRule>
  </conditionalFormatting>
  <conditionalFormatting sqref="D89:D91 D93:D97 D99:D105 D107:D109 D82:D87 D55:D60 D62:D65 D142 D76:D78 D80 D51:D53 D124:D125 D127:D128 D130:D132 D134:D136 D138:D139 D67:D72 D74 D19:D21 D23 D25:D35 D37:D40 D42:D49 D111:D117 D120:D122">
    <cfRule type="cellIs" dxfId="7" priority="1" operator="greaterThan">
      <formula>0</formula>
    </cfRule>
  </conditionalFormatting>
  <pageMargins left="0.75" right="0.75" top="1" bottom="1" header="0.5" footer="0.5"/>
  <pageSetup orientation="portrait" r:id="rId2"/>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25"/>
  <sheetViews>
    <sheetView zoomScaleNormal="100" workbookViewId="0">
      <selection activeCell="G154" sqref="G154"/>
    </sheetView>
  </sheetViews>
  <sheetFormatPr defaultColWidth="9.33203125" defaultRowHeight="16.5" x14ac:dyDescent="0.2"/>
  <cols>
    <col min="1" max="1" width="5.83203125" style="206" customWidth="1"/>
    <col min="2" max="2" width="18.83203125" style="207" customWidth="1"/>
    <col min="3" max="3" width="69.83203125" style="5" customWidth="1"/>
    <col min="4" max="4" width="6.83203125" style="270" customWidth="1"/>
    <col min="5" max="5" width="7.83203125" style="270" customWidth="1"/>
    <col min="6" max="6" width="8" style="346" customWidth="1"/>
    <col min="7" max="7" width="11" style="216" customWidth="1"/>
    <col min="8" max="8" width="12.1640625" style="185" customWidth="1"/>
    <col min="9" max="9" width="69.83203125" style="154" customWidth="1"/>
    <col min="10" max="10" width="6" style="215" customWidth="1"/>
    <col min="11" max="11" width="6.1640625" style="3" customWidth="1"/>
    <col min="12" max="12" width="22.1640625" style="3" customWidth="1"/>
    <col min="13" max="14" width="9.33203125" style="3"/>
    <col min="15" max="15" width="64.5" style="3" customWidth="1"/>
    <col min="16" max="16" width="9.33203125" style="3"/>
    <col min="17" max="16384" width="9.33203125" style="5"/>
  </cols>
  <sheetData>
    <row r="1" spans="1:16" ht="80.25" customHeight="1" thickBot="1" x14ac:dyDescent="0.25">
      <c r="A1" s="2125" t="s">
        <v>666</v>
      </c>
      <c r="B1" s="2126"/>
      <c r="C1" s="77" t="s">
        <v>678</v>
      </c>
      <c r="D1" s="1648" t="s">
        <v>667</v>
      </c>
      <c r="E1" s="2267"/>
      <c r="F1" s="2268"/>
      <c r="G1" s="2268"/>
      <c r="H1" s="2268"/>
      <c r="I1" s="2269"/>
    </row>
    <row r="2" spans="1:16" s="610" customFormat="1" ht="42" customHeight="1" thickBot="1" x14ac:dyDescent="0.25">
      <c r="A2" s="1605" t="s">
        <v>110</v>
      </c>
      <c r="B2" s="1606" t="s">
        <v>1096</v>
      </c>
      <c r="C2" s="1607" t="s">
        <v>1395</v>
      </c>
      <c r="D2" s="1605"/>
      <c r="E2" s="1608"/>
      <c r="F2" s="1609"/>
      <c r="G2" s="1610" t="s">
        <v>1111</v>
      </c>
      <c r="H2" s="1611" t="s">
        <v>1108</v>
      </c>
      <c r="I2" s="1606" t="s">
        <v>304</v>
      </c>
      <c r="J2" s="611"/>
    </row>
    <row r="3" spans="1:16" s="155" customFormat="1" ht="30" customHeight="1" thickBot="1" x14ac:dyDescent="0.25">
      <c r="A3" s="931" t="str">
        <f>OF!A6</f>
        <v>OF5</v>
      </c>
      <c r="B3" s="715" t="str">
        <f>OF!C6</f>
        <v>Wetland Class Richness Within 1km</v>
      </c>
      <c r="C3" s="1068" t="s">
        <v>507</v>
      </c>
      <c r="D3" s="716"/>
      <c r="E3" s="717"/>
      <c r="F3" s="717"/>
      <c r="G3" s="1069" t="str">
        <f>IF((ClassRich1k=""),"",ClassRich1k)</f>
        <v/>
      </c>
      <c r="H3" s="875" t="s">
        <v>1261</v>
      </c>
      <c r="I3" s="1083" t="s">
        <v>1639</v>
      </c>
      <c r="J3" s="1082"/>
    </row>
    <row r="4" spans="1:16" s="155" customFormat="1" ht="42" customHeight="1" thickBot="1" x14ac:dyDescent="0.25">
      <c r="A4" s="709" t="str">
        <f>OF!A7</f>
        <v>OF6</v>
      </c>
      <c r="B4" s="710" t="str">
        <f>OF!C7</f>
        <v>Wetland Class Richness Within Wetland</v>
      </c>
      <c r="C4" s="1070" t="s">
        <v>507</v>
      </c>
      <c r="D4" s="712"/>
      <c r="E4" s="713"/>
      <c r="F4" s="713"/>
      <c r="G4" s="740" t="str">
        <f>IF((ClassRichIn=""),"",ClassRichIn)</f>
        <v/>
      </c>
      <c r="H4" s="742" t="s">
        <v>1060</v>
      </c>
      <c r="I4" s="163" t="s">
        <v>107</v>
      </c>
      <c r="J4" s="223"/>
    </row>
    <row r="5" spans="1:16" s="155" customFormat="1" ht="30" customHeight="1" thickBot="1" x14ac:dyDescent="0.25">
      <c r="A5" s="931" t="str">
        <f>OF!A18</f>
        <v>OF17</v>
      </c>
      <c r="B5" s="715" t="str">
        <f>OF!C18</f>
        <v>Growing Degree Days</v>
      </c>
      <c r="C5" s="1068" t="s">
        <v>507</v>
      </c>
      <c r="D5" s="716"/>
      <c r="E5" s="717"/>
      <c r="F5" s="717"/>
      <c r="G5" s="761" t="str">
        <f>IF((GrowDD=""),"",GrowDD)</f>
        <v/>
      </c>
      <c r="H5" s="877" t="s">
        <v>1078</v>
      </c>
      <c r="I5" s="1083" t="s">
        <v>596</v>
      </c>
      <c r="J5" s="280"/>
    </row>
    <row r="6" spans="1:16" s="155" customFormat="1" ht="30" customHeight="1" thickBot="1" x14ac:dyDescent="0.25">
      <c r="A6" s="709" t="str">
        <f>OF!A24</f>
        <v>OF23</v>
      </c>
      <c r="B6" s="710" t="str">
        <f>OF!C24</f>
        <v>% of the AA that is Marsh</v>
      </c>
      <c r="C6" s="1070"/>
      <c r="D6" s="712"/>
      <c r="E6" s="713"/>
      <c r="F6" s="713"/>
      <c r="G6" s="740" t="str">
        <f>IF((MarshPct=""),"",MarshPct)</f>
        <v/>
      </c>
      <c r="H6" s="53" t="s">
        <v>1265</v>
      </c>
      <c r="I6" s="163" t="s">
        <v>1640</v>
      </c>
      <c r="J6" s="221"/>
    </row>
    <row r="7" spans="1:16" s="155" customFormat="1" ht="42" customHeight="1" thickBot="1" x14ac:dyDescent="0.25">
      <c r="A7" s="931" t="str">
        <f>OF!A25</f>
        <v>OF24</v>
      </c>
      <c r="B7" s="715" t="str">
        <f>OF!C25</f>
        <v>MarshPct/ MarshPct1k</v>
      </c>
      <c r="C7" s="1068" t="s">
        <v>507</v>
      </c>
      <c r="D7" s="716"/>
      <c r="E7" s="717"/>
      <c r="F7" s="717"/>
      <c r="G7" s="1069" t="str">
        <f>IF((MarshUniq=""),"",MarshUniq)</f>
        <v/>
      </c>
      <c r="H7" s="875" t="s">
        <v>1266</v>
      </c>
      <c r="I7" s="1084" t="s">
        <v>1641</v>
      </c>
      <c r="J7" s="221"/>
      <c r="K7" s="245"/>
    </row>
    <row r="8" spans="1:16" s="155" customFormat="1" ht="40.5" customHeight="1" thickBot="1" x14ac:dyDescent="0.25">
      <c r="A8" s="709" t="str">
        <f>OF!A27</f>
        <v>OF26</v>
      </c>
      <c r="B8" s="710" t="str">
        <f>OF!C27</f>
        <v>Interspersion Index for Internal Herbaceous &amp; Woody Vegetation (macroscale)</v>
      </c>
      <c r="C8" s="1070"/>
      <c r="D8" s="712"/>
      <c r="E8" s="713"/>
      <c r="F8" s="713"/>
      <c r="G8" s="740" t="str">
        <f>IF((MixHerbWood=""),"",MixHerbWood)</f>
        <v/>
      </c>
      <c r="H8" s="742" t="s">
        <v>1061</v>
      </c>
      <c r="I8" s="163" t="s">
        <v>1642</v>
      </c>
      <c r="J8" s="281"/>
    </row>
    <row r="9" spans="1:16" s="155" customFormat="1" ht="39.75" customHeight="1" thickBot="1" x14ac:dyDescent="0.25">
      <c r="A9" s="931" t="str">
        <f>OF!A28</f>
        <v>OF27</v>
      </c>
      <c r="B9" s="715" t="str">
        <f>OF!C28</f>
        <v>Interspersion Index for Internal Water &amp; Vegetation (macroscale)</v>
      </c>
      <c r="C9" s="1068" t="s">
        <v>507</v>
      </c>
      <c r="D9" s="716"/>
      <c r="E9" s="717"/>
      <c r="F9" s="717"/>
      <c r="G9" s="761" t="str">
        <f>IF((MixWaterVeg=""),"",MixWaterVeg)</f>
        <v/>
      </c>
      <c r="H9" s="877" t="s">
        <v>1032</v>
      </c>
      <c r="I9" s="1083" t="s">
        <v>1643</v>
      </c>
      <c r="J9" s="221"/>
    </row>
    <row r="10" spans="1:16" s="155" customFormat="1" ht="42" customHeight="1" thickBot="1" x14ac:dyDescent="0.25">
      <c r="A10" s="709" t="str">
        <f>OF!A29</f>
        <v>OF28</v>
      </c>
      <c r="B10" s="710" t="str">
        <f>OF!C29</f>
        <v>% Natural Cover within 1km</v>
      </c>
      <c r="C10" s="1070" t="s">
        <v>507</v>
      </c>
      <c r="D10" s="712"/>
      <c r="E10" s="713"/>
      <c r="F10" s="713"/>
      <c r="G10" s="740" t="str">
        <f>IF((NatCov1k=""),"",NatCov1k)</f>
        <v/>
      </c>
      <c r="H10" s="742" t="s">
        <v>1063</v>
      </c>
      <c r="I10" s="1033" t="s">
        <v>1644</v>
      </c>
      <c r="J10" s="223"/>
    </row>
    <row r="11" spans="1:16" s="155" customFormat="1" ht="42" customHeight="1" thickBot="1" x14ac:dyDescent="0.25">
      <c r="A11" s="931" t="str">
        <f>OF!A32</f>
        <v>OF31</v>
      </c>
      <c r="B11" s="715" t="str">
        <f>OF!C32</f>
        <v>% of AA that is Open Water (macro scale, Invertebrate Habitat)</v>
      </c>
      <c r="C11" s="1007" t="s">
        <v>1416</v>
      </c>
      <c r="D11" s="716"/>
      <c r="E11" s="717"/>
      <c r="F11" s="717"/>
      <c r="G11" s="761" t="str">
        <f>IF((OWpct_INV=""),"",OWpct_INV)</f>
        <v/>
      </c>
      <c r="H11" s="1071" t="s">
        <v>1400</v>
      </c>
      <c r="I11" s="1085" t="s">
        <v>107</v>
      </c>
      <c r="J11" s="245"/>
      <c r="K11" s="245"/>
    </row>
    <row r="12" spans="1:16" s="155" customFormat="1" ht="57" customHeight="1" thickBot="1" x14ac:dyDescent="0.25">
      <c r="A12" s="709" t="str">
        <f>OF!A35</f>
        <v>OF34</v>
      </c>
      <c r="B12" s="710" t="str">
        <f>OF!C35</f>
        <v>% of Wetland Perimeter Adjoined by Natural Cover</v>
      </c>
      <c r="C12" s="1070" t="s">
        <v>507</v>
      </c>
      <c r="D12" s="712"/>
      <c r="E12" s="713"/>
      <c r="F12" s="713"/>
      <c r="G12" s="740" t="str">
        <f>IF((PerimNatCov=""),"",PerimNatCov)</f>
        <v/>
      </c>
      <c r="H12" s="742" t="s">
        <v>1064</v>
      </c>
      <c r="I12" s="1033" t="s">
        <v>1645</v>
      </c>
      <c r="J12" s="215"/>
      <c r="K12" s="154"/>
      <c r="L12" s="154"/>
      <c r="M12" s="154"/>
      <c r="N12" s="154"/>
      <c r="P12" s="154"/>
    </row>
    <row r="13" spans="1:16" s="155" customFormat="1" ht="31.9" customHeight="1" thickBot="1" x14ac:dyDescent="0.25">
      <c r="A13" s="931" t="str">
        <f>OF!A51</f>
        <v>OF50</v>
      </c>
      <c r="B13" s="715" t="str">
        <f>OF!C51</f>
        <v>Springs within 300m</v>
      </c>
      <c r="C13" s="1007" t="s">
        <v>1649</v>
      </c>
      <c r="D13" s="716"/>
      <c r="E13" s="717"/>
      <c r="F13" s="717"/>
      <c r="G13" s="761" t="str">
        <f>IF((Spring=""),"",IF((Spring=1),1,""))</f>
        <v/>
      </c>
      <c r="H13" s="767" t="s">
        <v>1027</v>
      </c>
      <c r="I13" s="1083" t="s">
        <v>1646</v>
      </c>
      <c r="J13" s="223"/>
    </row>
    <row r="14" spans="1:16" s="155" customFormat="1" ht="57" customHeight="1" thickBot="1" x14ac:dyDescent="0.25">
      <c r="A14" s="709" t="str">
        <f>OF!A61</f>
        <v>OF60</v>
      </c>
      <c r="B14" s="710" t="str">
        <f>OF!C61</f>
        <v>Water Permanence Probability</v>
      </c>
      <c r="C14" s="1070" t="s">
        <v>507</v>
      </c>
      <c r="D14" s="712"/>
      <c r="E14" s="713"/>
      <c r="F14" s="713"/>
      <c r="G14" s="740" t="str">
        <f>IF((WatProb=""),"",WatProb)</f>
        <v/>
      </c>
      <c r="H14" s="742" t="s">
        <v>1026</v>
      </c>
      <c r="I14" s="1086" t="s">
        <v>1647</v>
      </c>
      <c r="J14" s="223"/>
    </row>
    <row r="15" spans="1:16" s="155" customFormat="1" ht="42" customHeight="1" thickBot="1" x14ac:dyDescent="0.25">
      <c r="A15" s="1004" t="str">
        <f>OF!A73</f>
        <v>OF72</v>
      </c>
      <c r="B15" s="696" t="str">
        <f>OF!C73</f>
        <v>Surface Water Quality Risk Index</v>
      </c>
      <c r="C15" s="1062" t="s">
        <v>1396</v>
      </c>
      <c r="D15" s="1025"/>
      <c r="E15" s="1026"/>
      <c r="F15" s="1026"/>
      <c r="G15" s="389" t="str">
        <f>IF((WQrisk=""),"",1-WQrisk)</f>
        <v/>
      </c>
      <c r="H15" s="1072" t="s">
        <v>1037</v>
      </c>
      <c r="I15" s="244" t="s">
        <v>1648</v>
      </c>
      <c r="J15" s="223"/>
    </row>
    <row r="16" spans="1:16" s="2" customFormat="1" ht="42" customHeight="1" thickBot="1" x14ac:dyDescent="0.25">
      <c r="A16" s="1622" t="s">
        <v>110</v>
      </c>
      <c r="B16" s="1613" t="s">
        <v>1110</v>
      </c>
      <c r="C16" s="1623" t="s">
        <v>1109</v>
      </c>
      <c r="D16" s="1624" t="s">
        <v>45</v>
      </c>
      <c r="E16" s="1625" t="s">
        <v>2028</v>
      </c>
      <c r="F16" s="1626" t="s">
        <v>2027</v>
      </c>
      <c r="G16" s="1627" t="s">
        <v>1111</v>
      </c>
      <c r="H16" s="1628" t="s">
        <v>1108</v>
      </c>
      <c r="I16" s="1629" t="s">
        <v>1503</v>
      </c>
      <c r="J16" s="59"/>
    </row>
    <row r="17" spans="1:10" s="8" customFormat="1" ht="51" customHeight="1" thickBot="1" x14ac:dyDescent="0.25">
      <c r="A17" s="47" t="str">
        <f>F!A6</f>
        <v>F1</v>
      </c>
      <c r="B17" s="2087" t="str">
        <f>F!B6</f>
        <v>Wetland Type - Predominant</v>
      </c>
      <c r="C17" s="884" t="str">
        <f>F!C6</f>
        <v>Most of the vegetated part of the AA (wetland Assessment Area) is a (select ONE):</v>
      </c>
      <c r="D17" s="447"/>
      <c r="E17" s="447"/>
      <c r="F17" s="510"/>
      <c r="G17" s="426">
        <f>MAX(F18:F21)/MAX(E18:E21)</f>
        <v>0</v>
      </c>
      <c r="H17" s="2303" t="s">
        <v>120</v>
      </c>
      <c r="I17" s="2263" t="s">
        <v>336</v>
      </c>
      <c r="J17" s="227"/>
    </row>
    <row r="18" spans="1:10" s="8" customFormat="1" ht="15" customHeight="1" x14ac:dyDescent="0.2">
      <c r="A18" s="1055" t="str">
        <f>F!A7</f>
        <v>F1.1</v>
      </c>
      <c r="B18" s="2083"/>
      <c r="C18" s="750" t="str">
        <f>F!C7</f>
        <v>Wooded Swamp</v>
      </c>
      <c r="D18" s="131">
        <f>F!D7</f>
        <v>0</v>
      </c>
      <c r="E18" s="454">
        <v>3</v>
      </c>
      <c r="F18" s="450">
        <f>D18*E18</f>
        <v>0</v>
      </c>
      <c r="G18" s="1052"/>
      <c r="H18" s="2083"/>
      <c r="I18" s="2263"/>
      <c r="J18" s="227"/>
    </row>
    <row r="19" spans="1:10" s="8" customFormat="1" ht="15" customHeight="1" x14ac:dyDescent="0.2">
      <c r="A19" s="1055" t="str">
        <f>F!A8</f>
        <v>F1.2</v>
      </c>
      <c r="B19" s="2083"/>
      <c r="C19" s="891" t="str">
        <f>F!C8</f>
        <v>Bog</v>
      </c>
      <c r="D19" s="131">
        <f>F!D8</f>
        <v>0</v>
      </c>
      <c r="E19" s="454">
        <v>1</v>
      </c>
      <c r="F19" s="450">
        <f>D19*E19</f>
        <v>0</v>
      </c>
      <c r="G19" s="1052"/>
      <c r="H19" s="2083"/>
      <c r="I19" s="2263"/>
      <c r="J19" s="227"/>
    </row>
    <row r="20" spans="1:10" s="8" customFormat="1" ht="15" customHeight="1" x14ac:dyDescent="0.2">
      <c r="A20" s="1055" t="str">
        <f>F!A9</f>
        <v>F1.3</v>
      </c>
      <c r="B20" s="2083"/>
      <c r="C20" s="891" t="str">
        <f>F!C9</f>
        <v>Fen</v>
      </c>
      <c r="D20" s="131">
        <f>F!D9</f>
        <v>0</v>
      </c>
      <c r="E20" s="454">
        <v>5</v>
      </c>
      <c r="F20" s="450">
        <f>D20*E20</f>
        <v>0</v>
      </c>
      <c r="G20" s="1052"/>
      <c r="H20" s="2083"/>
      <c r="I20" s="2263"/>
      <c r="J20" s="227"/>
    </row>
    <row r="21" spans="1:10" s="8" customFormat="1" ht="19.5" customHeight="1" thickBot="1" x14ac:dyDescent="0.25">
      <c r="A21" s="1055" t="str">
        <f>F!A10</f>
        <v>F1.4</v>
      </c>
      <c r="B21" s="2083"/>
      <c r="C21" s="891" t="str">
        <f>F!C10</f>
        <v>Marsh or Shallow Open Water</v>
      </c>
      <c r="D21" s="131">
        <f>F!D10</f>
        <v>0</v>
      </c>
      <c r="E21" s="457">
        <v>6</v>
      </c>
      <c r="F21" s="451">
        <f>D21*E21</f>
        <v>0</v>
      </c>
      <c r="G21" s="1067"/>
      <c r="H21" s="2088"/>
      <c r="I21" s="2263"/>
      <c r="J21" s="227"/>
    </row>
    <row r="22" spans="1:10" s="8" customFormat="1" ht="54" customHeight="1" thickBot="1" x14ac:dyDescent="0.25">
      <c r="A22" s="2087" t="str">
        <f>F!A11</f>
        <v>F2</v>
      </c>
      <c r="B22" s="2087" t="str">
        <f>F!B11</f>
        <v>Wetland Types - Subordinate</v>
      </c>
      <c r="C22" s="53" t="str">
        <f>F!C11</f>
        <v>Mark all other vegetated wetland types in the AA that occupy more than 1 hectare or more than 1% of the vegetated AA.  Do not mark the predominant type again.  If AA is larger than 1 ha, see preliminary imagery-based answer provided by AESRD, but field-verify.</v>
      </c>
      <c r="D22" s="798"/>
      <c r="E22" s="798"/>
      <c r="F22" s="802"/>
      <c r="G22" s="441">
        <f>SUM(D23:D26)/4</f>
        <v>0</v>
      </c>
      <c r="H22" s="2087" t="s">
        <v>1277</v>
      </c>
      <c r="I22" s="2262" t="s">
        <v>1487</v>
      </c>
      <c r="J22" s="227"/>
    </row>
    <row r="23" spans="1:10" s="8" customFormat="1" ht="15" customHeight="1" x14ac:dyDescent="0.2">
      <c r="A23" s="2083"/>
      <c r="B23" s="2083"/>
      <c r="C23" s="750" t="str">
        <f>F!C12</f>
        <v>Wooded Swamp</v>
      </c>
      <c r="D23" s="795">
        <f>F!D12</f>
        <v>0</v>
      </c>
      <c r="E23" s="971"/>
      <c r="F23" s="448"/>
      <c r="G23" s="501"/>
      <c r="H23" s="2083"/>
      <c r="I23" s="2263"/>
      <c r="J23" s="227"/>
    </row>
    <row r="24" spans="1:10" s="8" customFormat="1" ht="15" customHeight="1" x14ac:dyDescent="0.2">
      <c r="A24" s="2083"/>
      <c r="B24" s="2083"/>
      <c r="C24" s="891" t="str">
        <f>F!C13</f>
        <v>Bog</v>
      </c>
      <c r="D24" s="795">
        <f>F!D13</f>
        <v>0</v>
      </c>
      <c r="E24" s="971"/>
      <c r="F24" s="448"/>
      <c r="G24" s="501"/>
      <c r="H24" s="2083"/>
      <c r="I24" s="2263"/>
      <c r="J24" s="227"/>
    </row>
    <row r="25" spans="1:10" s="8" customFormat="1" ht="15" customHeight="1" x14ac:dyDescent="0.2">
      <c r="A25" s="2083"/>
      <c r="B25" s="2083"/>
      <c r="C25" s="891" t="str">
        <f>F!C14</f>
        <v>Fen</v>
      </c>
      <c r="D25" s="795">
        <f>F!D14</f>
        <v>0</v>
      </c>
      <c r="E25" s="971"/>
      <c r="F25" s="448"/>
      <c r="G25" s="501"/>
      <c r="H25" s="2083"/>
      <c r="I25" s="2263"/>
      <c r="J25" s="227"/>
    </row>
    <row r="26" spans="1:10" s="8" customFormat="1" ht="15" customHeight="1" x14ac:dyDescent="0.2">
      <c r="A26" s="2083"/>
      <c r="B26" s="2083"/>
      <c r="C26" s="891" t="str">
        <f>F!C15</f>
        <v>Marsh or Shallow Open Water</v>
      </c>
      <c r="D26" s="795">
        <f>F!D15</f>
        <v>0</v>
      </c>
      <c r="E26" s="971"/>
      <c r="F26" s="448"/>
      <c r="G26" s="501"/>
      <c r="H26" s="2083"/>
      <c r="I26" s="2263"/>
      <c r="J26" s="227"/>
    </row>
    <row r="27" spans="1:10" s="8" customFormat="1" ht="15" customHeight="1" thickBot="1" x14ac:dyDescent="0.25">
      <c r="A27" s="2088"/>
      <c r="B27" s="2088"/>
      <c r="C27" s="1005" t="str">
        <f>F!C16</f>
        <v>no types other than the predominant one in F1 meet the area threshold.</v>
      </c>
      <c r="D27" s="126">
        <f>F!D16</f>
        <v>0</v>
      </c>
      <c r="E27" s="514"/>
      <c r="F27" s="517"/>
      <c r="G27" s="502"/>
      <c r="H27" s="2088"/>
      <c r="I27" s="2264"/>
      <c r="J27" s="227"/>
    </row>
    <row r="28" spans="1:10" s="8" customFormat="1" ht="39" customHeight="1" thickBot="1" x14ac:dyDescent="0.25">
      <c r="A28" s="2302" t="str">
        <f>F!A17</f>
        <v>F3</v>
      </c>
      <c r="B28" s="2083" t="str">
        <f>F!B17</f>
        <v>% Saturated Only</v>
      </c>
      <c r="C28" s="884" t="str">
        <f>F!C17</f>
        <v>The percentage of the AA that never contains surface water during an average year (that is, except perhaps for a few hours after snowmelt or rainstorms), but which is still a wetland, is:</v>
      </c>
      <c r="D28" s="447"/>
      <c r="E28" s="447"/>
      <c r="F28" s="448"/>
      <c r="G28" s="439">
        <f>MAX(F29:F34)/MAX(E29:E34)</f>
        <v>0</v>
      </c>
      <c r="H28" s="2087" t="s">
        <v>347</v>
      </c>
      <c r="I28" s="2263" t="s">
        <v>603</v>
      </c>
      <c r="J28" s="227"/>
    </row>
    <row r="29" spans="1:10" s="8" customFormat="1" ht="27" customHeight="1" x14ac:dyDescent="0.2">
      <c r="A29" s="2302"/>
      <c r="B29" s="2083"/>
      <c r="C29" s="1058" t="str">
        <f>F!C18</f>
        <v>less than 1%, or &lt;0.01 hectare (about 10 m on a side) never has surface water.  In other words, all or nearly all of the AA is inundated permanently or at least seasonally.</v>
      </c>
      <c r="D29" s="298">
        <f>F!D18</f>
        <v>0</v>
      </c>
      <c r="E29" s="450">
        <v>5</v>
      </c>
      <c r="F29" s="450">
        <f t="shared" ref="F29:F34" si="0">D29*E29</f>
        <v>0</v>
      </c>
      <c r="G29" s="501"/>
      <c r="H29" s="2083"/>
      <c r="I29" s="2263"/>
      <c r="J29" s="227"/>
    </row>
    <row r="30" spans="1:10" s="8" customFormat="1" ht="15" customHeight="1" x14ac:dyDescent="0.2">
      <c r="A30" s="2302"/>
      <c r="B30" s="2083"/>
      <c r="C30" s="1058" t="str">
        <f>F!C19</f>
        <v>1-25% of the AA never contains surface water.</v>
      </c>
      <c r="D30" s="298">
        <f>F!D19</f>
        <v>0</v>
      </c>
      <c r="E30" s="450">
        <v>6</v>
      </c>
      <c r="F30" s="450">
        <f t="shared" si="0"/>
        <v>0</v>
      </c>
      <c r="G30" s="501"/>
      <c r="H30" s="2083"/>
      <c r="I30" s="2263"/>
      <c r="J30" s="227"/>
    </row>
    <row r="31" spans="1:10" s="8" customFormat="1" ht="15" customHeight="1" x14ac:dyDescent="0.2">
      <c r="A31" s="2302"/>
      <c r="B31" s="2083"/>
      <c r="C31" s="1058" t="str">
        <f>F!C20</f>
        <v>25-50% of the AA never contains surface water.</v>
      </c>
      <c r="D31" s="298">
        <f>F!D20</f>
        <v>0</v>
      </c>
      <c r="E31" s="450">
        <v>4</v>
      </c>
      <c r="F31" s="450">
        <f t="shared" si="0"/>
        <v>0</v>
      </c>
      <c r="G31" s="501"/>
      <c r="H31" s="2083"/>
      <c r="I31" s="2263"/>
      <c r="J31" s="227"/>
    </row>
    <row r="32" spans="1:10" s="8" customFormat="1" ht="15" customHeight="1" x14ac:dyDescent="0.2">
      <c r="A32" s="2302"/>
      <c r="B32" s="2083"/>
      <c r="C32" s="1058" t="str">
        <f>F!C21</f>
        <v>50-99% of the AA never contains surface water.</v>
      </c>
      <c r="D32" s="298">
        <f>F!D21</f>
        <v>0</v>
      </c>
      <c r="E32" s="450">
        <v>3</v>
      </c>
      <c r="F32" s="450">
        <f t="shared" si="0"/>
        <v>0</v>
      </c>
      <c r="G32" s="501"/>
      <c r="H32" s="2083"/>
      <c r="I32" s="2263"/>
      <c r="J32" s="227"/>
    </row>
    <row r="33" spans="1:12" s="8" customFormat="1" ht="39" customHeight="1" x14ac:dyDescent="0.2">
      <c r="A33" s="2302"/>
      <c r="B33" s="2083"/>
      <c r="C33" s="1058" t="str">
        <f>F!C22</f>
        <v>&gt;99% of the AA never contains surface water, except for water flowing in channels and/or in pools that occupy &lt;1% of the AA. SKIP to F26 (Channel Connection &amp; Outflow Duration)</v>
      </c>
      <c r="D33" s="298">
        <f>F!D22</f>
        <v>0</v>
      </c>
      <c r="E33" s="450">
        <v>2</v>
      </c>
      <c r="F33" s="450">
        <f t="shared" si="0"/>
        <v>0</v>
      </c>
      <c r="G33" s="501"/>
      <c r="H33" s="2083"/>
      <c r="I33" s="2263"/>
      <c r="J33" s="227"/>
    </row>
    <row r="34" spans="1:12" s="8" customFormat="1" ht="27" customHeight="1" thickBot="1" x14ac:dyDescent="0.25">
      <c r="A34" s="2302"/>
      <c r="B34" s="2083"/>
      <c r="C34" s="206" t="str">
        <f>F!C23</f>
        <v>&gt;99% of the AA never contains surface water, and AA is not intersected by channels that have flow, not even for a few days per year. SKIP to F26.</v>
      </c>
      <c r="D34" s="1073">
        <f>F!D23</f>
        <v>0</v>
      </c>
      <c r="E34" s="806">
        <v>1</v>
      </c>
      <c r="F34" s="806">
        <f t="shared" si="0"/>
        <v>0</v>
      </c>
      <c r="G34" s="970"/>
      <c r="H34" s="2088"/>
      <c r="I34" s="2263"/>
      <c r="J34" s="227"/>
    </row>
    <row r="35" spans="1:12" s="7" customFormat="1" ht="30" customHeight="1" thickBot="1" x14ac:dyDescent="0.25">
      <c r="A35" s="2142" t="str">
        <f>F!A24</f>
        <v>F4</v>
      </c>
      <c r="B35" s="2087" t="str">
        <f>F!B24</f>
        <v>% with Persistent Surface Water</v>
      </c>
      <c r="C35" s="768" t="str">
        <f>F!C24</f>
        <v>The percentage of the AA that has surface water (either ponded or flowing, either open or obscured by vegetation) during all of the growing season during most years is:</v>
      </c>
      <c r="D35" s="523"/>
      <c r="E35" s="802"/>
      <c r="F35" s="498"/>
      <c r="G35" s="432">
        <f>IF((AllSat+AllSat&gt;0),"",MAX(F36:F41)/MAX(E36:E41))</f>
        <v>0</v>
      </c>
      <c r="H35" s="2077" t="s">
        <v>123</v>
      </c>
      <c r="I35" s="2259" t="s">
        <v>2070</v>
      </c>
      <c r="J35" s="194"/>
    </row>
    <row r="36" spans="1:12" ht="25.5" customHeight="1" x14ac:dyDescent="0.2">
      <c r="A36" s="2143"/>
      <c r="B36" s="2083"/>
      <c r="C36" s="750" t="str">
        <f>F!C25</f>
        <v>less than 1%, or &lt;0.01 hectare (whichever is less).  SKIP to F8 (% Flooded Only Seasonally).</v>
      </c>
      <c r="D36" s="795">
        <f>F!D25</f>
        <v>0</v>
      </c>
      <c r="E36" s="807">
        <v>0</v>
      </c>
      <c r="F36" s="803">
        <f t="shared" ref="F36:F41" si="1">D36*E36</f>
        <v>0</v>
      </c>
      <c r="G36" s="343"/>
      <c r="H36" s="2078"/>
      <c r="I36" s="2296"/>
      <c r="K36" s="154"/>
      <c r="L36" s="154"/>
    </row>
    <row r="37" spans="1:12" ht="15" customHeight="1" x14ac:dyDescent="0.2">
      <c r="A37" s="2143"/>
      <c r="B37" s="2083"/>
      <c r="C37" s="891" t="str">
        <f>F!C26</f>
        <v>1-25% of the AA, and mostly in narrow channels and/or small scattered pools.</v>
      </c>
      <c r="D37" s="795">
        <f>F!D26</f>
        <v>0</v>
      </c>
      <c r="E37" s="803">
        <v>1</v>
      </c>
      <c r="F37" s="803">
        <f t="shared" si="1"/>
        <v>0</v>
      </c>
      <c r="G37" s="493"/>
      <c r="H37" s="2078"/>
      <c r="I37" s="2296"/>
      <c r="K37" s="154"/>
      <c r="L37" s="154"/>
    </row>
    <row r="38" spans="1:12" ht="15" customHeight="1" x14ac:dyDescent="0.2">
      <c r="A38" s="2143"/>
      <c r="B38" s="2083"/>
      <c r="C38" s="891" t="str">
        <f>F!C27</f>
        <v>1-25% of the AA, and mostly in a single large pool, pond, and/or channel.</v>
      </c>
      <c r="D38" s="795">
        <f>F!D27</f>
        <v>0</v>
      </c>
      <c r="E38" s="803">
        <v>2</v>
      </c>
      <c r="F38" s="803">
        <f t="shared" si="1"/>
        <v>0</v>
      </c>
      <c r="G38" s="493"/>
      <c r="H38" s="2078"/>
      <c r="I38" s="2296"/>
      <c r="K38" s="154"/>
      <c r="L38" s="154"/>
    </row>
    <row r="39" spans="1:12" ht="15" customHeight="1" x14ac:dyDescent="0.2">
      <c r="A39" s="2143"/>
      <c r="B39" s="2083"/>
      <c r="C39" s="891" t="str">
        <f>F!C28</f>
        <v>25-50% of the AA</v>
      </c>
      <c r="D39" s="795">
        <f>F!D28</f>
        <v>0</v>
      </c>
      <c r="E39" s="803">
        <v>2</v>
      </c>
      <c r="F39" s="803">
        <f t="shared" si="1"/>
        <v>0</v>
      </c>
      <c r="G39" s="493"/>
      <c r="H39" s="2078"/>
      <c r="I39" s="2296"/>
      <c r="K39" s="154"/>
      <c r="L39" s="154"/>
    </row>
    <row r="40" spans="1:12" ht="15" customHeight="1" x14ac:dyDescent="0.2">
      <c r="A40" s="2143"/>
      <c r="B40" s="2083"/>
      <c r="C40" s="891" t="str">
        <f>F!C29</f>
        <v>50-95% of the AA</v>
      </c>
      <c r="D40" s="795">
        <f>F!D29</f>
        <v>0</v>
      </c>
      <c r="E40" s="803">
        <v>3</v>
      </c>
      <c r="F40" s="803">
        <f t="shared" si="1"/>
        <v>0</v>
      </c>
      <c r="G40" s="493"/>
      <c r="H40" s="2078"/>
      <c r="I40" s="2296"/>
      <c r="K40" s="154"/>
      <c r="L40" s="154"/>
    </row>
    <row r="41" spans="1:12" ht="15" customHeight="1" thickBot="1" x14ac:dyDescent="0.25">
      <c r="A41" s="2144"/>
      <c r="B41" s="2088"/>
      <c r="C41" s="1005" t="str">
        <f>F!C30</f>
        <v>&gt;95% of the AA</v>
      </c>
      <c r="D41" s="126">
        <f>F!D30</f>
        <v>0</v>
      </c>
      <c r="E41" s="509">
        <v>4</v>
      </c>
      <c r="F41" s="453">
        <f t="shared" si="1"/>
        <v>0</v>
      </c>
      <c r="G41" s="494"/>
      <c r="H41" s="2079"/>
      <c r="I41" s="2298"/>
      <c r="K41" s="154"/>
      <c r="L41" s="154"/>
    </row>
    <row r="42" spans="1:12" ht="33" customHeight="1" thickBot="1" x14ac:dyDescent="0.25">
      <c r="A42" s="2302" t="str">
        <f>F!A39</f>
        <v>F8</v>
      </c>
      <c r="B42" s="2083" t="str">
        <f>F!B39</f>
        <v>% Flooded Only Seasonally</v>
      </c>
      <c r="C42" s="884" t="str">
        <f>F!C39</f>
        <v>The percentage of the AA that is covered by surface water only during the wettest time of year (and for &gt;2 consecutive days during that time) is:</v>
      </c>
      <c r="D42" s="971"/>
      <c r="E42" s="448"/>
      <c r="F42" s="495"/>
      <c r="G42" s="439">
        <f>IF((AllSat+AllSat&gt;0),"",MAX(F43:F47)/MAX(E43:E47))</f>
        <v>0</v>
      </c>
      <c r="H42" s="2087" t="s">
        <v>121</v>
      </c>
      <c r="I42" s="2296" t="s">
        <v>2071</v>
      </c>
      <c r="K42" s="154"/>
      <c r="L42" s="154"/>
    </row>
    <row r="43" spans="1:12" ht="15" customHeight="1" x14ac:dyDescent="0.2">
      <c r="A43" s="2302"/>
      <c r="B43" s="2083"/>
      <c r="C43" s="889" t="str">
        <f>F!C40</f>
        <v xml:space="preserve">&lt;1%. </v>
      </c>
      <c r="D43" s="117">
        <f>F!D40</f>
        <v>0</v>
      </c>
      <c r="E43" s="450">
        <v>3</v>
      </c>
      <c r="F43" s="450">
        <f>D43*E43</f>
        <v>0</v>
      </c>
      <c r="G43" s="343"/>
      <c r="H43" s="2083"/>
      <c r="I43" s="2296"/>
      <c r="K43" s="154"/>
      <c r="L43" s="154"/>
    </row>
    <row r="44" spans="1:12" ht="15" customHeight="1" x14ac:dyDescent="0.2">
      <c r="A44" s="2302"/>
      <c r="B44" s="2083"/>
      <c r="C44" s="890" t="str">
        <f>F!C41</f>
        <v xml:space="preserve">1-25% </v>
      </c>
      <c r="D44" s="117">
        <f>F!D41</f>
        <v>0</v>
      </c>
      <c r="E44" s="450">
        <v>4</v>
      </c>
      <c r="F44" s="450">
        <f>D44*E44</f>
        <v>0</v>
      </c>
      <c r="G44" s="493"/>
      <c r="H44" s="2083"/>
      <c r="I44" s="2296"/>
      <c r="K44" s="154"/>
      <c r="L44" s="154"/>
    </row>
    <row r="45" spans="1:12" ht="15" customHeight="1" x14ac:dyDescent="0.2">
      <c r="A45" s="2302"/>
      <c r="B45" s="2083"/>
      <c r="C45" s="890" t="str">
        <f>F!C42</f>
        <v xml:space="preserve">25-50% </v>
      </c>
      <c r="D45" s="117">
        <f>F!D42</f>
        <v>0</v>
      </c>
      <c r="E45" s="450">
        <v>3</v>
      </c>
      <c r="F45" s="450">
        <f>D45*E45</f>
        <v>0</v>
      </c>
      <c r="G45" s="493"/>
      <c r="H45" s="2083"/>
      <c r="I45" s="2296"/>
      <c r="K45" s="154"/>
      <c r="L45" s="154"/>
    </row>
    <row r="46" spans="1:12" ht="15" customHeight="1" x14ac:dyDescent="0.2">
      <c r="A46" s="2302"/>
      <c r="B46" s="2083"/>
      <c r="C46" s="890" t="str">
        <f>F!C43</f>
        <v xml:space="preserve">50-95% </v>
      </c>
      <c r="D46" s="117">
        <f>F!D43</f>
        <v>0</v>
      </c>
      <c r="E46" s="450">
        <v>2</v>
      </c>
      <c r="F46" s="450">
        <f>D46*E46</f>
        <v>0</v>
      </c>
      <c r="G46" s="493"/>
      <c r="H46" s="2083"/>
      <c r="I46" s="2296"/>
      <c r="K46" s="154"/>
      <c r="L46" s="154"/>
    </row>
    <row r="47" spans="1:12" ht="21" customHeight="1" thickBot="1" x14ac:dyDescent="0.25">
      <c r="A47" s="2302"/>
      <c r="B47" s="2083"/>
      <c r="C47" s="891" t="str">
        <f>F!C44</f>
        <v xml:space="preserve">&gt;95% </v>
      </c>
      <c r="D47" s="795">
        <f>F!D44</f>
        <v>0</v>
      </c>
      <c r="E47" s="806">
        <v>1</v>
      </c>
      <c r="F47" s="806">
        <f>D47*E47</f>
        <v>0</v>
      </c>
      <c r="G47" s="967"/>
      <c r="H47" s="2088"/>
      <c r="I47" s="2296"/>
      <c r="K47" s="154"/>
      <c r="L47" s="154"/>
    </row>
    <row r="48" spans="1:12" ht="30" customHeight="1" thickBot="1" x14ac:dyDescent="0.25">
      <c r="A48" s="2142" t="str">
        <f>F!A45</f>
        <v>F9</v>
      </c>
      <c r="B48" s="2087" t="str">
        <f>F!B45</f>
        <v>Annual Water Fluctuation Range</v>
      </c>
      <c r="C48" s="116" t="str">
        <f>F!C45</f>
        <v>The annual fluctuation in surface water level within most of the parts of the AA that contain surface water is:</v>
      </c>
      <c r="D48" s="798"/>
      <c r="E48" s="802"/>
      <c r="F48" s="498"/>
      <c r="G48" s="441">
        <f>IF((AllSat+AllSat&gt;0),"",IF((NoSeasonal=1),"",MAX(F49:F52)/MAX(E49:E52)))</f>
        <v>0</v>
      </c>
      <c r="H48" s="2087" t="s">
        <v>1152</v>
      </c>
      <c r="I48" s="2299" t="s">
        <v>2264</v>
      </c>
      <c r="K48" s="154"/>
      <c r="L48" s="154"/>
    </row>
    <row r="49" spans="1:12" ht="15" customHeight="1" x14ac:dyDescent="0.2">
      <c r="A49" s="2143"/>
      <c r="B49" s="2083"/>
      <c r="C49" s="953" t="str">
        <f>F!C46</f>
        <v xml:space="preserve">&lt;10 cm change (stable) </v>
      </c>
      <c r="D49" s="779">
        <f>F!D46</f>
        <v>0</v>
      </c>
      <c r="E49" s="803">
        <v>3</v>
      </c>
      <c r="F49" s="803">
        <f>D49*E49</f>
        <v>0</v>
      </c>
      <c r="G49" s="343"/>
      <c r="H49" s="2083"/>
      <c r="I49" s="2300"/>
      <c r="K49" s="154"/>
      <c r="L49" s="154"/>
    </row>
    <row r="50" spans="1:12" ht="15" customHeight="1" x14ac:dyDescent="0.2">
      <c r="A50" s="2143"/>
      <c r="B50" s="2083"/>
      <c r="C50" s="785" t="str">
        <f>F!C47</f>
        <v>10 cm - 50 cm change</v>
      </c>
      <c r="D50" s="771">
        <f>F!D47</f>
        <v>0</v>
      </c>
      <c r="E50" s="803">
        <v>4</v>
      </c>
      <c r="F50" s="803">
        <f>D50*E50</f>
        <v>0</v>
      </c>
      <c r="G50" s="493"/>
      <c r="H50" s="2083"/>
      <c r="I50" s="2300"/>
      <c r="K50" s="154"/>
      <c r="L50" s="154"/>
    </row>
    <row r="51" spans="1:12" ht="15" customHeight="1" x14ac:dyDescent="0.2">
      <c r="A51" s="2143"/>
      <c r="B51" s="2083"/>
      <c r="C51" s="785" t="str">
        <f>F!C49</f>
        <v>1-2 m change</v>
      </c>
      <c r="D51" s="779">
        <f>F!D49</f>
        <v>0</v>
      </c>
      <c r="E51" s="803">
        <v>2</v>
      </c>
      <c r="F51" s="803">
        <f>D51*E51</f>
        <v>0</v>
      </c>
      <c r="G51" s="493"/>
      <c r="H51" s="2083"/>
      <c r="I51" s="2300"/>
      <c r="K51" s="154"/>
      <c r="L51" s="154"/>
    </row>
    <row r="52" spans="1:12" ht="15" customHeight="1" thickBot="1" x14ac:dyDescent="0.25">
      <c r="A52" s="2144"/>
      <c r="B52" s="2088"/>
      <c r="C52" s="106" t="str">
        <f>F!C50</f>
        <v>&gt;2 m change</v>
      </c>
      <c r="D52" s="105">
        <f>F!D50</f>
        <v>0</v>
      </c>
      <c r="E52" s="453">
        <v>1</v>
      </c>
      <c r="F52" s="453">
        <f>D52*E52</f>
        <v>0</v>
      </c>
      <c r="G52" s="494"/>
      <c r="H52" s="2088"/>
      <c r="I52" s="2301"/>
      <c r="K52" s="154"/>
      <c r="L52" s="154"/>
    </row>
    <row r="53" spans="1:12" ht="30" customHeight="1" thickBot="1" x14ac:dyDescent="0.25">
      <c r="A53" s="2302" t="str">
        <f>F!A52</f>
        <v>F10</v>
      </c>
      <c r="B53" s="2083" t="str">
        <f>F!B52</f>
        <v>Predominant Depth Class</v>
      </c>
      <c r="C53" s="886" t="str">
        <f>F!C52</f>
        <v>During most of the time when water is present, its depth in most of the area is: [Note: This is not asking for the maximum depth.]</v>
      </c>
      <c r="D53" s="971"/>
      <c r="E53" s="448"/>
      <c r="F53" s="495"/>
      <c r="G53" s="439">
        <f>IF((AllSat+AllSat&gt;0),"", IF((SmallAA=1),"", MAX(F54:F58)/MAX(E54:E58)))</f>
        <v>0</v>
      </c>
      <c r="H53" s="2087" t="s">
        <v>124</v>
      </c>
      <c r="I53" s="2296" t="s">
        <v>2072</v>
      </c>
      <c r="K53" s="154"/>
      <c r="L53" s="154"/>
    </row>
    <row r="54" spans="1:12" ht="15" customHeight="1" x14ac:dyDescent="0.2">
      <c r="A54" s="2302"/>
      <c r="B54" s="2083"/>
      <c r="C54" s="953" t="str">
        <f>F!C53</f>
        <v>&lt;10 cm deep (but &gt;0)</v>
      </c>
      <c r="D54" s="50">
        <f>F!D53</f>
        <v>0</v>
      </c>
      <c r="E54" s="450">
        <v>3</v>
      </c>
      <c r="F54" s="450">
        <f>D54*E54</f>
        <v>0</v>
      </c>
      <c r="G54" s="343"/>
      <c r="H54" s="2083"/>
      <c r="I54" s="2296"/>
      <c r="K54" s="154"/>
      <c r="L54" s="154"/>
    </row>
    <row r="55" spans="1:12" ht="15" customHeight="1" x14ac:dyDescent="0.2">
      <c r="A55" s="2302"/>
      <c r="B55" s="2083"/>
      <c r="C55" s="785" t="str">
        <f>F!C54</f>
        <v>10 - 50 cm deep</v>
      </c>
      <c r="D55" s="117">
        <f>F!D54</f>
        <v>0</v>
      </c>
      <c r="E55" s="450">
        <v>5</v>
      </c>
      <c r="F55" s="450">
        <f>D55*E55</f>
        <v>0</v>
      </c>
      <c r="G55" s="493"/>
      <c r="H55" s="2083"/>
      <c r="I55" s="2296"/>
      <c r="K55" s="154"/>
      <c r="L55" s="154"/>
    </row>
    <row r="56" spans="1:12" ht="15" customHeight="1" x14ac:dyDescent="0.2">
      <c r="A56" s="2302"/>
      <c r="B56" s="2083"/>
      <c r="C56" s="785" t="str">
        <f>F!C55</f>
        <v>0.5 - 1 m deep</v>
      </c>
      <c r="D56" s="50">
        <f>F!D55</f>
        <v>0</v>
      </c>
      <c r="E56" s="450">
        <v>4</v>
      </c>
      <c r="F56" s="450">
        <f>D56*E56</f>
        <v>0</v>
      </c>
      <c r="G56" s="493"/>
      <c r="H56" s="2083"/>
      <c r="I56" s="2296"/>
      <c r="K56" s="154"/>
      <c r="L56" s="154"/>
    </row>
    <row r="57" spans="1:12" ht="15" customHeight="1" x14ac:dyDescent="0.2">
      <c r="A57" s="2302"/>
      <c r="B57" s="2083"/>
      <c r="C57" s="785" t="str">
        <f>F!C56</f>
        <v>1 - 2 m deep</v>
      </c>
      <c r="D57" s="50">
        <f>F!D56</f>
        <v>0</v>
      </c>
      <c r="E57" s="450">
        <v>2</v>
      </c>
      <c r="F57" s="450">
        <f>D57*E57</f>
        <v>0</v>
      </c>
      <c r="G57" s="493"/>
      <c r="H57" s="2083"/>
      <c r="I57" s="2296"/>
      <c r="K57" s="154"/>
      <c r="L57" s="154"/>
    </row>
    <row r="58" spans="1:12" ht="15" customHeight="1" thickBot="1" x14ac:dyDescent="0.25">
      <c r="A58" s="2302"/>
      <c r="B58" s="2083"/>
      <c r="C58" s="784" t="str">
        <f>F!C57</f>
        <v>&gt;2 m deep.  True for many fringe wetlands.</v>
      </c>
      <c r="D58" s="775">
        <f>F!D57</f>
        <v>0</v>
      </c>
      <c r="E58" s="806">
        <v>1</v>
      </c>
      <c r="F58" s="806">
        <f>D58*E58</f>
        <v>0</v>
      </c>
      <c r="G58" s="967"/>
      <c r="H58" s="2088"/>
      <c r="I58" s="2296"/>
      <c r="K58" s="154"/>
      <c r="L58" s="154"/>
    </row>
    <row r="59" spans="1:12" ht="21" customHeight="1" thickBot="1" x14ac:dyDescent="0.25">
      <c r="A59" s="2253" t="str">
        <f>F!A58</f>
        <v>F11</v>
      </c>
      <c r="B59" s="2243" t="str">
        <f>F!B58</f>
        <v>Depth Classes - Evenness of Proportions</v>
      </c>
      <c r="C59" s="1046" t="str">
        <f>F!C58</f>
        <v>When present, surface water in most of the AA usually consists of (select one):</v>
      </c>
      <c r="D59" s="523"/>
      <c r="E59" s="802"/>
      <c r="F59" s="498"/>
      <c r="G59" s="432">
        <f>IF((AllSat+AllSat&gt;0),"", IF((SmallAA=1),"", MAX(F60:F62)/MAX(E60:E62)))</f>
        <v>0</v>
      </c>
      <c r="H59" s="2087" t="s">
        <v>625</v>
      </c>
      <c r="I59" s="2283" t="s">
        <v>2073</v>
      </c>
      <c r="K59" s="154"/>
      <c r="L59" s="154"/>
    </row>
    <row r="60" spans="1:12" ht="27" customHeight="1" x14ac:dyDescent="0.2">
      <c r="A60" s="2151"/>
      <c r="B60" s="2244"/>
      <c r="C60" s="1059" t="str">
        <f>F!C59</f>
        <v>One depth class that comprises &gt;90% of the AA’s inundated area (use the classes in the question above).</v>
      </c>
      <c r="D60" s="965">
        <f>F!D59</f>
        <v>0</v>
      </c>
      <c r="E60" s="803">
        <v>0</v>
      </c>
      <c r="F60" s="803">
        <f>D60*E60</f>
        <v>0</v>
      </c>
      <c r="G60" s="343"/>
      <c r="H60" s="2083"/>
      <c r="I60" s="2284"/>
      <c r="K60" s="154"/>
      <c r="L60" s="154"/>
    </row>
    <row r="61" spans="1:12" ht="15" customHeight="1" x14ac:dyDescent="0.2">
      <c r="A61" s="2151"/>
      <c r="B61" s="2244"/>
      <c r="C61" s="694" t="str">
        <f>F!C60</f>
        <v>One depth class that comprises 60-90% of the AA's inundated area.</v>
      </c>
      <c r="D61" s="965">
        <f>F!D60</f>
        <v>0</v>
      </c>
      <c r="E61" s="803">
        <v>1</v>
      </c>
      <c r="F61" s="803">
        <f>D61*E61</f>
        <v>0</v>
      </c>
      <c r="G61" s="493"/>
      <c r="H61" s="2083"/>
      <c r="I61" s="2284"/>
      <c r="K61" s="154"/>
      <c r="L61" s="154"/>
    </row>
    <row r="62" spans="1:12" ht="15" customHeight="1" thickBot="1" x14ac:dyDescent="0.25">
      <c r="A62" s="2254"/>
      <c r="B62" s="2245"/>
      <c r="C62" s="695" t="str">
        <f>F!C61</f>
        <v>Neither of above.  Multiple depth classes; none occupy more than 50% of the AA.</v>
      </c>
      <c r="D62" s="134">
        <f>F!D61</f>
        <v>0</v>
      </c>
      <c r="E62" s="453">
        <v>2</v>
      </c>
      <c r="F62" s="453">
        <f>D62*E62</f>
        <v>0</v>
      </c>
      <c r="G62" s="494"/>
      <c r="H62" s="2088"/>
      <c r="I62" s="2285"/>
      <c r="K62" s="154"/>
      <c r="L62" s="154"/>
    </row>
    <row r="63" spans="1:12" ht="42" customHeight="1" thickBot="1" x14ac:dyDescent="0.25">
      <c r="A63" s="2257" t="str">
        <f>F!A71</f>
        <v>F14</v>
      </c>
      <c r="B63" s="2086" t="str">
        <f>F!B71</f>
        <v xml:space="preserve">% of Ponded Water That Is Open </v>
      </c>
      <c r="C63" s="1010" t="str">
        <f>F!C71</f>
        <v>In ducks-eye aerial view, the percentage of the ponded water that is open (lacking emergent vegetation during most of the growing season, and unhidden by a forest or shrub canopy) is:</v>
      </c>
      <c r="D63" s="798"/>
      <c r="E63" s="802"/>
      <c r="F63" s="498"/>
      <c r="G63" s="432">
        <f>IF((AllSat+AllSat&gt;0),"",IF((NoPonded=1),"", IF((SmallAA=1),"", MAX(F64:F69)/MAX(E64:E69))))</f>
        <v>0</v>
      </c>
      <c r="H63" s="2087" t="s">
        <v>1256</v>
      </c>
      <c r="I63" s="2259" t="s">
        <v>2074</v>
      </c>
      <c r="K63" s="154"/>
      <c r="L63" s="154"/>
    </row>
    <row r="64" spans="1:12" ht="27" customHeight="1" x14ac:dyDescent="0.2">
      <c r="A64" s="2152"/>
      <c r="B64" s="2084"/>
      <c r="C64" s="1011" t="str">
        <f>F!C72</f>
        <v>&lt;1% or none, or largest pool occupies &lt;0.01 hectares.  Enter "1" and SKIP to F20 (Floating Algae &amp; Duckweed).</v>
      </c>
      <c r="D64" s="808">
        <f>F!D72</f>
        <v>0</v>
      </c>
      <c r="E64" s="803">
        <v>1</v>
      </c>
      <c r="F64" s="803">
        <f t="shared" ref="F64:F69" si="2">D64*E64</f>
        <v>0</v>
      </c>
      <c r="G64" s="343"/>
      <c r="H64" s="2083"/>
      <c r="I64" s="2296"/>
      <c r="K64" s="154"/>
      <c r="L64" s="154"/>
    </row>
    <row r="65" spans="1:12" ht="15" customHeight="1" x14ac:dyDescent="0.2">
      <c r="A65" s="2152"/>
      <c r="B65" s="2084"/>
      <c r="C65" s="787" t="str">
        <f>F!C73</f>
        <v>1-5% of the ponded water.  Enter "1" and SKIP to F20.</v>
      </c>
      <c r="D65" s="808">
        <f>F!D73</f>
        <v>0</v>
      </c>
      <c r="E65" s="803">
        <v>3</v>
      </c>
      <c r="F65" s="803">
        <f t="shared" si="2"/>
        <v>0</v>
      </c>
      <c r="G65" s="493"/>
      <c r="H65" s="2083"/>
      <c r="I65" s="2296"/>
      <c r="K65" s="154"/>
      <c r="L65" s="154"/>
    </row>
    <row r="66" spans="1:12" ht="15" customHeight="1" x14ac:dyDescent="0.2">
      <c r="A66" s="2152"/>
      <c r="B66" s="2084"/>
      <c r="C66" s="787" t="str">
        <f>F!C74</f>
        <v>5-30% of the ponded water.</v>
      </c>
      <c r="D66" s="808">
        <f>F!D74</f>
        <v>0</v>
      </c>
      <c r="E66" s="803">
        <v>4</v>
      </c>
      <c r="F66" s="803">
        <f t="shared" si="2"/>
        <v>0</v>
      </c>
      <c r="G66" s="493"/>
      <c r="H66" s="2083"/>
      <c r="I66" s="2296"/>
      <c r="K66" s="154"/>
      <c r="L66" s="154"/>
    </row>
    <row r="67" spans="1:12" ht="15" customHeight="1" x14ac:dyDescent="0.2">
      <c r="A67" s="2152"/>
      <c r="B67" s="2084"/>
      <c r="C67" s="787" t="str">
        <f>F!C75</f>
        <v>30-70% of the ponded water.</v>
      </c>
      <c r="D67" s="808">
        <f>F!D75</f>
        <v>0</v>
      </c>
      <c r="E67" s="803">
        <v>6</v>
      </c>
      <c r="F67" s="803">
        <f t="shared" si="2"/>
        <v>0</v>
      </c>
      <c r="G67" s="493"/>
      <c r="H67" s="2083"/>
      <c r="I67" s="2296"/>
      <c r="K67" s="154"/>
      <c r="L67" s="154"/>
    </row>
    <row r="68" spans="1:12" ht="15" customHeight="1" x14ac:dyDescent="0.2">
      <c r="A68" s="2152"/>
      <c r="B68" s="2084"/>
      <c r="C68" s="787" t="str">
        <f>F!C76</f>
        <v>70-99% of the ponded water.</v>
      </c>
      <c r="D68" s="808">
        <f>F!D76</f>
        <v>0</v>
      </c>
      <c r="E68" s="803">
        <v>2</v>
      </c>
      <c r="F68" s="803">
        <f t="shared" si="2"/>
        <v>0</v>
      </c>
      <c r="G68" s="967"/>
      <c r="H68" s="2083"/>
      <c r="I68" s="2296"/>
      <c r="K68" s="154"/>
      <c r="L68" s="154"/>
    </row>
    <row r="69" spans="1:12" ht="15" customHeight="1" thickBot="1" x14ac:dyDescent="0.25">
      <c r="A69" s="2280"/>
      <c r="B69" s="2085"/>
      <c r="C69" s="1060" t="str">
        <f>F!C77</f>
        <v xml:space="preserve">100% of the ponded water. </v>
      </c>
      <c r="D69" s="300">
        <f>F!D77</f>
        <v>0</v>
      </c>
      <c r="E69" s="453">
        <v>0</v>
      </c>
      <c r="F69" s="453">
        <f t="shared" si="2"/>
        <v>0</v>
      </c>
      <c r="G69" s="494"/>
      <c r="H69" s="2088"/>
      <c r="I69" s="2298"/>
      <c r="K69" s="154"/>
      <c r="L69" s="154"/>
    </row>
    <row r="70" spans="1:12" ht="51" customHeight="1" thickBot="1" x14ac:dyDescent="0.25">
      <c r="A70" s="2142" t="str">
        <f>F!A91</f>
        <v>F17</v>
      </c>
      <c r="B70" s="2087" t="str">
        <f>F!B91</f>
        <v>Non-vegetated Aquatic Cover</v>
      </c>
      <c r="C70" s="768" t="str">
        <f>F!C91</f>
        <v>Near waters that are deeper than 0.5 m, the cover for fish, aquatic invertebrates, and/or amphibians that is provided by horizontally incised banks and/or partly-submerged accumulations of wood thicker than 10 cm (NOT by living vegetation) is:</v>
      </c>
      <c r="D70" s="798"/>
      <c r="E70" s="802"/>
      <c r="F70" s="802"/>
      <c r="G70" s="432" t="str">
        <f>IF((AllSat+AllSat&gt;0),"",IF((OpenW=0),"", IF((SmallAA=1),"", MAX(F71:F73)/MAX(E71:E73))))</f>
        <v/>
      </c>
      <c r="H70" s="2087" t="s">
        <v>122</v>
      </c>
      <c r="I70" s="2262" t="s">
        <v>2250</v>
      </c>
      <c r="K70" s="154"/>
      <c r="L70" s="154"/>
    </row>
    <row r="71" spans="1:12" ht="24" customHeight="1" x14ac:dyDescent="0.2">
      <c r="A71" s="2143"/>
      <c r="B71" s="2083"/>
      <c r="C71" s="889" t="str">
        <f>F!C92</f>
        <v>Little or none, or all water is shallower than 0.5 m most of the year.</v>
      </c>
      <c r="D71" s="771">
        <f>F!D92</f>
        <v>0</v>
      </c>
      <c r="E71" s="803">
        <v>0</v>
      </c>
      <c r="F71" s="803">
        <f>D71*E71</f>
        <v>0</v>
      </c>
      <c r="G71" s="493"/>
      <c r="H71" s="2083"/>
      <c r="I71" s="2263"/>
      <c r="K71" s="154"/>
      <c r="L71" s="154"/>
    </row>
    <row r="72" spans="1:12" ht="24" customHeight="1" x14ac:dyDescent="0.2">
      <c r="A72" s="2143"/>
      <c r="B72" s="2083"/>
      <c r="C72" s="890" t="str">
        <f>F!C93</f>
        <v>Intermediate</v>
      </c>
      <c r="D72" s="771">
        <f>F!D93</f>
        <v>0</v>
      </c>
      <c r="E72" s="803">
        <v>1</v>
      </c>
      <c r="F72" s="803">
        <f>D72*E72</f>
        <v>0</v>
      </c>
      <c r="G72" s="493"/>
      <c r="H72" s="2083"/>
      <c r="I72" s="2263"/>
      <c r="K72" s="154"/>
      <c r="L72" s="154"/>
    </row>
    <row r="73" spans="1:12" ht="30" customHeight="1" thickBot="1" x14ac:dyDescent="0.25">
      <c r="A73" s="2144"/>
      <c r="B73" s="2088"/>
      <c r="C73" s="1005" t="str">
        <f>F!C94</f>
        <v>Extensive</v>
      </c>
      <c r="D73" s="126">
        <f>F!D94</f>
        <v>0</v>
      </c>
      <c r="E73" s="453">
        <v>2</v>
      </c>
      <c r="F73" s="453">
        <f>D73*E73</f>
        <v>0</v>
      </c>
      <c r="G73" s="494"/>
      <c r="H73" s="2088"/>
      <c r="I73" s="2264"/>
      <c r="K73" s="154"/>
      <c r="L73" s="154"/>
    </row>
    <row r="74" spans="1:12" ht="30" customHeight="1" thickBot="1" x14ac:dyDescent="0.25">
      <c r="A74" s="2302" t="str">
        <f>F!A95</f>
        <v>F18</v>
      </c>
      <c r="B74" s="2083" t="str">
        <f>F!B95</f>
        <v>Interspersion of Robust Emergents &amp; Open Water</v>
      </c>
      <c r="C74" s="884" t="str">
        <f>F!C95</f>
        <v>During most of the growing season, the spatial pattern of tall robust herbaceous vegetation (e.g., cattail, bulrush) that has surface water beneath it is mostly:</v>
      </c>
      <c r="D74" s="971"/>
      <c r="E74" s="448"/>
      <c r="F74" s="495"/>
      <c r="G74" s="426">
        <f>IF((AllSat+AllSat&gt;0),"",IF((NoPonded=1),"",IF((NoOpenPonded+NoOpenPonded1&gt;0),"",IF((AllOpenPond=1),"", IF((SmallAA=1),"", MAX(F75:F77)/MAX(E75:E77))))))</f>
        <v>0</v>
      </c>
      <c r="H74" s="2083" t="s">
        <v>125</v>
      </c>
      <c r="I74" s="2263" t="s">
        <v>2075</v>
      </c>
      <c r="K74" s="154"/>
      <c r="L74" s="154"/>
    </row>
    <row r="75" spans="1:12" ht="15" customHeight="1" x14ac:dyDescent="0.2">
      <c r="A75" s="2302"/>
      <c r="B75" s="2083"/>
      <c r="C75" s="889" t="str">
        <f>F!C96</f>
        <v>Scattered in small clumps, islands, or patches throughout the surface water area.</v>
      </c>
      <c r="D75" s="271">
        <f>F!D96</f>
        <v>0</v>
      </c>
      <c r="E75" s="450">
        <v>3</v>
      </c>
      <c r="F75" s="450">
        <f>D75*E75</f>
        <v>0</v>
      </c>
      <c r="G75" s="501"/>
      <c r="H75" s="2083"/>
      <c r="I75" s="2263"/>
      <c r="K75" s="154"/>
      <c r="L75" s="154"/>
    </row>
    <row r="76" spans="1:12" ht="15" customHeight="1" x14ac:dyDescent="0.2">
      <c r="A76" s="2302"/>
      <c r="B76" s="2083"/>
      <c r="C76" s="890" t="str">
        <f>F!C97</f>
        <v>Intermediate</v>
      </c>
      <c r="D76" s="117">
        <f>F!D97</f>
        <v>0</v>
      </c>
      <c r="E76" s="450">
        <v>2</v>
      </c>
      <c r="F76" s="450">
        <f>D76*E76</f>
        <v>0</v>
      </c>
      <c r="G76" s="501"/>
      <c r="H76" s="2083"/>
      <c r="I76" s="2263"/>
      <c r="K76" s="154"/>
      <c r="L76" s="154"/>
    </row>
    <row r="77" spans="1:12" ht="27" customHeight="1" thickBot="1" x14ac:dyDescent="0.25">
      <c r="A77" s="2302"/>
      <c r="B77" s="2083"/>
      <c r="C77" s="891" t="str">
        <f>F!C98</f>
        <v>Clumped at one or a few sides of the surface water area, or mostly surrounds a central area of open water.  Or such vegetation is absent or covers &lt;9 sq m and &lt;1% of the AA.</v>
      </c>
      <c r="D77" s="795">
        <f>F!D98</f>
        <v>0</v>
      </c>
      <c r="E77" s="806">
        <v>1</v>
      </c>
      <c r="F77" s="806">
        <f>D77*E77</f>
        <v>0</v>
      </c>
      <c r="G77" s="970"/>
      <c r="H77" s="2088"/>
      <c r="I77" s="2263"/>
      <c r="K77" s="154"/>
      <c r="L77" s="154"/>
    </row>
    <row r="78" spans="1:12" ht="30" customHeight="1" thickBot="1" x14ac:dyDescent="0.25">
      <c r="A78" s="658" t="str">
        <f>F!A101</f>
        <v>F21</v>
      </c>
      <c r="B78" s="102" t="str">
        <f>F!B101</f>
        <v>Stained Surface Water</v>
      </c>
      <c r="C78" s="1061" t="str">
        <f>F!C101</f>
        <v xml:space="preserve">Most surface water is tea-colored (from tannins, not iron bacteria or silt), and/or its pH is usually &lt;5.5. Nearby vegetation is mostly moss and/or conifers. </v>
      </c>
      <c r="D78" s="122">
        <f>F!D101</f>
        <v>0</v>
      </c>
      <c r="E78" s="505"/>
      <c r="F78" s="505"/>
      <c r="G78" s="432">
        <f>1-D78</f>
        <v>1</v>
      </c>
      <c r="H78" s="53" t="s">
        <v>1000</v>
      </c>
      <c r="I78" s="1033" t="s">
        <v>1391</v>
      </c>
      <c r="K78" s="154"/>
      <c r="L78" s="154"/>
    </row>
    <row r="79" spans="1:12" ht="60" customHeight="1" thickBot="1" x14ac:dyDescent="0.25">
      <c r="A79" s="658" t="str">
        <f>F!A102</f>
        <v>F22</v>
      </c>
      <c r="B79" s="102" t="str">
        <f>F!B102</f>
        <v>Fish</v>
      </c>
      <c r="C79" s="129" t="str">
        <f>F!C102</f>
        <v>Fish (native or stocked) are known to be present in the AA.  Or fish can access at least part of the AA during one or more days annually.  If uncertain, use answer from Form OF, item  OF15, or enter "0".</v>
      </c>
      <c r="D79" s="122">
        <f>F!D102</f>
        <v>0</v>
      </c>
      <c r="E79" s="505"/>
      <c r="F79" s="506"/>
      <c r="G79" s="470">
        <f>1-D79</f>
        <v>1</v>
      </c>
      <c r="H79" s="53" t="s">
        <v>134</v>
      </c>
      <c r="I79" s="1087" t="s">
        <v>2251</v>
      </c>
      <c r="K79" s="154"/>
      <c r="L79" s="154"/>
    </row>
    <row r="80" spans="1:12" ht="30" customHeight="1" thickBot="1" x14ac:dyDescent="0.25">
      <c r="A80" s="2087" t="str">
        <f>F!A109</f>
        <v>F25</v>
      </c>
      <c r="B80" s="2087" t="str">
        <f>F!B109</f>
        <v>Through Flow Pattern</v>
      </c>
      <c r="C80" s="116" t="str">
        <f>F!C109</f>
        <v>During its travel through the AA at the time of peak annual flow, most of the water arriving in channels [select only the ONE encountered by most of the incoming water]:</v>
      </c>
      <c r="D80" s="798"/>
      <c r="E80" s="802"/>
      <c r="F80" s="498"/>
      <c r="G80" s="432" t="str">
        <f>IF((AllSat=1),"", IF((Inflows=0),"",MAX(F81:F85)/MAX(E81:E85)))</f>
        <v/>
      </c>
      <c r="H80" s="2087" t="s">
        <v>127</v>
      </c>
      <c r="I80" s="2259" t="s">
        <v>2076</v>
      </c>
      <c r="K80" s="154"/>
      <c r="L80" s="154"/>
    </row>
    <row r="81" spans="1:16" ht="42" customHeight="1" x14ac:dyDescent="0.2">
      <c r="A81" s="2083"/>
      <c r="B81" s="2083"/>
      <c r="C81" s="1091" t="str">
        <f>F!C110</f>
        <v>Does not bump into plant stems as it travels through the AA.  Nearly all the water continues to travel in unvegetated (often incised) channels that have little contact with wetland vegetation, or through a zone of open water such as an instream pond or lake.</v>
      </c>
      <c r="D81" s="1088">
        <f>F!D110</f>
        <v>0</v>
      </c>
      <c r="E81" s="448">
        <v>0</v>
      </c>
      <c r="F81" s="448">
        <f>D81*E81</f>
        <v>0</v>
      </c>
      <c r="G81" s="343"/>
      <c r="H81" s="2083"/>
      <c r="I81" s="2296"/>
      <c r="K81" s="154"/>
      <c r="L81" s="154"/>
    </row>
    <row r="82" spans="1:16" ht="15" customHeight="1" x14ac:dyDescent="0.2">
      <c r="A82" s="2083"/>
      <c r="B82" s="2083"/>
      <c r="C82" s="158" t="str">
        <f>F!C111</f>
        <v>bumps into herbaceous vegetation but mostly remains in fairly straight channels.</v>
      </c>
      <c r="D82" s="1041">
        <f>F!D111</f>
        <v>0</v>
      </c>
      <c r="E82" s="803">
        <v>1</v>
      </c>
      <c r="F82" s="803">
        <f>D82*E82</f>
        <v>0</v>
      </c>
      <c r="G82" s="493"/>
      <c r="H82" s="2083"/>
      <c r="I82" s="2296"/>
      <c r="K82" s="154"/>
      <c r="L82" s="154"/>
    </row>
    <row r="83" spans="1:16" ht="27" customHeight="1" x14ac:dyDescent="0.2">
      <c r="A83" s="2083"/>
      <c r="B83" s="2083"/>
      <c r="C83" s="893" t="str">
        <f>F!C112</f>
        <v>bumps into herbaceous vegetation and mostly spreads throughout, or is in widely  meandering, multi-branched, or braided channels.</v>
      </c>
      <c r="D83" s="1089">
        <f>F!D112</f>
        <v>0</v>
      </c>
      <c r="E83" s="803">
        <v>2</v>
      </c>
      <c r="F83" s="803">
        <f>D83*E83</f>
        <v>0</v>
      </c>
      <c r="G83" s="493"/>
      <c r="H83" s="2083"/>
      <c r="I83" s="2296"/>
      <c r="K83" s="154"/>
      <c r="L83" s="154"/>
    </row>
    <row r="84" spans="1:16" ht="15" customHeight="1" x14ac:dyDescent="0.2">
      <c r="A84" s="2083"/>
      <c r="B84" s="2083"/>
      <c r="C84" s="1021" t="str">
        <f>F!C113</f>
        <v>bumps into tree trunks and/or shrub stems but mostly remains in fairly straight channels.</v>
      </c>
      <c r="D84" s="779">
        <f>F!D113</f>
        <v>0</v>
      </c>
      <c r="E84" s="803">
        <v>1</v>
      </c>
      <c r="F84" s="803">
        <f>D84*E84</f>
        <v>0</v>
      </c>
      <c r="G84" s="493"/>
      <c r="H84" s="2083"/>
      <c r="I84" s="2296"/>
      <c r="K84" s="154"/>
      <c r="L84" s="154"/>
    </row>
    <row r="85" spans="1:16" ht="27.6" customHeight="1" thickBot="1" x14ac:dyDescent="0.25">
      <c r="A85" s="2088"/>
      <c r="B85" s="2088"/>
      <c r="C85" s="894" t="str">
        <f>F!C114</f>
        <v>bumps into tree trunks and/or shrub stems and follows a fairly indirect path from entrance to exit (meandering, multi-branched, or braided)</v>
      </c>
      <c r="D85" s="1092">
        <f>F!D114</f>
        <v>0</v>
      </c>
      <c r="E85" s="453">
        <v>2</v>
      </c>
      <c r="F85" s="453">
        <f>D85*E85</f>
        <v>0</v>
      </c>
      <c r="G85" s="494"/>
      <c r="H85" s="2088"/>
      <c r="I85" s="2298"/>
      <c r="K85" s="154"/>
      <c r="L85" s="154"/>
    </row>
    <row r="86" spans="1:16" ht="21" customHeight="1" thickBot="1" x14ac:dyDescent="0.25">
      <c r="A86" s="2142" t="str">
        <f>F!A125</f>
        <v>F28</v>
      </c>
      <c r="B86" s="2087" t="str">
        <f>F!B125</f>
        <v>Groundwater: Strength of Evidence</v>
      </c>
      <c r="C86" s="768" t="str">
        <f>F!C125</f>
        <v xml:space="preserve">Select first applicable choice. </v>
      </c>
      <c r="D86" s="798"/>
      <c r="E86" s="802"/>
      <c r="F86" s="498"/>
      <c r="G86" s="432">
        <f>IF((D89=1),"",MAX(F87:F89)/MAX(E87:E89))</f>
        <v>0</v>
      </c>
      <c r="H86" s="2087" t="s">
        <v>135</v>
      </c>
      <c r="I86" s="2262" t="s">
        <v>2077</v>
      </c>
      <c r="K86" s="154"/>
      <c r="L86" s="154"/>
    </row>
    <row r="87" spans="1:16" ht="42" customHeight="1" x14ac:dyDescent="0.2">
      <c r="A87" s="2143"/>
      <c r="B87" s="2083"/>
      <c r="C87" s="889" t="str">
        <f>F!C126</f>
        <v xml:space="preserve">Groundwater monitoring has demonstrated that groundwater primarily discharges to the wetland for longer periods during the year than periods when the wetland recharges the groundwater.  Or, springs are known to be present within the AA.
</v>
      </c>
      <c r="D87" s="271">
        <f>F!D126</f>
        <v>0</v>
      </c>
      <c r="E87" s="803">
        <v>3</v>
      </c>
      <c r="F87" s="970">
        <f>D87*E87</f>
        <v>0</v>
      </c>
      <c r="G87" s="343"/>
      <c r="H87" s="2083"/>
      <c r="I87" s="2263"/>
      <c r="K87" s="154"/>
      <c r="L87" s="154"/>
    </row>
    <row r="88" spans="1:16" ht="111" customHeight="1" x14ac:dyDescent="0.2">
      <c r="A88" s="2143"/>
      <c r="B88" s="2083"/>
      <c r="C88" s="890"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88" s="771">
        <f>F!D127</f>
        <v>0</v>
      </c>
      <c r="E88" s="803">
        <v>2</v>
      </c>
      <c r="F88" s="970">
        <f>D88*E88</f>
        <v>0</v>
      </c>
      <c r="G88" s="493"/>
      <c r="H88" s="2083"/>
      <c r="I88" s="2263"/>
      <c r="K88" s="154"/>
      <c r="L88" s="154"/>
    </row>
    <row r="89" spans="1:16" ht="27" customHeight="1" thickBot="1" x14ac:dyDescent="0.25">
      <c r="A89" s="2144"/>
      <c r="B89" s="2088"/>
      <c r="C89" s="1005" t="str">
        <f>F!C128</f>
        <v>Neither of above is true, although some groundwater may discharge to or flow through the AA.  Or groundwater influx is unknown.</v>
      </c>
      <c r="D89" s="126">
        <f>F!D128</f>
        <v>0</v>
      </c>
      <c r="E89" s="453">
        <v>0</v>
      </c>
      <c r="F89" s="502">
        <f>D89*E89</f>
        <v>0</v>
      </c>
      <c r="G89" s="494"/>
      <c r="H89" s="2088"/>
      <c r="I89" s="2264"/>
      <c r="K89" s="154"/>
      <c r="L89" s="154"/>
    </row>
    <row r="90" spans="1:16" ht="30" customHeight="1" thickBot="1" x14ac:dyDescent="0.25">
      <c r="A90" s="2078" t="str">
        <f>F!A140</f>
        <v>F31</v>
      </c>
      <c r="B90" s="2078" t="str">
        <f>F!B140</f>
        <v>Interspersion of Herbaceous and Woody Cover</v>
      </c>
      <c r="C90" s="882" t="str">
        <f>F!C140</f>
        <v>The following best represents the distribution pattern of woody vegetation VS. unshaded herbaceous/ moss vegetation within the AA:</v>
      </c>
      <c r="D90" s="971"/>
      <c r="E90" s="448"/>
      <c r="F90" s="448"/>
      <c r="G90" s="426">
        <f>MAX(F91:F94)/MAX(E91:E98)</f>
        <v>0</v>
      </c>
      <c r="H90" s="2083" t="s">
        <v>1150</v>
      </c>
      <c r="I90" s="2286" t="s">
        <v>1650</v>
      </c>
      <c r="K90" s="154"/>
      <c r="L90" s="154"/>
      <c r="M90" s="154"/>
      <c r="N90" s="154"/>
      <c r="O90" s="154"/>
      <c r="P90" s="154"/>
    </row>
    <row r="91" spans="1:16" ht="57" customHeight="1" x14ac:dyDescent="0.2">
      <c r="A91" s="2078"/>
      <c r="B91" s="2078"/>
      <c r="C91" s="837" t="str">
        <f>F!C141</f>
        <v>(a) Woody cover and herbaceous/ moss cover EACH comprise 30-70% of the vegetated part of the AA, AND (b) There are many patches of woody vegetation scattered widely within herbaceous/ moss vegetation, or many patches of herbaceous vegetation scattered widely within woody vegetation.</v>
      </c>
      <c r="D91" s="50">
        <f>F!D141</f>
        <v>0</v>
      </c>
      <c r="E91" s="450">
        <v>3</v>
      </c>
      <c r="F91" s="501">
        <f t="shared" ref="F91:F94" si="3">D91*E91</f>
        <v>0</v>
      </c>
      <c r="G91" s="493"/>
      <c r="H91" s="2083"/>
      <c r="I91" s="2287"/>
      <c r="K91" s="154"/>
      <c r="L91" s="154" t="s">
        <v>507</v>
      </c>
      <c r="M91" s="154"/>
      <c r="N91" s="154"/>
      <c r="O91" s="154"/>
      <c r="P91" s="154"/>
    </row>
    <row r="92" spans="1:16" ht="57" customHeight="1" x14ac:dyDescent="0.2">
      <c r="A92" s="2078"/>
      <c r="B92" s="2078"/>
      <c r="C92" s="758" t="str">
        <f>F!C142</f>
        <v>(a) Woody cover and herbaceous/ moss EACH comprise 30-70% of the vegetated AA, AND (b) There are few patches ("islands") of woody vegetation scattered widely within herbaceous vegetation, or few patches of herbaceous/ moss vegetation ("gaps") scattered widely within woody vegetation.</v>
      </c>
      <c r="D92" s="50">
        <f>F!D142</f>
        <v>0</v>
      </c>
      <c r="E92" s="450">
        <v>2</v>
      </c>
      <c r="F92" s="501">
        <f t="shared" si="3"/>
        <v>0</v>
      </c>
      <c r="G92" s="493"/>
      <c r="H92" s="2083"/>
      <c r="I92" s="2287"/>
      <c r="K92" s="154"/>
      <c r="L92" s="154"/>
      <c r="M92" s="154"/>
      <c r="N92" s="154"/>
      <c r="O92" s="154"/>
      <c r="P92" s="154"/>
    </row>
    <row r="93" spans="1:16" ht="27" customHeight="1" x14ac:dyDescent="0.2">
      <c r="A93" s="2078"/>
      <c r="B93" s="2078"/>
      <c r="C93" s="758" t="str">
        <f>F!C143</f>
        <v xml:space="preserve">(a) Woody cover OR herbaceous/ moss comprise &gt;70% of the vegetated AA, AND (b) There are several patches of the other scattered within it. </v>
      </c>
      <c r="D93" s="50">
        <f>F!D143</f>
        <v>0</v>
      </c>
      <c r="E93" s="450">
        <v>1</v>
      </c>
      <c r="F93" s="501">
        <f t="shared" si="3"/>
        <v>0</v>
      </c>
      <c r="G93" s="493"/>
      <c r="H93" s="2083"/>
      <c r="I93" s="2287"/>
      <c r="K93" s="154"/>
      <c r="L93" s="154"/>
      <c r="M93" s="154"/>
      <c r="N93" s="154"/>
      <c r="O93" s="154"/>
      <c r="P93" s="154"/>
    </row>
    <row r="94" spans="1:16" ht="42" customHeight="1" thickBot="1" x14ac:dyDescent="0.25">
      <c r="A94" s="2079"/>
      <c r="B94" s="2078"/>
      <c r="C94" s="753" t="str">
        <f>F!C144</f>
        <v>(a) Woody cover OR herbaceous/ moss comprise &gt;70% of the vegetated AA, AND (b) The other is absent or is mostly in a single area or distinct zone with almost no intermixing of woody and unshaded herbaceous/ moss vegetation.</v>
      </c>
      <c r="D94" s="775">
        <f>F!D144</f>
        <v>0</v>
      </c>
      <c r="E94" s="806">
        <v>0</v>
      </c>
      <c r="F94" s="970">
        <f t="shared" si="3"/>
        <v>0</v>
      </c>
      <c r="G94" s="967"/>
      <c r="H94" s="2088"/>
      <c r="I94" s="2288"/>
      <c r="K94" s="154"/>
      <c r="L94" s="154"/>
      <c r="M94" s="154"/>
      <c r="N94" s="154"/>
      <c r="O94" s="154"/>
      <c r="P94" s="154"/>
    </row>
    <row r="95" spans="1:16" ht="30" customHeight="1" thickBot="1" x14ac:dyDescent="0.25">
      <c r="A95" s="2142" t="str">
        <f>F!A160</f>
        <v>F34</v>
      </c>
      <c r="B95" s="2087" t="str">
        <f>F!B160</f>
        <v>Downed Wood</v>
      </c>
      <c r="C95" s="116" t="str">
        <f>F!C160</f>
        <v>The number of downed wood pieces longer than 2 m and with diameter &gt;10 cm, and not persistently submerged, is:</v>
      </c>
      <c r="D95" s="798"/>
      <c r="E95" s="802"/>
      <c r="F95" s="498"/>
      <c r="G95" s="432">
        <f>IF((NoWoodyVeg=1),"",MAX(F96:F97))</f>
        <v>0</v>
      </c>
      <c r="H95" s="2087" t="s">
        <v>129</v>
      </c>
      <c r="I95" s="2259" t="s">
        <v>2078</v>
      </c>
      <c r="K95" s="154"/>
      <c r="L95" s="154"/>
    </row>
    <row r="96" spans="1:16" ht="15" customHeight="1" x14ac:dyDescent="0.2">
      <c r="A96" s="2143"/>
      <c r="B96" s="2083"/>
      <c r="C96" s="953" t="str">
        <f>F!C161</f>
        <v>Several ( &gt;5 if AA is &gt;5 hectares, less for smaller AAs)</v>
      </c>
      <c r="D96" s="271">
        <f>F!D161</f>
        <v>0</v>
      </c>
      <c r="E96" s="803">
        <v>1</v>
      </c>
      <c r="F96" s="803">
        <f>D96*E96</f>
        <v>0</v>
      </c>
      <c r="G96" s="343"/>
      <c r="H96" s="2083"/>
      <c r="I96" s="2296"/>
      <c r="K96" s="154"/>
      <c r="L96" s="154"/>
    </row>
    <row r="97" spans="1:12" ht="15" customHeight="1" thickBot="1" x14ac:dyDescent="0.25">
      <c r="A97" s="2144"/>
      <c r="B97" s="2088"/>
      <c r="C97" s="106" t="str">
        <f>F!C162</f>
        <v xml:space="preserve">Few or none </v>
      </c>
      <c r="D97" s="105">
        <f>F!D162</f>
        <v>0</v>
      </c>
      <c r="E97" s="453">
        <v>0</v>
      </c>
      <c r="F97" s="453">
        <f>D97*E97</f>
        <v>0</v>
      </c>
      <c r="G97" s="494"/>
      <c r="H97" s="2088"/>
      <c r="I97" s="2298"/>
      <c r="K97" s="154"/>
      <c r="L97" s="154"/>
    </row>
    <row r="98" spans="1:12" ht="30" customHeight="1" thickBot="1" x14ac:dyDescent="0.25">
      <c r="A98" s="2142" t="str">
        <f>F!A172</f>
        <v>F37</v>
      </c>
      <c r="B98" s="2087" t="str">
        <f>F!B172</f>
        <v>Broad-leaved Deciduous Trees and Shrubs</v>
      </c>
      <c r="C98" s="768" t="str">
        <f>F!C172</f>
        <v>The percentage of the AA's tree or shrub cover that is broad-leaved deciduous and is taller than 1 meter is:</v>
      </c>
      <c r="D98" s="798"/>
      <c r="E98" s="802"/>
      <c r="F98" s="498"/>
      <c r="G98" s="432">
        <f>IF((NoWoodyVeg=1),"",MAX(F99:F103)/MAX(E99:E103))</f>
        <v>0</v>
      </c>
      <c r="H98" s="2087" t="s">
        <v>126</v>
      </c>
      <c r="I98" s="2262" t="s">
        <v>2079</v>
      </c>
      <c r="K98" s="154"/>
      <c r="L98" s="154"/>
    </row>
    <row r="99" spans="1:12" ht="15" customHeight="1" x14ac:dyDescent="0.2">
      <c r="A99" s="2143"/>
      <c r="B99" s="2083"/>
      <c r="C99" s="750" t="str">
        <f>F!C173</f>
        <v>&lt;1%, or largest patch occupies less than 0.01 hectare</v>
      </c>
      <c r="D99" s="795">
        <f>F!D173</f>
        <v>0</v>
      </c>
      <c r="E99" s="803">
        <v>0</v>
      </c>
      <c r="F99" s="501">
        <f>D99*E99</f>
        <v>0</v>
      </c>
      <c r="G99" s="343"/>
      <c r="H99" s="2083"/>
      <c r="I99" s="2263"/>
      <c r="K99" s="154"/>
      <c r="L99" s="154"/>
    </row>
    <row r="100" spans="1:12" ht="15" customHeight="1" x14ac:dyDescent="0.2">
      <c r="A100" s="2143"/>
      <c r="B100" s="2083"/>
      <c r="C100" s="891" t="str">
        <f>F!C174</f>
        <v>1-25% of the tree or shrub cover (whichever has more)</v>
      </c>
      <c r="D100" s="795">
        <f>F!D174</f>
        <v>0</v>
      </c>
      <c r="E100" s="803">
        <v>1</v>
      </c>
      <c r="F100" s="501">
        <f>D100*E100</f>
        <v>0</v>
      </c>
      <c r="G100" s="493"/>
      <c r="H100" s="2083"/>
      <c r="I100" s="2263"/>
      <c r="K100" s="154"/>
      <c r="L100" s="154"/>
    </row>
    <row r="101" spans="1:12" ht="15" customHeight="1" x14ac:dyDescent="0.2">
      <c r="A101" s="2143"/>
      <c r="B101" s="2083"/>
      <c r="C101" s="891" t="str">
        <f>F!C175</f>
        <v>25-50% of the tree or shrub cover (whichever has more)</v>
      </c>
      <c r="D101" s="795">
        <f>F!D175</f>
        <v>0</v>
      </c>
      <c r="E101" s="803">
        <v>2</v>
      </c>
      <c r="F101" s="501">
        <f>D101*E101</f>
        <v>0</v>
      </c>
      <c r="G101" s="493"/>
      <c r="H101" s="2083"/>
      <c r="I101" s="2263"/>
      <c r="K101" s="154"/>
      <c r="L101" s="154"/>
    </row>
    <row r="102" spans="1:12" ht="15" customHeight="1" x14ac:dyDescent="0.2">
      <c r="A102" s="2143"/>
      <c r="B102" s="2083"/>
      <c r="C102" s="891" t="str">
        <f>F!C176</f>
        <v>50-75% of the tree or shrub cover (whichever has more)</v>
      </c>
      <c r="D102" s="795">
        <f>F!D176</f>
        <v>0</v>
      </c>
      <c r="E102" s="803">
        <v>3</v>
      </c>
      <c r="F102" s="501">
        <f>D102*E102</f>
        <v>0</v>
      </c>
      <c r="G102" s="493"/>
      <c r="H102" s="2083"/>
      <c r="I102" s="2263"/>
      <c r="K102" s="154"/>
      <c r="L102" s="154"/>
    </row>
    <row r="103" spans="1:12" ht="15" customHeight="1" thickBot="1" x14ac:dyDescent="0.25">
      <c r="A103" s="2144"/>
      <c r="B103" s="2088"/>
      <c r="C103" s="1005" t="str">
        <f>F!C177</f>
        <v>&gt;75% of the tree or shrub cover (whichever has more)</v>
      </c>
      <c r="D103" s="126">
        <f>F!D177</f>
        <v>0</v>
      </c>
      <c r="E103" s="453">
        <v>4</v>
      </c>
      <c r="F103" s="453">
        <f>D103*E103</f>
        <v>0</v>
      </c>
      <c r="G103" s="494"/>
      <c r="H103" s="2088"/>
      <c r="I103" s="2264"/>
      <c r="K103" s="154"/>
      <c r="L103" s="154"/>
    </row>
    <row r="104" spans="1:12" ht="30" customHeight="1" thickBot="1" x14ac:dyDescent="0.25">
      <c r="A104" s="2302" t="str">
        <f>F!A178</f>
        <v>F38</v>
      </c>
      <c r="B104" s="2083" t="str">
        <f>F!B178</f>
        <v>N Fixers</v>
      </c>
      <c r="C104" s="886" t="str">
        <f>F!C178</f>
        <v>The percent of the AA's shrub plus ground cover that is nitrogen-fixing plants (e.g., alder, baltic (wire) rush, sweetgale, lupine, clover, other legumes) is:</v>
      </c>
      <c r="D104" s="971"/>
      <c r="E104" s="448"/>
      <c r="F104" s="495"/>
      <c r="G104" s="426">
        <f>MAX(F105:F109)/MAX(E105:E109)</f>
        <v>0</v>
      </c>
      <c r="H104" s="2087" t="s">
        <v>128</v>
      </c>
      <c r="I104" s="2296" t="s">
        <v>2249</v>
      </c>
      <c r="K104" s="154"/>
      <c r="L104" s="154"/>
    </row>
    <row r="105" spans="1:12" ht="15" customHeight="1" x14ac:dyDescent="0.2">
      <c r="A105" s="2302"/>
      <c r="B105" s="2083"/>
      <c r="C105" s="953" t="str">
        <f>F!C179</f>
        <v>&lt;1% or none</v>
      </c>
      <c r="D105" s="50">
        <f>F!D179</f>
        <v>0</v>
      </c>
      <c r="E105" s="450">
        <v>0</v>
      </c>
      <c r="F105" s="450">
        <f>D105*E105</f>
        <v>0</v>
      </c>
      <c r="G105" s="343"/>
      <c r="H105" s="2083"/>
      <c r="I105" s="2296"/>
      <c r="K105" s="154"/>
      <c r="L105" s="154"/>
    </row>
    <row r="106" spans="1:12" ht="25.5" customHeight="1" x14ac:dyDescent="0.2">
      <c r="A106" s="2302"/>
      <c r="B106" s="2083"/>
      <c r="C106" s="785" t="str">
        <f>F!C180</f>
        <v>1-25% of the shrub plus ground cover, in the AA or along its water edge (whichever has more).</v>
      </c>
      <c r="D106" s="50">
        <f>F!D180</f>
        <v>0</v>
      </c>
      <c r="E106" s="450">
        <v>1</v>
      </c>
      <c r="F106" s="450">
        <f>D106*E106</f>
        <v>0</v>
      </c>
      <c r="G106" s="493"/>
      <c r="H106" s="2083"/>
      <c r="I106" s="2296"/>
      <c r="K106" s="154"/>
      <c r="L106" s="154"/>
    </row>
    <row r="107" spans="1:12" ht="24.75" customHeight="1" x14ac:dyDescent="0.2">
      <c r="A107" s="2302"/>
      <c r="B107" s="2083"/>
      <c r="C107" s="785" t="str">
        <f>F!C181</f>
        <v>25-50% of the shrub plus ground cover, in the AA or along its water edge (whichever has more).</v>
      </c>
      <c r="D107" s="50">
        <f>F!D181</f>
        <v>0</v>
      </c>
      <c r="E107" s="450">
        <v>2</v>
      </c>
      <c r="F107" s="450">
        <f>D107*E107</f>
        <v>0</v>
      </c>
      <c r="G107" s="493"/>
      <c r="H107" s="2083"/>
      <c r="I107" s="2296"/>
      <c r="K107" s="154"/>
      <c r="L107" s="154"/>
    </row>
    <row r="108" spans="1:12" ht="25.5" customHeight="1" x14ac:dyDescent="0.2">
      <c r="A108" s="2302"/>
      <c r="B108" s="2083"/>
      <c r="C108" s="785" t="str">
        <f>F!C182</f>
        <v>50-75% of the shrub plus ground cover, in the AA or along its water edge (whichever has more).</v>
      </c>
      <c r="D108" s="50">
        <f>F!D182</f>
        <v>0</v>
      </c>
      <c r="E108" s="450">
        <v>3</v>
      </c>
      <c r="F108" s="450">
        <f>D108*E108</f>
        <v>0</v>
      </c>
      <c r="G108" s="493"/>
      <c r="H108" s="2083"/>
      <c r="I108" s="2296"/>
      <c r="K108" s="154"/>
      <c r="L108" s="154"/>
    </row>
    <row r="109" spans="1:12" ht="29.25" customHeight="1" thickBot="1" x14ac:dyDescent="0.25">
      <c r="A109" s="2302"/>
      <c r="B109" s="2083"/>
      <c r="C109" s="784" t="str">
        <f>F!C183</f>
        <v>&gt;75% of the shrub plus ground cover, in the AA or along its water edge (whichever has more).</v>
      </c>
      <c r="D109" s="795">
        <f>F!D183</f>
        <v>0</v>
      </c>
      <c r="E109" s="806">
        <v>4</v>
      </c>
      <c r="F109" s="806">
        <f>D109*E109</f>
        <v>0</v>
      </c>
      <c r="G109" s="967"/>
      <c r="H109" s="2088"/>
      <c r="I109" s="2296"/>
      <c r="K109" s="154"/>
      <c r="L109" s="154"/>
    </row>
    <row r="110" spans="1:12" ht="19.5" customHeight="1" thickBot="1" x14ac:dyDescent="0.25">
      <c r="A110" s="2119" t="str">
        <f>F!A188</f>
        <v>F40</v>
      </c>
      <c r="B110" s="2087" t="str">
        <f>F!B188</f>
        <v>Moss Extent</v>
      </c>
      <c r="C110" s="99" t="str">
        <f>F!C188</f>
        <v>Within the part of the AA that lacks persistent surface water, the cover of moss is:</v>
      </c>
      <c r="D110" s="798"/>
      <c r="E110" s="802"/>
      <c r="F110" s="802"/>
      <c r="G110" s="432">
        <f>MAX(F111:F115)/MAX(E111:E115)</f>
        <v>0</v>
      </c>
      <c r="H110" s="2087" t="s">
        <v>1149</v>
      </c>
      <c r="I110" s="2262" t="s">
        <v>1651</v>
      </c>
      <c r="K110" s="154"/>
      <c r="L110" s="154"/>
    </row>
    <row r="111" spans="1:12" ht="15" customHeight="1" x14ac:dyDescent="0.2">
      <c r="A111" s="2120"/>
      <c r="B111" s="2083"/>
      <c r="C111" s="837" t="str">
        <f>F!C189</f>
        <v>&lt;5% of the ground cover</v>
      </c>
      <c r="D111" s="779">
        <f>F!D189</f>
        <v>0</v>
      </c>
      <c r="E111" s="803">
        <v>3</v>
      </c>
      <c r="F111" s="803">
        <f>D111*E111</f>
        <v>0</v>
      </c>
      <c r="G111" s="493"/>
      <c r="H111" s="2083"/>
      <c r="I111" s="2263"/>
      <c r="K111" s="154"/>
      <c r="L111" s="154"/>
    </row>
    <row r="112" spans="1:12" ht="15" customHeight="1" x14ac:dyDescent="0.2">
      <c r="A112" s="2120"/>
      <c r="B112" s="2083"/>
      <c r="C112" s="758" t="str">
        <f>F!C190</f>
        <v>5-25% of the ground cover</v>
      </c>
      <c r="D112" s="779">
        <f>F!D190</f>
        <v>0</v>
      </c>
      <c r="E112" s="803">
        <v>3</v>
      </c>
      <c r="F112" s="803">
        <f>D112*E112</f>
        <v>0</v>
      </c>
      <c r="G112" s="493"/>
      <c r="H112" s="2083"/>
      <c r="I112" s="2263"/>
      <c r="K112" s="154"/>
      <c r="L112" s="154"/>
    </row>
    <row r="113" spans="1:12" ht="15" customHeight="1" x14ac:dyDescent="0.2">
      <c r="A113" s="2120"/>
      <c r="B113" s="2083"/>
      <c r="C113" s="758" t="str">
        <f>F!C191</f>
        <v>25-50% of the ground cover</v>
      </c>
      <c r="D113" s="779">
        <f>F!D191</f>
        <v>0</v>
      </c>
      <c r="E113" s="803">
        <v>2</v>
      </c>
      <c r="F113" s="803">
        <f>D113*E113</f>
        <v>0</v>
      </c>
      <c r="G113" s="493"/>
      <c r="H113" s="2083"/>
      <c r="I113" s="2263"/>
      <c r="K113" s="154"/>
      <c r="L113" s="154"/>
    </row>
    <row r="114" spans="1:12" ht="15" customHeight="1" x14ac:dyDescent="0.2">
      <c r="A114" s="2120"/>
      <c r="B114" s="2083"/>
      <c r="C114" s="758" t="str">
        <f>F!C192</f>
        <v>50-95% of the ground cover</v>
      </c>
      <c r="D114" s="779">
        <f>F!D192</f>
        <v>0</v>
      </c>
      <c r="E114" s="803">
        <v>1</v>
      </c>
      <c r="F114" s="803">
        <f>D114*E114</f>
        <v>0</v>
      </c>
      <c r="G114" s="493"/>
      <c r="H114" s="2083"/>
      <c r="I114" s="2263"/>
      <c r="K114" s="154"/>
      <c r="L114" s="154"/>
    </row>
    <row r="115" spans="1:12" ht="15" customHeight="1" thickBot="1" x14ac:dyDescent="0.25">
      <c r="A115" s="2121"/>
      <c r="B115" s="2088"/>
      <c r="C115" s="754" t="str">
        <f>F!C193</f>
        <v>&gt;95% of the ground cover</v>
      </c>
      <c r="D115" s="105">
        <f>F!D193</f>
        <v>0</v>
      </c>
      <c r="E115" s="453">
        <v>0</v>
      </c>
      <c r="F115" s="453">
        <f>D115*E115</f>
        <v>0</v>
      </c>
      <c r="G115" s="494"/>
      <c r="H115" s="2088"/>
      <c r="I115" s="2264"/>
      <c r="K115" s="154"/>
      <c r="L115" s="154"/>
    </row>
    <row r="116" spans="1:12" ht="54" customHeight="1" thickBot="1" x14ac:dyDescent="0.25">
      <c r="A116" s="2302" t="str">
        <f>F!A200</f>
        <v>F42</v>
      </c>
      <c r="B116" s="2083" t="str">
        <f>F!B200</f>
        <v>Ground Irregularity</v>
      </c>
      <c r="C116" s="886"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116" s="971"/>
      <c r="E116" s="448"/>
      <c r="F116" s="495"/>
      <c r="G116" s="426">
        <f>MAX(F117:F119)/MAX(E117:E119)</f>
        <v>0</v>
      </c>
      <c r="H116" s="2087" t="s">
        <v>130</v>
      </c>
      <c r="I116" s="2296" t="s">
        <v>67</v>
      </c>
      <c r="K116" s="154"/>
      <c r="L116" s="154"/>
    </row>
    <row r="117" spans="1:12" ht="15" customHeight="1" x14ac:dyDescent="0.2">
      <c r="A117" s="2302"/>
      <c r="B117" s="2083"/>
      <c r="C117" s="953" t="str">
        <f>F!C201</f>
        <v xml:space="preserve">Few or none (minimal microtopography; &lt;1% of that area) </v>
      </c>
      <c r="D117" s="117">
        <f>F!D201</f>
        <v>0</v>
      </c>
      <c r="E117" s="450">
        <v>0</v>
      </c>
      <c r="F117" s="450">
        <f>D117*E117</f>
        <v>0</v>
      </c>
      <c r="G117" s="343"/>
      <c r="H117" s="2083"/>
      <c r="I117" s="2296"/>
      <c r="K117" s="154"/>
      <c r="L117" s="154"/>
    </row>
    <row r="118" spans="1:12" ht="15" customHeight="1" x14ac:dyDescent="0.2">
      <c r="A118" s="2302"/>
      <c r="B118" s="2083"/>
      <c r="C118" s="785" t="str">
        <f>F!C202</f>
        <v>Intermediate</v>
      </c>
      <c r="D118" s="117">
        <f>F!D202</f>
        <v>0</v>
      </c>
      <c r="E118" s="450">
        <v>1</v>
      </c>
      <c r="F118" s="450">
        <f>D118*E118</f>
        <v>0</v>
      </c>
      <c r="G118" s="493"/>
      <c r="H118" s="2083"/>
      <c r="I118" s="2296"/>
      <c r="K118" s="154"/>
      <c r="L118" s="154"/>
    </row>
    <row r="119" spans="1:12" ht="15" customHeight="1" thickBot="1" x14ac:dyDescent="0.25">
      <c r="A119" s="2302"/>
      <c r="B119" s="2083"/>
      <c r="C119" s="784" t="str">
        <f>F!C203</f>
        <v>Several (extensive micro-topography)</v>
      </c>
      <c r="D119" s="795">
        <f>F!D203</f>
        <v>0</v>
      </c>
      <c r="E119" s="806">
        <v>2</v>
      </c>
      <c r="F119" s="806">
        <f>D119*E119</f>
        <v>0</v>
      </c>
      <c r="G119" s="967"/>
      <c r="H119" s="2088"/>
      <c r="I119" s="2296"/>
      <c r="K119" s="154"/>
      <c r="L119" s="154"/>
    </row>
    <row r="120" spans="1:12" ht="42" customHeight="1" thickBot="1" x14ac:dyDescent="0.25">
      <c r="A120" s="2257" t="str">
        <f>F!A235</f>
        <v>F49</v>
      </c>
      <c r="B120" s="2086" t="str">
        <f>F!B235</f>
        <v xml:space="preserve">Dominance of Most Abundant Herbaceous Species </v>
      </c>
      <c r="C120" s="1016" t="str">
        <f>F!C235</f>
        <v>Determine which two native herbaceous (forb and graminoid) species comprise the greatest portion of the herbaceous cover that is unshaded by a woody canopy.  Then choose one of the following:</v>
      </c>
      <c r="D120" s="798"/>
      <c r="E120" s="802"/>
      <c r="F120" s="498"/>
      <c r="G120" s="432">
        <f>IF((NoHerbCov=1),"", MAX(F121:F122)/MAX(E121:E122))</f>
        <v>0</v>
      </c>
      <c r="H120" s="2087" t="s">
        <v>626</v>
      </c>
      <c r="I120" s="2262" t="s">
        <v>2080</v>
      </c>
      <c r="K120" s="154"/>
      <c r="L120" s="154"/>
    </row>
    <row r="121" spans="1:12" ht="27" customHeight="1" x14ac:dyDescent="0.2">
      <c r="A121" s="2152"/>
      <c r="B121" s="2084"/>
      <c r="C121" s="1062" t="str">
        <f>F!C236</f>
        <v>those species together comprise &gt; 50% of the areal cover of native herbaceous plants at any time during the year.</v>
      </c>
      <c r="D121" s="808">
        <f>F!D236</f>
        <v>0</v>
      </c>
      <c r="E121" s="803">
        <v>0</v>
      </c>
      <c r="F121" s="806">
        <f>D121*E121</f>
        <v>0</v>
      </c>
      <c r="G121" s="343"/>
      <c r="H121" s="2083"/>
      <c r="I121" s="2263"/>
      <c r="K121" s="154"/>
      <c r="L121" s="154"/>
    </row>
    <row r="122" spans="1:12" ht="27" customHeight="1" thickBot="1" x14ac:dyDescent="0.25">
      <c r="A122" s="2280"/>
      <c r="B122" s="2085"/>
      <c r="C122" s="1009" t="str">
        <f>F!C237</f>
        <v>those species together do not comprise &gt; 50% of the areal cover of native herbaceous plants at any time during the year.</v>
      </c>
      <c r="D122" s="300">
        <f>F!D237</f>
        <v>0</v>
      </c>
      <c r="E122" s="453">
        <v>1</v>
      </c>
      <c r="F122" s="453">
        <f>D122*E122</f>
        <v>0</v>
      </c>
      <c r="G122" s="494"/>
      <c r="H122" s="2088"/>
      <c r="I122" s="2264"/>
      <c r="K122" s="154"/>
      <c r="L122" s="154"/>
    </row>
    <row r="123" spans="1:12" ht="81" customHeight="1" thickBot="1" x14ac:dyDescent="0.25">
      <c r="A123" s="2302" t="str">
        <f>F!A249</f>
        <v>F52</v>
      </c>
      <c r="B123" s="2083" t="str">
        <f>F!B249</f>
        <v>Natural Cover in Buffer</v>
      </c>
      <c r="C123" s="886" t="str">
        <f>F!C249</f>
        <v>Along the wetland-upland edge and extending 30 m upslope, the percentage of the upland that contains natural (not necessarily native -- see column E) land cover taller than 10 cm is:</v>
      </c>
      <c r="D123" s="971"/>
      <c r="E123" s="448"/>
      <c r="F123" s="495"/>
      <c r="G123" s="439">
        <f>MAX(F124:F128)/MAX(E124:E128)</f>
        <v>0</v>
      </c>
      <c r="H123" s="2087" t="s">
        <v>774</v>
      </c>
      <c r="I123" s="2296" t="s">
        <v>505</v>
      </c>
      <c r="K123" s="154"/>
      <c r="L123" s="154"/>
    </row>
    <row r="124" spans="1:12" ht="45" customHeight="1" x14ac:dyDescent="0.2">
      <c r="A124" s="2302"/>
      <c r="B124" s="2083"/>
      <c r="C124" s="953" t="str">
        <f>F!C250</f>
        <v xml:space="preserve">&lt;5% </v>
      </c>
      <c r="D124" s="117">
        <f>F!D250</f>
        <v>0</v>
      </c>
      <c r="E124" s="450">
        <v>0</v>
      </c>
      <c r="F124" s="450">
        <f t="shared" ref="F124:F131" si="4">D124*E124</f>
        <v>0</v>
      </c>
      <c r="G124" s="343"/>
      <c r="H124" s="2083"/>
      <c r="I124" s="2296"/>
      <c r="K124" s="154"/>
      <c r="L124" s="154"/>
    </row>
    <row r="125" spans="1:12" ht="45" customHeight="1" x14ac:dyDescent="0.2">
      <c r="A125" s="2302"/>
      <c r="B125" s="2083"/>
      <c r="C125" s="785" t="str">
        <f>F!C251</f>
        <v>5 to 30%</v>
      </c>
      <c r="D125" s="117">
        <f>F!D251</f>
        <v>0</v>
      </c>
      <c r="E125" s="450">
        <v>2</v>
      </c>
      <c r="F125" s="450">
        <f t="shared" si="4"/>
        <v>0</v>
      </c>
      <c r="G125" s="493"/>
      <c r="H125" s="2083"/>
      <c r="I125" s="2296"/>
      <c r="K125" s="154"/>
      <c r="L125" s="154"/>
    </row>
    <row r="126" spans="1:12" ht="45" customHeight="1" x14ac:dyDescent="0.2">
      <c r="A126" s="2302"/>
      <c r="B126" s="2083"/>
      <c r="C126" s="785" t="str">
        <f>F!C252</f>
        <v>30 to 60%</v>
      </c>
      <c r="D126" s="117">
        <f>F!D252</f>
        <v>0</v>
      </c>
      <c r="E126" s="450">
        <v>3</v>
      </c>
      <c r="F126" s="450">
        <f t="shared" si="4"/>
        <v>0</v>
      </c>
      <c r="G126" s="493"/>
      <c r="H126" s="2083"/>
      <c r="I126" s="2296"/>
      <c r="K126" s="154"/>
      <c r="L126" s="154"/>
    </row>
    <row r="127" spans="1:12" ht="45" customHeight="1" x14ac:dyDescent="0.2">
      <c r="A127" s="2302"/>
      <c r="B127" s="2083"/>
      <c r="C127" s="785" t="str">
        <f>F!C253</f>
        <v>60 to 90%</v>
      </c>
      <c r="D127" s="117">
        <f>F!D253</f>
        <v>0</v>
      </c>
      <c r="E127" s="450">
        <v>4</v>
      </c>
      <c r="F127" s="450">
        <f t="shared" si="4"/>
        <v>0</v>
      </c>
      <c r="G127" s="493"/>
      <c r="H127" s="2083"/>
      <c r="I127" s="2296"/>
      <c r="K127" s="154"/>
      <c r="L127" s="154"/>
    </row>
    <row r="128" spans="1:12" ht="45" customHeight="1" thickBot="1" x14ac:dyDescent="0.25">
      <c r="A128" s="2302"/>
      <c r="B128" s="2083"/>
      <c r="C128" s="784" t="str">
        <f>F!C254</f>
        <v>&gt;90%.  SKIP to F54 (Cliffs).</v>
      </c>
      <c r="D128" s="795">
        <f>F!D254</f>
        <v>0</v>
      </c>
      <c r="E128" s="806">
        <v>6</v>
      </c>
      <c r="F128" s="806">
        <f t="shared" si="4"/>
        <v>0</v>
      </c>
      <c r="G128" s="967"/>
      <c r="H128" s="2088"/>
      <c r="I128" s="2296"/>
      <c r="K128" s="154"/>
      <c r="L128" s="154"/>
    </row>
    <row r="129" spans="1:16" ht="30" customHeight="1" thickBot="1" x14ac:dyDescent="0.25">
      <c r="A129" s="2142" t="str">
        <f>F!A255</f>
        <v>F53</v>
      </c>
      <c r="B129" s="2087" t="str">
        <f>F!B255</f>
        <v>Type of Cover in Buffer</v>
      </c>
      <c r="C129" s="116" t="str">
        <f>F!C255</f>
        <v>Within 30 m upslope of the wetland-upland edge closest to the AA, the upland land cover that is NOT unmanaged vegetation or water is mostly (mark ONE):</v>
      </c>
      <c r="D129" s="798"/>
      <c r="E129" s="802"/>
      <c r="F129" s="498"/>
      <c r="G129" s="432">
        <f>IF((BuffAllNat=1),"",MAX(F130:F131)/MAX(E130:E131))</f>
        <v>0</v>
      </c>
      <c r="H129" s="2087" t="s">
        <v>1303</v>
      </c>
      <c r="I129" s="2297" t="s">
        <v>1392</v>
      </c>
      <c r="K129" s="154"/>
      <c r="L129" s="154"/>
    </row>
    <row r="130" spans="1:16" ht="15" customHeight="1" x14ac:dyDescent="0.2">
      <c r="A130" s="2143"/>
      <c r="B130" s="2083"/>
      <c r="C130" s="953" t="str">
        <f>F!C256</f>
        <v>impervious surface, e.g., paved road, parking lot, building, exposed rock.</v>
      </c>
      <c r="D130" s="771">
        <f>F!D256</f>
        <v>0</v>
      </c>
      <c r="E130" s="803">
        <v>0</v>
      </c>
      <c r="F130" s="803">
        <f t="shared" si="4"/>
        <v>0</v>
      </c>
      <c r="G130" s="343"/>
      <c r="H130" s="2083"/>
      <c r="I130" s="2296"/>
      <c r="K130" s="154"/>
      <c r="L130" s="154"/>
    </row>
    <row r="131" spans="1:16" ht="27" customHeight="1" thickBot="1" x14ac:dyDescent="0.25">
      <c r="A131" s="2144"/>
      <c r="B131" s="2088"/>
      <c r="C131" s="106" t="str">
        <f>F!C257</f>
        <v>bare or nearly bare pervious surface or managed vegetation, e.g., lawn, annual crops, mostly-unvegetated clearcut, landslide, unpaved road, dike.</v>
      </c>
      <c r="D131" s="126">
        <f>F!D257</f>
        <v>0</v>
      </c>
      <c r="E131" s="453">
        <v>1</v>
      </c>
      <c r="F131" s="453">
        <f t="shared" si="4"/>
        <v>0</v>
      </c>
      <c r="G131" s="494"/>
      <c r="H131" s="2088"/>
      <c r="I131" s="2298"/>
      <c r="K131" s="154"/>
      <c r="L131" s="154"/>
    </row>
    <row r="132" spans="1:16" ht="30" customHeight="1" thickBot="1" x14ac:dyDescent="0.25">
      <c r="A132" s="2120" t="str">
        <f>F!A312</f>
        <v>F66</v>
      </c>
      <c r="B132" s="2083" t="str">
        <f>F!B312</f>
        <v>Water Quality Problem Area Located Upslope</v>
      </c>
      <c r="C132" s="99" t="str">
        <f>F!C312</f>
        <v>Sampling indicates problems with the quality of surface waters or sediment within the AA, or within 5 km upstream or upslope, as caused by (enter 1 for ALL that apply):</v>
      </c>
      <c r="D132" s="971"/>
      <c r="E132" s="448"/>
      <c r="F132" s="448"/>
      <c r="G132" s="426">
        <f>IF((D137=1), "", MAX(D134:D136))</f>
        <v>0</v>
      </c>
      <c r="H132" s="2087" t="s">
        <v>1001</v>
      </c>
      <c r="I132" s="2263" t="s">
        <v>1210</v>
      </c>
      <c r="K132" s="154"/>
      <c r="L132" s="154"/>
    </row>
    <row r="133" spans="1:16" ht="42" customHeight="1" x14ac:dyDescent="0.2">
      <c r="A133" s="2120"/>
      <c r="B133" s="2083"/>
      <c r="C133" s="837" t="str">
        <f>F!C313</f>
        <v>nutrients (phosphorus, nitrate, ammonia), or a water body within 5 km that contributes to the AA has been labeled "hyper-eutrophic" based on excessive levels of either total phosphorus or chlorophyll-a.</v>
      </c>
      <c r="D133" s="50">
        <f>F!D313</f>
        <v>0</v>
      </c>
      <c r="E133" s="450"/>
      <c r="F133" s="450"/>
      <c r="G133" s="493"/>
      <c r="H133" s="2083"/>
      <c r="I133" s="2263"/>
      <c r="K133" s="154"/>
      <c r="L133" s="154"/>
    </row>
    <row r="134" spans="1:16" ht="15" customHeight="1" x14ac:dyDescent="0.2">
      <c r="A134" s="2120"/>
      <c r="B134" s="2083"/>
      <c r="C134" s="758" t="str">
        <f>F!C314</f>
        <v>suspended sediment or turbidity</v>
      </c>
      <c r="D134" s="50">
        <f>F!D314</f>
        <v>0</v>
      </c>
      <c r="E134" s="450"/>
      <c r="F134" s="450"/>
      <c r="G134" s="493"/>
      <c r="H134" s="2083"/>
      <c r="I134" s="2263"/>
      <c r="K134" s="154"/>
      <c r="L134" s="154"/>
    </row>
    <row r="135" spans="1:16" ht="15" customHeight="1" x14ac:dyDescent="0.2">
      <c r="A135" s="2120"/>
      <c r="B135" s="2083"/>
      <c r="C135" s="758" t="str">
        <f>F!C315</f>
        <v>metals (mercury, lead, zinc, copper, cadmium, others)</v>
      </c>
      <c r="D135" s="50">
        <f>F!D315</f>
        <v>0</v>
      </c>
      <c r="E135" s="450"/>
      <c r="F135" s="450"/>
      <c r="G135" s="493"/>
      <c r="H135" s="2083"/>
      <c r="I135" s="2263"/>
      <c r="K135" s="154"/>
      <c r="L135" s="154"/>
    </row>
    <row r="136" spans="1:16" ht="15" customHeight="1" x14ac:dyDescent="0.2">
      <c r="A136" s="2120"/>
      <c r="B136" s="2083"/>
      <c r="C136" s="758" t="str">
        <f>F!C316</f>
        <v>petrochemicals (pesticides, herbicides, PCBs, others)</v>
      </c>
      <c r="D136" s="50">
        <f>F!D316</f>
        <v>0</v>
      </c>
      <c r="E136" s="450"/>
      <c r="F136" s="450"/>
      <c r="G136" s="493"/>
      <c r="H136" s="2083"/>
      <c r="I136" s="2263"/>
      <c r="K136" s="154"/>
      <c r="L136" s="154"/>
    </row>
    <row r="137" spans="1:16" ht="15" customHeight="1" thickBot="1" x14ac:dyDescent="0.25">
      <c r="A137" s="2120"/>
      <c r="B137" s="2083"/>
      <c r="C137" s="753" t="str">
        <f>F!C317</f>
        <v xml:space="preserve">None of above, or no data. </v>
      </c>
      <c r="D137" s="775">
        <f>F!D317</f>
        <v>0</v>
      </c>
      <c r="E137" s="806"/>
      <c r="F137" s="806"/>
      <c r="G137" s="967"/>
      <c r="H137" s="2088"/>
      <c r="I137" s="2263"/>
      <c r="K137" s="154"/>
      <c r="L137" s="154"/>
    </row>
    <row r="138" spans="1:16" s="11" customFormat="1" ht="75" customHeight="1" thickBot="1" x14ac:dyDescent="0.25">
      <c r="A138" s="1056" t="str">
        <f>S!A3</f>
        <v>S5</v>
      </c>
      <c r="B138" s="1064" t="str">
        <f>S!B3</f>
        <v>Altered Timing of Water Inputs</v>
      </c>
      <c r="C138" s="137" t="str">
        <f>S!E17</f>
        <v>Stressor Subscore=</v>
      </c>
      <c r="D138" s="527">
        <f>S!C17</f>
        <v>0</v>
      </c>
      <c r="E138" s="528"/>
      <c r="F138" s="529"/>
      <c r="G138" s="432">
        <f>IF((AllSat+AllSat1&gt;0),"", 1-(S!F17))</f>
        <v>1</v>
      </c>
      <c r="H138" s="1064" t="s">
        <v>131</v>
      </c>
      <c r="I138" s="1086" t="s">
        <v>2081</v>
      </c>
      <c r="J138" s="230"/>
      <c r="K138" s="22"/>
      <c r="L138" s="154"/>
      <c r="M138" s="22"/>
      <c r="N138" s="22"/>
      <c r="O138" s="22"/>
      <c r="P138" s="22"/>
    </row>
    <row r="139" spans="1:16" s="11" customFormat="1" ht="45" customHeight="1" thickBot="1" x14ac:dyDescent="0.25">
      <c r="A139" s="1075" t="str">
        <f>S!A18</f>
        <v>S6</v>
      </c>
      <c r="B139" s="1076" t="str">
        <f>S!B18</f>
        <v>Accelerated Inputs of Contaminants and/or Salts</v>
      </c>
      <c r="C139" s="1077" t="s">
        <v>602</v>
      </c>
      <c r="D139" s="1078">
        <f>S!F32</f>
        <v>0</v>
      </c>
      <c r="E139" s="1079"/>
      <c r="F139" s="1080"/>
      <c r="G139" s="1081">
        <f>1-(S!F18)</f>
        <v>1</v>
      </c>
      <c r="H139" s="1076" t="s">
        <v>999</v>
      </c>
      <c r="I139" s="896" t="s">
        <v>1210</v>
      </c>
      <c r="J139" s="230"/>
      <c r="K139" s="22"/>
      <c r="M139" s="22"/>
      <c r="N139" s="22"/>
      <c r="O139" s="22"/>
      <c r="P139" s="22"/>
    </row>
    <row r="140" spans="1:16" s="11" customFormat="1" ht="84" customHeight="1" thickBot="1" x14ac:dyDescent="0.25">
      <c r="A140" s="1056" t="str">
        <f>S!A46</f>
        <v>S8</v>
      </c>
      <c r="B140" s="1065" t="str">
        <f>S!B46</f>
        <v>Excessive Sediment Loading from Contributing Area</v>
      </c>
      <c r="C140" s="109" t="str">
        <f>S!E63</f>
        <v>Stressor Subscore=</v>
      </c>
      <c r="D140" s="527">
        <f>(S!C63)</f>
        <v>0</v>
      </c>
      <c r="E140" s="528"/>
      <c r="F140" s="529"/>
      <c r="G140" s="432">
        <f>1-(S!F63)</f>
        <v>1</v>
      </c>
      <c r="H140" s="1064" t="s">
        <v>132</v>
      </c>
      <c r="I140" s="1086" t="s">
        <v>1652</v>
      </c>
      <c r="J140" s="230"/>
      <c r="K140" s="22"/>
      <c r="L140" s="22"/>
      <c r="M140" s="22"/>
      <c r="N140" s="22"/>
      <c r="O140" s="22"/>
      <c r="P140" s="22"/>
    </row>
    <row r="141" spans="1:16" s="11" customFormat="1" ht="45" customHeight="1" thickBot="1" x14ac:dyDescent="0.25">
      <c r="A141" s="1057" t="str">
        <f>S!A64</f>
        <v>S9</v>
      </c>
      <c r="B141" s="1066" t="str">
        <f>S!B64</f>
        <v>Soil or Sediment Alteration Within the Assessment Area</v>
      </c>
      <c r="C141" s="130" t="str">
        <f>S!E81</f>
        <v>Stressor Subscore=</v>
      </c>
      <c r="D141" s="524">
        <f>S!C81</f>
        <v>0</v>
      </c>
      <c r="E141" s="525"/>
      <c r="F141" s="526"/>
      <c r="G141" s="426">
        <f>1-(S!F81)</f>
        <v>1</v>
      </c>
      <c r="H141" s="1063" t="s">
        <v>133</v>
      </c>
      <c r="I141" s="897" t="s">
        <v>80</v>
      </c>
      <c r="J141" s="230"/>
      <c r="K141" s="22"/>
      <c r="L141" s="22"/>
      <c r="M141" s="22"/>
      <c r="N141" s="22"/>
      <c r="O141" s="22"/>
      <c r="P141" s="22"/>
    </row>
    <row r="142" spans="1:16" ht="21" customHeight="1" thickBot="1" x14ac:dyDescent="0.25">
      <c r="A142" s="836"/>
      <c r="B142" s="836"/>
      <c r="D142" s="1557"/>
      <c r="E142" s="1557"/>
      <c r="F142" s="1557"/>
      <c r="G142" s="1557"/>
      <c r="H142" s="1402" t="s">
        <v>507</v>
      </c>
      <c r="I142" s="1402"/>
    </row>
    <row r="143" spans="1:16" s="39" customFormat="1" ht="21" customHeight="1" thickBot="1" x14ac:dyDescent="0.25">
      <c r="A143" s="154"/>
      <c r="B143" s="154"/>
      <c r="C143" s="833" t="s">
        <v>1153</v>
      </c>
      <c r="D143" s="1565"/>
      <c r="E143" s="1565"/>
      <c r="F143" s="1565"/>
      <c r="G143" s="1565"/>
      <c r="H143" s="7"/>
      <c r="I143" s="7"/>
      <c r="J143" s="199"/>
      <c r="K143" s="42"/>
    </row>
    <row r="144" spans="1:16" s="39" customFormat="1" ht="21" customHeight="1" thickBot="1" x14ac:dyDescent="0.25">
      <c r="A144" s="154"/>
      <c r="B144" s="154"/>
      <c r="C144" s="107" t="s">
        <v>1969</v>
      </c>
      <c r="D144" s="420"/>
      <c r="E144" s="420"/>
      <c r="F144" s="420"/>
      <c r="G144" s="530">
        <f>IFERROR(AVERAGE(WatProb, Spring, Girreg8, Groundw8, SatPct8, PermWpct8, SeasPct8),"")</f>
        <v>0</v>
      </c>
      <c r="H144" s="7"/>
      <c r="I144" s="7"/>
      <c r="J144" s="214"/>
      <c r="K144" s="42"/>
    </row>
    <row r="145" spans="1:16" s="39" customFormat="1" ht="21" customHeight="1" thickBot="1" x14ac:dyDescent="0.25">
      <c r="A145" s="154"/>
      <c r="B145" s="154"/>
      <c r="D145" s="1437"/>
      <c r="E145" s="1437"/>
      <c r="F145" s="1437"/>
      <c r="G145" s="1437"/>
      <c r="H145" s="7"/>
      <c r="I145" s="7"/>
      <c r="J145" s="199"/>
      <c r="K145" s="42"/>
    </row>
    <row r="146" spans="1:16" s="39" customFormat="1" ht="21" customHeight="1" thickBot="1" x14ac:dyDescent="0.25">
      <c r="A146" s="154"/>
      <c r="B146" s="154"/>
      <c r="C146" s="834" t="s">
        <v>1154</v>
      </c>
      <c r="D146" s="734"/>
      <c r="E146" s="734"/>
      <c r="F146" s="734"/>
      <c r="G146" s="734"/>
      <c r="H146" s="7"/>
      <c r="I146" s="7"/>
      <c r="J146" s="199"/>
      <c r="K146" s="42"/>
    </row>
    <row r="147" spans="1:16" s="39" customFormat="1" ht="30" customHeight="1" thickBot="1" x14ac:dyDescent="0.25">
      <c r="A147" s="1436"/>
      <c r="B147" s="880" t="s">
        <v>1115</v>
      </c>
      <c r="C147" s="902" t="s">
        <v>1973</v>
      </c>
      <c r="D147" s="325"/>
      <c r="E147" s="325"/>
      <c r="F147" s="325"/>
      <c r="G147" s="530">
        <f>IF((GT10HA=1),G148, IFERROR(AVERAGE(ClassRichIn, WetPerim2Area, WetVegArea, OWpct8, HerbDiv8, ThruFlo8, WoodDown8,  Interspers8, VegIntersp8, DepthDiv8, AqCov8),""))</f>
        <v>0</v>
      </c>
      <c r="H147" s="7"/>
      <c r="I147" s="7"/>
      <c r="J147" s="199"/>
      <c r="K147" s="42"/>
    </row>
    <row r="148" spans="1:16" s="39" customFormat="1" ht="30.75" customHeight="1" thickBot="1" x14ac:dyDescent="0.25">
      <c r="A148" s="1436"/>
      <c r="B148" s="881" t="s">
        <v>1116</v>
      </c>
      <c r="C148" s="193" t="s">
        <v>1970</v>
      </c>
      <c r="D148" s="327"/>
      <c r="E148" s="327"/>
      <c r="F148" s="327"/>
      <c r="G148" s="781">
        <f>IFERROR(AVERAGE(ClassRichIn, WetPerim2Area, WetVegArea, OWpct_INV, HerbDiv8, ThruFlo8, WoodDown8, MixWaterVeg, MixHerbWood, DepthDiv8, AqCov8),"")</f>
        <v>0</v>
      </c>
      <c r="H148" s="7"/>
      <c r="I148" s="7"/>
      <c r="J148" s="199"/>
      <c r="K148" s="42"/>
    </row>
    <row r="149" spans="1:16" s="39" customFormat="1" ht="21" customHeight="1" thickBot="1" x14ac:dyDescent="0.25">
      <c r="A149" s="191"/>
      <c r="B149" s="191"/>
      <c r="D149" s="1437"/>
      <c r="E149" s="1437"/>
      <c r="F149" s="1437"/>
      <c r="G149" s="1437"/>
      <c r="H149" s="7"/>
      <c r="I149" s="7"/>
      <c r="J149" s="199"/>
      <c r="K149" s="42"/>
    </row>
    <row r="150" spans="1:16" s="39" customFormat="1" ht="21" customHeight="1" thickBot="1" x14ac:dyDescent="0.25">
      <c r="A150" s="191"/>
      <c r="B150" s="191"/>
      <c r="C150" s="833" t="s">
        <v>1155</v>
      </c>
      <c r="D150" s="734"/>
      <c r="E150" s="734"/>
      <c r="F150" s="734"/>
      <c r="G150" s="734"/>
      <c r="H150" s="7"/>
      <c r="I150" s="7"/>
      <c r="J150" s="199"/>
      <c r="K150" s="42"/>
    </row>
    <row r="151" spans="1:16" s="39" customFormat="1" ht="21" customHeight="1" thickBot="1" x14ac:dyDescent="0.25">
      <c r="A151" s="191"/>
      <c r="B151" s="191"/>
      <c r="C151" s="107" t="s">
        <v>1971</v>
      </c>
      <c r="D151" s="420"/>
      <c r="E151" s="420"/>
      <c r="F151" s="420"/>
      <c r="G151" s="530">
        <f>IFERROR(AVERAGE(GrowDD, Moss8, Stain8, Hardwood8, Depth8, Fluctu8, Nfixers8 ),"")</f>
        <v>0.16666666666666666</v>
      </c>
      <c r="H151" s="7"/>
      <c r="I151" s="7"/>
      <c r="J151" s="199"/>
      <c r="K151" s="42"/>
    </row>
    <row r="152" spans="1:16" s="44" customFormat="1" ht="21" customHeight="1" thickBot="1" x14ac:dyDescent="0.25">
      <c r="A152" s="191"/>
      <c r="B152" s="191"/>
      <c r="C152" s="154"/>
      <c r="D152" s="1439"/>
      <c r="E152" s="1439"/>
      <c r="F152" s="1439"/>
      <c r="G152" s="210"/>
      <c r="H152" s="7"/>
      <c r="I152" s="7"/>
      <c r="J152" s="213"/>
      <c r="K152" s="42"/>
    </row>
    <row r="153" spans="1:16" s="39" customFormat="1" ht="21" customHeight="1" thickBot="1" x14ac:dyDescent="0.25">
      <c r="A153" s="191"/>
      <c r="B153" s="191"/>
      <c r="C153" s="833" t="s">
        <v>1161</v>
      </c>
      <c r="D153" s="1440"/>
      <c r="E153" s="1440"/>
      <c r="F153" s="1440"/>
      <c r="G153" s="1023"/>
      <c r="H153" s="7"/>
      <c r="I153" s="7"/>
      <c r="J153" s="213"/>
      <c r="K153" s="42"/>
    </row>
    <row r="154" spans="1:16" s="39" customFormat="1" ht="30" customHeight="1" thickBot="1" x14ac:dyDescent="0.25">
      <c r="A154" s="191"/>
      <c r="B154" s="191"/>
      <c r="C154" s="107" t="s">
        <v>1972</v>
      </c>
      <c r="D154" s="420"/>
      <c r="E154" s="420"/>
      <c r="F154" s="420"/>
      <c r="G154" s="530">
        <f>IFERROR(AVERAGE(SedCA8, Toxic8, AltTime8, Fish8,SoilDisturb8, BuffNatPct8, NatCov1k, PerimNatCov, WQprob8, WQrisk),"")</f>
        <v>0.7142857142857143</v>
      </c>
      <c r="H154" s="7"/>
      <c r="I154" s="7"/>
      <c r="J154" s="213"/>
      <c r="K154" s="42"/>
    </row>
    <row r="155" spans="1:16" s="39" customFormat="1" ht="21" customHeight="1" thickBot="1" x14ac:dyDescent="0.25">
      <c r="A155" s="191"/>
      <c r="B155" s="191"/>
      <c r="D155" s="1437"/>
      <c r="E155" s="1437"/>
      <c r="F155" s="1437"/>
      <c r="G155" s="1437"/>
      <c r="H155" s="7"/>
      <c r="I155" s="7"/>
      <c r="J155" s="199"/>
      <c r="K155" s="42"/>
    </row>
    <row r="156" spans="1:16" s="39" customFormat="1" ht="21" customHeight="1" thickBot="1" x14ac:dyDescent="0.25">
      <c r="A156" s="191"/>
      <c r="B156" s="191"/>
      <c r="C156" s="835" t="s">
        <v>1339</v>
      </c>
      <c r="H156" s="7"/>
      <c r="I156" s="7"/>
      <c r="J156" s="199"/>
      <c r="K156" s="42"/>
    </row>
    <row r="157" spans="1:16" s="39" customFormat="1" ht="21" customHeight="1" thickBot="1" x14ac:dyDescent="0.25">
      <c r="A157" s="191"/>
      <c r="B157" s="191"/>
      <c r="C157" s="903" t="s">
        <v>1151</v>
      </c>
      <c r="D157" s="734"/>
      <c r="E157" s="734"/>
      <c r="F157" s="734"/>
      <c r="G157" s="734"/>
      <c r="H157" s="7"/>
      <c r="I157" s="7"/>
      <c r="J157" s="199"/>
      <c r="K157" s="42"/>
    </row>
    <row r="158" spans="1:16" s="39" customFormat="1" ht="21" customHeight="1" thickBot="1" x14ac:dyDescent="0.25">
      <c r="A158" s="191"/>
      <c r="B158" s="191"/>
      <c r="C158" s="107" t="s">
        <v>1930</v>
      </c>
      <c r="D158" s="420"/>
      <c r="E158" s="420"/>
      <c r="F158" s="420"/>
      <c r="G158" s="605">
        <f>10*AVERAGE(MarshPct, MarshUniq, AVERAGE(WaterI1a, HabStrucI1a,  CfixI1a, StressI1a))</f>
        <v>2.2023809523809526</v>
      </c>
      <c r="H158" s="7"/>
      <c r="I158" s="7"/>
      <c r="J158" s="199"/>
      <c r="K158" s="42"/>
    </row>
    <row r="159" spans="1:16" ht="21" customHeight="1" thickBot="1" x14ac:dyDescent="0.25">
      <c r="A159" s="154"/>
      <c r="B159" s="154"/>
      <c r="C159" s="154"/>
      <c r="D159" s="154"/>
      <c r="E159" s="154"/>
      <c r="F159" s="154"/>
      <c r="G159" s="154"/>
      <c r="H159" s="1379"/>
      <c r="I159" s="169" t="s">
        <v>357</v>
      </c>
      <c r="K159" s="154"/>
    </row>
    <row r="160" spans="1:16" ht="42" customHeight="1" x14ac:dyDescent="0.2">
      <c r="A160" s="1537"/>
      <c r="B160" s="1585"/>
      <c r="C160" s="1524" t="s">
        <v>1336</v>
      </c>
      <c r="D160" s="1586"/>
      <c r="E160" s="154"/>
      <c r="F160" s="154"/>
      <c r="G160" s="154"/>
      <c r="H160" s="1379"/>
      <c r="I160" s="203" t="s">
        <v>413</v>
      </c>
      <c r="K160" s="154"/>
      <c r="L160" s="154"/>
      <c r="M160" s="154"/>
      <c r="N160" s="154"/>
      <c r="O160" s="154"/>
      <c r="P160" s="154"/>
    </row>
    <row r="161" spans="1:16" ht="39.75" customHeight="1" x14ac:dyDescent="0.3">
      <c r="A161" s="1537"/>
      <c r="B161" s="1587">
        <v>1</v>
      </c>
      <c r="C161" s="1588" t="s">
        <v>1233</v>
      </c>
      <c r="D161" s="1586"/>
      <c r="E161" s="154"/>
      <c r="F161" s="154"/>
      <c r="G161" s="154"/>
      <c r="H161" s="1379"/>
      <c r="I161" s="202" t="s">
        <v>424</v>
      </c>
      <c r="K161" s="154"/>
      <c r="L161" s="154"/>
      <c r="M161" s="154"/>
      <c r="N161" s="154"/>
      <c r="O161" s="154"/>
      <c r="P161" s="154"/>
    </row>
    <row r="162" spans="1:16" ht="56.25" customHeight="1" x14ac:dyDescent="0.3">
      <c r="A162" s="1537"/>
      <c r="B162" s="1589" t="s">
        <v>1227</v>
      </c>
      <c r="C162" s="1530" t="s">
        <v>1235</v>
      </c>
      <c r="D162" s="1527" t="str">
        <f>IFERROR(AVERAGE(MixWaterVeg, OWpct_INV),"")</f>
        <v/>
      </c>
      <c r="E162" s="154"/>
      <c r="F162" s="154"/>
      <c r="G162" s="154"/>
      <c r="H162" s="1379"/>
      <c r="I162" s="202" t="s">
        <v>1821</v>
      </c>
      <c r="K162" s="154"/>
      <c r="L162" s="154"/>
      <c r="M162" s="154"/>
      <c r="N162" s="154"/>
      <c r="O162" s="154"/>
      <c r="P162" s="154"/>
    </row>
    <row r="163" spans="1:16" ht="29.25" customHeight="1" x14ac:dyDescent="0.3">
      <c r="A163" s="1537"/>
      <c r="B163" s="1589" t="s">
        <v>1228</v>
      </c>
      <c r="C163" s="1530" t="s">
        <v>1236</v>
      </c>
      <c r="D163" s="1527" t="str">
        <f>IFERROR(AVERAGE(MixHerbWood, ClassRichIn),"")</f>
        <v/>
      </c>
      <c r="E163" s="154"/>
      <c r="F163" s="154"/>
      <c r="G163" s="154"/>
      <c r="H163" s="1379"/>
      <c r="I163" s="202" t="s">
        <v>693</v>
      </c>
      <c r="K163" s="154"/>
      <c r="L163" s="154"/>
      <c r="M163" s="154"/>
      <c r="N163" s="154"/>
      <c r="O163" s="154"/>
      <c r="P163" s="154"/>
    </row>
    <row r="164" spans="1:16" ht="51.75" customHeight="1" x14ac:dyDescent="0.3">
      <c r="A164" s="1537"/>
      <c r="B164" s="1589" t="s">
        <v>1229</v>
      </c>
      <c r="C164" s="1530" t="s">
        <v>1341</v>
      </c>
      <c r="D164" s="1527" t="str">
        <f>IFERROR(AVERAGE(ClassRich1k, WetDens1k_NoBog),"")</f>
        <v/>
      </c>
      <c r="E164" s="154"/>
      <c r="F164" s="154"/>
      <c r="G164" s="154"/>
      <c r="H164" s="1379"/>
      <c r="I164" s="161" t="s">
        <v>425</v>
      </c>
      <c r="K164" s="154"/>
      <c r="L164" s="154"/>
      <c r="M164" s="154"/>
      <c r="N164" s="154"/>
      <c r="O164" s="154"/>
      <c r="P164" s="154"/>
    </row>
    <row r="165" spans="1:16" ht="39.75" customHeight="1" x14ac:dyDescent="0.3">
      <c r="A165" s="1537"/>
      <c r="B165" s="1589" t="s">
        <v>1234</v>
      </c>
      <c r="C165" s="1530" t="s">
        <v>1342</v>
      </c>
      <c r="D165" s="1527" t="str">
        <f>IFERROR(AVERAGE(Dist2DevCrop, NatCov1k, PerimNatCov),"")</f>
        <v/>
      </c>
      <c r="E165" s="154"/>
      <c r="F165" s="154"/>
      <c r="G165" s="154"/>
      <c r="H165" s="1379"/>
      <c r="I165" s="202" t="s">
        <v>426</v>
      </c>
      <c r="K165" s="154"/>
      <c r="L165" s="154"/>
      <c r="M165" s="154"/>
      <c r="N165" s="154"/>
      <c r="O165" s="154"/>
      <c r="P165" s="154"/>
    </row>
    <row r="166" spans="1:16" ht="27" customHeight="1" x14ac:dyDescent="0.3">
      <c r="A166" s="1537"/>
      <c r="B166" s="1587">
        <v>2</v>
      </c>
      <c r="C166" s="1530" t="s">
        <v>1292</v>
      </c>
      <c r="D166" s="1529" t="str">
        <f>IFERROR(10*AVERAGE(MarshPct, UniqClass,D162:D165),"")</f>
        <v/>
      </c>
      <c r="E166" s="154"/>
      <c r="F166" s="154"/>
      <c r="G166" s="154"/>
      <c r="H166" s="1379"/>
      <c r="I166" s="202" t="s">
        <v>427</v>
      </c>
      <c r="K166" s="154"/>
      <c r="L166" s="154"/>
      <c r="M166" s="154"/>
      <c r="N166" s="154"/>
      <c r="O166" s="154"/>
      <c r="P166" s="154"/>
    </row>
    <row r="167" spans="1:16" ht="54.75" customHeight="1" x14ac:dyDescent="0.2">
      <c r="A167" s="1537"/>
      <c r="B167" s="1585"/>
      <c r="C167" s="1537"/>
      <c r="D167" s="1568"/>
      <c r="E167" s="154"/>
      <c r="F167" s="154"/>
      <c r="G167" s="154"/>
      <c r="H167" s="1379"/>
      <c r="I167" s="202" t="s">
        <v>428</v>
      </c>
      <c r="K167" s="154"/>
      <c r="L167" s="154"/>
      <c r="M167" s="154"/>
      <c r="N167" s="154"/>
      <c r="O167" s="154"/>
      <c r="P167" s="154"/>
    </row>
    <row r="168" spans="1:16" ht="54.75" customHeight="1" x14ac:dyDescent="0.2">
      <c r="A168" s="1537"/>
      <c r="B168" s="1585"/>
      <c r="C168" s="1524" t="s">
        <v>1329</v>
      </c>
      <c r="D168" s="1568"/>
      <c r="E168" s="154"/>
      <c r="F168" s="154"/>
      <c r="G168" s="154"/>
      <c r="H168" s="1379"/>
      <c r="I168" s="202" t="s">
        <v>429</v>
      </c>
      <c r="K168" s="154"/>
      <c r="L168" s="154"/>
      <c r="M168" s="154"/>
      <c r="N168" s="154"/>
      <c r="O168" s="154"/>
      <c r="P168" s="154"/>
    </row>
    <row r="169" spans="1:16" ht="38.25" customHeight="1" x14ac:dyDescent="0.3">
      <c r="A169" s="1537"/>
      <c r="B169" s="1587">
        <v>1</v>
      </c>
      <c r="C169" s="1588" t="s">
        <v>1233</v>
      </c>
      <c r="D169" s="1568"/>
      <c r="E169" s="154"/>
      <c r="F169" s="154"/>
      <c r="G169" s="154"/>
      <c r="H169" s="1379"/>
      <c r="I169" s="202" t="s">
        <v>430</v>
      </c>
      <c r="K169" s="154"/>
      <c r="L169" s="154"/>
      <c r="M169" s="154"/>
      <c r="N169" s="154"/>
      <c r="O169" s="154"/>
      <c r="P169" s="154"/>
    </row>
    <row r="170" spans="1:16" ht="42" customHeight="1" x14ac:dyDescent="0.3">
      <c r="A170" s="1537"/>
      <c r="B170" s="1589" t="s">
        <v>1227</v>
      </c>
      <c r="C170" s="1530" t="s">
        <v>1967</v>
      </c>
      <c r="D170" s="1527">
        <f>IFERROR(AVERAGE(Interspers8, OWpct8),"")</f>
        <v>0</v>
      </c>
      <c r="E170" s="154"/>
      <c r="F170" s="154"/>
      <c r="G170" s="154"/>
      <c r="H170" s="1379"/>
      <c r="I170" s="202" t="s">
        <v>418</v>
      </c>
      <c r="K170" s="154"/>
      <c r="L170" s="154"/>
      <c r="M170" s="154"/>
      <c r="N170" s="154"/>
      <c r="O170" s="154"/>
      <c r="P170" s="154"/>
    </row>
    <row r="171" spans="1:16" ht="54.75" customHeight="1" x14ac:dyDescent="0.3">
      <c r="A171" s="1537"/>
      <c r="B171" s="1589" t="s">
        <v>1228</v>
      </c>
      <c r="C171" s="1530" t="s">
        <v>1968</v>
      </c>
      <c r="D171" s="1527">
        <f>IFERROR(AVERAGE(VegIntersp8,ClassRichIn),"")</f>
        <v>0</v>
      </c>
      <c r="E171" s="154"/>
      <c r="F171" s="154"/>
      <c r="G171" s="154"/>
      <c r="H171" s="1379"/>
      <c r="I171" s="202" t="s">
        <v>431</v>
      </c>
      <c r="K171" s="154"/>
      <c r="L171" s="154"/>
      <c r="M171" s="154"/>
      <c r="N171" s="154"/>
      <c r="O171" s="154"/>
      <c r="P171" s="154"/>
    </row>
    <row r="172" spans="1:16" ht="27" customHeight="1" x14ac:dyDescent="0.3">
      <c r="A172" s="1537"/>
      <c r="B172" s="1589" t="s">
        <v>1229</v>
      </c>
      <c r="C172" s="1530" t="s">
        <v>1341</v>
      </c>
      <c r="D172" s="1527" t="str">
        <f>IFERROR(AVERAGE(ClassRich1k, WetDens1k_NoBog),"")</f>
        <v/>
      </c>
      <c r="E172" s="154"/>
      <c r="F172" s="154"/>
      <c r="G172" s="154"/>
      <c r="H172" s="1379"/>
      <c r="I172" s="202" t="s">
        <v>432</v>
      </c>
      <c r="K172" s="154"/>
      <c r="L172" s="154"/>
      <c r="M172" s="154"/>
      <c r="N172" s="154"/>
      <c r="O172" s="154"/>
      <c r="P172" s="154"/>
    </row>
    <row r="173" spans="1:16" ht="42" customHeight="1" x14ac:dyDescent="0.3">
      <c r="A173" s="1537"/>
      <c r="B173" s="1589" t="s">
        <v>1234</v>
      </c>
      <c r="C173" s="1530" t="s">
        <v>1238</v>
      </c>
      <c r="D173" s="1527" t="str">
        <f>IFERROR(AVERAGE(Dist2DevCrop, NatCov1k, PerimNatCov),"")</f>
        <v/>
      </c>
      <c r="E173" s="154"/>
      <c r="F173" s="154"/>
      <c r="G173" s="154"/>
      <c r="H173" s="1379"/>
      <c r="I173" s="1398" t="s">
        <v>2209</v>
      </c>
      <c r="K173" s="154"/>
      <c r="L173" s="154"/>
      <c r="M173" s="154"/>
      <c r="N173" s="154"/>
      <c r="O173" s="154"/>
      <c r="P173" s="154"/>
    </row>
    <row r="174" spans="1:16" ht="42" customHeight="1" x14ac:dyDescent="0.3">
      <c r="A174" s="1537"/>
      <c r="B174" s="1587">
        <v>2</v>
      </c>
      <c r="C174" s="1530" t="s">
        <v>1292</v>
      </c>
      <c r="D174" s="1529">
        <f>10*AVERAGE(MarshPct, UniqClass,D170:D173)</f>
        <v>0</v>
      </c>
      <c r="E174" s="154"/>
      <c r="F174" s="154"/>
      <c r="G174" s="154"/>
      <c r="H174" s="1379"/>
      <c r="I174" s="1398" t="s">
        <v>2208</v>
      </c>
      <c r="K174" s="154"/>
      <c r="L174" s="154"/>
      <c r="M174" s="154"/>
      <c r="N174" s="154"/>
      <c r="O174" s="154"/>
      <c r="P174" s="154"/>
    </row>
    <row r="175" spans="1:16" ht="42" customHeight="1" x14ac:dyDescent="0.2">
      <c r="A175" s="1537"/>
      <c r="B175" s="1537"/>
      <c r="C175" s="1537"/>
      <c r="D175" s="1537"/>
      <c r="E175" s="154"/>
      <c r="F175" s="154"/>
      <c r="G175" s="154"/>
      <c r="H175" s="1379"/>
      <c r="I175" s="161" t="s">
        <v>433</v>
      </c>
      <c r="K175" s="154"/>
      <c r="L175" s="154"/>
      <c r="M175" s="154"/>
      <c r="N175" s="154"/>
      <c r="O175" s="154"/>
      <c r="P175" s="154"/>
    </row>
    <row r="176" spans="1:16" ht="42" customHeight="1" x14ac:dyDescent="0.2">
      <c r="A176" s="154"/>
      <c r="B176" s="154"/>
      <c r="C176" s="154"/>
      <c r="D176" s="154"/>
      <c r="E176" s="154"/>
      <c r="F176" s="154"/>
      <c r="G176" s="154"/>
      <c r="H176" s="1379"/>
      <c r="I176" s="202" t="s">
        <v>434</v>
      </c>
      <c r="K176" s="154"/>
    </row>
    <row r="177" spans="1:16" ht="27" customHeight="1" x14ac:dyDescent="0.2">
      <c r="A177" s="154"/>
      <c r="B177" s="154"/>
      <c r="C177" s="154"/>
      <c r="D177" s="154"/>
      <c r="E177" s="154"/>
      <c r="F177" s="154"/>
      <c r="G177" s="154"/>
      <c r="H177" s="1379"/>
      <c r="I177" s="202" t="s">
        <v>435</v>
      </c>
      <c r="K177" s="154"/>
    </row>
    <row r="178" spans="1:16" ht="42" customHeight="1" x14ac:dyDescent="0.2">
      <c r="A178" s="154"/>
      <c r="B178" s="154"/>
      <c r="C178" s="154"/>
      <c r="D178" s="154"/>
      <c r="E178" s="154"/>
      <c r="F178" s="154"/>
      <c r="G178" s="154"/>
      <c r="H178" s="1379"/>
      <c r="I178" s="202" t="s">
        <v>436</v>
      </c>
      <c r="K178" s="154"/>
    </row>
    <row r="179" spans="1:16" ht="39" customHeight="1" x14ac:dyDescent="0.2">
      <c r="A179" s="154"/>
      <c r="B179" s="154"/>
      <c r="C179" s="154"/>
      <c r="D179" s="154"/>
      <c r="E179" s="154"/>
      <c r="F179" s="154"/>
      <c r="G179" s="154"/>
      <c r="H179" s="1379"/>
      <c r="I179" s="202" t="s">
        <v>437</v>
      </c>
      <c r="K179" s="154"/>
    </row>
    <row r="180" spans="1:16" ht="39.75" customHeight="1" x14ac:dyDescent="0.2">
      <c r="A180" s="154"/>
      <c r="B180" s="154"/>
      <c r="C180" s="154"/>
      <c r="D180" s="154"/>
      <c r="E180" s="154"/>
      <c r="F180" s="154"/>
      <c r="G180" s="154"/>
      <c r="H180" s="1379"/>
      <c r="I180" s="202" t="s">
        <v>438</v>
      </c>
      <c r="K180" s="154"/>
    </row>
    <row r="181" spans="1:16" ht="27" customHeight="1" x14ac:dyDescent="0.2">
      <c r="A181" s="154"/>
      <c r="B181" s="154"/>
      <c r="C181" s="154"/>
      <c r="D181" s="154"/>
      <c r="E181" s="154"/>
      <c r="F181" s="154"/>
      <c r="G181" s="154"/>
      <c r="H181" s="1379"/>
      <c r="I181" s="202" t="s">
        <v>439</v>
      </c>
      <c r="K181" s="154"/>
    </row>
    <row r="182" spans="1:16" ht="66" customHeight="1" x14ac:dyDescent="0.2">
      <c r="A182" s="154"/>
      <c r="B182" s="154"/>
      <c r="C182" s="154"/>
      <c r="D182" s="154"/>
      <c r="E182" s="154"/>
      <c r="F182" s="154"/>
      <c r="G182" s="154"/>
      <c r="H182" s="1379"/>
      <c r="I182" s="174" t="s">
        <v>440</v>
      </c>
      <c r="K182" s="154"/>
    </row>
    <row r="183" spans="1:16" ht="30" customHeight="1" x14ac:dyDescent="0.2">
      <c r="A183" s="154"/>
      <c r="B183" s="154"/>
      <c r="C183" s="154"/>
      <c r="D183" s="154"/>
      <c r="E183" s="154"/>
      <c r="F183" s="154"/>
      <c r="G183" s="154"/>
      <c r="H183" s="1379"/>
      <c r="I183" s="202" t="s">
        <v>441</v>
      </c>
      <c r="K183" s="154"/>
    </row>
    <row r="184" spans="1:16" s="1403" customFormat="1" ht="30" customHeight="1" x14ac:dyDescent="0.2">
      <c r="A184" s="154"/>
      <c r="B184" s="154"/>
      <c r="C184" s="154"/>
      <c r="D184" s="154"/>
      <c r="E184" s="154"/>
      <c r="F184" s="154"/>
      <c r="G184" s="154"/>
      <c r="H184" s="1379"/>
      <c r="I184" s="1481" t="s">
        <v>2265</v>
      </c>
      <c r="J184" s="215"/>
      <c r="K184" s="154"/>
      <c r="L184" s="154"/>
      <c r="M184" s="154"/>
      <c r="N184" s="154"/>
      <c r="O184" s="154"/>
      <c r="P184" s="154"/>
    </row>
    <row r="185" spans="1:16" ht="39.75" customHeight="1" x14ac:dyDescent="0.2">
      <c r="A185" s="154"/>
      <c r="B185" s="154"/>
      <c r="C185" s="154"/>
      <c r="D185" s="154"/>
      <c r="E185" s="154"/>
      <c r="F185" s="154"/>
      <c r="G185" s="154"/>
      <c r="H185" s="1379"/>
      <c r="I185" s="202" t="s">
        <v>442</v>
      </c>
      <c r="K185" s="154"/>
    </row>
    <row r="186" spans="1:16" ht="39" customHeight="1" x14ac:dyDescent="0.2">
      <c r="A186" s="154"/>
      <c r="B186" s="154"/>
      <c r="C186" s="154"/>
      <c r="D186" s="154"/>
      <c r="E186" s="154"/>
      <c r="F186" s="154"/>
      <c r="G186" s="154"/>
      <c r="H186" s="1379"/>
      <c r="I186" s="202" t="s">
        <v>443</v>
      </c>
      <c r="K186" s="154"/>
    </row>
    <row r="187" spans="1:16" ht="40.5" customHeight="1" x14ac:dyDescent="0.2">
      <c r="A187" s="154"/>
      <c r="B187" s="154"/>
      <c r="C187" s="154"/>
      <c r="D187" s="154"/>
      <c r="E187" s="154"/>
      <c r="F187" s="154"/>
      <c r="G187" s="154"/>
      <c r="H187" s="1379"/>
      <c r="I187" s="202" t="s">
        <v>444</v>
      </c>
      <c r="K187" s="154"/>
    </row>
    <row r="188" spans="1:16" ht="27" customHeight="1" x14ac:dyDescent="0.2">
      <c r="A188" s="154"/>
      <c r="B188" s="154"/>
      <c r="C188" s="154"/>
      <c r="D188" s="154"/>
      <c r="E188" s="154"/>
      <c r="F188" s="154"/>
      <c r="G188" s="154"/>
      <c r="H188" s="1379"/>
      <c r="I188" s="202" t="s">
        <v>445</v>
      </c>
      <c r="K188" s="154"/>
    </row>
    <row r="189" spans="1:16" ht="54" customHeight="1" x14ac:dyDescent="0.2">
      <c r="A189" s="154"/>
      <c r="B189" s="154"/>
      <c r="C189" s="154"/>
      <c r="D189" s="154"/>
      <c r="E189" s="154"/>
      <c r="F189" s="154"/>
      <c r="G189" s="154"/>
      <c r="H189" s="1379"/>
      <c r="I189" s="202" t="s">
        <v>446</v>
      </c>
      <c r="K189" s="154"/>
    </row>
    <row r="190" spans="1:16" ht="42" customHeight="1" x14ac:dyDescent="0.2">
      <c r="A190" s="154"/>
      <c r="B190" s="154"/>
      <c r="C190" s="154"/>
      <c r="D190" s="154"/>
      <c r="E190" s="154"/>
      <c r="F190" s="154"/>
      <c r="G190" s="154"/>
      <c r="H190" s="1379"/>
      <c r="I190" s="202" t="s">
        <v>419</v>
      </c>
      <c r="K190" s="154"/>
    </row>
    <row r="191" spans="1:16" ht="39" customHeight="1" x14ac:dyDescent="0.2">
      <c r="A191" s="154"/>
      <c r="B191" s="154"/>
      <c r="C191" s="154"/>
      <c r="D191" s="154"/>
      <c r="E191" s="154"/>
      <c r="F191" s="154"/>
      <c r="G191" s="154"/>
      <c r="H191" s="1379"/>
      <c r="I191" s="202" t="s">
        <v>447</v>
      </c>
      <c r="K191" s="154"/>
    </row>
    <row r="192" spans="1:16" ht="28.5" customHeight="1" x14ac:dyDescent="0.2">
      <c r="A192" s="154"/>
      <c r="B192" s="154"/>
      <c r="C192" s="154"/>
      <c r="D192" s="154"/>
      <c r="E192" s="154"/>
      <c r="F192" s="154"/>
      <c r="G192" s="154"/>
      <c r="H192" s="1379"/>
      <c r="I192" s="202" t="s">
        <v>448</v>
      </c>
      <c r="K192" s="154"/>
    </row>
    <row r="193" spans="1:11" ht="66" customHeight="1" x14ac:dyDescent="0.2">
      <c r="A193" s="154"/>
      <c r="B193" s="154"/>
      <c r="C193" s="154"/>
      <c r="D193" s="154"/>
      <c r="E193" s="154"/>
      <c r="F193" s="154"/>
      <c r="G193" s="154"/>
      <c r="H193" s="1379"/>
      <c r="I193" s="202" t="s">
        <v>449</v>
      </c>
      <c r="K193" s="154"/>
    </row>
    <row r="194" spans="1:11" ht="43.5" customHeight="1" x14ac:dyDescent="0.2">
      <c r="A194" s="154"/>
      <c r="B194" s="154"/>
      <c r="C194" s="154"/>
      <c r="D194" s="154"/>
      <c r="E194" s="154"/>
      <c r="F194" s="154"/>
      <c r="G194" s="154"/>
      <c r="H194" s="1379"/>
      <c r="I194" s="202" t="s">
        <v>450</v>
      </c>
      <c r="K194" s="154"/>
    </row>
    <row r="195" spans="1:11" ht="40.5" customHeight="1" x14ac:dyDescent="0.2">
      <c r="A195" s="154"/>
      <c r="B195" s="154"/>
      <c r="C195" s="154"/>
      <c r="D195" s="154"/>
      <c r="E195" s="154"/>
      <c r="F195" s="154"/>
      <c r="G195" s="154"/>
      <c r="H195" s="1379"/>
      <c r="I195" s="202" t="s">
        <v>420</v>
      </c>
      <c r="K195" s="154"/>
    </row>
    <row r="196" spans="1:11" ht="54.75" customHeight="1" thickBot="1" x14ac:dyDescent="0.25">
      <c r="A196" s="154"/>
      <c r="B196" s="154"/>
      <c r="C196" s="154"/>
      <c r="D196" s="154"/>
      <c r="E196" s="154"/>
      <c r="F196" s="154"/>
      <c r="G196" s="154"/>
      <c r="H196" s="1379"/>
      <c r="I196" s="204" t="s">
        <v>451</v>
      </c>
    </row>
    <row r="197" spans="1:11" ht="42" customHeight="1" x14ac:dyDescent="0.2">
      <c r="A197" s="154"/>
      <c r="B197" s="154"/>
      <c r="C197" s="154"/>
      <c r="D197" s="154"/>
      <c r="E197" s="154"/>
      <c r="F197" s="154"/>
      <c r="G197" s="154"/>
      <c r="H197" s="154"/>
    </row>
    <row r="198" spans="1:11" ht="40.5" customHeight="1" x14ac:dyDescent="0.2">
      <c r="A198" s="154"/>
      <c r="B198" s="154"/>
      <c r="C198" s="154"/>
      <c r="D198" s="154"/>
      <c r="E198" s="154"/>
      <c r="F198" s="154"/>
      <c r="G198" s="154"/>
      <c r="H198" s="154"/>
    </row>
    <row r="199" spans="1:11" ht="27" customHeight="1" x14ac:dyDescent="0.2">
      <c r="A199" s="154"/>
      <c r="B199" s="154"/>
      <c r="C199" s="154"/>
      <c r="D199" s="154"/>
      <c r="E199" s="154"/>
      <c r="F199" s="154"/>
      <c r="G199" s="154"/>
      <c r="H199" s="154"/>
    </row>
    <row r="200" spans="1:11" ht="54.75" customHeight="1" x14ac:dyDescent="0.2">
      <c r="A200" s="154"/>
      <c r="B200" s="154"/>
      <c r="C200" s="154"/>
      <c r="D200" s="154"/>
      <c r="E200" s="154"/>
      <c r="F200" s="154"/>
      <c r="G200" s="154"/>
      <c r="H200" s="154"/>
    </row>
    <row r="201" spans="1:11" ht="42" customHeight="1" x14ac:dyDescent="0.2">
      <c r="A201" s="154"/>
      <c r="B201" s="154"/>
      <c r="C201" s="154"/>
      <c r="D201" s="154"/>
      <c r="E201" s="154"/>
      <c r="F201" s="154"/>
      <c r="G201" s="154"/>
      <c r="H201" s="154"/>
    </row>
    <row r="202" spans="1:11" ht="39" customHeight="1" x14ac:dyDescent="0.2">
      <c r="A202" s="154"/>
      <c r="B202" s="154"/>
      <c r="C202" s="154"/>
      <c r="D202" s="154"/>
      <c r="E202" s="154"/>
      <c r="F202" s="154"/>
      <c r="G202" s="154"/>
      <c r="H202" s="154"/>
    </row>
    <row r="203" spans="1:11" ht="27" customHeight="1" x14ac:dyDescent="0.2">
      <c r="A203" s="154"/>
      <c r="B203" s="154"/>
      <c r="C203" s="154"/>
      <c r="D203" s="154"/>
      <c r="E203" s="154"/>
      <c r="F203" s="154"/>
      <c r="G203" s="154"/>
      <c r="H203" s="154"/>
    </row>
    <row r="204" spans="1:11" ht="69" customHeight="1" x14ac:dyDescent="0.2">
      <c r="A204" s="154"/>
      <c r="B204" s="154"/>
      <c r="C204" s="154"/>
      <c r="D204" s="154"/>
      <c r="E204" s="154"/>
      <c r="F204" s="154"/>
      <c r="G204" s="154"/>
      <c r="H204" s="154"/>
    </row>
    <row r="205" spans="1:11" ht="42" customHeight="1" x14ac:dyDescent="0.2">
      <c r="A205" s="154"/>
      <c r="B205" s="154"/>
      <c r="C205" s="154"/>
      <c r="D205" s="154"/>
      <c r="E205" s="154"/>
      <c r="F205" s="154"/>
      <c r="G205" s="154"/>
      <c r="H205" s="154"/>
    </row>
    <row r="206" spans="1:11" ht="42" customHeight="1" x14ac:dyDescent="0.2">
      <c r="A206" s="154"/>
      <c r="B206" s="154"/>
      <c r="C206" s="154"/>
      <c r="D206" s="154"/>
      <c r="E206" s="154"/>
      <c r="F206" s="154"/>
      <c r="G206" s="154"/>
      <c r="H206" s="154"/>
    </row>
    <row r="207" spans="1:11" ht="55.5" customHeight="1" x14ac:dyDescent="0.2">
      <c r="A207" s="154"/>
      <c r="B207" s="154"/>
      <c r="C207" s="154"/>
      <c r="D207" s="154"/>
      <c r="E207" s="154"/>
      <c r="F207" s="154"/>
      <c r="G207" s="154"/>
      <c r="H207" s="154"/>
    </row>
    <row r="208" spans="1:11" ht="42" customHeight="1" x14ac:dyDescent="0.2">
      <c r="A208" s="22"/>
      <c r="B208" s="22"/>
      <c r="D208" s="262"/>
      <c r="E208" s="22"/>
      <c r="F208" s="22"/>
      <c r="G208" s="262"/>
    </row>
    <row r="209" spans="1:7" ht="42" customHeight="1" x14ac:dyDescent="0.2">
      <c r="A209" s="22"/>
      <c r="B209" s="22"/>
      <c r="D209" s="262"/>
      <c r="E209" s="22"/>
      <c r="F209" s="22"/>
      <c r="G209" s="262"/>
    </row>
    <row r="210" spans="1:7" ht="30" customHeight="1" x14ac:dyDescent="0.2">
      <c r="A210" s="22"/>
      <c r="B210" s="22"/>
      <c r="D210" s="262"/>
      <c r="E210" s="22"/>
      <c r="F210" s="22"/>
      <c r="G210" s="262"/>
    </row>
    <row r="211" spans="1:7" ht="70.150000000000006" customHeight="1" x14ac:dyDescent="0.2">
      <c r="A211" s="22"/>
      <c r="B211" s="22"/>
      <c r="D211" s="262"/>
      <c r="E211" s="22"/>
      <c r="F211" s="22"/>
      <c r="G211" s="262"/>
    </row>
    <row r="212" spans="1:7" ht="30.6" customHeight="1" x14ac:dyDescent="0.2">
      <c r="A212" s="22"/>
      <c r="B212" s="22"/>
      <c r="D212" s="262"/>
      <c r="E212" s="22"/>
      <c r="F212" s="22"/>
      <c r="G212" s="262"/>
    </row>
    <row r="213" spans="1:7" ht="30.6" customHeight="1" x14ac:dyDescent="0.2">
      <c r="A213" s="22"/>
      <c r="B213" s="22"/>
      <c r="D213" s="262"/>
      <c r="E213" s="22"/>
      <c r="F213" s="22"/>
      <c r="G213" s="262"/>
    </row>
    <row r="214" spans="1:7" ht="30.6" customHeight="1" x14ac:dyDescent="0.2">
      <c r="A214" s="22"/>
      <c r="B214" s="22"/>
      <c r="D214" s="262"/>
      <c r="E214" s="22"/>
      <c r="F214" s="22"/>
      <c r="G214" s="262"/>
    </row>
    <row r="215" spans="1:7" ht="42.6" customHeight="1" x14ac:dyDescent="0.2">
      <c r="A215" s="22"/>
      <c r="B215" s="22"/>
      <c r="D215" s="262"/>
      <c r="E215" s="22"/>
      <c r="F215" s="22"/>
      <c r="G215" s="262"/>
    </row>
    <row r="216" spans="1:7" ht="30.6" customHeight="1" x14ac:dyDescent="0.2">
      <c r="A216" s="22"/>
      <c r="B216" s="22"/>
      <c r="D216" s="262"/>
      <c r="E216" s="22"/>
      <c r="F216" s="22"/>
      <c r="G216" s="262"/>
    </row>
    <row r="217" spans="1:7" x14ac:dyDescent="0.2">
      <c r="A217" s="22"/>
      <c r="B217" s="22"/>
      <c r="D217" s="262"/>
      <c r="E217" s="22"/>
      <c r="F217" s="22"/>
      <c r="G217" s="262"/>
    </row>
    <row r="218" spans="1:7" ht="42.6" customHeight="1" x14ac:dyDescent="0.2">
      <c r="A218" s="22"/>
      <c r="B218" s="22"/>
      <c r="D218" s="262"/>
      <c r="E218" s="22"/>
      <c r="F218" s="22"/>
      <c r="G218" s="262"/>
    </row>
    <row r="219" spans="1:7" ht="42.6" customHeight="1" x14ac:dyDescent="0.2">
      <c r="A219" s="22"/>
      <c r="B219" s="22"/>
      <c r="D219" s="262"/>
      <c r="E219" s="22"/>
      <c r="F219" s="22"/>
      <c r="G219" s="262"/>
    </row>
    <row r="220" spans="1:7" ht="30.6" customHeight="1" x14ac:dyDescent="0.2">
      <c r="A220" s="22"/>
      <c r="B220" s="22"/>
      <c r="D220" s="262"/>
      <c r="E220" s="22"/>
      <c r="F220" s="22"/>
      <c r="G220" s="262"/>
    </row>
    <row r="221" spans="1:7" ht="70.900000000000006" customHeight="1" x14ac:dyDescent="0.2">
      <c r="A221" s="22"/>
      <c r="B221" s="22"/>
      <c r="D221" s="262"/>
      <c r="E221" s="22"/>
      <c r="F221" s="22"/>
      <c r="G221" s="262"/>
    </row>
    <row r="222" spans="1:7" ht="42" customHeight="1" x14ac:dyDescent="0.2">
      <c r="A222" s="22"/>
      <c r="B222" s="22"/>
      <c r="D222" s="262"/>
      <c r="E222" s="22"/>
      <c r="F222" s="22"/>
      <c r="G222" s="262"/>
    </row>
    <row r="223" spans="1:7" ht="43.15" customHeight="1" x14ac:dyDescent="0.2">
      <c r="A223" s="22"/>
      <c r="B223" s="22"/>
      <c r="D223" s="262"/>
      <c r="E223" s="22"/>
      <c r="F223" s="22"/>
      <c r="G223" s="262"/>
    </row>
    <row r="224" spans="1:7" ht="57" customHeight="1" x14ac:dyDescent="0.2">
      <c r="A224" s="22"/>
      <c r="B224" s="22"/>
      <c r="D224" s="262"/>
      <c r="E224" s="22"/>
      <c r="F224" s="22"/>
      <c r="G224" s="262"/>
    </row>
    <row r="225" spans="1:3" x14ac:dyDescent="0.2">
      <c r="A225" s="46"/>
      <c r="C225" s="15"/>
    </row>
  </sheetData>
  <sheetProtection password="C4B9" sheet="1" objects="1" scenarios="1"/>
  <sortState ref="A3:P16">
    <sortCondition ref="H3:H16"/>
  </sortState>
  <customSheetViews>
    <customSheetView guid="{B8E02330-2419-4DE6-AD01-7ACC7A5D18DD}" scale="75" topLeftCell="A154">
      <selection activeCell="A2" sqref="A2:H175"/>
      <pageMargins left="0.75" right="0.75" top="1" bottom="1" header="0.5" footer="0.5"/>
      <pageSetup orientation="portrait" r:id="rId1"/>
      <headerFooter alignWithMargins="0"/>
    </customSheetView>
  </customSheetViews>
  <mergeCells count="93">
    <mergeCell ref="E1:I1"/>
    <mergeCell ref="A1:B1"/>
    <mergeCell ref="A28:A34"/>
    <mergeCell ref="A35:A41"/>
    <mergeCell ref="B17:B21"/>
    <mergeCell ref="B35:B41"/>
    <mergeCell ref="B28:B34"/>
    <mergeCell ref="A22:A27"/>
    <mergeCell ref="H17:H21"/>
    <mergeCell ref="H22:H27"/>
    <mergeCell ref="H28:H34"/>
    <mergeCell ref="I28:I34"/>
    <mergeCell ref="I17:I21"/>
    <mergeCell ref="I22:I27"/>
    <mergeCell ref="I35:I41"/>
    <mergeCell ref="H35:H41"/>
    <mergeCell ref="A129:A131"/>
    <mergeCell ref="B98:B103"/>
    <mergeCell ref="B74:B77"/>
    <mergeCell ref="A132:A137"/>
    <mergeCell ref="A95:A97"/>
    <mergeCell ref="A120:A122"/>
    <mergeCell ref="B123:B128"/>
    <mergeCell ref="B116:B119"/>
    <mergeCell ref="A123:A128"/>
    <mergeCell ref="A74:A77"/>
    <mergeCell ref="A98:A103"/>
    <mergeCell ref="A80:A85"/>
    <mergeCell ref="A116:A119"/>
    <mergeCell ref="A90:A94"/>
    <mergeCell ref="B120:B122"/>
    <mergeCell ref="B86:B89"/>
    <mergeCell ref="I74:I77"/>
    <mergeCell ref="A110:A115"/>
    <mergeCell ref="I95:I97"/>
    <mergeCell ref="A104:A109"/>
    <mergeCell ref="B104:B109"/>
    <mergeCell ref="I98:I103"/>
    <mergeCell ref="B95:B97"/>
    <mergeCell ref="H110:H115"/>
    <mergeCell ref="B110:B115"/>
    <mergeCell ref="A86:A89"/>
    <mergeCell ref="I86:I89"/>
    <mergeCell ref="H90:H94"/>
    <mergeCell ref="H98:H103"/>
    <mergeCell ref="H104:H109"/>
    <mergeCell ref="H86:H89"/>
    <mergeCell ref="H95:H97"/>
    <mergeCell ref="A48:A52"/>
    <mergeCell ref="A53:A58"/>
    <mergeCell ref="I80:I85"/>
    <mergeCell ref="B80:B85"/>
    <mergeCell ref="B42:B47"/>
    <mergeCell ref="A42:A47"/>
    <mergeCell ref="B48:B52"/>
    <mergeCell ref="A63:A69"/>
    <mergeCell ref="B59:B62"/>
    <mergeCell ref="B53:B58"/>
    <mergeCell ref="I59:I62"/>
    <mergeCell ref="A59:A62"/>
    <mergeCell ref="A70:A73"/>
    <mergeCell ref="I63:I69"/>
    <mergeCell ref="H70:H73"/>
    <mergeCell ref="H74:H77"/>
    <mergeCell ref="I53:I58"/>
    <mergeCell ref="I42:I47"/>
    <mergeCell ref="I48:I52"/>
    <mergeCell ref="B70:B73"/>
    <mergeCell ref="B22:B27"/>
    <mergeCell ref="I70:I73"/>
    <mergeCell ref="H123:H128"/>
    <mergeCell ref="H129:H131"/>
    <mergeCell ref="H42:H47"/>
    <mergeCell ref="H48:H52"/>
    <mergeCell ref="H53:H58"/>
    <mergeCell ref="H59:H62"/>
    <mergeCell ref="H80:H85"/>
    <mergeCell ref="H132:H137"/>
    <mergeCell ref="I110:I115"/>
    <mergeCell ref="H63:H69"/>
    <mergeCell ref="B63:B69"/>
    <mergeCell ref="I132:I137"/>
    <mergeCell ref="B132:B137"/>
    <mergeCell ref="B129:B131"/>
    <mergeCell ref="B90:B94"/>
    <mergeCell ref="I90:I94"/>
    <mergeCell ref="I120:I122"/>
    <mergeCell ref="I116:I119"/>
    <mergeCell ref="I104:I109"/>
    <mergeCell ref="I123:I128"/>
    <mergeCell ref="I129:I131"/>
    <mergeCell ref="H116:H119"/>
    <mergeCell ref="H120:H122"/>
  </mergeCells>
  <phoneticPr fontId="5" type="noConversion"/>
  <conditionalFormatting sqref="H14">
    <cfRule type="cellIs" dxfId="6" priority="13" stopIfTrue="1" operator="equal">
      <formula>1</formula>
    </cfRule>
  </conditionalFormatting>
  <conditionalFormatting sqref="D104:D108 D110 D112:D118 D120:D121 D123:D127 D129:D130 D132:D136 D158 D138:D142 D144:D145 D147:D149 D151:D155 D92:D95 D97:D102 D88:D90 D56:D61 D63:D66 D51:D54 D84:D86 D68:D72 D74 D17:D20 D22:D29 D31:D40 D42:D43 D45:D49 D76:D82">
    <cfRule type="cellIs" dxfId="5" priority="1" operator="greaterThan">
      <formula>0</formula>
    </cfRule>
  </conditionalFormatting>
  <pageMargins left="0.75" right="0.75" top="1" bottom="1" header="0.5" footer="0.5"/>
  <pageSetup orientation="portrait" r:id="rId2"/>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O1653"/>
  <sheetViews>
    <sheetView zoomScaleNormal="100" workbookViewId="0">
      <selection activeCell="A125" sqref="A125:A130"/>
    </sheetView>
  </sheetViews>
  <sheetFormatPr defaultColWidth="9.33203125" defaultRowHeight="16.5" x14ac:dyDescent="0.2"/>
  <cols>
    <col min="1" max="1" width="5.83203125" style="25" customWidth="1"/>
    <col min="2" max="2" width="19.1640625" style="177" customWidth="1"/>
    <col min="3" max="3" width="69.83203125" style="7" customWidth="1"/>
    <col min="4" max="4" width="6.83203125" style="458" customWidth="1"/>
    <col min="5" max="5" width="7.6640625" style="458" customWidth="1"/>
    <col min="6" max="6" width="7.83203125" style="542" customWidth="1"/>
    <col min="7" max="7" width="10.6640625" style="543" customWidth="1"/>
    <col min="8" max="8" width="12" style="185" customWidth="1"/>
    <col min="9" max="9" width="69.83203125" style="14" customWidth="1"/>
    <col min="10" max="10" width="9.33203125" style="220"/>
    <col min="11" max="12" width="9.33203125" style="16"/>
    <col min="13" max="13" width="49.5" style="16" customWidth="1"/>
    <col min="14" max="66" width="9.33203125" style="16"/>
    <col min="67" max="16384" width="9.33203125" style="12"/>
  </cols>
  <sheetData>
    <row r="1" spans="1:67" s="78" customFormat="1" ht="60" customHeight="1" thickBot="1" x14ac:dyDescent="0.25">
      <c r="A1" s="2307" t="s">
        <v>2082</v>
      </c>
      <c r="B1" s="2215"/>
      <c r="C1" s="77" t="s">
        <v>677</v>
      </c>
      <c r="D1" s="1093" t="s">
        <v>669</v>
      </c>
      <c r="E1" s="2304"/>
      <c r="F1" s="2305"/>
      <c r="G1" s="2305"/>
      <c r="H1" s="2305"/>
      <c r="I1" s="2306"/>
      <c r="J1" s="219"/>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H1" s="80"/>
      <c r="BI1" s="80"/>
      <c r="BJ1" s="80"/>
      <c r="BK1" s="80"/>
      <c r="BL1" s="80"/>
      <c r="BM1" s="80"/>
      <c r="BN1" s="80"/>
    </row>
    <row r="2" spans="1:67" s="708" customFormat="1" ht="42" customHeight="1" thickBot="1" x14ac:dyDescent="0.25">
      <c r="A2" s="1605" t="s">
        <v>110</v>
      </c>
      <c r="B2" s="1606" t="s">
        <v>1096</v>
      </c>
      <c r="C2" s="1607" t="s">
        <v>1395</v>
      </c>
      <c r="D2" s="1605"/>
      <c r="E2" s="1608"/>
      <c r="F2" s="1609"/>
      <c r="G2" s="1610" t="s">
        <v>1111</v>
      </c>
      <c r="H2" s="1611" t="s">
        <v>1108</v>
      </c>
      <c r="I2" s="1606" t="s">
        <v>304</v>
      </c>
    </row>
    <row r="3" spans="1:67" s="155" customFormat="1" ht="71.25" customHeight="1" thickBot="1" x14ac:dyDescent="0.25">
      <c r="A3" s="931" t="str">
        <f>OF!A6</f>
        <v>OF5</v>
      </c>
      <c r="B3" s="715" t="str">
        <f>OF!C6</f>
        <v>Wetland Class Richness Within 1km</v>
      </c>
      <c r="C3" s="1097"/>
      <c r="D3" s="716"/>
      <c r="E3" s="717"/>
      <c r="F3" s="717"/>
      <c r="G3" s="761" t="str">
        <f>IF((ClassRich1k=""),"",ClassRich1k)</f>
        <v/>
      </c>
      <c r="H3" s="767" t="s">
        <v>1261</v>
      </c>
      <c r="I3" s="1098" t="s">
        <v>1625</v>
      </c>
      <c r="J3" s="221"/>
      <c r="L3" s="229"/>
      <c r="N3" s="229"/>
      <c r="O3" s="229"/>
      <c r="P3" s="229"/>
    </row>
    <row r="4" spans="1:67" s="155" customFormat="1" ht="41.25" customHeight="1" thickBot="1" x14ac:dyDescent="0.25">
      <c r="A4" s="709" t="str">
        <f>OF!A7</f>
        <v>OF6</v>
      </c>
      <c r="B4" s="710" t="str">
        <f>OF!C7</f>
        <v>Wetland Class Richness Within Wetland</v>
      </c>
      <c r="C4" s="1099"/>
      <c r="D4" s="712"/>
      <c r="E4" s="713"/>
      <c r="F4" s="713"/>
      <c r="G4" s="740" t="str">
        <f>IF((ClassRichIn=""),"",ClassRichIn)</f>
        <v/>
      </c>
      <c r="H4" s="741" t="s">
        <v>1060</v>
      </c>
      <c r="I4" s="163" t="s">
        <v>107</v>
      </c>
      <c r="J4" s="221"/>
      <c r="L4" s="229"/>
      <c r="N4" s="229"/>
      <c r="O4" s="229"/>
      <c r="P4" s="229"/>
    </row>
    <row r="5" spans="1:67" s="155" customFormat="1" ht="58.5" customHeight="1" thickBot="1" x14ac:dyDescent="0.25">
      <c r="A5" s="931" t="str">
        <f>OF!A8</f>
        <v>OF7</v>
      </c>
      <c r="B5" s="715" t="str">
        <f>OF!C8</f>
        <v>Distance to Nearest Annual Cropland or Developed Land</v>
      </c>
      <c r="C5" s="1097"/>
      <c r="D5" s="716"/>
      <c r="E5" s="717"/>
      <c r="F5" s="717"/>
      <c r="G5" s="761" t="str">
        <f>IF((Dist2DevCrop=""),"",Dist2DevCrop)</f>
        <v/>
      </c>
      <c r="H5" s="767" t="s">
        <v>1257</v>
      </c>
      <c r="I5" s="1083" t="s">
        <v>1626</v>
      </c>
      <c r="J5" s="221"/>
      <c r="L5" s="229"/>
      <c r="N5" s="229"/>
      <c r="O5" s="229"/>
      <c r="P5" s="229"/>
    </row>
    <row r="6" spans="1:67" s="155" customFormat="1" ht="141" customHeight="1" thickBot="1" x14ac:dyDescent="0.25">
      <c r="A6" s="709" t="str">
        <f>OF!A9</f>
        <v>OF8</v>
      </c>
      <c r="B6" s="710" t="str">
        <f>OF!C9</f>
        <v>Distance to Nearest Road (from Wetland Edge)</v>
      </c>
      <c r="C6" s="1099" t="s">
        <v>507</v>
      </c>
      <c r="D6" s="712"/>
      <c r="E6" s="713"/>
      <c r="F6" s="713"/>
      <c r="G6" s="740" t="str">
        <f>IF((Dist2Road=""),"",Dist2Road)</f>
        <v/>
      </c>
      <c r="H6" s="741" t="s">
        <v>1270</v>
      </c>
      <c r="I6" s="163" t="s">
        <v>777</v>
      </c>
      <c r="J6" s="221"/>
      <c r="N6" s="7"/>
      <c r="O6" s="7"/>
    </row>
    <row r="7" spans="1:67" s="155" customFormat="1" ht="45" customHeight="1" thickBot="1" x14ac:dyDescent="0.25">
      <c r="A7" s="931" t="str">
        <f>OF!A16</f>
        <v>OF15</v>
      </c>
      <c r="B7" s="715" t="str">
        <f>OF!C16</f>
        <v>Fish Presence</v>
      </c>
      <c r="C7" s="1097" t="s">
        <v>1396</v>
      </c>
      <c r="D7" s="716"/>
      <c r="E7" s="717"/>
      <c r="F7" s="717"/>
      <c r="G7" s="761" t="str">
        <f>IF((FishPres=""),"",1-FishPres)</f>
        <v/>
      </c>
      <c r="H7" s="767" t="s">
        <v>1044</v>
      </c>
      <c r="I7" s="1083" t="s">
        <v>1627</v>
      </c>
      <c r="J7" s="221"/>
      <c r="L7" s="229"/>
      <c r="N7" s="229"/>
      <c r="O7" s="229"/>
      <c r="P7" s="229"/>
    </row>
    <row r="8" spans="1:67" s="155" customFormat="1" ht="45" customHeight="1" thickBot="1" x14ac:dyDescent="0.25">
      <c r="A8" s="709" t="str">
        <f>OF!A18</f>
        <v>OF17</v>
      </c>
      <c r="B8" s="710" t="str">
        <f>OF!C18</f>
        <v>Growing Degree Days</v>
      </c>
      <c r="C8" s="1099" t="s">
        <v>507</v>
      </c>
      <c r="D8" s="712"/>
      <c r="E8" s="713"/>
      <c r="F8" s="713"/>
      <c r="G8" s="740" t="str">
        <f>IF((GrowDD=""),"",GrowDD)</f>
        <v/>
      </c>
      <c r="H8" s="741" t="s">
        <v>1078</v>
      </c>
      <c r="I8" s="163" t="s">
        <v>772</v>
      </c>
      <c r="J8" s="221"/>
    </row>
    <row r="9" spans="1:67" s="155" customFormat="1" ht="30" customHeight="1" thickBot="1" x14ac:dyDescent="0.25">
      <c r="A9" s="931" t="str">
        <f>OF!A24</f>
        <v>OF23</v>
      </c>
      <c r="B9" s="715" t="str">
        <f>OF!C24</f>
        <v>% of the AA that is Marsh</v>
      </c>
      <c r="C9" s="1097"/>
      <c r="D9" s="716"/>
      <c r="E9" s="717"/>
      <c r="F9" s="717"/>
      <c r="G9" s="1069" t="str">
        <f>IF((MarshPct=""),"",MarshPct)</f>
        <v/>
      </c>
      <c r="H9" s="892" t="s">
        <v>1265</v>
      </c>
      <c r="I9" s="1100" t="s">
        <v>1628</v>
      </c>
      <c r="J9" s="231"/>
      <c r="K9" s="5"/>
      <c r="L9" s="255"/>
      <c r="N9" s="229"/>
      <c r="O9" s="229"/>
      <c r="P9" s="229"/>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7"/>
    </row>
    <row r="10" spans="1:67" s="155" customFormat="1" ht="45" customHeight="1" thickBot="1" x14ac:dyDescent="0.25">
      <c r="A10" s="709" t="str">
        <f>OF!A28</f>
        <v>OF27</v>
      </c>
      <c r="B10" s="710" t="str">
        <f>OF!C28</f>
        <v>Interspersion Index for Internal Water &amp; Vegetation (macroscale)</v>
      </c>
      <c r="C10" s="1099" t="s">
        <v>507</v>
      </c>
      <c r="D10" s="712"/>
      <c r="E10" s="713"/>
      <c r="F10" s="713"/>
      <c r="G10" s="740" t="str">
        <f>IF((MixWaterVeg=""),"",MixWaterVeg)</f>
        <v/>
      </c>
      <c r="H10" s="741" t="s">
        <v>1032</v>
      </c>
      <c r="I10" s="163" t="s">
        <v>1629</v>
      </c>
      <c r="J10" s="221"/>
      <c r="L10" s="229"/>
      <c r="N10" s="229"/>
      <c r="O10" s="229"/>
      <c r="P10" s="229"/>
    </row>
    <row r="11" spans="1:67" s="155" customFormat="1" ht="120.75" customHeight="1" thickBot="1" x14ac:dyDescent="0.25">
      <c r="A11" s="931" t="str">
        <f>OF!A29</f>
        <v>OF28</v>
      </c>
      <c r="B11" s="715" t="str">
        <f>OF!C29</f>
        <v>% Natural Cover within 1km</v>
      </c>
      <c r="C11" s="1097" t="s">
        <v>507</v>
      </c>
      <c r="D11" s="716"/>
      <c r="E11" s="717"/>
      <c r="F11" s="717"/>
      <c r="G11" s="761" t="str">
        <f>IF((NatCov1k=""),"",NatCov1k)</f>
        <v/>
      </c>
      <c r="H11" s="767" t="s">
        <v>1063</v>
      </c>
      <c r="I11" s="1083" t="s">
        <v>1791</v>
      </c>
      <c r="J11" s="221"/>
      <c r="P11" s="5"/>
    </row>
    <row r="12" spans="1:67" s="155" customFormat="1" ht="54" customHeight="1" thickBot="1" x14ac:dyDescent="0.25">
      <c r="A12" s="709" t="str">
        <f>OF!A33</f>
        <v>OF32</v>
      </c>
      <c r="B12" s="710" t="str">
        <f>OF!C33</f>
        <v>% of AA that is Open Water (macro scale, Amphibian Habitat)</v>
      </c>
      <c r="C12" s="1099" t="s">
        <v>2084</v>
      </c>
      <c r="D12" s="712"/>
      <c r="E12" s="713"/>
      <c r="F12" s="713"/>
      <c r="G12" s="740" t="str">
        <f>IF((OWpct_AM=""),"",OWpct_AM)</f>
        <v/>
      </c>
      <c r="H12" s="742" t="s">
        <v>1401</v>
      </c>
      <c r="I12" s="163" t="s">
        <v>1630</v>
      </c>
      <c r="J12" s="221"/>
      <c r="L12" s="255"/>
      <c r="N12" s="229"/>
      <c r="O12" s="229"/>
      <c r="P12" s="229"/>
    </row>
    <row r="13" spans="1:67" s="155" customFormat="1" ht="45" customHeight="1" thickBot="1" x14ac:dyDescent="0.25">
      <c r="A13" s="931" t="str">
        <f>OF!A35</f>
        <v>OF34</v>
      </c>
      <c r="B13" s="715" t="str">
        <f>OF!C35</f>
        <v>% of Wetland Perimeter Adjoined by Natural Cover</v>
      </c>
      <c r="C13" s="1097" t="s">
        <v>507</v>
      </c>
      <c r="D13" s="716"/>
      <c r="E13" s="717"/>
      <c r="F13" s="717"/>
      <c r="G13" s="761" t="str">
        <f>IF((PerimNatCov=""),"",PerimNatCov)</f>
        <v/>
      </c>
      <c r="H13" s="1071" t="s">
        <v>1064</v>
      </c>
      <c r="I13" s="1396" t="s">
        <v>1813</v>
      </c>
      <c r="J13" s="221"/>
      <c r="L13" s="229"/>
      <c r="N13" s="229"/>
      <c r="O13" s="229"/>
      <c r="P13" s="229"/>
    </row>
    <row r="14" spans="1:67" s="155" customFormat="1" ht="30" customHeight="1" thickBot="1" x14ac:dyDescent="0.25">
      <c r="A14" s="709" t="str">
        <f>OF!A41</f>
        <v>OF40</v>
      </c>
      <c r="B14" s="710" t="str">
        <f>OF!C41</f>
        <v>Road Density in 1km Buffer</v>
      </c>
      <c r="C14" s="1099" t="s">
        <v>1396</v>
      </c>
      <c r="D14" s="712"/>
      <c r="E14" s="713"/>
      <c r="F14" s="713"/>
      <c r="G14" s="1101" t="str">
        <f>IF((RdDens1k=""),"",RdDens1k)</f>
        <v/>
      </c>
      <c r="H14" s="1033" t="s">
        <v>1065</v>
      </c>
      <c r="I14" s="1102" t="s">
        <v>2221</v>
      </c>
      <c r="J14" s="231"/>
      <c r="K14" s="5"/>
      <c r="L14" s="255"/>
      <c r="N14" s="229"/>
      <c r="O14" s="229"/>
      <c r="P14" s="229"/>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7"/>
    </row>
    <row r="15" spans="1:67" s="155" customFormat="1" ht="30" customHeight="1" thickBot="1" x14ac:dyDescent="0.25">
      <c r="A15" s="931" t="str">
        <f>OF!A45</f>
        <v>OF44</v>
      </c>
      <c r="B15" s="715" t="str">
        <f>OF!C45</f>
        <v>Within Range of a Sensitive Amphibian</v>
      </c>
      <c r="C15" s="1097" t="s">
        <v>1442</v>
      </c>
      <c r="D15" s="716"/>
      <c r="E15" s="717"/>
      <c r="F15" s="1103"/>
      <c r="G15" s="1104" t="str">
        <f>IF((SensAm=""),"",IF((SensAm=1),1,""))</f>
        <v/>
      </c>
      <c r="H15" s="767" t="s">
        <v>1074</v>
      </c>
      <c r="I15" s="1083" t="s">
        <v>1631</v>
      </c>
      <c r="J15" s="221"/>
      <c r="L15" s="255"/>
      <c r="N15" s="229"/>
      <c r="O15" s="229"/>
      <c r="P15" s="229"/>
    </row>
    <row r="16" spans="1:67" s="155" customFormat="1" ht="30" customHeight="1" thickBot="1" x14ac:dyDescent="0.25">
      <c r="A16" s="709" t="str">
        <f>OF!A51</f>
        <v>OF50</v>
      </c>
      <c r="B16" s="710" t="str">
        <f>OF!C51</f>
        <v>Springs within 300m</v>
      </c>
      <c r="C16" s="1061" t="s">
        <v>1636</v>
      </c>
      <c r="D16" s="712"/>
      <c r="E16" s="713"/>
      <c r="F16" s="916"/>
      <c r="G16" s="1036" t="str">
        <f>IF((Spring=""),"",IF((Spring=1),1,""))</f>
        <v/>
      </c>
      <c r="H16" s="741" t="s">
        <v>1027</v>
      </c>
      <c r="I16" s="163" t="s">
        <v>1632</v>
      </c>
      <c r="J16" s="221"/>
    </row>
    <row r="17" spans="1:67" s="7" customFormat="1" ht="45" customHeight="1" thickBot="1" x14ac:dyDescent="0.25">
      <c r="A17" s="931" t="str">
        <f>OF!A59</f>
        <v>OF58</v>
      </c>
      <c r="B17" s="715" t="str">
        <f>OF!C59</f>
        <v>FenSwampMarshPct/ FenSwampMarshPct1k</v>
      </c>
      <c r="C17" s="1097" t="s">
        <v>507</v>
      </c>
      <c r="D17" s="716"/>
      <c r="E17" s="717"/>
      <c r="F17" s="717"/>
      <c r="G17" s="1069" t="str">
        <f>IF((UniqFenMarshSwamp=""),"",UniqFenMarshSwamp)</f>
        <v/>
      </c>
      <c r="H17" s="892" t="s">
        <v>2083</v>
      </c>
      <c r="I17" s="1083" t="s">
        <v>1633</v>
      </c>
      <c r="J17" s="221"/>
      <c r="K17" s="245"/>
      <c r="L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row>
    <row r="18" spans="1:67" s="155" customFormat="1" ht="99" customHeight="1" thickBot="1" x14ac:dyDescent="0.25">
      <c r="A18" s="709" t="str">
        <f>OF!A64</f>
        <v>OF63</v>
      </c>
      <c r="B18" s="710" t="str">
        <f>OF!C64</f>
        <v>Wetland Density Within 1km</v>
      </c>
      <c r="C18" s="1099"/>
      <c r="D18" s="712"/>
      <c r="E18" s="713"/>
      <c r="F18" s="713"/>
      <c r="G18" s="740" t="str">
        <f>IF((WetDens1k=""),"",WetDens1k)</f>
        <v/>
      </c>
      <c r="H18" s="741" t="s">
        <v>1016</v>
      </c>
      <c r="I18" s="858" t="s">
        <v>2095</v>
      </c>
      <c r="J18" s="221"/>
      <c r="P18" s="5"/>
    </row>
    <row r="19" spans="1:67" s="155" customFormat="1" ht="30" customHeight="1" thickBot="1" x14ac:dyDescent="0.25">
      <c r="A19" s="709" t="str">
        <f>OF!A65</f>
        <v>OF64</v>
      </c>
      <c r="B19" s="710" t="str">
        <f>OF!C65</f>
        <v>Wetland Density Within 1km (excluding bogs)</v>
      </c>
      <c r="C19" s="1099" t="s">
        <v>507</v>
      </c>
      <c r="D19" s="712"/>
      <c r="E19" s="713"/>
      <c r="F19" s="713"/>
      <c r="G19" s="1101" t="str">
        <f>IF((WetDens1k_NoBog=""),"",WetDens1k_NoBog)</f>
        <v/>
      </c>
      <c r="H19" s="1033" t="s">
        <v>1017</v>
      </c>
      <c r="I19" s="163" t="s">
        <v>1634</v>
      </c>
      <c r="J19" s="231"/>
      <c r="K19" s="245"/>
      <c r="L19" s="255"/>
      <c r="N19" s="154"/>
      <c r="O19" s="229"/>
      <c r="P19" s="229"/>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7"/>
    </row>
    <row r="20" spans="1:67" s="155" customFormat="1" ht="45" customHeight="1" thickBot="1" x14ac:dyDescent="0.25">
      <c r="A20" s="931" t="str">
        <f>OF!A71</f>
        <v>OF70</v>
      </c>
      <c r="B20" s="715" t="str">
        <f>OF!C71</f>
        <v>Wind Energy - Summer</v>
      </c>
      <c r="C20" s="1097" t="s">
        <v>1396</v>
      </c>
      <c r="D20" s="716"/>
      <c r="E20" s="717"/>
      <c r="F20" s="717"/>
      <c r="G20" s="761" t="str">
        <f>IF((WindSumm=""),"",1-WindSumm)</f>
        <v/>
      </c>
      <c r="H20" s="767" t="s">
        <v>1022</v>
      </c>
      <c r="I20" s="1083" t="s">
        <v>1635</v>
      </c>
      <c r="J20" s="221"/>
    </row>
    <row r="21" spans="1:67" s="7" customFormat="1" ht="60" customHeight="1" thickBot="1" x14ac:dyDescent="0.25">
      <c r="A21" s="709" t="str">
        <f>OF!A73</f>
        <v>OF72</v>
      </c>
      <c r="B21" s="710" t="str">
        <f>OF!C73</f>
        <v>Surface Water Quality Risk Index</v>
      </c>
      <c r="C21" s="1099" t="s">
        <v>1396</v>
      </c>
      <c r="D21" s="712"/>
      <c r="E21" s="713"/>
      <c r="F21" s="713"/>
      <c r="G21" s="740" t="str">
        <f>IF((WQrisk=""),"",1-WQrisk)</f>
        <v/>
      </c>
      <c r="H21" s="741" t="s">
        <v>1037</v>
      </c>
      <c r="I21" s="1086" t="s">
        <v>1098</v>
      </c>
      <c r="J21" s="221"/>
      <c r="K21" s="155"/>
      <c r="L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row>
    <row r="22" spans="1:67" s="2" customFormat="1" ht="42" customHeight="1" thickBot="1" x14ac:dyDescent="0.25">
      <c r="A22" s="1622" t="s">
        <v>110</v>
      </c>
      <c r="B22" s="1613" t="s">
        <v>1110</v>
      </c>
      <c r="C22" s="1623" t="s">
        <v>1109</v>
      </c>
      <c r="D22" s="1624" t="s">
        <v>45</v>
      </c>
      <c r="E22" s="1625" t="s">
        <v>2028</v>
      </c>
      <c r="F22" s="1626" t="s">
        <v>2027</v>
      </c>
      <c r="G22" s="1627" t="s">
        <v>1111</v>
      </c>
      <c r="H22" s="1628" t="s">
        <v>1108</v>
      </c>
      <c r="I22" s="1629" t="s">
        <v>1503</v>
      </c>
      <c r="J22" s="59"/>
    </row>
    <row r="23" spans="1:67" s="3" customFormat="1" ht="40.5" customHeight="1" thickBot="1" x14ac:dyDescent="0.25">
      <c r="A23" s="2142" t="str">
        <f>F!A17</f>
        <v>F3</v>
      </c>
      <c r="B23" s="2262" t="str">
        <f>F!B17</f>
        <v>% Saturated Only</v>
      </c>
      <c r="C23" s="116" t="str">
        <f>F!C17</f>
        <v>The percentage of the AA that never contains surface water during an average year (that is, except perhaps for a few hours after snowmelt or rainstorms), but which is still a wetland, is:</v>
      </c>
      <c r="D23" s="442"/>
      <c r="E23" s="442"/>
      <c r="F23" s="492"/>
      <c r="G23" s="441">
        <f>MAX(F24:F29)/MAX(E24:E29)</f>
        <v>0</v>
      </c>
      <c r="H23" s="2087" t="s">
        <v>348</v>
      </c>
      <c r="I23" s="2262" t="s">
        <v>87</v>
      </c>
      <c r="J23" s="215"/>
      <c r="K23" s="154"/>
      <c r="L23" s="154"/>
      <c r="M23" s="154"/>
    </row>
    <row r="24" spans="1:67" s="3" customFormat="1" ht="27" customHeight="1" x14ac:dyDescent="0.2">
      <c r="A24" s="2143"/>
      <c r="B24" s="2263"/>
      <c r="C24" s="951" t="str">
        <f>F!C18</f>
        <v>less than 1%, or &lt;0.01 hectare (about 10 m on a side) never has surface water.  In other words, all or nearly all of the AA is inundated permanently or at least seasonally.</v>
      </c>
      <c r="D24" s="298">
        <f>F!D18</f>
        <v>0</v>
      </c>
      <c r="E24" s="450">
        <v>5</v>
      </c>
      <c r="F24" s="450">
        <f t="shared" ref="F24:F29" si="0">D24*E24</f>
        <v>0</v>
      </c>
      <c r="G24" s="493"/>
      <c r="H24" s="2083"/>
      <c r="I24" s="2263"/>
      <c r="J24" s="215"/>
      <c r="K24" s="154"/>
      <c r="L24" s="154"/>
      <c r="M24" s="154"/>
    </row>
    <row r="25" spans="1:67" s="3" customFormat="1" ht="15" customHeight="1" x14ac:dyDescent="0.2">
      <c r="A25" s="2143"/>
      <c r="B25" s="2263"/>
      <c r="C25" s="951" t="str">
        <f>F!C19</f>
        <v>1-25% of the AA never contains surface water.</v>
      </c>
      <c r="D25" s="298">
        <f>F!D19</f>
        <v>0</v>
      </c>
      <c r="E25" s="450">
        <v>6</v>
      </c>
      <c r="F25" s="450">
        <f t="shared" si="0"/>
        <v>0</v>
      </c>
      <c r="G25" s="493"/>
      <c r="H25" s="2083"/>
      <c r="I25" s="2263"/>
      <c r="J25" s="215"/>
      <c r="K25" s="154"/>
      <c r="L25" s="154"/>
      <c r="M25" s="154"/>
    </row>
    <row r="26" spans="1:67" s="3" customFormat="1" ht="15" customHeight="1" x14ac:dyDescent="0.2">
      <c r="A26" s="2143"/>
      <c r="B26" s="2263"/>
      <c r="C26" s="951" t="str">
        <f>F!C20</f>
        <v>25-50% of the AA never contains surface water.</v>
      </c>
      <c r="D26" s="298">
        <f>F!D20</f>
        <v>0</v>
      </c>
      <c r="E26" s="450">
        <v>4</v>
      </c>
      <c r="F26" s="450">
        <f t="shared" si="0"/>
        <v>0</v>
      </c>
      <c r="G26" s="493"/>
      <c r="H26" s="2083"/>
      <c r="I26" s="2263"/>
      <c r="J26" s="215"/>
      <c r="K26" s="154"/>
      <c r="L26" s="154"/>
      <c r="M26" s="154"/>
    </row>
    <row r="27" spans="1:67" s="3" customFormat="1" ht="15" customHeight="1" x14ac:dyDescent="0.2">
      <c r="A27" s="2143"/>
      <c r="B27" s="2263"/>
      <c r="C27" s="951" t="str">
        <f>F!C21</f>
        <v>50-99% of the AA never contains surface water.</v>
      </c>
      <c r="D27" s="298">
        <f>F!D21</f>
        <v>0</v>
      </c>
      <c r="E27" s="450">
        <v>3</v>
      </c>
      <c r="F27" s="450">
        <f t="shared" si="0"/>
        <v>0</v>
      </c>
      <c r="G27" s="493"/>
      <c r="H27" s="2083"/>
      <c r="I27" s="2263"/>
      <c r="J27" s="215"/>
      <c r="K27" s="154"/>
      <c r="L27" s="154"/>
      <c r="M27" s="154"/>
    </row>
    <row r="28" spans="1:67" s="3" customFormat="1" ht="39" customHeight="1" x14ac:dyDescent="0.2">
      <c r="A28" s="2143"/>
      <c r="B28" s="2263"/>
      <c r="C28" s="951" t="str">
        <f>F!C22</f>
        <v>&gt;99% of the AA never contains surface water, except for water flowing in channels and/or in pools that occupy &lt;1% of the AA. SKIP to F26 (Channel Connection &amp; Outflow Duration)</v>
      </c>
      <c r="D28" s="298">
        <f>F!D22</f>
        <v>0</v>
      </c>
      <c r="E28" s="450">
        <v>2</v>
      </c>
      <c r="F28" s="450">
        <f t="shared" si="0"/>
        <v>0</v>
      </c>
      <c r="G28" s="493"/>
      <c r="H28" s="2083"/>
      <c r="I28" s="2263"/>
      <c r="J28" s="215"/>
      <c r="K28" s="154"/>
      <c r="L28" s="154"/>
      <c r="M28" s="154"/>
    </row>
    <row r="29" spans="1:67" s="3" customFormat="1" ht="27" customHeight="1" thickBot="1" x14ac:dyDescent="0.25">
      <c r="A29" s="2143"/>
      <c r="B29" s="2263"/>
      <c r="C29" s="154" t="str">
        <f>F!C23</f>
        <v>&gt;99% of the AA never contains surface water, and AA is not intersected by channels that have flow, not even for a few days per year. SKIP to F26.</v>
      </c>
      <c r="D29" s="1073">
        <f>F!D23</f>
        <v>0</v>
      </c>
      <c r="E29" s="806">
        <v>1</v>
      </c>
      <c r="F29" s="806">
        <f t="shared" si="0"/>
        <v>0</v>
      </c>
      <c r="G29" s="967"/>
      <c r="H29" s="2088"/>
      <c r="I29" s="2263"/>
      <c r="J29" s="215"/>
      <c r="K29" s="154"/>
      <c r="L29" s="154"/>
      <c r="M29" s="154"/>
    </row>
    <row r="30" spans="1:67" ht="30" customHeight="1" thickBot="1" x14ac:dyDescent="0.25">
      <c r="A30" s="2142" t="str">
        <f>F!A45</f>
        <v>F9</v>
      </c>
      <c r="B30" s="2259" t="str">
        <f>F!B45</f>
        <v>Annual Water Fluctuation Range</v>
      </c>
      <c r="C30" s="116" t="str">
        <f>F!C45</f>
        <v>The annual fluctuation in surface water level within most of the parts of the AA that contain surface water is:</v>
      </c>
      <c r="D30" s="798"/>
      <c r="E30" s="802"/>
      <c r="F30" s="443"/>
      <c r="G30" s="441">
        <f>IF((AllSat+AllSat&gt;0),"",IF((NoSeasonal=1),"",MAX(F31:F34)/MAX(E31:E34)))</f>
        <v>0</v>
      </c>
      <c r="H30" s="2139" t="s">
        <v>149</v>
      </c>
      <c r="I30" s="2259" t="s">
        <v>2085</v>
      </c>
    </row>
    <row r="31" spans="1:67" ht="15" customHeight="1" x14ac:dyDescent="0.2">
      <c r="A31" s="2120"/>
      <c r="B31" s="2300"/>
      <c r="C31" s="953" t="str">
        <f>F!C46</f>
        <v xml:space="preserve">&lt;10 cm change (stable) </v>
      </c>
      <c r="D31" s="271">
        <f>F!D46</f>
        <v>0</v>
      </c>
      <c r="E31" s="803">
        <v>5</v>
      </c>
      <c r="F31" s="803">
        <f>D31*E31</f>
        <v>0</v>
      </c>
      <c r="G31" s="444"/>
      <c r="H31" s="2140"/>
      <c r="I31" s="2296"/>
    </row>
    <row r="32" spans="1:67" ht="15" customHeight="1" x14ac:dyDescent="0.2">
      <c r="A32" s="2120"/>
      <c r="B32" s="2300"/>
      <c r="C32" s="785" t="str">
        <f>F!C47</f>
        <v>10 cm - 50 cm change</v>
      </c>
      <c r="D32" s="779">
        <f>F!D47</f>
        <v>0</v>
      </c>
      <c r="E32" s="803">
        <v>4</v>
      </c>
      <c r="F32" s="803">
        <f>D32*E32</f>
        <v>0</v>
      </c>
      <c r="G32" s="445"/>
      <c r="H32" s="2140"/>
      <c r="I32" s="2296"/>
    </row>
    <row r="33" spans="1:13" ht="15" customHeight="1" x14ac:dyDescent="0.2">
      <c r="A33" s="2120"/>
      <c r="B33" s="2300"/>
      <c r="C33" s="785" t="str">
        <f>F!C49</f>
        <v>1-2 m change</v>
      </c>
      <c r="D33" s="779">
        <f>F!D49</f>
        <v>0</v>
      </c>
      <c r="E33" s="803">
        <v>3</v>
      </c>
      <c r="F33" s="803">
        <f>D33*E33</f>
        <v>0</v>
      </c>
      <c r="G33" s="445"/>
      <c r="H33" s="2140"/>
      <c r="I33" s="2296"/>
    </row>
    <row r="34" spans="1:13" ht="15" customHeight="1" thickBot="1" x14ac:dyDescent="0.25">
      <c r="A34" s="2121"/>
      <c r="B34" s="2301"/>
      <c r="C34" s="106" t="str">
        <f>F!C50</f>
        <v>&gt;2 m change</v>
      </c>
      <c r="D34" s="105">
        <f>F!D50</f>
        <v>0</v>
      </c>
      <c r="E34" s="453">
        <v>1</v>
      </c>
      <c r="F34" s="453">
        <f>D34*E34</f>
        <v>0</v>
      </c>
      <c r="G34" s="446"/>
      <c r="H34" s="2141"/>
      <c r="I34" s="2298"/>
    </row>
    <row r="35" spans="1:13" s="3" customFormat="1" ht="45" customHeight="1" thickBot="1" x14ac:dyDescent="0.25">
      <c r="A35" s="2152" t="str">
        <f>F!A62</f>
        <v>F12</v>
      </c>
      <c r="B35" s="2313" t="str">
        <f>F!B62</f>
        <v xml:space="preserve">% of Water Ponded vs. Flowing </v>
      </c>
      <c r="C35" s="886" t="str">
        <f>F!C62</f>
        <v>The percentage of the AA's surface water that is ponded (stagnant, or flows so slowly that fine sediment is not held in suspension) during most of the time it is present, and which is either open or shaded by emergent vegetation is:</v>
      </c>
      <c r="D35" s="971"/>
      <c r="E35" s="448"/>
      <c r="F35" s="495"/>
      <c r="G35" s="426">
        <f>IF((AllSat+AllSat&gt;0),"", IF((SmallAA=1),"", MAX(F36:F42)/MAX(E36:E42)))</f>
        <v>0</v>
      </c>
      <c r="H35" s="2087" t="s">
        <v>151</v>
      </c>
      <c r="I35" s="2296" t="s">
        <v>2413</v>
      </c>
      <c r="J35" s="215"/>
      <c r="K35" s="154"/>
      <c r="L35" s="154"/>
      <c r="M35" s="154"/>
    </row>
    <row r="36" spans="1:13" s="3" customFormat="1" ht="27" customHeight="1" x14ac:dyDescent="0.2">
      <c r="A36" s="2143"/>
      <c r="B36" s="2296"/>
      <c r="C36" s="953" t="str">
        <f>F!C63</f>
        <v>&lt;1% or none, or occupies &lt;0.01 hectare cumulatively.  Nearly all water is flowing.  Enter "1" and SKIP to F21 (Stained Surface Water).</v>
      </c>
      <c r="D36" s="117">
        <f>F!D63</f>
        <v>0</v>
      </c>
      <c r="E36" s="450">
        <v>0</v>
      </c>
      <c r="F36" s="450">
        <f t="shared" ref="F36:F42" si="1">D36*E36</f>
        <v>0</v>
      </c>
      <c r="G36" s="493"/>
      <c r="H36" s="2083"/>
      <c r="I36" s="2296"/>
      <c r="J36" s="215"/>
      <c r="K36" s="154"/>
      <c r="L36" s="154"/>
      <c r="M36" s="154"/>
    </row>
    <row r="37" spans="1:13" s="3" customFormat="1" ht="15" customHeight="1" x14ac:dyDescent="0.2">
      <c r="A37" s="2143"/>
      <c r="B37" s="2296"/>
      <c r="C37" s="785" t="str">
        <f>F!C64</f>
        <v>1-5% of the water, and mainly in small pools.  The rest is flowing.</v>
      </c>
      <c r="D37" s="117">
        <f>F!D64</f>
        <v>0</v>
      </c>
      <c r="E37" s="450">
        <v>2</v>
      </c>
      <c r="F37" s="450">
        <f t="shared" si="1"/>
        <v>0</v>
      </c>
      <c r="G37" s="493"/>
      <c r="H37" s="2083"/>
      <c r="I37" s="2296"/>
      <c r="J37" s="215"/>
      <c r="K37" s="154"/>
      <c r="L37" s="154"/>
      <c r="M37" s="154"/>
    </row>
    <row r="38" spans="1:13" s="3" customFormat="1" ht="15" customHeight="1" x14ac:dyDescent="0.2">
      <c r="A38" s="2143"/>
      <c r="B38" s="2296"/>
      <c r="C38" s="785" t="str">
        <f>F!C65</f>
        <v>1-5% of the water, and mainly in a single large pool or pond.  The rest is flowing.</v>
      </c>
      <c r="D38" s="117">
        <f>F!D65</f>
        <v>0</v>
      </c>
      <c r="E38" s="450">
        <v>1</v>
      </c>
      <c r="F38" s="450">
        <f t="shared" si="1"/>
        <v>0</v>
      </c>
      <c r="G38" s="493"/>
      <c r="H38" s="2083"/>
      <c r="I38" s="2296"/>
      <c r="J38" s="215"/>
      <c r="K38" s="154"/>
      <c r="L38" s="154"/>
      <c r="M38" s="154"/>
    </row>
    <row r="39" spans="1:13" s="3" customFormat="1" ht="15" customHeight="1" x14ac:dyDescent="0.2">
      <c r="A39" s="2143"/>
      <c r="B39" s="2296"/>
      <c r="C39" s="785" t="str">
        <f>F!C66</f>
        <v>5-30% of the water</v>
      </c>
      <c r="D39" s="117">
        <f>F!D66</f>
        <v>0</v>
      </c>
      <c r="E39" s="450">
        <v>3</v>
      </c>
      <c r="F39" s="450">
        <f t="shared" si="1"/>
        <v>0</v>
      </c>
      <c r="G39" s="493"/>
      <c r="H39" s="2083"/>
      <c r="I39" s="2296"/>
      <c r="J39" s="215"/>
      <c r="K39" s="154"/>
      <c r="L39" s="154"/>
      <c r="M39" s="154"/>
    </row>
    <row r="40" spans="1:13" s="3" customFormat="1" ht="15" customHeight="1" x14ac:dyDescent="0.2">
      <c r="A40" s="2143"/>
      <c r="B40" s="2296"/>
      <c r="C40" s="785" t="str">
        <f>F!C67</f>
        <v>30-70% of the water</v>
      </c>
      <c r="D40" s="117">
        <f>F!D67</f>
        <v>0</v>
      </c>
      <c r="E40" s="450">
        <v>4</v>
      </c>
      <c r="F40" s="450">
        <f t="shared" si="1"/>
        <v>0</v>
      </c>
      <c r="G40" s="967"/>
      <c r="H40" s="2083"/>
      <c r="I40" s="2296"/>
      <c r="J40" s="215"/>
      <c r="K40" s="154"/>
      <c r="L40" s="154"/>
      <c r="M40" s="154"/>
    </row>
    <row r="41" spans="1:13" s="3" customFormat="1" ht="15" customHeight="1" x14ac:dyDescent="0.2">
      <c r="A41" s="2143"/>
      <c r="B41" s="2296"/>
      <c r="C41" s="785" t="str">
        <f>F!C68</f>
        <v>70-95% of the water</v>
      </c>
      <c r="D41" s="117">
        <f>F!D68</f>
        <v>0</v>
      </c>
      <c r="E41" s="450">
        <v>5</v>
      </c>
      <c r="F41" s="450">
        <f t="shared" si="1"/>
        <v>0</v>
      </c>
      <c r="G41" s="967"/>
      <c r="H41" s="2083"/>
      <c r="I41" s="2296"/>
      <c r="J41" s="215"/>
      <c r="K41" s="154"/>
      <c r="L41" s="154"/>
      <c r="M41" s="154"/>
    </row>
    <row r="42" spans="1:13" s="3" customFormat="1" ht="15" customHeight="1" thickBot="1" x14ac:dyDescent="0.25">
      <c r="A42" s="2143"/>
      <c r="B42" s="2296"/>
      <c r="C42" s="784" t="str">
        <f>F!C69</f>
        <v>&gt;95% of the water.  Little or no visibly flowing water within the AA.</v>
      </c>
      <c r="D42" s="795">
        <f>F!D69</f>
        <v>0</v>
      </c>
      <c r="E42" s="806">
        <v>6</v>
      </c>
      <c r="F42" s="806">
        <f t="shared" si="1"/>
        <v>0</v>
      </c>
      <c r="G42" s="967"/>
      <c r="H42" s="2088"/>
      <c r="I42" s="2296"/>
      <c r="J42" s="215"/>
      <c r="K42" s="154"/>
      <c r="L42" s="154"/>
      <c r="M42" s="154"/>
    </row>
    <row r="43" spans="1:13" ht="38.25" customHeight="1" thickBot="1" x14ac:dyDescent="0.25">
      <c r="A43" s="2257" t="str">
        <f>F!A71</f>
        <v>F14</v>
      </c>
      <c r="B43" s="2262" t="str">
        <f>F!B71</f>
        <v xml:space="preserve">% of Ponded Water That Is Open </v>
      </c>
      <c r="C43" s="116" t="str">
        <f>F!C71</f>
        <v>In ducks-eye aerial view, the percentage of the ponded water that is open (lacking emergent vegetation during most of the growing season, and unhidden by a forest or shrub canopy) is:</v>
      </c>
      <c r="D43" s="798"/>
      <c r="E43" s="802"/>
      <c r="F43" s="443"/>
      <c r="G43" s="441">
        <f>IF((AllSat+AllSat&gt;0),"",IF((NoPonded=1),"", IF((SmallAA=1),"", MAX(F44:F49)/MAX(E44:E49))))</f>
        <v>0</v>
      </c>
      <c r="H43" s="2139" t="s">
        <v>1258</v>
      </c>
      <c r="I43" s="2259" t="s">
        <v>2412</v>
      </c>
    </row>
    <row r="44" spans="1:13" ht="27" customHeight="1" x14ac:dyDescent="0.2">
      <c r="A44" s="2152"/>
      <c r="B44" s="2263"/>
      <c r="C44" s="783" t="str">
        <f>F!C72</f>
        <v>&lt;1% or none, or largest pool occupies &lt;0.01 hectares.  Enter "1" and SKIP to F20 (Floating Algae &amp; Duckweed).</v>
      </c>
      <c r="D44" s="294">
        <f>F!D72</f>
        <v>0</v>
      </c>
      <c r="E44" s="969">
        <v>5</v>
      </c>
      <c r="F44" s="803">
        <f t="shared" ref="F44:F49" si="2">D44*E44</f>
        <v>0</v>
      </c>
      <c r="G44" s="444"/>
      <c r="H44" s="2140"/>
      <c r="I44" s="2296"/>
    </row>
    <row r="45" spans="1:13" ht="15" customHeight="1" x14ac:dyDescent="0.2">
      <c r="A45" s="2152"/>
      <c r="B45" s="2263"/>
      <c r="C45" s="784" t="str">
        <f>F!C73</f>
        <v>1-5% of the ponded water.  Enter "1" and SKIP to F20.</v>
      </c>
      <c r="D45" s="795">
        <f>F!D73</f>
        <v>0</v>
      </c>
      <c r="E45" s="969">
        <v>4</v>
      </c>
      <c r="F45" s="803">
        <f t="shared" si="2"/>
        <v>0</v>
      </c>
      <c r="G45" s="445"/>
      <c r="H45" s="2140"/>
      <c r="I45" s="2296"/>
    </row>
    <row r="46" spans="1:13" ht="15" customHeight="1" x14ac:dyDescent="0.2">
      <c r="A46" s="2152"/>
      <c r="B46" s="2263"/>
      <c r="C46" s="784" t="str">
        <f>F!C74</f>
        <v>5-30% of the ponded water.</v>
      </c>
      <c r="D46" s="795">
        <f>F!D74</f>
        <v>0</v>
      </c>
      <c r="E46" s="969">
        <v>3</v>
      </c>
      <c r="F46" s="803">
        <f t="shared" si="2"/>
        <v>0</v>
      </c>
      <c r="G46" s="445"/>
      <c r="H46" s="2140"/>
      <c r="I46" s="2296"/>
    </row>
    <row r="47" spans="1:13" ht="15" customHeight="1" x14ac:dyDescent="0.2">
      <c r="A47" s="2152"/>
      <c r="B47" s="2263"/>
      <c r="C47" s="784" t="str">
        <f>F!C75</f>
        <v>30-70% of the ponded water.</v>
      </c>
      <c r="D47" s="795">
        <f>F!D75</f>
        <v>0</v>
      </c>
      <c r="E47" s="969">
        <v>2</v>
      </c>
      <c r="F47" s="803">
        <f t="shared" si="2"/>
        <v>0</v>
      </c>
      <c r="G47" s="445"/>
      <c r="H47" s="2140"/>
      <c r="I47" s="2296"/>
    </row>
    <row r="48" spans="1:13" ht="15" customHeight="1" x14ac:dyDescent="0.2">
      <c r="A48" s="2152"/>
      <c r="B48" s="2263"/>
      <c r="C48" s="784" t="str">
        <f>F!C76</f>
        <v>70-99% of the ponded water.</v>
      </c>
      <c r="D48" s="795">
        <f>F!D76</f>
        <v>0</v>
      </c>
      <c r="E48" s="969">
        <v>1</v>
      </c>
      <c r="F48" s="803">
        <f t="shared" si="2"/>
        <v>0</v>
      </c>
      <c r="G48" s="791"/>
      <c r="H48" s="2140"/>
      <c r="I48" s="2296"/>
    </row>
    <row r="49" spans="1:66" ht="15" customHeight="1" thickBot="1" x14ac:dyDescent="0.25">
      <c r="A49" s="2280"/>
      <c r="B49" s="2264"/>
      <c r="C49" s="106" t="str">
        <f>F!C77</f>
        <v xml:space="preserve">100% of the ponded water. </v>
      </c>
      <c r="D49" s="126">
        <f>F!D77</f>
        <v>0</v>
      </c>
      <c r="E49" s="499">
        <v>0</v>
      </c>
      <c r="F49" s="453">
        <f t="shared" si="2"/>
        <v>0</v>
      </c>
      <c r="G49" s="446"/>
      <c r="H49" s="2141"/>
      <c r="I49" s="2298"/>
    </row>
    <row r="50" spans="1:66" s="13" customFormat="1" ht="30" customHeight="1" thickBot="1" x14ac:dyDescent="0.25">
      <c r="A50" s="2152" t="str">
        <f>F!A84</f>
        <v>F16</v>
      </c>
      <c r="B50" s="2284" t="str">
        <f>F!B84</f>
        <v>Predominant Width of Vegetated Zone within Wetland</v>
      </c>
      <c r="C50" s="1006" t="str">
        <f>F!C84</f>
        <v>At the driest time of year (or lowest water level), the average width of vegetated area in the AA that separates adjoining uplands from open water within the AA is:</v>
      </c>
      <c r="D50" s="1105"/>
      <c r="E50" s="1106"/>
      <c r="F50" s="444"/>
      <c r="G50" s="439" t="str">
        <f>IF((AllSat+AllSat&gt;0),"", IF((OpenW=0),"", IF((SmallAA=1),"", MAX(F51:F55)/MAX(E51:E55))))</f>
        <v/>
      </c>
      <c r="H50" s="2139" t="s">
        <v>153</v>
      </c>
      <c r="I50" s="2263" t="s">
        <v>2086</v>
      </c>
      <c r="J50" s="219"/>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row>
    <row r="51" spans="1:66" s="13" customFormat="1" ht="15" customHeight="1" x14ac:dyDescent="0.2">
      <c r="A51" s="2152"/>
      <c r="B51" s="2284"/>
      <c r="C51" s="1007" t="str">
        <f>F!C85</f>
        <v>&lt;1 m</v>
      </c>
      <c r="D51" s="456">
        <f>F!D85</f>
        <v>0</v>
      </c>
      <c r="E51" s="384">
        <v>0</v>
      </c>
      <c r="F51" s="450">
        <f>D51*E51</f>
        <v>0</v>
      </c>
      <c r="G51" s="444"/>
      <c r="H51" s="2140"/>
      <c r="I51" s="2296"/>
      <c r="J51" s="219"/>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row>
    <row r="52" spans="1:66" s="13" customFormat="1" ht="15" customHeight="1" x14ac:dyDescent="0.2">
      <c r="A52" s="2152"/>
      <c r="B52" s="2284"/>
      <c r="C52" s="1008" t="str">
        <f>F!C86</f>
        <v>1 - 9 m</v>
      </c>
      <c r="D52" s="456">
        <f>F!D86</f>
        <v>0</v>
      </c>
      <c r="E52" s="384">
        <v>1</v>
      </c>
      <c r="F52" s="450">
        <f>D52*E52</f>
        <v>0</v>
      </c>
      <c r="G52" s="445"/>
      <c r="H52" s="2140"/>
      <c r="I52" s="2296"/>
      <c r="J52" s="219"/>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row>
    <row r="53" spans="1:66" s="13" customFormat="1" ht="15" customHeight="1" x14ac:dyDescent="0.2">
      <c r="A53" s="2152"/>
      <c r="B53" s="2284"/>
      <c r="C53" s="1008" t="str">
        <f>F!C87</f>
        <v>10 - 29 m</v>
      </c>
      <c r="D53" s="456">
        <f>F!D87</f>
        <v>0</v>
      </c>
      <c r="E53" s="384">
        <v>2</v>
      </c>
      <c r="F53" s="450">
        <f>D53*E53</f>
        <v>0</v>
      </c>
      <c r="G53" s="445"/>
      <c r="H53" s="2140"/>
      <c r="I53" s="2296"/>
      <c r="J53" s="219"/>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row>
    <row r="54" spans="1:66" s="13" customFormat="1" ht="15" customHeight="1" x14ac:dyDescent="0.2">
      <c r="A54" s="2152"/>
      <c r="B54" s="2284"/>
      <c r="C54" s="1008" t="str">
        <f>F!C88</f>
        <v>30 - 49 m</v>
      </c>
      <c r="D54" s="456">
        <f>F!D88</f>
        <v>0</v>
      </c>
      <c r="E54" s="384">
        <v>3</v>
      </c>
      <c r="F54" s="450">
        <f>D54*E54</f>
        <v>0</v>
      </c>
      <c r="G54" s="791"/>
      <c r="H54" s="2140"/>
      <c r="I54" s="2296"/>
      <c r="J54" s="219"/>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row>
    <row r="55" spans="1:66" s="13" customFormat="1" ht="15" customHeight="1" thickBot="1" x14ac:dyDescent="0.25">
      <c r="A55" s="2152"/>
      <c r="B55" s="2284"/>
      <c r="C55" s="1008" t="str">
        <f>F!C90</f>
        <v>&gt; 100 m</v>
      </c>
      <c r="D55" s="809">
        <f>F!D90</f>
        <v>0</v>
      </c>
      <c r="E55" s="1107">
        <v>4</v>
      </c>
      <c r="F55" s="806">
        <f>D55*E55</f>
        <v>0</v>
      </c>
      <c r="G55" s="791"/>
      <c r="H55" s="2141"/>
      <c r="I55" s="2296"/>
      <c r="J55" s="219"/>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row>
    <row r="56" spans="1:66" ht="45" customHeight="1" thickBot="1" x14ac:dyDescent="0.25">
      <c r="A56" s="2142" t="str">
        <f>F!A91</f>
        <v>F17</v>
      </c>
      <c r="B56" s="2259" t="str">
        <f>F!B91</f>
        <v>Non-vegetated Aquatic Cover</v>
      </c>
      <c r="C56" s="116" t="str">
        <f>F!C91</f>
        <v>Near waters that are deeper than 0.5 m, the cover for fish, aquatic invertebrates, and/or amphibians that is provided by horizontally incised banks and/or partly-submerged accumulations of wood thicker than 10 cm (NOT by living vegetation) is:</v>
      </c>
      <c r="D56" s="798"/>
      <c r="E56" s="802"/>
      <c r="F56" s="443"/>
      <c r="G56" s="441" t="str">
        <f>IF((AllSat+AllSat&gt;0),"",IF((OpenW=0),"", IF((SmallAA=1),"", MAX(F57:F59)/MAX(E57:E59))))</f>
        <v/>
      </c>
      <c r="H56" s="2139" t="s">
        <v>150</v>
      </c>
      <c r="I56" s="2259" t="s">
        <v>2087</v>
      </c>
    </row>
    <row r="57" spans="1:66" ht="15" customHeight="1" x14ac:dyDescent="0.2">
      <c r="A57" s="2120"/>
      <c r="B57" s="2300"/>
      <c r="C57" s="953" t="str">
        <f>F!C92</f>
        <v>Little or none, or all water is shallower than 0.5 m most of the year.</v>
      </c>
      <c r="D57" s="771">
        <f>F!D92</f>
        <v>0</v>
      </c>
      <c r="E57" s="803">
        <v>0</v>
      </c>
      <c r="F57" s="803">
        <f>D57*E57</f>
        <v>0</v>
      </c>
      <c r="G57" s="444"/>
      <c r="H57" s="2140"/>
      <c r="I57" s="2296"/>
    </row>
    <row r="58" spans="1:66" ht="15" customHeight="1" x14ac:dyDescent="0.2">
      <c r="A58" s="2120"/>
      <c r="B58" s="2300"/>
      <c r="C58" s="785" t="str">
        <f>F!C93</f>
        <v>Intermediate</v>
      </c>
      <c r="D58" s="771">
        <f>F!D93</f>
        <v>0</v>
      </c>
      <c r="E58" s="803">
        <v>1</v>
      </c>
      <c r="F58" s="803">
        <f>D58*E58</f>
        <v>0</v>
      </c>
      <c r="G58" s="516"/>
      <c r="H58" s="2140"/>
      <c r="I58" s="2296"/>
    </row>
    <row r="59" spans="1:66" ht="15" customHeight="1" thickBot="1" x14ac:dyDescent="0.25">
      <c r="A59" s="2121"/>
      <c r="B59" s="2301"/>
      <c r="C59" s="106" t="str">
        <f>F!C94</f>
        <v>Extensive</v>
      </c>
      <c r="D59" s="126">
        <f>F!D94</f>
        <v>0</v>
      </c>
      <c r="E59" s="453">
        <v>2</v>
      </c>
      <c r="F59" s="453">
        <f>D59*E59</f>
        <v>0</v>
      </c>
      <c r="G59" s="446"/>
      <c r="H59" s="2141"/>
      <c r="I59" s="2298"/>
    </row>
    <row r="60" spans="1:66" s="13" customFormat="1" ht="30" customHeight="1" thickBot="1" x14ac:dyDescent="0.25">
      <c r="A60" s="2257" t="str">
        <f>F!A95</f>
        <v>F18</v>
      </c>
      <c r="B60" s="2283" t="str">
        <f>F!B95</f>
        <v>Interspersion of Robust Emergents &amp; Open Water</v>
      </c>
      <c r="C60" s="116" t="str">
        <f>F!C95</f>
        <v>During most of the growing season, the spatial pattern of tall robust herbaceous vegetation (e.g., cattail, bulrush) that has surface water beneath it is mostly:</v>
      </c>
      <c r="D60" s="515"/>
      <c r="E60" s="532"/>
      <c r="F60" s="533"/>
      <c r="G60" s="441">
        <f>IF((AllSat+AllSat&gt;0),"",IF((NoPonded=1),"",IF((NoOpenPonded+NoOpenPonded1&gt;0),"",IF((AllOpenPond=1),"", IF((SmallAA=1),"", MAX(F61:F63)/MAX(E61:E63))))))</f>
        <v>0</v>
      </c>
      <c r="H60" s="2139" t="s">
        <v>152</v>
      </c>
      <c r="I60" s="2262" t="s">
        <v>2088</v>
      </c>
      <c r="J60" s="219"/>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row>
    <row r="61" spans="1:66" s="13" customFormat="1" ht="15" customHeight="1" x14ac:dyDescent="0.2">
      <c r="A61" s="2143"/>
      <c r="B61" s="2263"/>
      <c r="C61" s="953" t="str">
        <f>F!C96</f>
        <v>Scattered in small clumps, islands, or patches throughout the surface water area.</v>
      </c>
      <c r="D61" s="271">
        <f>F!D96</f>
        <v>0</v>
      </c>
      <c r="E61" s="384">
        <v>3</v>
      </c>
      <c r="F61" s="451">
        <f>D61*E61</f>
        <v>0</v>
      </c>
      <c r="G61" s="444"/>
      <c r="H61" s="2140"/>
      <c r="I61" s="2263"/>
      <c r="J61" s="219"/>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row>
    <row r="62" spans="1:66" s="13" customFormat="1" ht="15" customHeight="1" x14ac:dyDescent="0.2">
      <c r="A62" s="2143"/>
      <c r="B62" s="2263"/>
      <c r="C62" s="785" t="str">
        <f>F!C97</f>
        <v>Intermediate</v>
      </c>
      <c r="D62" s="117">
        <f>F!D97</f>
        <v>0</v>
      </c>
      <c r="E62" s="384">
        <v>2</v>
      </c>
      <c r="F62" s="451">
        <f>D62*E62</f>
        <v>0</v>
      </c>
      <c r="G62" s="444"/>
      <c r="H62" s="2140"/>
      <c r="I62" s="2263"/>
      <c r="J62" s="219"/>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row>
    <row r="63" spans="1:66" s="13" customFormat="1" ht="27" customHeight="1" thickBot="1" x14ac:dyDescent="0.25">
      <c r="A63" s="2143"/>
      <c r="B63" s="2263"/>
      <c r="C63" s="784" t="str">
        <f>F!C98</f>
        <v>Clumped at one or a few sides of the surface water area, or mostly surrounds a central area of open water.  Or such vegetation is absent or covers &lt;9 sq m and &lt;1% of the AA.</v>
      </c>
      <c r="D63" s="795">
        <f>F!D98</f>
        <v>0</v>
      </c>
      <c r="E63" s="1107">
        <v>1</v>
      </c>
      <c r="F63" s="806">
        <f>D63*E63</f>
        <v>0</v>
      </c>
      <c r="G63" s="516"/>
      <c r="H63" s="2141"/>
      <c r="I63" s="2263"/>
      <c r="J63" s="219"/>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row>
    <row r="64" spans="1:66" s="13" customFormat="1" ht="45" customHeight="1" thickBot="1" x14ac:dyDescent="0.25">
      <c r="A64" s="1108" t="str">
        <f>F!A101</f>
        <v>F21</v>
      </c>
      <c r="B64" s="1033" t="str">
        <f>F!B101</f>
        <v>Stained Surface Water</v>
      </c>
      <c r="C64" s="1109" t="str">
        <f>F!C101</f>
        <v xml:space="preserve">Most surface water is tea-colored (from tannins, not iron bacteria or silt), and/or its pH is usually &lt;5.5. Nearby vegetation is mostly moss and/or conifers. </v>
      </c>
      <c r="D64" s="1110">
        <f>F!D101</f>
        <v>0</v>
      </c>
      <c r="E64" s="386"/>
      <c r="F64" s="505"/>
      <c r="G64" s="432" t="str">
        <f>IF((D64=1), 0,"")</f>
        <v/>
      </c>
      <c r="H64" s="742" t="s">
        <v>1158</v>
      </c>
      <c r="I64" s="1033" t="s">
        <v>2089</v>
      </c>
      <c r="J64" s="219"/>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row>
    <row r="65" spans="1:67" s="7" customFormat="1" ht="60" customHeight="1" thickBot="1" x14ac:dyDescent="0.25">
      <c r="A65" s="873" t="str">
        <f>F!A102</f>
        <v>F22</v>
      </c>
      <c r="B65" s="896" t="str">
        <f>F!B102</f>
        <v>Fish</v>
      </c>
      <c r="C65" s="885" t="str">
        <f>F!C102</f>
        <v>Fish (native or stocked) are known to be present in the AA.  Or fish can access at least part of the AA during one or more days annually.  If uncertain, use answer from Form OF, item  OF15, or enter "0".</v>
      </c>
      <c r="D65" s="534">
        <f>F!D102</f>
        <v>0</v>
      </c>
      <c r="E65" s="520"/>
      <c r="F65" s="520"/>
      <c r="G65" s="1081">
        <f>IF((AllSat+AllSat&gt;0),"", IF((SmallAA=1),"", 1-D65))</f>
        <v>1</v>
      </c>
      <c r="H65" s="875" t="s">
        <v>653</v>
      </c>
      <c r="I65" s="896" t="s">
        <v>1822</v>
      </c>
      <c r="J65" s="231"/>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row>
    <row r="66" spans="1:67" s="7" customFormat="1" ht="21" customHeight="1" thickBot="1" x14ac:dyDescent="0.25">
      <c r="A66" s="2142" t="str">
        <f>F!A103</f>
        <v>F23</v>
      </c>
      <c r="B66" s="2262" t="str">
        <f>F!B103</f>
        <v>Beaver Probability</v>
      </c>
      <c r="C66" s="6" t="str">
        <f>F!C103</f>
        <v>Use of the AA by beaver during the past 5 years is (select most applicable ONE):</v>
      </c>
      <c r="D66" s="798"/>
      <c r="E66" s="802"/>
      <c r="F66" s="498"/>
      <c r="G66" s="441">
        <f>IF((AllSat+AllSat&gt;0),"",MAX(F67:F70)/MAX(E67:E70))</f>
        <v>0</v>
      </c>
      <c r="H66" s="2087" t="s">
        <v>1003</v>
      </c>
      <c r="I66" s="2317" t="s">
        <v>2094</v>
      </c>
      <c r="J66" s="231"/>
      <c r="K66" s="5"/>
      <c r="L66" s="5"/>
      <c r="M66" s="1403"/>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row>
    <row r="67" spans="1:67" s="7" customFormat="1" ht="27" customHeight="1" x14ac:dyDescent="0.2">
      <c r="A67" s="2143"/>
      <c r="B67" s="2263"/>
      <c r="C67" s="953" t="str">
        <f>F!C104</f>
        <v>evident from direct observation or presence of gnawed limbs, dams, tracks, dens, lodges, or extensive stands of water-killed trees (snags).</v>
      </c>
      <c r="D67" s="771">
        <f>F!D104</f>
        <v>0</v>
      </c>
      <c r="E67" s="803">
        <v>4</v>
      </c>
      <c r="F67" s="803">
        <f>D67*E67</f>
        <v>0</v>
      </c>
      <c r="G67" s="495"/>
      <c r="H67" s="2083"/>
      <c r="I67" s="2287"/>
      <c r="J67" s="231"/>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row>
    <row r="68" spans="1:67" s="7" customFormat="1" ht="54" customHeight="1" x14ac:dyDescent="0.2">
      <c r="A68" s="2143"/>
      <c r="B68" s="2263"/>
      <c r="C68" s="785" t="str">
        <f>F!C105</f>
        <v>likely based on known occurrence in the region and proximity to suitable habitat, which may include: (a) a persistent freshwater wetland, pond, or lake, or a perennial low or mid-gradient (&lt;10%) channel, and (b) a corridor or multiple stands of hardwood trees and shrubs in vegetated areas near surface water.</v>
      </c>
      <c r="D68" s="771">
        <f>F!D105</f>
        <v>0</v>
      </c>
      <c r="E68" s="803">
        <v>3</v>
      </c>
      <c r="F68" s="803">
        <f>D68*E68</f>
        <v>0</v>
      </c>
      <c r="G68" s="501"/>
      <c r="H68" s="2083"/>
      <c r="I68" s="2287"/>
      <c r="J68" s="231"/>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row>
    <row r="69" spans="1:67" s="7" customFormat="1" ht="39.75" customHeight="1" x14ac:dyDescent="0.2">
      <c r="A69" s="2143"/>
      <c r="B69" s="2263"/>
      <c r="C69" s="785" t="str">
        <f>F!C106</f>
        <v>unlikely because site characteristics above are deficient, and/or this is a settled area or other area where beaver are routinely removed.  But beaver occur in this part of the region (i.e., within 25 km).</v>
      </c>
      <c r="D69" s="771">
        <f>F!D106</f>
        <v>0</v>
      </c>
      <c r="E69" s="803">
        <v>1</v>
      </c>
      <c r="F69" s="803">
        <f>D69*E69</f>
        <v>0</v>
      </c>
      <c r="G69" s="501"/>
      <c r="H69" s="2083"/>
      <c r="I69" s="2287"/>
      <c r="J69" s="231"/>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row>
    <row r="70" spans="1:67" s="7" customFormat="1" ht="15" customHeight="1" thickBot="1" x14ac:dyDescent="0.25">
      <c r="A70" s="2144"/>
      <c r="B70" s="2264"/>
      <c r="C70" s="106" t="str">
        <f>F!C107</f>
        <v>none.  Beaver are absent from this part of the region.</v>
      </c>
      <c r="D70" s="126">
        <f>F!D107</f>
        <v>0</v>
      </c>
      <c r="E70" s="453">
        <v>0</v>
      </c>
      <c r="F70" s="453">
        <f>D70*E70</f>
        <v>0</v>
      </c>
      <c r="G70" s="502"/>
      <c r="H70" s="2088"/>
      <c r="I70" s="2318"/>
      <c r="J70" s="231"/>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row>
    <row r="71" spans="1:67" s="17" customFormat="1" ht="21" customHeight="1" thickBot="1" x14ac:dyDescent="0.25">
      <c r="A71" s="2143" t="str">
        <f>F!A125</f>
        <v>F28</v>
      </c>
      <c r="B71" s="2263" t="str">
        <f>F!B125</f>
        <v>Groundwater: Strength of Evidence</v>
      </c>
      <c r="C71" s="886" t="str">
        <f>F!C125</f>
        <v xml:space="preserve">Select first applicable choice. </v>
      </c>
      <c r="D71" s="838"/>
      <c r="E71" s="384"/>
      <c r="F71" s="495"/>
      <c r="G71" s="439">
        <f>IF((D74=1),"",MAX(F71:F74)/MAX(E72:E74))</f>
        <v>0</v>
      </c>
      <c r="H71" s="2139" t="s">
        <v>158</v>
      </c>
      <c r="I71" s="2308" t="s">
        <v>2090</v>
      </c>
      <c r="J71" s="220"/>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9"/>
    </row>
    <row r="72" spans="1:67" s="17" customFormat="1" ht="42" customHeight="1" x14ac:dyDescent="0.2">
      <c r="A72" s="2143"/>
      <c r="B72" s="2263"/>
      <c r="C72" s="783" t="str">
        <f>F!C126</f>
        <v xml:space="preserve">Groundwater monitoring has demonstrated that groundwater primarily discharges to the wetland for longer periods during the year than periods when the wetland recharges the groundwater.  Or, springs are known to be present within the AA.
</v>
      </c>
      <c r="D72" s="294">
        <f>F!D126</f>
        <v>0</v>
      </c>
      <c r="E72" s="382">
        <v>3</v>
      </c>
      <c r="F72" s="450">
        <f>D72*E72</f>
        <v>0</v>
      </c>
      <c r="G72" s="444"/>
      <c r="H72" s="2140"/>
      <c r="I72" s="2309"/>
      <c r="J72" s="220"/>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9"/>
    </row>
    <row r="73" spans="1:67" s="17" customFormat="1" ht="111" customHeight="1" x14ac:dyDescent="0.2">
      <c r="A73" s="2143"/>
      <c r="B73" s="2263"/>
      <c r="C73" s="784"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73" s="131">
        <f>F!D127</f>
        <v>0</v>
      </c>
      <c r="E73" s="382">
        <v>2</v>
      </c>
      <c r="F73" s="450">
        <f>D73*E73</f>
        <v>0</v>
      </c>
      <c r="G73" s="445"/>
      <c r="H73" s="2140"/>
      <c r="I73" s="2309"/>
      <c r="J73" s="220"/>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9"/>
    </row>
    <row r="74" spans="1:67" s="17" customFormat="1" ht="27" customHeight="1" thickBot="1" x14ac:dyDescent="0.25">
      <c r="A74" s="2143"/>
      <c r="B74" s="2263"/>
      <c r="C74" s="784" t="str">
        <f>F!C128</f>
        <v>Neither of above is true, although some groundwater may discharge to or flow through the AA.  Or groundwater influx is unknown.</v>
      </c>
      <c r="D74" s="795">
        <f>F!D128</f>
        <v>0</v>
      </c>
      <c r="E74" s="635">
        <v>0</v>
      </c>
      <c r="F74" s="806">
        <f>D74*E74</f>
        <v>0</v>
      </c>
      <c r="G74" s="791"/>
      <c r="H74" s="2141"/>
      <c r="I74" s="2310"/>
      <c r="J74" s="220"/>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9"/>
    </row>
    <row r="75" spans="1:67" s="17" customFormat="1" ht="21" customHeight="1" thickBot="1" x14ac:dyDescent="0.25">
      <c r="A75" s="2320" t="str">
        <f>F!A129</f>
        <v>F29</v>
      </c>
      <c r="B75" s="2311" t="str">
        <f>F!B129</f>
        <v>Internal Gradient</v>
      </c>
      <c r="C75" s="116" t="str">
        <f>F!C129</f>
        <v>The gradient along most of the flow path within the AA is:</v>
      </c>
      <c r="D75" s="798"/>
      <c r="E75" s="792"/>
      <c r="F75" s="792"/>
      <c r="G75" s="536">
        <f>MAX(F76:F79)/MAX(E76:E79)</f>
        <v>0</v>
      </c>
      <c r="H75" s="2139" t="s">
        <v>157</v>
      </c>
      <c r="I75" s="2311" t="s">
        <v>42</v>
      </c>
      <c r="J75" s="220"/>
      <c r="K75" s="16"/>
      <c r="L75" s="16"/>
      <c r="M75" s="16"/>
      <c r="N75" s="16"/>
      <c r="O75" s="16"/>
      <c r="P75" s="16"/>
      <c r="Q75" s="16"/>
      <c r="R75" s="16"/>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9"/>
    </row>
    <row r="76" spans="1:67" s="17" customFormat="1" ht="27" customHeight="1" x14ac:dyDescent="0.2">
      <c r="A76" s="2321"/>
      <c r="B76" s="2309"/>
      <c r="C76" s="953" t="str">
        <f>F!C130</f>
        <v>&lt;2%, or, no slope is ever apparent (i.e., flat). Or, the wetland is in a depression or pond with no inlet and no outlet.</v>
      </c>
      <c r="D76" s="271">
        <f>F!D130</f>
        <v>0</v>
      </c>
      <c r="E76" s="793">
        <v>4</v>
      </c>
      <c r="F76" s="803">
        <f>D76*E76</f>
        <v>0</v>
      </c>
      <c r="G76" s="445"/>
      <c r="H76" s="2140"/>
      <c r="I76" s="2309"/>
      <c r="J76" s="220"/>
      <c r="K76" s="16"/>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9"/>
    </row>
    <row r="77" spans="1:67" s="17" customFormat="1" ht="15" customHeight="1" x14ac:dyDescent="0.2">
      <c r="A77" s="2321"/>
      <c r="B77" s="2309"/>
      <c r="C77" s="785" t="str">
        <f>F!C131</f>
        <v>2-5%</v>
      </c>
      <c r="D77" s="771">
        <f>F!D131</f>
        <v>0</v>
      </c>
      <c r="E77" s="793">
        <v>3</v>
      </c>
      <c r="F77" s="803">
        <f>D77*E77</f>
        <v>0</v>
      </c>
      <c r="G77" s="445"/>
      <c r="H77" s="2140"/>
      <c r="I77" s="2309"/>
      <c r="J77" s="220"/>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9"/>
    </row>
    <row r="78" spans="1:67" s="17" customFormat="1" ht="15" customHeight="1" x14ac:dyDescent="0.2">
      <c r="A78" s="2321"/>
      <c r="B78" s="2309"/>
      <c r="C78" s="785" t="str">
        <f>F!C132</f>
        <v>6-10%</v>
      </c>
      <c r="D78" s="771">
        <f>F!D132</f>
        <v>0</v>
      </c>
      <c r="E78" s="793">
        <v>2</v>
      </c>
      <c r="F78" s="803">
        <f>D78*E78</f>
        <v>0</v>
      </c>
      <c r="G78" s="445"/>
      <c r="H78" s="2140"/>
      <c r="I78" s="2309"/>
      <c r="J78" s="220"/>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9"/>
    </row>
    <row r="79" spans="1:67" s="16" customFormat="1" ht="15" customHeight="1" thickBot="1" x14ac:dyDescent="0.25">
      <c r="A79" s="2322"/>
      <c r="B79" s="2319"/>
      <c r="C79" s="106" t="str">
        <f>F!C133</f>
        <v>&gt;10%</v>
      </c>
      <c r="D79" s="126">
        <f>F!D133</f>
        <v>0</v>
      </c>
      <c r="E79" s="383">
        <v>0</v>
      </c>
      <c r="F79" s="453">
        <f>D79*E79</f>
        <v>0</v>
      </c>
      <c r="G79" s="446"/>
      <c r="H79" s="2141"/>
      <c r="I79" s="2312"/>
      <c r="J79" s="220"/>
    </row>
    <row r="80" spans="1:67" ht="30" customHeight="1" thickBot="1" x14ac:dyDescent="0.25">
      <c r="A80" s="2314" t="str">
        <f>F!A140</f>
        <v>F31</v>
      </c>
      <c r="B80" s="2263" t="str">
        <f>F!B140</f>
        <v>Interspersion of Herbaceous and Woody Cover</v>
      </c>
      <c r="C80" s="1086" t="str">
        <f>F!C140</f>
        <v>The following best represents the distribution pattern of woody vegetation VS. unshaded herbaceous/ moss vegetation within the AA:</v>
      </c>
      <c r="D80" s="511"/>
      <c r="E80" s="448"/>
      <c r="F80" s="448"/>
      <c r="G80" s="439">
        <f>MAX(F81:F84)/MAX(E81:E84)</f>
        <v>0</v>
      </c>
      <c r="H80" s="2139" t="s">
        <v>1260</v>
      </c>
      <c r="I80" s="2263" t="s">
        <v>1637</v>
      </c>
    </row>
    <row r="81" spans="1:66" ht="57" customHeight="1" x14ac:dyDescent="0.2">
      <c r="A81" s="2315"/>
      <c r="B81" s="2263"/>
      <c r="C81" s="1074" t="str">
        <f>F!C141</f>
        <v>(a) Woody cover and herbaceous/ moss cover EACH comprise 30-70% of the vegetated part of the AA, AND (b) There are many patches of woody vegetation scattered widely within herbaceous/ moss vegetation, or many patches of herbaceous vegetation scattered widely within woody vegetation.</v>
      </c>
      <c r="D81" s="293">
        <f>F!D141</f>
        <v>0</v>
      </c>
      <c r="E81" s="450">
        <v>3</v>
      </c>
      <c r="F81" s="450">
        <f t="shared" ref="F81:F84" si="3">D81*E81</f>
        <v>0</v>
      </c>
      <c r="G81" s="445"/>
      <c r="H81" s="2140"/>
      <c r="I81" s="2263"/>
    </row>
    <row r="82" spans="1:66" ht="57" customHeight="1" x14ac:dyDescent="0.2">
      <c r="A82" s="2315"/>
      <c r="B82" s="2263"/>
      <c r="C82" s="1014" t="str">
        <f>F!C142</f>
        <v>(a) Woody cover and herbaceous/ moss EACH comprise 30-70% of the vegetated AA, AND (b) There are few patches ("islands") of woody vegetation scattered widely within herbaceous vegetation, or few patches of herbaceous/ moss vegetation ("gaps") scattered widely within woody vegetation.</v>
      </c>
      <c r="D82" s="293">
        <f>F!D142</f>
        <v>0</v>
      </c>
      <c r="E82" s="450">
        <v>2</v>
      </c>
      <c r="F82" s="450">
        <f t="shared" si="3"/>
        <v>0</v>
      </c>
      <c r="G82" s="445"/>
      <c r="H82" s="2140"/>
      <c r="I82" s="2263"/>
    </row>
    <row r="83" spans="1:66" ht="27" customHeight="1" x14ac:dyDescent="0.2">
      <c r="A83" s="2315"/>
      <c r="B83" s="2263"/>
      <c r="C83" s="1014" t="str">
        <f>F!C143</f>
        <v xml:space="preserve">(a) Woody cover OR herbaceous/ moss comprise &gt;70% of the vegetated AA, AND (b) There are several patches of the other scattered within it. </v>
      </c>
      <c r="D83" s="293">
        <f>F!D143</f>
        <v>0</v>
      </c>
      <c r="E83" s="450">
        <v>1</v>
      </c>
      <c r="F83" s="450">
        <f t="shared" si="3"/>
        <v>0</v>
      </c>
      <c r="G83" s="445"/>
      <c r="H83" s="2140"/>
      <c r="I83" s="2263"/>
    </row>
    <row r="84" spans="1:66" ht="42" customHeight="1" thickBot="1" x14ac:dyDescent="0.25">
      <c r="A84" s="2316"/>
      <c r="B84" s="2264"/>
      <c r="C84" s="1094" t="str">
        <f>F!C144</f>
        <v>(a) Woody cover OR herbaceous/ moss comprise &gt;70% of the vegetated AA, AND (b) The other is absent or is mostly in a single area or distinct zone with almost no intermixing of woody and unshaded herbaceous/ moss vegetation.</v>
      </c>
      <c r="D84" s="537">
        <f>F!D144</f>
        <v>0</v>
      </c>
      <c r="E84" s="453">
        <v>0</v>
      </c>
      <c r="F84" s="453">
        <f t="shared" si="3"/>
        <v>0</v>
      </c>
      <c r="G84" s="446"/>
      <c r="H84" s="2141"/>
      <c r="I84" s="2264"/>
    </row>
    <row r="85" spans="1:66" s="13" customFormat="1" ht="39.75" customHeight="1" thickBot="1" x14ac:dyDescent="0.25">
      <c r="A85" s="2302" t="str">
        <f>F!A151</f>
        <v>F33</v>
      </c>
      <c r="B85" s="2296" t="str">
        <f>F!B151</f>
        <v>Woody Diameter Classes</v>
      </c>
      <c r="C85" s="886" t="str">
        <f>F!C151</f>
        <v>Mark all the classes of woody plants within the AA, but only IF they comprise more than 5% of the woody canopy within the AA.  Do not count trees that adjoin but are not within the AA.</v>
      </c>
      <c r="D85" s="971"/>
      <c r="E85" s="448"/>
      <c r="F85" s="449"/>
      <c r="G85" s="439">
        <f>IF((NoWoodyVeg=1),"",IF((NoTrees=1),"",((SUM(D86:D93)/8+ MAX(F86:F93)/MAX(E86:E93))/2)))</f>
        <v>0</v>
      </c>
      <c r="H85" s="2139" t="s">
        <v>154</v>
      </c>
      <c r="I85" s="2308" t="s">
        <v>2091</v>
      </c>
      <c r="J85" s="219"/>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row>
    <row r="86" spans="1:66" s="13" customFormat="1" ht="15" customHeight="1" x14ac:dyDescent="0.2">
      <c r="A86" s="2118"/>
      <c r="B86" s="2300"/>
      <c r="C86" s="953" t="str">
        <f>F!C152</f>
        <v>coniferous, 1-9 cm diameter and &gt;1 m tall</v>
      </c>
      <c r="D86" s="271">
        <f>F!D152</f>
        <v>0</v>
      </c>
      <c r="E86" s="450">
        <v>1</v>
      </c>
      <c r="F86" s="450">
        <f t="shared" ref="F86:F93" si="4">D86*E86</f>
        <v>0</v>
      </c>
      <c r="G86" s="444"/>
      <c r="H86" s="2140"/>
      <c r="I86" s="2309"/>
      <c r="J86" s="219"/>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row>
    <row r="87" spans="1:66" s="13" customFormat="1" ht="15" customHeight="1" x14ac:dyDescent="0.2">
      <c r="A87" s="2118"/>
      <c r="B87" s="2300"/>
      <c r="C87" s="785" t="str">
        <f>F!C153</f>
        <v>broad-leaved deciduous 1-9 cm diameter and &gt;1 m tall</v>
      </c>
      <c r="D87" s="117">
        <f>F!D153</f>
        <v>0</v>
      </c>
      <c r="E87" s="450">
        <v>1</v>
      </c>
      <c r="F87" s="450">
        <f t="shared" si="4"/>
        <v>0</v>
      </c>
      <c r="G87" s="445"/>
      <c r="H87" s="2140"/>
      <c r="I87" s="2309"/>
      <c r="J87" s="219"/>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row>
    <row r="88" spans="1:66" s="13" customFormat="1" ht="15" customHeight="1" x14ac:dyDescent="0.2">
      <c r="A88" s="2118"/>
      <c r="B88" s="2300"/>
      <c r="C88" s="785" t="str">
        <f>F!C154</f>
        <v>coniferous, 10-19 cm diameter</v>
      </c>
      <c r="D88" s="117">
        <f>F!D154</f>
        <v>0</v>
      </c>
      <c r="E88" s="450">
        <v>2</v>
      </c>
      <c r="F88" s="450">
        <f t="shared" si="4"/>
        <v>0</v>
      </c>
      <c r="G88" s="445"/>
      <c r="H88" s="2140"/>
      <c r="I88" s="2309"/>
      <c r="J88" s="219"/>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row>
    <row r="89" spans="1:66" s="13" customFormat="1" ht="15" customHeight="1" x14ac:dyDescent="0.2">
      <c r="A89" s="2118"/>
      <c r="B89" s="2300"/>
      <c r="C89" s="785" t="str">
        <f>F!C155</f>
        <v>broad-leaved deciduous 10-19 cm diameter</v>
      </c>
      <c r="D89" s="117">
        <f>F!D155</f>
        <v>0</v>
      </c>
      <c r="E89" s="450">
        <v>2</v>
      </c>
      <c r="F89" s="450">
        <f t="shared" si="4"/>
        <v>0</v>
      </c>
      <c r="G89" s="445"/>
      <c r="H89" s="2140"/>
      <c r="I89" s="2309"/>
      <c r="J89" s="219"/>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row>
    <row r="90" spans="1:66" s="13" customFormat="1" ht="15" customHeight="1" x14ac:dyDescent="0.2">
      <c r="A90" s="2118"/>
      <c r="B90" s="2300"/>
      <c r="C90" s="785" t="str">
        <f>F!C156</f>
        <v>coniferous, 20-40 cm diameter</v>
      </c>
      <c r="D90" s="117">
        <f>F!D156</f>
        <v>0</v>
      </c>
      <c r="E90" s="450">
        <v>3</v>
      </c>
      <c r="F90" s="450">
        <f t="shared" si="4"/>
        <v>0</v>
      </c>
      <c r="G90" s="445"/>
      <c r="H90" s="2140"/>
      <c r="I90" s="2309"/>
      <c r="J90" s="219"/>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row>
    <row r="91" spans="1:66" s="13" customFormat="1" ht="15" customHeight="1" x14ac:dyDescent="0.2">
      <c r="A91" s="2118"/>
      <c r="B91" s="2300"/>
      <c r="C91" s="785" t="str">
        <f>F!C157</f>
        <v>broad-leaved deciduous 20-40 cm diameter</v>
      </c>
      <c r="D91" s="117">
        <f>F!D157</f>
        <v>0</v>
      </c>
      <c r="E91" s="450">
        <v>3</v>
      </c>
      <c r="F91" s="450">
        <f t="shared" si="4"/>
        <v>0</v>
      </c>
      <c r="G91" s="445"/>
      <c r="H91" s="2140"/>
      <c r="I91" s="2309"/>
      <c r="J91" s="219"/>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row>
    <row r="92" spans="1:66" s="13" customFormat="1" ht="15" customHeight="1" x14ac:dyDescent="0.2">
      <c r="A92" s="2118"/>
      <c r="B92" s="2300"/>
      <c r="C92" s="785" t="str">
        <f>F!C158</f>
        <v>coniferous, &gt;40 cm diameter</v>
      </c>
      <c r="D92" s="117">
        <f>F!D158</f>
        <v>0</v>
      </c>
      <c r="E92" s="450">
        <v>4</v>
      </c>
      <c r="F92" s="450">
        <f t="shared" si="4"/>
        <v>0</v>
      </c>
      <c r="G92" s="445"/>
      <c r="H92" s="2140"/>
      <c r="I92" s="2309"/>
      <c r="J92" s="219"/>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row>
    <row r="93" spans="1:66" s="13" customFormat="1" ht="15" customHeight="1" thickBot="1" x14ac:dyDescent="0.25">
      <c r="A93" s="2118"/>
      <c r="B93" s="2300"/>
      <c r="C93" s="784" t="str">
        <f>F!C159</f>
        <v>broad-leaved deciduous &gt;40 cm diameter</v>
      </c>
      <c r="D93" s="795">
        <f>F!D159</f>
        <v>0</v>
      </c>
      <c r="E93" s="806">
        <v>4</v>
      </c>
      <c r="F93" s="806">
        <f t="shared" si="4"/>
        <v>0</v>
      </c>
      <c r="G93" s="791"/>
      <c r="H93" s="2141"/>
      <c r="I93" s="2310"/>
      <c r="J93" s="219"/>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row>
    <row r="94" spans="1:66" ht="30" customHeight="1" thickBot="1" x14ac:dyDescent="0.25">
      <c r="A94" s="2142" t="str">
        <f>F!A160</f>
        <v>F34</v>
      </c>
      <c r="B94" s="2259" t="str">
        <f>F!B160</f>
        <v>Downed Wood</v>
      </c>
      <c r="C94" s="116" t="str">
        <f>F!C160</f>
        <v>The number of downed wood pieces longer than 2 m and with diameter &gt;10 cm, and not persistently submerged, is:</v>
      </c>
      <c r="D94" s="798"/>
      <c r="E94" s="802"/>
      <c r="F94" s="443"/>
      <c r="G94" s="441">
        <f>IF((NoTrees=1),"", MAX(F95:F96))</f>
        <v>0</v>
      </c>
      <c r="H94" s="2139" t="s">
        <v>155</v>
      </c>
      <c r="I94" s="2311" t="s">
        <v>2092</v>
      </c>
    </row>
    <row r="95" spans="1:66" ht="15" customHeight="1" x14ac:dyDescent="0.2">
      <c r="A95" s="2143"/>
      <c r="B95" s="2296"/>
      <c r="C95" s="953" t="str">
        <f>F!C161</f>
        <v>Several ( &gt;5 if AA is &gt;5 hectares, less for smaller AAs)</v>
      </c>
      <c r="D95" s="271">
        <f>F!D161</f>
        <v>0</v>
      </c>
      <c r="E95" s="803">
        <v>1</v>
      </c>
      <c r="F95" s="803">
        <f>D95*E95</f>
        <v>0</v>
      </c>
      <c r="G95" s="444"/>
      <c r="H95" s="2140"/>
      <c r="I95" s="2309"/>
    </row>
    <row r="96" spans="1:66" ht="15" customHeight="1" thickBot="1" x14ac:dyDescent="0.25">
      <c r="A96" s="2144"/>
      <c r="B96" s="2298"/>
      <c r="C96" s="106" t="str">
        <f>F!C162</f>
        <v xml:space="preserve">Few or none </v>
      </c>
      <c r="D96" s="105">
        <f>F!D162</f>
        <v>0</v>
      </c>
      <c r="E96" s="453">
        <v>0</v>
      </c>
      <c r="F96" s="453">
        <f>D96*E96</f>
        <v>0</v>
      </c>
      <c r="G96" s="446"/>
      <c r="H96" s="2141"/>
      <c r="I96" s="2319"/>
    </row>
    <row r="97" spans="1:53" s="18" customFormat="1" ht="54.75" customHeight="1" thickBot="1" x14ac:dyDescent="0.25">
      <c r="A97" s="2142" t="str">
        <f>F!A200</f>
        <v>F42</v>
      </c>
      <c r="B97" s="2259" t="str">
        <f>F!B200</f>
        <v>Ground Irregularity</v>
      </c>
      <c r="C97" s="116"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97" s="798"/>
      <c r="E97" s="802"/>
      <c r="F97" s="443"/>
      <c r="G97" s="441">
        <f>MAX(F98:F100)/MAX(E98:E100)</f>
        <v>0</v>
      </c>
      <c r="H97" s="2139" t="s">
        <v>156</v>
      </c>
      <c r="I97" s="2311" t="s">
        <v>1823</v>
      </c>
      <c r="J97" s="219"/>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21"/>
    </row>
    <row r="98" spans="1:53" s="18" customFormat="1" ht="15" customHeight="1" x14ac:dyDescent="0.2">
      <c r="A98" s="2120"/>
      <c r="B98" s="2300"/>
      <c r="C98" s="953" t="str">
        <f>F!C201</f>
        <v xml:space="preserve">Few or none (minimal microtopography; &lt;1% of that area) </v>
      </c>
      <c r="D98" s="771">
        <f>F!D201</f>
        <v>0</v>
      </c>
      <c r="E98" s="969">
        <v>0</v>
      </c>
      <c r="F98" s="803">
        <f>D98*E98</f>
        <v>0</v>
      </c>
      <c r="G98" s="444"/>
      <c r="H98" s="2140"/>
      <c r="I98" s="2309"/>
      <c r="J98" s="219"/>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21"/>
    </row>
    <row r="99" spans="1:53" s="18" customFormat="1" ht="15" customHeight="1" x14ac:dyDescent="0.2">
      <c r="A99" s="2120"/>
      <c r="B99" s="2300"/>
      <c r="C99" s="785" t="str">
        <f>F!C202</f>
        <v>Intermediate</v>
      </c>
      <c r="D99" s="771">
        <f>F!D202</f>
        <v>0</v>
      </c>
      <c r="E99" s="803">
        <v>1</v>
      </c>
      <c r="F99" s="803">
        <f>D99*E99</f>
        <v>0</v>
      </c>
      <c r="G99" s="445"/>
      <c r="H99" s="2140"/>
      <c r="I99" s="2309"/>
      <c r="J99" s="219"/>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21"/>
    </row>
    <row r="100" spans="1:53" s="18" customFormat="1" ht="15" customHeight="1" thickBot="1" x14ac:dyDescent="0.25">
      <c r="A100" s="2121"/>
      <c r="B100" s="2301"/>
      <c r="C100" s="106" t="str">
        <f>F!C203</f>
        <v>Several (extensive micro-topography)</v>
      </c>
      <c r="D100" s="126">
        <f>F!D203</f>
        <v>0</v>
      </c>
      <c r="E100" s="453">
        <v>2</v>
      </c>
      <c r="F100" s="453">
        <f>D100*E100</f>
        <v>0</v>
      </c>
      <c r="G100" s="446"/>
      <c r="H100" s="2141"/>
      <c r="I100" s="2319"/>
      <c r="J100" s="219"/>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21"/>
    </row>
    <row r="101" spans="1:53" ht="48" customHeight="1" thickBot="1" x14ac:dyDescent="0.25">
      <c r="A101" s="2302" t="str">
        <f>F!A249</f>
        <v>F52</v>
      </c>
      <c r="B101" s="2296" t="str">
        <f>F!B249</f>
        <v>Natural Cover in Buffer</v>
      </c>
      <c r="C101" s="886" t="str">
        <f>F!C249</f>
        <v>Along the wetland-upland edge and extending 30 m upslope, the percentage of the upland that contains natural (not necessarily native -- see column E) land cover taller than 10 cm is:</v>
      </c>
      <c r="D101" s="971"/>
      <c r="E101" s="448"/>
      <c r="F101" s="449"/>
      <c r="G101" s="439">
        <f>MAX(F102:F106)/MAX(E102:E106)</f>
        <v>0</v>
      </c>
      <c r="H101" s="2323" t="s">
        <v>773</v>
      </c>
      <c r="I101" s="2308" t="s">
        <v>341</v>
      </c>
    </row>
    <row r="102" spans="1:53" ht="27" customHeight="1" x14ac:dyDescent="0.2">
      <c r="A102" s="2302"/>
      <c r="B102" s="2296"/>
      <c r="C102" s="953" t="str">
        <f>F!C250</f>
        <v xml:space="preserve">&lt;5% </v>
      </c>
      <c r="D102" s="117">
        <f>F!D250</f>
        <v>0</v>
      </c>
      <c r="E102" s="496">
        <v>0</v>
      </c>
      <c r="F102" s="450">
        <f>D102*E102</f>
        <v>0</v>
      </c>
      <c r="G102" s="444"/>
      <c r="H102" s="2324"/>
      <c r="I102" s="2309"/>
    </row>
    <row r="103" spans="1:53" ht="27" customHeight="1" x14ac:dyDescent="0.2">
      <c r="A103" s="2302"/>
      <c r="B103" s="2296"/>
      <c r="C103" s="785" t="str">
        <f>F!C251</f>
        <v>5 to 30%</v>
      </c>
      <c r="D103" s="117">
        <f>F!D251</f>
        <v>0</v>
      </c>
      <c r="E103" s="496">
        <v>3</v>
      </c>
      <c r="F103" s="450">
        <f>D103*E103</f>
        <v>0</v>
      </c>
      <c r="G103" s="445"/>
      <c r="H103" s="2324"/>
      <c r="I103" s="2309"/>
    </row>
    <row r="104" spans="1:53" ht="27" customHeight="1" x14ac:dyDescent="0.2">
      <c r="A104" s="2302"/>
      <c r="B104" s="2296"/>
      <c r="C104" s="785" t="str">
        <f>F!C252</f>
        <v>30 to 60%</v>
      </c>
      <c r="D104" s="117">
        <f>F!D252</f>
        <v>0</v>
      </c>
      <c r="E104" s="496">
        <v>4</v>
      </c>
      <c r="F104" s="450">
        <f>D104*E104</f>
        <v>0</v>
      </c>
      <c r="G104" s="445"/>
      <c r="H104" s="2324"/>
      <c r="I104" s="2309"/>
    </row>
    <row r="105" spans="1:53" ht="27" customHeight="1" x14ac:dyDescent="0.2">
      <c r="A105" s="2302"/>
      <c r="B105" s="2296"/>
      <c r="C105" s="785" t="str">
        <f>F!C253</f>
        <v>60 to 90%</v>
      </c>
      <c r="D105" s="117">
        <v>0</v>
      </c>
      <c r="E105" s="496">
        <v>7</v>
      </c>
      <c r="F105" s="450">
        <f>D105*E105</f>
        <v>0</v>
      </c>
      <c r="G105" s="445"/>
      <c r="H105" s="2324"/>
      <c r="I105" s="2309"/>
    </row>
    <row r="106" spans="1:53" ht="27" customHeight="1" thickBot="1" x14ac:dyDescent="0.25">
      <c r="A106" s="2302"/>
      <c r="B106" s="2296"/>
      <c r="C106" s="784" t="str">
        <f>F!C254</f>
        <v>&gt;90%.  SKIP to F54 (Cliffs).</v>
      </c>
      <c r="D106" s="795">
        <f>F!D254</f>
        <v>0</v>
      </c>
      <c r="E106" s="966">
        <v>10</v>
      </c>
      <c r="F106" s="806">
        <f>D106*E106</f>
        <v>0</v>
      </c>
      <c r="G106" s="791"/>
      <c r="H106" s="2325"/>
      <c r="I106" s="2310"/>
    </row>
    <row r="107" spans="1:53" ht="69.75" customHeight="1" thickBot="1" x14ac:dyDescent="0.25">
      <c r="A107" s="2142" t="str">
        <f>F!A280</f>
        <v>F59</v>
      </c>
      <c r="B107" s="2259" t="str">
        <f>F!B280</f>
        <v xml:space="preserve">Unvisited Core Area </v>
      </c>
      <c r="C107" s="116" t="str">
        <f>F!C280</f>
        <v>The percentage of the AA almost never visited by humans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07" s="804"/>
      <c r="E107" s="792"/>
      <c r="F107" s="443"/>
      <c r="G107" s="441">
        <f>MAX(F108:F113)/MAX(E108:E113)</f>
        <v>0</v>
      </c>
      <c r="H107" s="2139" t="s">
        <v>159</v>
      </c>
      <c r="I107" s="2311" t="s">
        <v>43</v>
      </c>
    </row>
    <row r="108" spans="1:53" ht="15" customHeight="1" x14ac:dyDescent="0.2">
      <c r="A108" s="2143"/>
      <c r="B108" s="2296"/>
      <c r="C108" s="953" t="str">
        <f>F!C281</f>
        <v>&lt;5% and no inhabited building is within 100 m of the AA</v>
      </c>
      <c r="D108" s="771">
        <f>F!D281</f>
        <v>0</v>
      </c>
      <c r="E108" s="793">
        <v>1</v>
      </c>
      <c r="F108" s="803">
        <f t="shared" ref="F108:F113" si="5">D108*E108</f>
        <v>0</v>
      </c>
      <c r="G108" s="444"/>
      <c r="H108" s="2140"/>
      <c r="I108" s="2309"/>
    </row>
    <row r="109" spans="1:53" ht="15" customHeight="1" x14ac:dyDescent="0.2">
      <c r="A109" s="2143"/>
      <c r="B109" s="2296"/>
      <c r="C109" s="785" t="str">
        <f>F!C282</f>
        <v>&lt;5% and inhabited building is within 100 m of the AA</v>
      </c>
      <c r="D109" s="771">
        <f>F!D282</f>
        <v>0</v>
      </c>
      <c r="E109" s="793">
        <v>0</v>
      </c>
      <c r="F109" s="803">
        <f t="shared" si="5"/>
        <v>0</v>
      </c>
      <c r="G109" s="445"/>
      <c r="H109" s="2140"/>
      <c r="I109" s="2309"/>
    </row>
    <row r="110" spans="1:53" ht="15" customHeight="1" x14ac:dyDescent="0.2">
      <c r="A110" s="2143"/>
      <c r="B110" s="2296"/>
      <c r="C110" s="785" t="str">
        <f>F!C283</f>
        <v>5-50% and no inhabited building is within 100 m of the AA</v>
      </c>
      <c r="D110" s="771">
        <f>F!D283</f>
        <v>0</v>
      </c>
      <c r="E110" s="793">
        <v>3</v>
      </c>
      <c r="F110" s="803">
        <f t="shared" si="5"/>
        <v>0</v>
      </c>
      <c r="G110" s="445"/>
      <c r="H110" s="2140"/>
      <c r="I110" s="2309"/>
    </row>
    <row r="111" spans="1:53" ht="15" customHeight="1" x14ac:dyDescent="0.2">
      <c r="A111" s="2143"/>
      <c r="B111" s="2296"/>
      <c r="C111" s="785" t="str">
        <f>F!C284</f>
        <v>5-50% and inhabited building is within 100 m of the AA</v>
      </c>
      <c r="D111" s="771">
        <f>F!D284</f>
        <v>0</v>
      </c>
      <c r="E111" s="793">
        <v>2</v>
      </c>
      <c r="F111" s="803">
        <f t="shared" si="5"/>
        <v>0</v>
      </c>
      <c r="G111" s="445"/>
      <c r="H111" s="2140"/>
      <c r="I111" s="2309"/>
    </row>
    <row r="112" spans="1:53" ht="15" customHeight="1" x14ac:dyDescent="0.2">
      <c r="A112" s="2143"/>
      <c r="B112" s="2296"/>
      <c r="C112" s="785" t="str">
        <f>F!C285</f>
        <v>50-95%</v>
      </c>
      <c r="D112" s="771">
        <f>F!D285</f>
        <v>0</v>
      </c>
      <c r="E112" s="793">
        <v>4</v>
      </c>
      <c r="F112" s="803">
        <f t="shared" si="5"/>
        <v>0</v>
      </c>
      <c r="G112" s="445"/>
      <c r="H112" s="2140"/>
      <c r="I112" s="2309"/>
    </row>
    <row r="113" spans="1:9" ht="15" customHeight="1" thickBot="1" x14ac:dyDescent="0.25">
      <c r="A113" s="2144"/>
      <c r="B113" s="2298"/>
      <c r="C113" s="106" t="str">
        <f>F!C286</f>
        <v>&gt;95% of the AA</v>
      </c>
      <c r="D113" s="126">
        <f>F!D286</f>
        <v>0</v>
      </c>
      <c r="E113" s="383">
        <v>5</v>
      </c>
      <c r="F113" s="453">
        <f t="shared" si="5"/>
        <v>0</v>
      </c>
      <c r="G113" s="446"/>
      <c r="H113" s="2141"/>
      <c r="I113" s="2319"/>
    </row>
    <row r="114" spans="1:9" ht="75" customHeight="1" thickBot="1" x14ac:dyDescent="0.25">
      <c r="A114" s="2143" t="str">
        <f>F!A287</f>
        <v>F60</v>
      </c>
      <c r="B114" s="2296" t="str">
        <f>F!B287</f>
        <v>Frequently Visited Area</v>
      </c>
      <c r="C114" s="886" t="str">
        <f>F!C287</f>
        <v>The percentage of the AA visited by humans almost daily for several weeks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14" s="838"/>
      <c r="E114" s="384"/>
      <c r="F114" s="449"/>
      <c r="G114" s="439">
        <f>MAX(F115:F118)/MAX(E115:E118)</f>
        <v>0</v>
      </c>
      <c r="H114" s="2139" t="s">
        <v>160</v>
      </c>
      <c r="I114" s="2308" t="s">
        <v>107</v>
      </c>
    </row>
    <row r="115" spans="1:9" ht="15" customHeight="1" x14ac:dyDescent="0.2">
      <c r="A115" s="2143"/>
      <c r="B115" s="2296"/>
      <c r="C115" s="953" t="str">
        <f>F!C288</f>
        <v>&lt;5%.  If F59 was answered "&gt;95%", SKIP to F63 (Consumptive Uses).</v>
      </c>
      <c r="D115" s="271">
        <f>F!D288</f>
        <v>0</v>
      </c>
      <c r="E115" s="382">
        <v>3</v>
      </c>
      <c r="F115" s="450">
        <f>D115*E115</f>
        <v>0</v>
      </c>
      <c r="G115" s="444"/>
      <c r="H115" s="2140"/>
      <c r="I115" s="2309"/>
    </row>
    <row r="116" spans="1:9" ht="15" customHeight="1" x14ac:dyDescent="0.2">
      <c r="A116" s="2143"/>
      <c r="B116" s="2296"/>
      <c r="C116" s="785" t="str">
        <f>F!C289</f>
        <v>5-50%</v>
      </c>
      <c r="D116" s="50">
        <f>F!D289</f>
        <v>0</v>
      </c>
      <c r="E116" s="382">
        <v>2</v>
      </c>
      <c r="F116" s="450">
        <f>D116*E116</f>
        <v>0</v>
      </c>
      <c r="G116" s="445"/>
      <c r="H116" s="2140"/>
      <c r="I116" s="2309"/>
    </row>
    <row r="117" spans="1:9" ht="15" customHeight="1" x14ac:dyDescent="0.2">
      <c r="A117" s="2143"/>
      <c r="B117" s="2296"/>
      <c r="C117" s="785" t="str">
        <f>F!C290</f>
        <v>50-95%</v>
      </c>
      <c r="D117" s="50">
        <f>F!D290</f>
        <v>0</v>
      </c>
      <c r="E117" s="382">
        <v>1</v>
      </c>
      <c r="F117" s="450">
        <f>D117*E117</f>
        <v>0</v>
      </c>
      <c r="G117" s="445"/>
      <c r="H117" s="2140"/>
      <c r="I117" s="2309"/>
    </row>
    <row r="118" spans="1:9" ht="15" customHeight="1" thickBot="1" x14ac:dyDescent="0.25">
      <c r="A118" s="2143"/>
      <c r="B118" s="2296"/>
      <c r="C118" s="784" t="str">
        <f>F!C291</f>
        <v>&gt;95% of the AA</v>
      </c>
      <c r="D118" s="775">
        <f>F!D291</f>
        <v>0</v>
      </c>
      <c r="E118" s="635">
        <v>0</v>
      </c>
      <c r="F118" s="806">
        <f>D118*E118</f>
        <v>0</v>
      </c>
      <c r="G118" s="791"/>
      <c r="H118" s="2140"/>
      <c r="I118" s="2310"/>
    </row>
    <row r="119" spans="1:9" ht="60" customHeight="1" thickBot="1" x14ac:dyDescent="0.25">
      <c r="A119" s="73" t="str">
        <f>F!A293</f>
        <v>F62</v>
      </c>
      <c r="B119" s="1086" t="str">
        <f>F!B293</f>
        <v>BMP - Wildlife Protection</v>
      </c>
      <c r="C119" s="1090" t="str">
        <f>F!C293</f>
        <v xml:space="preserve">Fences, observation blinds, platforms, paved trails, exclusion periods, and/or well-enforced prohibitions on motorized boats, off-leash pets, and off road vehicles appear to effectively exclude or divert visitors and their pets from the AA at critical times in order to minimize disturbance of wildlife (except during hunting seasons).  Enter "1" if true. </v>
      </c>
      <c r="D119" s="297">
        <f>F!D293</f>
        <v>0</v>
      </c>
      <c r="E119" s="538"/>
      <c r="F119" s="506"/>
      <c r="G119" s="441">
        <f>IF((D113+D115&gt;1),"",D119)</f>
        <v>0</v>
      </c>
      <c r="H119" s="742" t="s">
        <v>1322</v>
      </c>
      <c r="I119" s="1086" t="s">
        <v>1638</v>
      </c>
    </row>
    <row r="120" spans="1:9" ht="30" customHeight="1" thickBot="1" x14ac:dyDescent="0.25">
      <c r="A120" s="2143" t="str">
        <f>F!A307</f>
        <v>F65</v>
      </c>
      <c r="B120" s="2263" t="str">
        <f>F!B307</f>
        <v xml:space="preserve">Salinity, Alkalinity, Conductance </v>
      </c>
      <c r="C120" s="244" t="str">
        <f>F!C307</f>
        <v>Based on measurement from a surface water area larger than .01 hectare, the AA's surface water is mostly:</v>
      </c>
      <c r="D120" s="838"/>
      <c r="E120" s="384"/>
      <c r="F120" s="495"/>
      <c r="G120" s="439" t="str">
        <f>IF((D124=1),"",IF((D121=1),0,""))</f>
        <v/>
      </c>
      <c r="H120" s="2140" t="s">
        <v>1156</v>
      </c>
      <c r="I120" s="2286" t="s">
        <v>2096</v>
      </c>
    </row>
    <row r="121" spans="1:9" ht="42" customHeight="1" x14ac:dyDescent="0.2">
      <c r="A121" s="2143"/>
      <c r="B121" s="2263"/>
      <c r="C121" s="953" t="str">
        <f>F!C308</f>
        <v>Brackish or saline (conductance of &gt;25 mS/cm, or &gt;5000 ppm TDS). Or plants that indicate saline conditions comprise &gt;20% of ground cover.  Trees and shrubs mostly absent.  Salt crust obvious around the perimeter and on flats.</v>
      </c>
      <c r="D121" s="117">
        <f>F!D308</f>
        <v>0</v>
      </c>
      <c r="E121" s="382">
        <v>0</v>
      </c>
      <c r="F121" s="450">
        <f>D121*E121</f>
        <v>0</v>
      </c>
      <c r="G121" s="495"/>
      <c r="H121" s="2140"/>
      <c r="I121" s="2287"/>
    </row>
    <row r="122" spans="1:9" ht="42" customHeight="1" x14ac:dyDescent="0.2">
      <c r="A122" s="2143"/>
      <c r="B122" s="2263"/>
      <c r="C122" s="785" t="str">
        <f>F!C309</f>
        <v>Slightly brackish (conductance of 2.5- 25 mS/cm, or 500 - 5000 ppm TDS).  Or plants that indicate saline conditions comprise 1-20% of ground cover.  Salt crust may or may not be present along perimeter.</v>
      </c>
      <c r="D122" s="117">
        <f>F!D309</f>
        <v>0</v>
      </c>
      <c r="E122" s="382">
        <v>1</v>
      </c>
      <c r="F122" s="450">
        <f>D122*E122</f>
        <v>0</v>
      </c>
      <c r="G122" s="501"/>
      <c r="H122" s="2140"/>
      <c r="I122" s="2287"/>
    </row>
    <row r="123" spans="1:9" ht="27" customHeight="1" x14ac:dyDescent="0.2">
      <c r="A123" s="2143"/>
      <c r="B123" s="2263"/>
      <c r="C123" s="785" t="str">
        <f>F!C310</f>
        <v>Fresh (conductance of &lt; 2.5 mS/cm, or &lt;500 ppm TDS). Plants that indicate saline conditions are sparse or absent. No salt crust along perimeter.</v>
      </c>
      <c r="D123" s="295">
        <f>F!D310</f>
        <v>0</v>
      </c>
      <c r="E123" s="382">
        <v>2</v>
      </c>
      <c r="F123" s="450">
        <f>D123*E123</f>
        <v>0</v>
      </c>
      <c r="G123" s="501"/>
      <c r="H123" s="2140"/>
      <c r="I123" s="2287"/>
    </row>
    <row r="124" spans="1:9" ht="27" customHeight="1" thickBot="1" x14ac:dyDescent="0.25">
      <c r="A124" s="2143"/>
      <c r="B124" s="2263"/>
      <c r="C124" s="784" t="str">
        <f>F!C311</f>
        <v xml:space="preserve">Unknown condition (was not measured because surface water absent or insufficient, or measurement conflicted with plant indicators). </v>
      </c>
      <c r="D124" s="131">
        <f>F!D311</f>
        <v>0</v>
      </c>
      <c r="E124" s="385"/>
      <c r="F124" s="451"/>
      <c r="G124" s="970"/>
      <c r="H124" s="2141"/>
      <c r="I124" s="2288"/>
    </row>
    <row r="125" spans="1:9" ht="30" customHeight="1" thickBot="1" x14ac:dyDescent="0.25">
      <c r="A125" s="2320" t="str">
        <f>F!A312</f>
        <v>F66</v>
      </c>
      <c r="B125" s="2317" t="str">
        <f>F!B312</f>
        <v>Water Quality Problem Area Located Upslope</v>
      </c>
      <c r="C125" s="6" t="str">
        <f>F!C312</f>
        <v>Sampling indicates problems with the quality of surface waters or sediment within the AA, or within 5 km upstream or upslope, as caused by (enter 1 for ALL that apply):</v>
      </c>
      <c r="D125" s="804"/>
      <c r="E125" s="792"/>
      <c r="F125" s="802"/>
      <c r="G125" s="432">
        <f>IF((D130=1), "", MAX(D127:D129))</f>
        <v>0</v>
      </c>
      <c r="H125" s="2139" t="s">
        <v>1157</v>
      </c>
      <c r="I125" s="2317" t="s">
        <v>1098</v>
      </c>
    </row>
    <row r="126" spans="1:9" ht="42" customHeight="1" x14ac:dyDescent="0.2">
      <c r="A126" s="2321"/>
      <c r="B126" s="2287"/>
      <c r="C126" s="953" t="str">
        <f>F!C313</f>
        <v>nutrients (phosphorus, nitrate, ammonia), or a water body within 5 km that contributes to the AA has been labeled "hyper-eutrophic" based on excessive levels of either total phosphorus or chlorophyll-a.</v>
      </c>
      <c r="D126" s="771">
        <f>F!D313</f>
        <v>0</v>
      </c>
      <c r="E126" s="793"/>
      <c r="F126" s="803"/>
      <c r="G126" s="501"/>
      <c r="H126" s="2140"/>
      <c r="I126" s="2287"/>
    </row>
    <row r="127" spans="1:9" ht="15" customHeight="1" x14ac:dyDescent="0.2">
      <c r="A127" s="2321"/>
      <c r="B127" s="2287"/>
      <c r="C127" s="785" t="str">
        <f>F!C314</f>
        <v>suspended sediment or turbidity</v>
      </c>
      <c r="D127" s="771">
        <f>F!D314</f>
        <v>0</v>
      </c>
      <c r="E127" s="793"/>
      <c r="F127" s="803"/>
      <c r="G127" s="501"/>
      <c r="H127" s="2140"/>
      <c r="I127" s="2287"/>
    </row>
    <row r="128" spans="1:9" ht="15" customHeight="1" x14ac:dyDescent="0.2">
      <c r="A128" s="2321"/>
      <c r="B128" s="2287"/>
      <c r="C128" s="785" t="str">
        <f>F!C315</f>
        <v>metals (mercury, lead, zinc, copper, cadmium, others)</v>
      </c>
      <c r="D128" s="771">
        <f>F!D315</f>
        <v>0</v>
      </c>
      <c r="E128" s="793"/>
      <c r="F128" s="803"/>
      <c r="G128" s="501"/>
      <c r="H128" s="2140"/>
      <c r="I128" s="2287"/>
    </row>
    <row r="129" spans="1:66" ht="15" customHeight="1" x14ac:dyDescent="0.2">
      <c r="A129" s="2321"/>
      <c r="B129" s="2287"/>
      <c r="C129" s="785" t="str">
        <f>F!C316</f>
        <v>petrochemicals (pesticides, herbicides, PCBs, others)</v>
      </c>
      <c r="D129" s="771">
        <f>F!D316</f>
        <v>0</v>
      </c>
      <c r="E129" s="793"/>
      <c r="F129" s="803"/>
      <c r="G129" s="501"/>
      <c r="H129" s="2140"/>
      <c r="I129" s="2287"/>
    </row>
    <row r="130" spans="1:66" ht="15" customHeight="1" thickBot="1" x14ac:dyDescent="0.25">
      <c r="A130" s="2322"/>
      <c r="B130" s="2318"/>
      <c r="C130" s="106" t="str">
        <f>F!C317</f>
        <v xml:space="preserve">None of above, or no data. </v>
      </c>
      <c r="D130" s="126">
        <f>F!D317</f>
        <v>0</v>
      </c>
      <c r="E130" s="383"/>
      <c r="F130" s="453"/>
      <c r="G130" s="502"/>
      <c r="H130" s="2141"/>
      <c r="I130" s="2318"/>
    </row>
    <row r="131" spans="1:66" ht="87" customHeight="1" thickBot="1" x14ac:dyDescent="0.25">
      <c r="A131" s="2277" t="str">
        <f>F!A328</f>
        <v>F69</v>
      </c>
      <c r="B131" s="2277" t="str">
        <f>F!B328</f>
        <v>Plants or Animals of Conservation Concern</v>
      </c>
      <c r="C131" s="1296" t="str">
        <f>F!C328</f>
        <v xml:space="preserve">If required, survey the AA for plant or animal species believed to be of conservation concern in Alberta (see list on Form F in Appendix A of Manual).  Do so at appropriate times of the year, especially if the data review conducted during the office phase of this assessment indicated their past presence in the general vicinity.  If you do detect these species or have reliable knowledge of their recent (within ~5 years) occurrence within the AA, indicate that below.  </v>
      </c>
      <c r="D131" s="792"/>
      <c r="E131" s="792"/>
      <c r="F131" s="1148"/>
      <c r="G131" s="1456"/>
      <c r="H131" s="2139" t="s">
        <v>2242</v>
      </c>
      <c r="I131" s="2087" t="s">
        <v>1631</v>
      </c>
    </row>
    <row r="132" spans="1:66" ht="15" customHeight="1" thickBot="1" x14ac:dyDescent="0.25">
      <c r="A132" s="2278"/>
      <c r="B132" s="2278"/>
      <c r="C132" s="1296" t="str">
        <f>F!C331</f>
        <v>One or more of the rare amphibian species was detected within the AA.</v>
      </c>
      <c r="D132" s="1470">
        <f>F!D331</f>
        <v>0</v>
      </c>
      <c r="E132" s="1463"/>
      <c r="F132" s="1465"/>
      <c r="G132" s="1469" t="str">
        <f>IF((D132=1),1,"")</f>
        <v/>
      </c>
      <c r="H132" s="2141"/>
      <c r="I132" s="2088"/>
    </row>
    <row r="133" spans="1:66" ht="45" customHeight="1" thickBot="1" x14ac:dyDescent="0.25">
      <c r="A133" s="1095" t="str">
        <f>S!A18</f>
        <v>S6</v>
      </c>
      <c r="B133" s="187" t="str">
        <f>S!B18</f>
        <v>Accelerated Inputs of Contaminants and/or Salts</v>
      </c>
      <c r="C133" s="139"/>
      <c r="D133" s="539">
        <f>S!F32</f>
        <v>0</v>
      </c>
      <c r="E133" s="386"/>
      <c r="F133" s="505"/>
      <c r="G133" s="441">
        <f>1-D133</f>
        <v>1</v>
      </c>
      <c r="H133" s="742" t="s">
        <v>1323</v>
      </c>
      <c r="I133" s="1033" t="s">
        <v>1820</v>
      </c>
    </row>
    <row r="134" spans="1:66" s="13" customFormat="1" ht="21" customHeight="1" thickBot="1" x14ac:dyDescent="0.25">
      <c r="A134" s="836"/>
      <c r="B134" s="836"/>
      <c r="C134" s="8"/>
      <c r="D134" s="1590"/>
      <c r="E134" s="1590"/>
      <c r="F134" s="1590"/>
      <c r="G134" s="1590"/>
      <c r="H134" s="1442"/>
      <c r="I134" s="1442"/>
      <c r="J134" s="219"/>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row>
    <row r="135" spans="1:66" s="39" customFormat="1" ht="21" customHeight="1" thickBot="1" x14ac:dyDescent="0.25">
      <c r="A135" s="8"/>
      <c r="B135" s="8"/>
      <c r="C135" s="833" t="s">
        <v>1159</v>
      </c>
      <c r="D135" s="1569"/>
      <c r="E135" s="1569"/>
      <c r="F135" s="1569"/>
      <c r="G135" s="1569"/>
      <c r="H135" s="168"/>
      <c r="I135" s="168"/>
      <c r="J135" s="199"/>
      <c r="K135" s="42"/>
      <c r="L135" s="42"/>
    </row>
    <row r="136" spans="1:66" s="39" customFormat="1" ht="30" customHeight="1" thickBot="1" x14ac:dyDescent="0.25">
      <c r="A136" s="1436"/>
      <c r="B136" s="880" t="s">
        <v>1115</v>
      </c>
      <c r="C136" s="902" t="s">
        <v>1975</v>
      </c>
      <c r="D136" s="540"/>
      <c r="E136" s="540"/>
      <c r="F136" s="540"/>
      <c r="G136" s="530">
        <f>IF((GT10HA=1),G137,IFERROR(AVERAGE(WetPerim2Area, WetVegArea, OWpct11,  Interspers11, ClassRichIn,ISOwet11, Girreg11, Vwidth11, TreeVar11, WoodDown11, WoodAbove11),""))</f>
        <v>0</v>
      </c>
      <c r="H136" s="168"/>
      <c r="I136" s="168"/>
      <c r="J136" s="214"/>
      <c r="K136" s="42"/>
      <c r="L136" s="42"/>
    </row>
    <row r="137" spans="1:66" s="39" customFormat="1" ht="21" customHeight="1" thickBot="1" x14ac:dyDescent="0.25">
      <c r="A137" s="1436"/>
      <c r="B137" s="881" t="s">
        <v>1116</v>
      </c>
      <c r="C137" s="193" t="s">
        <v>1974</v>
      </c>
      <c r="D137" s="541"/>
      <c r="E137" s="541"/>
      <c r="F137" s="541"/>
      <c r="G137" s="781">
        <f>IFERROR(AVERAGE(WetPerim2Area, WetVegArea, OWpct_AM, MixWaterVeg, ClassRichIn, ISOwet11, Girreg11, Vwidth11, TreeVar11, WoodDown11, WoodAbove11),"")</f>
        <v>0</v>
      </c>
      <c r="H137" s="168"/>
      <c r="I137" s="168"/>
      <c r="J137" s="214"/>
      <c r="K137" s="42"/>
      <c r="L137" s="42"/>
    </row>
    <row r="138" spans="1:66" s="39" customFormat="1" ht="21" customHeight="1" thickBot="1" x14ac:dyDescent="0.25">
      <c r="A138" s="191"/>
      <c r="B138" s="191"/>
      <c r="D138" s="1515"/>
      <c r="E138" s="1515"/>
      <c r="F138" s="1515"/>
      <c r="G138" s="1515"/>
      <c r="H138" s="168"/>
      <c r="I138" s="168"/>
      <c r="J138" s="199"/>
      <c r="K138" s="246"/>
      <c r="L138" s="42"/>
    </row>
    <row r="139" spans="1:66" s="39" customFormat="1" ht="21" customHeight="1" thickBot="1" x14ac:dyDescent="0.25">
      <c r="A139" s="191"/>
      <c r="B139" s="191"/>
      <c r="C139" s="833" t="s">
        <v>1160</v>
      </c>
      <c r="D139" s="1517"/>
      <c r="E139" s="1517"/>
      <c r="F139" s="1517"/>
      <c r="G139" s="1517"/>
      <c r="H139" s="168"/>
      <c r="I139" s="168"/>
      <c r="J139" s="199"/>
      <c r="K139" s="246"/>
      <c r="L139" s="42"/>
    </row>
    <row r="140" spans="1:66" s="39" customFormat="1" ht="30" customHeight="1" thickBot="1" x14ac:dyDescent="0.25">
      <c r="A140" s="1096"/>
      <c r="B140" s="1403"/>
      <c r="C140" s="75" t="s">
        <v>1976</v>
      </c>
      <c r="D140" s="1432"/>
      <c r="E140" s="1111"/>
      <c r="F140" s="1111"/>
      <c r="G140" s="530">
        <f>IFERROR(AVERAGE(Salin11, AVERAGE(GrowDD, Spring, ClassRich1k, GroundW11, Beaver11, Salin11, Gradient11, SatPct11, Fluctu11)),"")</f>
        <v>0</v>
      </c>
      <c r="H140" s="168"/>
      <c r="I140" s="168"/>
      <c r="J140" s="199"/>
      <c r="K140" s="246"/>
      <c r="L140" s="42"/>
    </row>
    <row r="141" spans="1:66" s="39" customFormat="1" ht="21" customHeight="1" thickBot="1" x14ac:dyDescent="0.25">
      <c r="A141" s="191"/>
      <c r="B141" s="191"/>
      <c r="D141" s="1515"/>
      <c r="E141" s="1515"/>
      <c r="F141" s="1515"/>
      <c r="G141" s="1515"/>
      <c r="H141" s="168"/>
      <c r="I141" s="168"/>
      <c r="J141" s="199"/>
      <c r="K141" s="246"/>
      <c r="L141" s="42"/>
    </row>
    <row r="142" spans="1:66" s="39" customFormat="1" ht="21" customHeight="1" thickBot="1" x14ac:dyDescent="0.25">
      <c r="A142" s="191"/>
      <c r="B142" s="191"/>
      <c r="C142" s="834" t="s">
        <v>1317</v>
      </c>
      <c r="D142" s="1517"/>
      <c r="E142" s="1517"/>
      <c r="F142" s="1517"/>
      <c r="G142" s="1517"/>
      <c r="H142" s="168"/>
      <c r="I142" s="168"/>
      <c r="J142" s="199"/>
      <c r="K142" s="246"/>
      <c r="L142" s="42"/>
    </row>
    <row r="143" spans="1:66" s="39" customFormat="1" ht="21" customHeight="1" thickBot="1" x14ac:dyDescent="0.25">
      <c r="A143" s="1096"/>
      <c r="B143" s="1403"/>
      <c r="C143" s="75" t="s">
        <v>1977</v>
      </c>
      <c r="D143" s="1432"/>
      <c r="E143" s="1111"/>
      <c r="F143" s="1111"/>
      <c r="G143" s="530">
        <f>IFERROR(AVERAGE(Core1_11, Core2_11, MAX(1-FishPres,  Fish11),BMP_11),"")</f>
        <v>0.25</v>
      </c>
      <c r="H143" s="168"/>
      <c r="I143" s="168"/>
      <c r="J143" s="199"/>
      <c r="K143" s="42"/>
      <c r="L143" s="42"/>
    </row>
    <row r="144" spans="1:66" s="44" customFormat="1" ht="21" customHeight="1" thickBot="1" x14ac:dyDescent="0.25">
      <c r="A144" s="1449"/>
      <c r="B144" s="1449"/>
      <c r="C144" s="154"/>
      <c r="D144" s="1591"/>
      <c r="E144" s="1591"/>
      <c r="F144" s="1591"/>
      <c r="G144" s="1591"/>
      <c r="H144" s="168"/>
      <c r="I144" s="168"/>
      <c r="J144" s="213"/>
      <c r="K144" s="42"/>
      <c r="L144" s="42"/>
    </row>
    <row r="145" spans="1:66" s="39" customFormat="1" ht="21" customHeight="1" thickBot="1" x14ac:dyDescent="0.25">
      <c r="A145" s="1449"/>
      <c r="B145" s="1449"/>
      <c r="C145" s="833" t="s">
        <v>1318</v>
      </c>
      <c r="D145" s="1592"/>
      <c r="E145" s="1592"/>
      <c r="F145" s="1592"/>
      <c r="G145" s="1592"/>
      <c r="H145" s="168"/>
      <c r="I145" s="168"/>
      <c r="J145" s="213"/>
      <c r="K145" s="42"/>
      <c r="L145" s="42"/>
    </row>
    <row r="146" spans="1:66" s="39" customFormat="1" ht="28.5" customHeight="1" thickBot="1" x14ac:dyDescent="0.25">
      <c r="A146" s="1096"/>
      <c r="B146" s="1403"/>
      <c r="C146" s="75" t="s">
        <v>1978</v>
      </c>
      <c r="D146" s="1432"/>
      <c r="E146" s="1111"/>
      <c r="F146" s="1111"/>
      <c r="G146" s="530">
        <f>IFERROR(AVERAGE(1-WQrisk, 1-WindSumm, WQprob11, Toxic11, 1-RdDens1k, Dist2Road, Dist2DevCrop),"")</f>
        <v>0.8</v>
      </c>
      <c r="H146" s="168"/>
      <c r="I146" s="168"/>
      <c r="J146" s="213"/>
      <c r="K146" s="42"/>
      <c r="L146" s="42"/>
    </row>
    <row r="147" spans="1:66" s="39" customFormat="1" ht="21" customHeight="1" thickBot="1" x14ac:dyDescent="0.25">
      <c r="A147" s="191"/>
      <c r="B147" s="191"/>
      <c r="D147" s="1515"/>
      <c r="E147" s="1515"/>
      <c r="F147" s="1515"/>
      <c r="G147" s="1515"/>
      <c r="H147" s="168"/>
      <c r="I147" s="168"/>
      <c r="J147" s="199"/>
      <c r="K147" s="42"/>
      <c r="L147" s="42"/>
    </row>
    <row r="148" spans="1:66" s="39" customFormat="1" ht="21" customHeight="1" thickBot="1" x14ac:dyDescent="0.25">
      <c r="A148" s="191"/>
      <c r="B148" s="191"/>
      <c r="C148" s="1635" t="s">
        <v>1339</v>
      </c>
      <c r="D148" s="7"/>
      <c r="E148" s="7"/>
      <c r="F148" s="7"/>
      <c r="G148" s="7"/>
      <c r="H148" s="168"/>
      <c r="I148" s="168"/>
      <c r="J148" s="199"/>
      <c r="K148" s="42"/>
      <c r="L148" s="42"/>
    </row>
    <row r="149" spans="1:66" s="39" customFormat="1" ht="21" customHeight="1" thickBot="1" x14ac:dyDescent="0.25">
      <c r="A149" s="191"/>
      <c r="B149" s="191"/>
      <c r="C149" s="903" t="s">
        <v>668</v>
      </c>
      <c r="D149" s="1517"/>
      <c r="E149" s="1517"/>
      <c r="F149" s="1517"/>
      <c r="G149" s="1517"/>
      <c r="H149" s="168"/>
      <c r="I149" s="168"/>
      <c r="J149" s="199"/>
      <c r="K149" s="42"/>
      <c r="L149" s="42"/>
    </row>
    <row r="150" spans="1:66" s="39" customFormat="1" ht="30" customHeight="1" thickBot="1" x14ac:dyDescent="0.25">
      <c r="A150" s="191"/>
      <c r="B150" s="191"/>
      <c r="C150" s="107" t="s">
        <v>1293</v>
      </c>
      <c r="D150" s="1111"/>
      <c r="E150" s="1111"/>
      <c r="F150" s="1111"/>
      <c r="G150" s="1415">
        <f>10*AVERAGE(SensAm, RareAmphib,UniqClass, MarshPct, AVERAGE(HabStrucA1a, CfixA1a, PredA1a, StressA1a), WetDens1k_NoBog, PerimNatCov)</f>
        <v>2.625</v>
      </c>
      <c r="H150" s="168"/>
      <c r="I150" s="168"/>
      <c r="J150" s="199"/>
      <c r="K150" s="42"/>
      <c r="L150" s="42"/>
    </row>
    <row r="151" spans="1:66" s="5" customFormat="1" ht="21" customHeight="1" thickBot="1" x14ac:dyDescent="0.25">
      <c r="A151" s="191"/>
      <c r="B151" s="191"/>
      <c r="D151" s="270"/>
      <c r="E151" s="1478" t="s">
        <v>507</v>
      </c>
      <c r="F151" s="1478"/>
      <c r="G151" s="1478"/>
      <c r="H151" s="1479"/>
      <c r="I151" s="100" t="s">
        <v>357</v>
      </c>
      <c r="J151" s="215"/>
      <c r="K151" s="154"/>
      <c r="L151" s="154"/>
      <c r="M151" s="154"/>
      <c r="N151" s="154"/>
      <c r="O151" s="154"/>
      <c r="P151" s="154"/>
      <c r="Q151" s="154"/>
    </row>
    <row r="152" spans="1:66" s="13" customFormat="1" ht="54" customHeight="1" x14ac:dyDescent="0.2">
      <c r="A152" s="1544"/>
      <c r="B152" s="1544"/>
      <c r="C152" s="1524" t="s">
        <v>1336</v>
      </c>
      <c r="D152" s="1584"/>
      <c r="E152" s="1478"/>
      <c r="F152" s="1478"/>
      <c r="G152" s="1478"/>
      <c r="H152" s="1479"/>
      <c r="I152" s="876" t="s">
        <v>1196</v>
      </c>
      <c r="J152" s="219"/>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row>
    <row r="153" spans="1:66" s="13" customFormat="1" ht="27" customHeight="1" x14ac:dyDescent="0.3">
      <c r="A153" s="1649"/>
      <c r="B153" s="1593">
        <v>1</v>
      </c>
      <c r="C153" s="1580" t="s">
        <v>1233</v>
      </c>
      <c r="D153" s="1561"/>
      <c r="E153" s="1478"/>
      <c r="F153" s="1478"/>
      <c r="G153" s="1478"/>
      <c r="H153" s="1479"/>
      <c r="I153" s="878" t="s">
        <v>2093</v>
      </c>
      <c r="J153" s="219"/>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row>
    <row r="154" spans="1:66" s="13" customFormat="1" ht="42" customHeight="1" x14ac:dyDescent="0.3">
      <c r="A154" s="1649"/>
      <c r="B154" s="1594" t="s">
        <v>1227</v>
      </c>
      <c r="C154" s="1595" t="s">
        <v>1235</v>
      </c>
      <c r="D154" s="1581" t="str">
        <f>IFERROR(AVERAGE(MixWaterVeg, OWpct_AM),"")</f>
        <v/>
      </c>
      <c r="E154" s="1478"/>
      <c r="F154" s="1478"/>
      <c r="G154" s="1478"/>
      <c r="H154" s="1479"/>
      <c r="I154" s="878" t="s">
        <v>2097</v>
      </c>
      <c r="J154" s="219"/>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row>
    <row r="155" spans="1:66" s="242" customFormat="1" ht="42" customHeight="1" x14ac:dyDescent="0.3">
      <c r="A155" s="1649"/>
      <c r="B155" s="1594" t="s">
        <v>1228</v>
      </c>
      <c r="C155" s="1595" t="s">
        <v>1236</v>
      </c>
      <c r="D155" s="1581" t="str">
        <f>IFERROR(AVERAGE(MixHerbWood, ClassRichIn),"")</f>
        <v/>
      </c>
      <c r="E155" s="1478"/>
      <c r="F155" s="1478"/>
      <c r="G155" s="1478"/>
      <c r="H155" s="1479"/>
      <c r="I155" s="202" t="s">
        <v>1825</v>
      </c>
      <c r="J155" s="241"/>
      <c r="K155" s="240"/>
      <c r="L155" s="240"/>
      <c r="M155" s="240"/>
      <c r="N155" s="240"/>
      <c r="O155" s="240"/>
      <c r="P155" s="240"/>
      <c r="Q155" s="240"/>
      <c r="R155" s="240"/>
      <c r="S155" s="240"/>
      <c r="T155" s="240"/>
      <c r="U155" s="240"/>
      <c r="V155" s="240"/>
      <c r="W155" s="240"/>
      <c r="X155" s="240"/>
      <c r="Y155" s="240"/>
      <c r="Z155" s="240"/>
      <c r="AA155" s="240"/>
      <c r="AB155" s="240"/>
      <c r="AC155" s="240"/>
      <c r="AD155" s="240"/>
      <c r="AE155" s="240"/>
      <c r="AF155" s="240"/>
      <c r="AG155" s="240"/>
      <c r="AH155" s="240"/>
      <c r="AI155" s="240"/>
      <c r="AJ155" s="240"/>
      <c r="AK155" s="240"/>
      <c r="AL155" s="240"/>
      <c r="AM155" s="240"/>
      <c r="AN155" s="240"/>
      <c r="AO155" s="240"/>
      <c r="AP155" s="240"/>
      <c r="AQ155" s="240"/>
      <c r="AR155" s="240"/>
      <c r="AS155" s="240"/>
      <c r="AT155" s="240"/>
      <c r="AU155" s="240"/>
      <c r="AV155" s="240"/>
      <c r="AW155" s="240"/>
      <c r="AX155" s="240"/>
      <c r="AY155" s="240"/>
      <c r="AZ155" s="240"/>
      <c r="BA155" s="240"/>
      <c r="BB155" s="240"/>
      <c r="BC155" s="240"/>
      <c r="BD155" s="240"/>
      <c r="BE155" s="240"/>
      <c r="BF155" s="240"/>
      <c r="BG155" s="240"/>
      <c r="BH155" s="240"/>
      <c r="BI155" s="240"/>
      <c r="BJ155" s="240"/>
      <c r="BK155" s="240"/>
      <c r="BL155" s="240"/>
      <c r="BM155" s="240"/>
      <c r="BN155" s="240"/>
    </row>
    <row r="156" spans="1:66" s="242" customFormat="1" ht="39" customHeight="1" x14ac:dyDescent="0.3">
      <c r="A156" s="1649"/>
      <c r="B156" s="1594" t="s">
        <v>1229</v>
      </c>
      <c r="C156" s="1595" t="s">
        <v>1237</v>
      </c>
      <c r="D156" s="1581" t="str">
        <f>IFERROR(AVERAGE(ClassRich1k, WetDens1k_NoBog),"")</f>
        <v/>
      </c>
      <c r="E156" s="1478"/>
      <c r="F156" s="1478"/>
      <c r="G156" s="1478"/>
      <c r="H156" s="1479"/>
      <c r="I156" s="879" t="s">
        <v>1197</v>
      </c>
      <c r="J156" s="241"/>
      <c r="K156" s="240"/>
      <c r="L156" s="240"/>
      <c r="M156" s="240"/>
      <c r="N156" s="240"/>
      <c r="O156" s="240"/>
      <c r="P156" s="240"/>
      <c r="Q156" s="240"/>
      <c r="R156" s="240"/>
      <c r="S156" s="240"/>
      <c r="T156" s="240"/>
      <c r="U156" s="240"/>
      <c r="V156" s="240"/>
      <c r="W156" s="240"/>
      <c r="X156" s="240"/>
      <c r="Y156" s="240"/>
      <c r="Z156" s="240"/>
      <c r="AA156" s="240"/>
      <c r="AB156" s="240"/>
      <c r="AC156" s="240"/>
      <c r="AD156" s="240"/>
      <c r="AE156" s="240"/>
      <c r="AF156" s="240"/>
      <c r="AG156" s="240"/>
      <c r="AH156" s="240"/>
      <c r="AI156" s="240"/>
      <c r="AJ156" s="240"/>
      <c r="AK156" s="240"/>
      <c r="AL156" s="240"/>
      <c r="AM156" s="240"/>
      <c r="AN156" s="240"/>
      <c r="AO156" s="240"/>
      <c r="AP156" s="240"/>
      <c r="AQ156" s="240"/>
      <c r="AR156" s="240"/>
      <c r="AS156" s="240"/>
      <c r="AT156" s="240"/>
      <c r="AU156" s="240"/>
      <c r="AV156" s="240"/>
      <c r="AW156" s="240"/>
      <c r="AX156" s="240"/>
      <c r="AY156" s="240"/>
      <c r="AZ156" s="240"/>
      <c r="BA156" s="240"/>
      <c r="BB156" s="240"/>
      <c r="BC156" s="240"/>
      <c r="BD156" s="240"/>
      <c r="BE156" s="240"/>
      <c r="BF156" s="240"/>
      <c r="BG156" s="240"/>
      <c r="BH156" s="240"/>
      <c r="BI156" s="240"/>
      <c r="BJ156" s="240"/>
      <c r="BK156" s="240"/>
      <c r="BL156" s="240"/>
      <c r="BM156" s="240"/>
      <c r="BN156" s="240"/>
    </row>
    <row r="157" spans="1:66" s="242" customFormat="1" ht="27" customHeight="1" x14ac:dyDescent="0.3">
      <c r="A157" s="1649"/>
      <c r="B157" s="1594" t="s">
        <v>1234</v>
      </c>
      <c r="C157" s="1595" t="s">
        <v>1342</v>
      </c>
      <c r="D157" s="1581" t="str">
        <f>IFERROR(AVERAGE(Dist2DevCrop, NatCov1k, PerimNatCov),"")</f>
        <v/>
      </c>
      <c r="E157" s="1478"/>
      <c r="F157" s="1478"/>
      <c r="G157" s="1478"/>
      <c r="H157" s="1479"/>
      <c r="I157" s="879" t="s">
        <v>1198</v>
      </c>
      <c r="J157" s="241"/>
      <c r="K157" s="240"/>
      <c r="L157" s="240"/>
      <c r="M157" s="240"/>
      <c r="N157" s="240"/>
      <c r="O157" s="240"/>
      <c r="P157" s="240"/>
      <c r="Q157" s="240"/>
      <c r="R157" s="240"/>
      <c r="S157" s="240"/>
      <c r="T157" s="240"/>
      <c r="U157" s="240"/>
      <c r="V157" s="240"/>
      <c r="W157" s="240"/>
      <c r="X157" s="240"/>
      <c r="Y157" s="240"/>
      <c r="Z157" s="240"/>
      <c r="AA157" s="240"/>
      <c r="AB157" s="240"/>
      <c r="AC157" s="240"/>
      <c r="AD157" s="240"/>
      <c r="AE157" s="240"/>
      <c r="AF157" s="240"/>
      <c r="AG157" s="240"/>
      <c r="AH157" s="240"/>
      <c r="AI157" s="240"/>
      <c r="AJ157" s="240"/>
      <c r="AK157" s="240"/>
      <c r="AL157" s="240"/>
      <c r="AM157" s="240"/>
      <c r="AN157" s="240"/>
      <c r="AO157" s="240"/>
      <c r="AP157" s="240"/>
      <c r="AQ157" s="240"/>
      <c r="AR157" s="240"/>
      <c r="AS157" s="240"/>
      <c r="AT157" s="240"/>
      <c r="AU157" s="240"/>
      <c r="AV157" s="240"/>
      <c r="AW157" s="240"/>
      <c r="AX157" s="240"/>
      <c r="AY157" s="240"/>
      <c r="AZ157" s="240"/>
      <c r="BA157" s="240"/>
      <c r="BB157" s="240"/>
      <c r="BC157" s="240"/>
      <c r="BD157" s="240"/>
      <c r="BE157" s="240"/>
      <c r="BF157" s="240"/>
      <c r="BG157" s="240"/>
      <c r="BH157" s="240"/>
      <c r="BI157" s="240"/>
      <c r="BJ157" s="240"/>
      <c r="BK157" s="240"/>
      <c r="BL157" s="240"/>
      <c r="BM157" s="240"/>
      <c r="BN157" s="240"/>
    </row>
    <row r="158" spans="1:66" s="242" customFormat="1" ht="42.75" customHeight="1" x14ac:dyDescent="0.3">
      <c r="A158" s="1649"/>
      <c r="B158" s="1593">
        <v>2</v>
      </c>
      <c r="C158" s="1530" t="s">
        <v>1294</v>
      </c>
      <c r="D158" s="1581" t="str">
        <f>IFERROR(10*AVERAGE(MarshPct, UniqFenMarshSwamp,D154:D157),"")</f>
        <v/>
      </c>
      <c r="E158" s="1478"/>
      <c r="F158" s="1478"/>
      <c r="G158" s="1478"/>
      <c r="H158" s="1479"/>
      <c r="I158" s="879" t="s">
        <v>1199</v>
      </c>
      <c r="J158" s="241"/>
      <c r="K158" s="240"/>
      <c r="L158" s="240"/>
      <c r="M158" s="240" t="s">
        <v>507</v>
      </c>
      <c r="N158" s="240"/>
      <c r="O158" s="240"/>
      <c r="P158" s="240"/>
      <c r="Q158" s="240"/>
      <c r="R158" s="240"/>
      <c r="S158" s="240"/>
      <c r="T158" s="240"/>
      <c r="U158" s="240"/>
      <c r="V158" s="240"/>
      <c r="W158" s="240"/>
      <c r="X158" s="240"/>
      <c r="Y158" s="240"/>
      <c r="Z158" s="240"/>
      <c r="AA158" s="240"/>
      <c r="AB158" s="240"/>
      <c r="AC158" s="240"/>
      <c r="AD158" s="240"/>
      <c r="AE158" s="240"/>
      <c r="AF158" s="240"/>
      <c r="AG158" s="240"/>
      <c r="AH158" s="240"/>
      <c r="AI158" s="240"/>
      <c r="AJ158" s="240"/>
      <c r="AK158" s="240"/>
      <c r="AL158" s="240"/>
      <c r="AM158" s="240"/>
      <c r="AN158" s="240"/>
      <c r="AO158" s="240"/>
      <c r="AP158" s="240"/>
      <c r="AQ158" s="240"/>
      <c r="AR158" s="240"/>
      <c r="AS158" s="240"/>
      <c r="AT158" s="240"/>
      <c r="AU158" s="240"/>
      <c r="AV158" s="240"/>
      <c r="AW158" s="240"/>
      <c r="AX158" s="240"/>
      <c r="AY158" s="240"/>
      <c r="AZ158" s="240"/>
      <c r="BA158" s="240"/>
      <c r="BB158" s="240"/>
      <c r="BC158" s="240"/>
      <c r="BD158" s="240"/>
      <c r="BE158" s="240"/>
      <c r="BF158" s="240"/>
      <c r="BG158" s="240"/>
      <c r="BH158" s="240"/>
      <c r="BI158" s="240"/>
      <c r="BJ158" s="240"/>
      <c r="BK158" s="240"/>
      <c r="BL158" s="240"/>
      <c r="BM158" s="240"/>
      <c r="BN158" s="240"/>
    </row>
    <row r="159" spans="1:66" s="242" customFormat="1" ht="27" customHeight="1" x14ac:dyDescent="0.2">
      <c r="A159" s="1649"/>
      <c r="B159" s="1585"/>
      <c r="C159" s="1537"/>
      <c r="D159" s="1568"/>
      <c r="E159" s="1478"/>
      <c r="F159" s="1478"/>
      <c r="G159" s="1478"/>
      <c r="H159" s="1479"/>
      <c r="I159" s="879" t="s">
        <v>1200</v>
      </c>
      <c r="J159" s="241"/>
      <c r="K159" s="240"/>
      <c r="L159" s="240"/>
      <c r="M159" s="240"/>
      <c r="N159" s="240"/>
      <c r="O159" s="240"/>
      <c r="P159" s="240"/>
      <c r="Q159" s="240"/>
      <c r="R159" s="240"/>
      <c r="S159" s="240"/>
      <c r="T159" s="240"/>
      <c r="U159" s="240"/>
      <c r="V159" s="240"/>
      <c r="W159" s="240"/>
      <c r="X159" s="240"/>
      <c r="Y159" s="240"/>
      <c r="Z159" s="240"/>
      <c r="AA159" s="240"/>
      <c r="AB159" s="240"/>
      <c r="AC159" s="240"/>
      <c r="AD159" s="240"/>
      <c r="AE159" s="240"/>
      <c r="AF159" s="240"/>
      <c r="AG159" s="240"/>
      <c r="AH159" s="240"/>
      <c r="AI159" s="240"/>
      <c r="AJ159" s="240"/>
      <c r="AK159" s="240"/>
      <c r="AL159" s="240"/>
      <c r="AM159" s="240"/>
      <c r="AN159" s="240"/>
      <c r="AO159" s="240"/>
      <c r="AP159" s="240"/>
      <c r="AQ159" s="240"/>
      <c r="AR159" s="240"/>
      <c r="AS159" s="240"/>
      <c r="AT159" s="240"/>
      <c r="AU159" s="240"/>
      <c r="AV159" s="240"/>
      <c r="AW159" s="240"/>
      <c r="AX159" s="240"/>
      <c r="AY159" s="240"/>
      <c r="AZ159" s="240"/>
      <c r="BA159" s="240"/>
      <c r="BB159" s="240"/>
      <c r="BC159" s="240"/>
      <c r="BD159" s="240"/>
      <c r="BE159" s="240"/>
      <c r="BF159" s="240"/>
      <c r="BG159" s="240"/>
      <c r="BH159" s="240"/>
      <c r="BI159" s="240"/>
      <c r="BJ159" s="240"/>
      <c r="BK159" s="240"/>
      <c r="BL159" s="240"/>
      <c r="BM159" s="240"/>
      <c r="BN159" s="240"/>
    </row>
    <row r="160" spans="1:66" s="242" customFormat="1" ht="40.5" customHeight="1" x14ac:dyDescent="0.2">
      <c r="A160" s="1649"/>
      <c r="B160" s="1526"/>
      <c r="C160" s="1524" t="s">
        <v>1329</v>
      </c>
      <c r="D160" s="1568"/>
      <c r="E160" s="1478"/>
      <c r="F160" s="1478"/>
      <c r="G160" s="1478"/>
      <c r="H160" s="1479"/>
      <c r="I160" s="879" t="s">
        <v>1201</v>
      </c>
      <c r="J160" s="241"/>
      <c r="K160" s="240"/>
      <c r="L160" s="240"/>
      <c r="M160" s="240"/>
      <c r="N160" s="240"/>
      <c r="O160" s="240"/>
      <c r="P160" s="240"/>
      <c r="Q160" s="240"/>
      <c r="R160" s="240"/>
      <c r="S160" s="240"/>
      <c r="T160" s="240"/>
      <c r="U160" s="240"/>
      <c r="V160" s="240"/>
      <c r="W160" s="240"/>
      <c r="X160" s="240"/>
      <c r="Y160" s="240"/>
      <c r="Z160" s="240"/>
      <c r="AA160" s="240"/>
      <c r="AB160" s="240"/>
      <c r="AC160" s="240"/>
      <c r="AD160" s="240"/>
      <c r="AE160" s="240"/>
      <c r="AF160" s="240"/>
      <c r="AG160" s="240"/>
      <c r="AH160" s="240"/>
      <c r="AI160" s="240"/>
      <c r="AJ160" s="240"/>
      <c r="AK160" s="240"/>
      <c r="AL160" s="240"/>
      <c r="AM160" s="240"/>
      <c r="AN160" s="240"/>
      <c r="AO160" s="240"/>
      <c r="AP160" s="240"/>
      <c r="AQ160" s="240"/>
      <c r="AR160" s="240"/>
      <c r="AS160" s="240"/>
      <c r="AT160" s="240"/>
      <c r="AU160" s="240"/>
      <c r="AV160" s="240"/>
      <c r="AW160" s="240"/>
      <c r="AX160" s="240"/>
      <c r="AY160" s="240"/>
      <c r="AZ160" s="240"/>
      <c r="BA160" s="240"/>
      <c r="BB160" s="240"/>
      <c r="BC160" s="240"/>
      <c r="BD160" s="240"/>
      <c r="BE160" s="240"/>
      <c r="BF160" s="240"/>
      <c r="BG160" s="240"/>
      <c r="BH160" s="240"/>
      <c r="BI160" s="240"/>
      <c r="BJ160" s="240"/>
      <c r="BK160" s="240"/>
      <c r="BL160" s="240"/>
      <c r="BM160" s="240"/>
      <c r="BN160" s="240"/>
    </row>
    <row r="161" spans="1:66" s="5" customFormat="1" ht="27" customHeight="1" x14ac:dyDescent="0.3">
      <c r="A161" s="1649"/>
      <c r="B161" s="1593">
        <v>1</v>
      </c>
      <c r="C161" s="1580" t="s">
        <v>1233</v>
      </c>
      <c r="D161" s="1568"/>
      <c r="E161" s="1478"/>
      <c r="F161" s="1478"/>
      <c r="G161" s="1478"/>
      <c r="H161" s="1479"/>
      <c r="I161" s="174" t="s">
        <v>1824</v>
      </c>
      <c r="J161" s="215"/>
      <c r="K161" s="154"/>
      <c r="L161" s="154"/>
      <c r="M161" s="154"/>
      <c r="N161" s="154"/>
      <c r="O161" s="154"/>
      <c r="P161" s="154"/>
      <c r="Q161" s="154"/>
    </row>
    <row r="162" spans="1:66" s="5" customFormat="1" ht="38.25" x14ac:dyDescent="0.3">
      <c r="A162" s="1649"/>
      <c r="B162" s="1594" t="s">
        <v>1227</v>
      </c>
      <c r="C162" s="1595" t="s">
        <v>1979</v>
      </c>
      <c r="D162" s="1581">
        <f>IFERROR(AVERAGE(Interspers11, OWpct11),"")</f>
        <v>0</v>
      </c>
      <c r="E162" s="1478"/>
      <c r="F162" s="1478"/>
      <c r="G162" s="1478"/>
      <c r="H162" s="1479"/>
      <c r="I162" s="202" t="s">
        <v>1818</v>
      </c>
      <c r="J162" s="215"/>
      <c r="K162" s="154"/>
      <c r="L162" s="154"/>
      <c r="M162" s="154"/>
      <c r="N162" s="154"/>
      <c r="O162" s="154"/>
      <c r="P162" s="154"/>
      <c r="Q162" s="154"/>
    </row>
    <row r="163" spans="1:66" s="5" customFormat="1" ht="27" customHeight="1" x14ac:dyDescent="0.3">
      <c r="A163" s="1649"/>
      <c r="B163" s="1594" t="s">
        <v>1228</v>
      </c>
      <c r="C163" s="1595" t="s">
        <v>1980</v>
      </c>
      <c r="D163" s="1581">
        <f>IFERROR(AVERAGE(HerbWoodMix11, ClassRichIn),"")</f>
        <v>0</v>
      </c>
      <c r="E163" s="1478"/>
      <c r="F163" s="1478"/>
      <c r="G163" s="1478"/>
      <c r="H163" s="1479"/>
      <c r="I163" s="879" t="s">
        <v>1202</v>
      </c>
      <c r="J163" s="215"/>
      <c r="K163" s="154"/>
      <c r="L163" s="154"/>
      <c r="M163" s="154"/>
      <c r="N163" s="154"/>
      <c r="O163" s="154"/>
      <c r="P163" s="154"/>
      <c r="Q163" s="154"/>
    </row>
    <row r="164" spans="1:66" s="5" customFormat="1" ht="42" customHeight="1" x14ac:dyDescent="0.3">
      <c r="A164" s="1649"/>
      <c r="B164" s="1594" t="s">
        <v>1229</v>
      </c>
      <c r="C164" s="1595" t="s">
        <v>1237</v>
      </c>
      <c r="D164" s="1581" t="str">
        <f>IFERROR(AVERAGE(ClassRich1k, WetDens1k_NoBog),"")</f>
        <v/>
      </c>
      <c r="E164" s="1478"/>
      <c r="F164" s="1478"/>
      <c r="G164" s="1478"/>
      <c r="H164" s="1479"/>
      <c r="I164" s="879" t="s">
        <v>1812</v>
      </c>
      <c r="J164" s="215"/>
      <c r="K164" s="154"/>
      <c r="L164" s="154"/>
      <c r="M164" s="154"/>
      <c r="N164" s="154"/>
      <c r="O164" s="154"/>
      <c r="P164" s="154"/>
      <c r="Q164" s="154"/>
    </row>
    <row r="165" spans="1:66" s="5" customFormat="1" ht="42" customHeight="1" x14ac:dyDescent="0.3">
      <c r="A165" s="1649"/>
      <c r="B165" s="1594" t="s">
        <v>1234</v>
      </c>
      <c r="C165" s="1595" t="s">
        <v>1342</v>
      </c>
      <c r="D165" s="1581" t="str">
        <f>IFERROR(AVERAGE(Dist2DevCrop, NatCov1k, PerimNatCov),"")</f>
        <v/>
      </c>
      <c r="E165" s="1478"/>
      <c r="F165" s="1478"/>
      <c r="G165" s="1478"/>
      <c r="H165" s="1479"/>
      <c r="I165" s="612" t="s">
        <v>1814</v>
      </c>
      <c r="J165" s="215"/>
      <c r="K165" s="154"/>
      <c r="L165" s="154"/>
      <c r="M165" s="154"/>
      <c r="N165" s="154"/>
      <c r="O165" s="154"/>
      <c r="P165" s="154"/>
      <c r="Q165" s="154"/>
    </row>
    <row r="166" spans="1:66" s="5" customFormat="1" ht="37.5" customHeight="1" x14ac:dyDescent="0.3">
      <c r="A166" s="1649"/>
      <c r="B166" s="1593">
        <v>2</v>
      </c>
      <c r="C166" s="1595" t="s">
        <v>1294</v>
      </c>
      <c r="D166" s="1581">
        <f>10*AVERAGE(MarshPct, UniqFenMarshSwamp,D162:D165)</f>
        <v>0</v>
      </c>
      <c r="E166" s="1478"/>
      <c r="F166" s="1478"/>
      <c r="G166" s="1478"/>
      <c r="H166" s="1479"/>
      <c r="I166" s="202" t="s">
        <v>1819</v>
      </c>
      <c r="J166" s="215"/>
      <c r="K166" s="154"/>
      <c r="L166" s="154"/>
      <c r="M166" s="154"/>
      <c r="N166" s="154"/>
      <c r="O166" s="154"/>
      <c r="P166" s="154"/>
      <c r="Q166" s="154"/>
    </row>
    <row r="167" spans="1:66" s="5" customFormat="1" ht="27" customHeight="1" x14ac:dyDescent="0.2">
      <c r="A167" s="1537"/>
      <c r="B167" s="1537"/>
      <c r="C167" s="1537"/>
      <c r="D167" s="1537"/>
      <c r="E167" s="154"/>
      <c r="F167" s="154"/>
      <c r="G167" s="154"/>
      <c r="H167" s="1379"/>
      <c r="I167" s="202" t="s">
        <v>1817</v>
      </c>
      <c r="J167" s="215"/>
      <c r="K167" s="154"/>
      <c r="L167" s="154"/>
      <c r="M167" s="154"/>
      <c r="N167" s="154"/>
      <c r="O167" s="154"/>
      <c r="P167" s="154"/>
      <c r="Q167" s="154"/>
    </row>
    <row r="168" spans="1:66" s="5" customFormat="1" ht="27" customHeight="1" x14ac:dyDescent="0.2">
      <c r="A168" s="154"/>
      <c r="B168" s="154"/>
      <c r="C168" s="154"/>
      <c r="D168" s="154"/>
      <c r="E168" s="154"/>
      <c r="F168" s="154"/>
      <c r="G168" s="154"/>
      <c r="H168" s="1379"/>
      <c r="I168" s="959" t="s">
        <v>1203</v>
      </c>
      <c r="J168" s="215"/>
      <c r="K168" s="154"/>
      <c r="L168" s="154"/>
      <c r="M168" s="154"/>
      <c r="N168" s="154"/>
      <c r="O168" s="154"/>
      <c r="P168" s="154"/>
      <c r="Q168" s="154"/>
    </row>
    <row r="169" spans="1:66" s="154" customFormat="1" ht="42" customHeight="1" x14ac:dyDescent="0.2">
      <c r="H169" s="1379"/>
      <c r="I169" s="879" t="s">
        <v>1204</v>
      </c>
      <c r="J169" s="215"/>
    </row>
    <row r="170" spans="1:66" ht="42" customHeight="1" x14ac:dyDescent="0.2">
      <c r="A170" s="154"/>
      <c r="B170" s="154"/>
      <c r="C170" s="154"/>
      <c r="D170" s="154"/>
      <c r="E170" s="154"/>
      <c r="F170" s="154"/>
      <c r="G170" s="154"/>
      <c r="H170" s="1379"/>
      <c r="I170" s="174" t="s">
        <v>1815</v>
      </c>
      <c r="J170" s="219"/>
      <c r="K170" s="14"/>
      <c r="L170" s="14"/>
    </row>
    <row r="171" spans="1:66" s="13" customFormat="1" ht="42" customHeight="1" x14ac:dyDescent="0.2">
      <c r="A171" s="154"/>
      <c r="B171" s="154"/>
      <c r="C171" s="154"/>
      <c r="D171" s="154"/>
      <c r="E171" s="154"/>
      <c r="F171" s="154"/>
      <c r="G171" s="154"/>
      <c r="H171" s="1379"/>
      <c r="I171" s="202" t="s">
        <v>1816</v>
      </c>
      <c r="J171" s="219"/>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row>
    <row r="172" spans="1:66" s="13" customFormat="1" ht="42" customHeight="1" thickBot="1" x14ac:dyDescent="0.25">
      <c r="A172" s="154"/>
      <c r="B172" s="154"/>
      <c r="C172" s="154"/>
      <c r="D172" s="154"/>
      <c r="E172" s="154"/>
      <c r="F172" s="154"/>
      <c r="G172" s="154"/>
      <c r="H172" s="1379"/>
      <c r="I172" s="1621" t="s">
        <v>2414</v>
      </c>
      <c r="J172" s="219"/>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row>
    <row r="173" spans="1:66" s="13" customFormat="1" x14ac:dyDescent="0.2">
      <c r="A173" s="20"/>
      <c r="B173" s="162"/>
      <c r="D173" s="531"/>
      <c r="E173" s="531"/>
      <c r="F173" s="392"/>
      <c r="G173" s="522"/>
      <c r="H173" s="185"/>
      <c r="I173" s="14"/>
      <c r="J173" s="219"/>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row>
    <row r="174" spans="1:66" s="13" customFormat="1" x14ac:dyDescent="0.2">
      <c r="A174" s="20"/>
      <c r="B174" s="162"/>
      <c r="D174" s="531"/>
      <c r="E174" s="531"/>
      <c r="F174" s="392"/>
      <c r="G174" s="522"/>
      <c r="H174" s="185"/>
      <c r="I174" s="14"/>
      <c r="J174" s="219"/>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row>
    <row r="175" spans="1:66" s="13" customFormat="1" x14ac:dyDescent="0.2">
      <c r="A175" s="20"/>
      <c r="B175" s="162"/>
      <c r="D175" s="531"/>
      <c r="E175" s="531"/>
      <c r="F175" s="392"/>
      <c r="G175" s="522"/>
      <c r="H175" s="185"/>
      <c r="I175" s="14"/>
      <c r="J175" s="219"/>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row>
    <row r="176" spans="1:66" s="13" customFormat="1" x14ac:dyDescent="0.2">
      <c r="A176" s="20"/>
      <c r="B176" s="162"/>
      <c r="D176" s="531"/>
      <c r="E176" s="531"/>
      <c r="F176" s="392"/>
      <c r="G176" s="522"/>
      <c r="H176" s="185"/>
      <c r="I176" s="14"/>
      <c r="J176" s="219"/>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row>
    <row r="177" spans="1:66" s="13" customFormat="1" x14ac:dyDescent="0.2">
      <c r="A177" s="20"/>
      <c r="B177" s="162"/>
      <c r="D177" s="531"/>
      <c r="E177" s="531"/>
      <c r="F177" s="392"/>
      <c r="G177" s="522"/>
      <c r="H177" s="185"/>
      <c r="I177" s="14"/>
      <c r="J177" s="219"/>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row>
    <row r="178" spans="1:66" s="13" customFormat="1" x14ac:dyDescent="0.2">
      <c r="A178" s="20"/>
      <c r="B178" s="162"/>
      <c r="D178" s="531"/>
      <c r="E178" s="531"/>
      <c r="F178" s="392"/>
      <c r="G178" s="522"/>
      <c r="H178" s="185"/>
      <c r="I178" s="14"/>
      <c r="J178" s="219"/>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row>
    <row r="179" spans="1:66" s="13" customFormat="1" x14ac:dyDescent="0.2">
      <c r="A179" s="20"/>
      <c r="B179" s="162"/>
      <c r="D179" s="531"/>
      <c r="E179" s="531"/>
      <c r="F179" s="392"/>
      <c r="G179" s="522"/>
      <c r="H179" s="185"/>
      <c r="I179" s="14"/>
      <c r="J179" s="219"/>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row>
    <row r="180" spans="1:66" s="13" customFormat="1" x14ac:dyDescent="0.2">
      <c r="A180" s="20"/>
      <c r="B180" s="162"/>
      <c r="D180" s="531"/>
      <c r="E180" s="531"/>
      <c r="F180" s="392"/>
      <c r="G180" s="522"/>
      <c r="H180" s="185"/>
      <c r="I180" s="14"/>
      <c r="J180" s="219"/>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row>
    <row r="181" spans="1:66" s="13" customFormat="1" x14ac:dyDescent="0.2">
      <c r="A181" s="20"/>
      <c r="B181" s="177"/>
      <c r="C181" s="12"/>
      <c r="D181" s="458"/>
      <c r="E181" s="531"/>
      <c r="F181" s="392"/>
      <c r="G181" s="522"/>
      <c r="H181" s="185"/>
      <c r="I181" s="14"/>
      <c r="J181" s="219"/>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row>
    <row r="182" spans="1:66" s="13" customFormat="1" x14ac:dyDescent="0.2">
      <c r="A182" s="20"/>
      <c r="B182" s="177"/>
      <c r="C182" s="12"/>
      <c r="D182" s="458"/>
      <c r="E182" s="531"/>
      <c r="F182" s="392"/>
      <c r="G182" s="522"/>
      <c r="H182" s="185"/>
      <c r="I182" s="14"/>
      <c r="J182" s="219"/>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row>
    <row r="183" spans="1:66" x14ac:dyDescent="0.2">
      <c r="C183" s="12"/>
      <c r="F183" s="392"/>
      <c r="G183" s="522"/>
    </row>
    <row r="184" spans="1:66" x14ac:dyDescent="0.2">
      <c r="C184" s="12"/>
      <c r="F184" s="392"/>
      <c r="G184" s="522"/>
    </row>
    <row r="185" spans="1:66" x14ac:dyDescent="0.2">
      <c r="C185" s="12"/>
      <c r="F185" s="392"/>
      <c r="G185" s="522"/>
    </row>
    <row r="186" spans="1:66" x14ac:dyDescent="0.2">
      <c r="C186" s="12"/>
      <c r="F186" s="392"/>
      <c r="G186" s="522"/>
    </row>
    <row r="187" spans="1:66" x14ac:dyDescent="0.2">
      <c r="C187" s="12"/>
      <c r="F187" s="392"/>
      <c r="G187" s="522"/>
    </row>
    <row r="188" spans="1:66" x14ac:dyDescent="0.2">
      <c r="C188" s="12"/>
      <c r="F188" s="392"/>
      <c r="G188" s="522"/>
    </row>
    <row r="189" spans="1:66" x14ac:dyDescent="0.2">
      <c r="F189" s="392"/>
      <c r="G189" s="522"/>
    </row>
    <row r="190" spans="1:66" x14ac:dyDescent="0.2">
      <c r="F190" s="392"/>
      <c r="G190" s="522"/>
    </row>
    <row r="191" spans="1:66" x14ac:dyDescent="0.2">
      <c r="F191" s="392"/>
      <c r="G191" s="522"/>
    </row>
    <row r="192" spans="1:66" x14ac:dyDescent="0.2">
      <c r="F192" s="392"/>
      <c r="G192" s="522"/>
    </row>
    <row r="193" spans="6:7" x14ac:dyDescent="0.2">
      <c r="F193" s="392"/>
      <c r="G193" s="522"/>
    </row>
    <row r="194" spans="6:7" x14ac:dyDescent="0.2">
      <c r="F194" s="392"/>
      <c r="G194" s="522"/>
    </row>
    <row r="195" spans="6:7" x14ac:dyDescent="0.2">
      <c r="F195" s="392"/>
      <c r="G195" s="522"/>
    </row>
    <row r="196" spans="6:7" x14ac:dyDescent="0.2">
      <c r="F196" s="392"/>
      <c r="G196" s="522"/>
    </row>
    <row r="197" spans="6:7" x14ac:dyDescent="0.2">
      <c r="F197" s="392"/>
      <c r="G197" s="522"/>
    </row>
    <row r="198" spans="6:7" x14ac:dyDescent="0.2">
      <c r="F198" s="392"/>
      <c r="G198" s="522"/>
    </row>
    <row r="199" spans="6:7" x14ac:dyDescent="0.2">
      <c r="F199" s="392"/>
      <c r="G199" s="522"/>
    </row>
    <row r="200" spans="6:7" x14ac:dyDescent="0.2">
      <c r="F200" s="392"/>
      <c r="G200" s="522"/>
    </row>
    <row r="201" spans="6:7" x14ac:dyDescent="0.2">
      <c r="F201" s="392"/>
      <c r="G201" s="522"/>
    </row>
    <row r="202" spans="6:7" x14ac:dyDescent="0.2">
      <c r="F202" s="392"/>
      <c r="G202" s="522"/>
    </row>
    <row r="203" spans="6:7" x14ac:dyDescent="0.2">
      <c r="F203" s="392"/>
      <c r="G203" s="522"/>
    </row>
    <row r="204" spans="6:7" x14ac:dyDescent="0.2">
      <c r="F204" s="392"/>
      <c r="G204" s="522"/>
    </row>
    <row r="205" spans="6:7" x14ac:dyDescent="0.2">
      <c r="F205" s="392"/>
      <c r="G205" s="522"/>
    </row>
    <row r="206" spans="6:7" x14ac:dyDescent="0.2">
      <c r="F206" s="392"/>
      <c r="G206" s="522"/>
    </row>
    <row r="207" spans="6:7" x14ac:dyDescent="0.2">
      <c r="F207" s="392"/>
      <c r="G207" s="522"/>
    </row>
    <row r="208" spans="6:7" x14ac:dyDescent="0.2">
      <c r="F208" s="392"/>
      <c r="G208" s="522"/>
    </row>
    <row r="209" spans="6:7" x14ac:dyDescent="0.2">
      <c r="F209" s="392"/>
      <c r="G209" s="522"/>
    </row>
    <row r="210" spans="6:7" x14ac:dyDescent="0.2">
      <c r="F210" s="392"/>
      <c r="G210" s="522"/>
    </row>
    <row r="211" spans="6:7" x14ac:dyDescent="0.2">
      <c r="F211" s="392"/>
      <c r="G211" s="522"/>
    </row>
    <row r="212" spans="6:7" x14ac:dyDescent="0.2">
      <c r="F212" s="392"/>
      <c r="G212" s="522"/>
    </row>
    <row r="213" spans="6:7" x14ac:dyDescent="0.2">
      <c r="F213" s="392"/>
      <c r="G213" s="522"/>
    </row>
    <row r="214" spans="6:7" x14ac:dyDescent="0.2">
      <c r="F214" s="392"/>
      <c r="G214" s="522"/>
    </row>
    <row r="215" spans="6:7" x14ac:dyDescent="0.2">
      <c r="F215" s="392"/>
      <c r="G215" s="522"/>
    </row>
    <row r="216" spans="6:7" x14ac:dyDescent="0.2">
      <c r="F216" s="392"/>
      <c r="G216" s="522"/>
    </row>
    <row r="217" spans="6:7" x14ac:dyDescent="0.2">
      <c r="F217" s="392"/>
      <c r="G217" s="522"/>
    </row>
    <row r="218" spans="6:7" x14ac:dyDescent="0.2">
      <c r="F218" s="392"/>
      <c r="G218" s="522"/>
    </row>
    <row r="219" spans="6:7" x14ac:dyDescent="0.2">
      <c r="F219" s="392"/>
      <c r="G219" s="522"/>
    </row>
    <row r="220" spans="6:7" x14ac:dyDescent="0.2">
      <c r="F220" s="392"/>
      <c r="G220" s="522"/>
    </row>
    <row r="221" spans="6:7" x14ac:dyDescent="0.2">
      <c r="F221" s="392"/>
      <c r="G221" s="522"/>
    </row>
    <row r="222" spans="6:7" x14ac:dyDescent="0.2">
      <c r="F222" s="392"/>
      <c r="G222" s="522"/>
    </row>
    <row r="223" spans="6:7" x14ac:dyDescent="0.2">
      <c r="F223" s="392"/>
      <c r="G223" s="522"/>
    </row>
    <row r="224" spans="6:7" x14ac:dyDescent="0.2">
      <c r="F224" s="392"/>
      <c r="G224" s="522"/>
    </row>
    <row r="225" spans="6:7" x14ac:dyDescent="0.2">
      <c r="F225" s="392"/>
      <c r="G225" s="522"/>
    </row>
    <row r="226" spans="6:7" x14ac:dyDescent="0.2">
      <c r="F226" s="392"/>
      <c r="G226" s="522"/>
    </row>
    <row r="227" spans="6:7" x14ac:dyDescent="0.2">
      <c r="F227" s="392"/>
      <c r="G227" s="522"/>
    </row>
    <row r="228" spans="6:7" x14ac:dyDescent="0.2">
      <c r="F228" s="392"/>
      <c r="G228" s="522"/>
    </row>
    <row r="229" spans="6:7" x14ac:dyDescent="0.2">
      <c r="F229" s="392"/>
      <c r="G229" s="522"/>
    </row>
    <row r="230" spans="6:7" x14ac:dyDescent="0.2">
      <c r="F230" s="392"/>
      <c r="G230" s="522"/>
    </row>
    <row r="231" spans="6:7" x14ac:dyDescent="0.2">
      <c r="F231" s="392"/>
      <c r="G231" s="522"/>
    </row>
    <row r="232" spans="6:7" x14ac:dyDescent="0.2">
      <c r="F232" s="392"/>
      <c r="G232" s="522"/>
    </row>
    <row r="233" spans="6:7" x14ac:dyDescent="0.2">
      <c r="F233" s="392"/>
      <c r="G233" s="522"/>
    </row>
    <row r="234" spans="6:7" x14ac:dyDescent="0.2">
      <c r="F234" s="392"/>
      <c r="G234" s="522"/>
    </row>
    <row r="235" spans="6:7" x14ac:dyDescent="0.2">
      <c r="F235" s="392"/>
      <c r="G235" s="522"/>
    </row>
    <row r="236" spans="6:7" x14ac:dyDescent="0.2">
      <c r="F236" s="392"/>
      <c r="G236" s="522"/>
    </row>
    <row r="237" spans="6:7" x14ac:dyDescent="0.2">
      <c r="F237" s="392"/>
      <c r="G237" s="522"/>
    </row>
    <row r="238" spans="6:7" x14ac:dyDescent="0.2">
      <c r="F238" s="392"/>
      <c r="G238" s="522"/>
    </row>
    <row r="239" spans="6:7" x14ac:dyDescent="0.2">
      <c r="F239" s="392"/>
      <c r="G239" s="522"/>
    </row>
    <row r="240" spans="6:7" x14ac:dyDescent="0.2">
      <c r="F240" s="392"/>
      <c r="G240" s="522"/>
    </row>
    <row r="241" spans="6:7" x14ac:dyDescent="0.2">
      <c r="F241" s="392"/>
      <c r="G241" s="522"/>
    </row>
    <row r="242" spans="6:7" x14ac:dyDescent="0.2">
      <c r="F242" s="392"/>
      <c r="G242" s="522"/>
    </row>
    <row r="243" spans="6:7" x14ac:dyDescent="0.2">
      <c r="F243" s="392"/>
      <c r="G243" s="522"/>
    </row>
    <row r="244" spans="6:7" x14ac:dyDescent="0.2">
      <c r="F244" s="392"/>
      <c r="G244" s="522"/>
    </row>
    <row r="245" spans="6:7" x14ac:dyDescent="0.2">
      <c r="F245" s="392"/>
      <c r="G245" s="522"/>
    </row>
    <row r="246" spans="6:7" x14ac:dyDescent="0.2">
      <c r="F246" s="392"/>
      <c r="G246" s="522"/>
    </row>
    <row r="247" spans="6:7" x14ac:dyDescent="0.2">
      <c r="F247" s="392"/>
      <c r="G247" s="522"/>
    </row>
    <row r="248" spans="6:7" x14ac:dyDescent="0.2">
      <c r="F248" s="392"/>
      <c r="G248" s="522"/>
    </row>
    <row r="249" spans="6:7" x14ac:dyDescent="0.2">
      <c r="F249" s="392"/>
      <c r="G249" s="522"/>
    </row>
    <row r="250" spans="6:7" x14ac:dyDescent="0.2">
      <c r="F250" s="392"/>
      <c r="G250" s="522"/>
    </row>
    <row r="251" spans="6:7" x14ac:dyDescent="0.2">
      <c r="F251" s="392"/>
      <c r="G251" s="522"/>
    </row>
    <row r="252" spans="6:7" x14ac:dyDescent="0.2">
      <c r="F252" s="392"/>
      <c r="G252" s="522"/>
    </row>
    <row r="253" spans="6:7" x14ac:dyDescent="0.2">
      <c r="F253" s="392"/>
      <c r="G253" s="522"/>
    </row>
    <row r="254" spans="6:7" x14ac:dyDescent="0.2">
      <c r="F254" s="392"/>
      <c r="G254" s="522"/>
    </row>
    <row r="255" spans="6:7" x14ac:dyDescent="0.2">
      <c r="F255" s="392"/>
      <c r="G255" s="522"/>
    </row>
    <row r="256" spans="6:7" x14ac:dyDescent="0.2">
      <c r="F256" s="392"/>
      <c r="G256" s="522"/>
    </row>
    <row r="257" spans="6:7" x14ac:dyDescent="0.2">
      <c r="F257" s="392"/>
      <c r="G257" s="522"/>
    </row>
    <row r="258" spans="6:7" x14ac:dyDescent="0.2">
      <c r="F258" s="392"/>
      <c r="G258" s="522"/>
    </row>
    <row r="259" spans="6:7" x14ac:dyDescent="0.2">
      <c r="F259" s="392"/>
      <c r="G259" s="522"/>
    </row>
    <row r="260" spans="6:7" x14ac:dyDescent="0.2">
      <c r="F260" s="392"/>
      <c r="G260" s="522"/>
    </row>
    <row r="261" spans="6:7" x14ac:dyDescent="0.2">
      <c r="F261" s="392"/>
      <c r="G261" s="522"/>
    </row>
    <row r="262" spans="6:7" x14ac:dyDescent="0.2">
      <c r="F262" s="392"/>
      <c r="G262" s="522"/>
    </row>
    <row r="263" spans="6:7" x14ac:dyDescent="0.2">
      <c r="F263" s="392"/>
      <c r="G263" s="522"/>
    </row>
    <row r="264" spans="6:7" x14ac:dyDescent="0.2">
      <c r="F264" s="392"/>
      <c r="G264" s="522"/>
    </row>
    <row r="265" spans="6:7" x14ac:dyDescent="0.2">
      <c r="F265" s="392"/>
      <c r="G265" s="522"/>
    </row>
    <row r="266" spans="6:7" x14ac:dyDescent="0.2">
      <c r="F266" s="392"/>
      <c r="G266" s="522"/>
    </row>
    <row r="267" spans="6:7" x14ac:dyDescent="0.2">
      <c r="F267" s="392"/>
      <c r="G267" s="522"/>
    </row>
    <row r="268" spans="6:7" x14ac:dyDescent="0.2">
      <c r="F268" s="392"/>
      <c r="G268" s="522"/>
    </row>
    <row r="269" spans="6:7" x14ac:dyDescent="0.2">
      <c r="F269" s="392"/>
      <c r="G269" s="522"/>
    </row>
    <row r="270" spans="6:7" x14ac:dyDescent="0.2">
      <c r="F270" s="392"/>
      <c r="G270" s="522"/>
    </row>
    <row r="271" spans="6:7" x14ac:dyDescent="0.2">
      <c r="F271" s="392"/>
      <c r="G271" s="522"/>
    </row>
    <row r="272" spans="6:7" x14ac:dyDescent="0.2">
      <c r="F272" s="392"/>
      <c r="G272" s="522"/>
    </row>
    <row r="273" spans="6:7" x14ac:dyDescent="0.2">
      <c r="F273" s="392"/>
      <c r="G273" s="522"/>
    </row>
    <row r="274" spans="6:7" x14ac:dyDescent="0.2">
      <c r="F274" s="392"/>
      <c r="G274" s="522"/>
    </row>
    <row r="275" spans="6:7" x14ac:dyDescent="0.2">
      <c r="F275" s="392"/>
      <c r="G275" s="522"/>
    </row>
    <row r="276" spans="6:7" x14ac:dyDescent="0.2">
      <c r="F276" s="392"/>
      <c r="G276" s="522"/>
    </row>
    <row r="277" spans="6:7" x14ac:dyDescent="0.2">
      <c r="F277" s="392"/>
      <c r="G277" s="522"/>
    </row>
    <row r="278" spans="6:7" x14ac:dyDescent="0.2">
      <c r="F278" s="392"/>
      <c r="G278" s="522"/>
    </row>
    <row r="279" spans="6:7" x14ac:dyDescent="0.2">
      <c r="F279" s="392"/>
      <c r="G279" s="522"/>
    </row>
    <row r="280" spans="6:7" x14ac:dyDescent="0.2">
      <c r="F280" s="392"/>
      <c r="G280" s="522"/>
    </row>
    <row r="281" spans="6:7" x14ac:dyDescent="0.2">
      <c r="F281" s="392"/>
      <c r="G281" s="522"/>
    </row>
    <row r="282" spans="6:7" x14ac:dyDescent="0.2">
      <c r="F282" s="392"/>
      <c r="G282" s="522"/>
    </row>
    <row r="283" spans="6:7" x14ac:dyDescent="0.2">
      <c r="F283" s="392"/>
      <c r="G283" s="522"/>
    </row>
    <row r="284" spans="6:7" x14ac:dyDescent="0.2">
      <c r="F284" s="392"/>
      <c r="G284" s="522"/>
    </row>
    <row r="285" spans="6:7" x14ac:dyDescent="0.2">
      <c r="F285" s="392"/>
      <c r="G285" s="522"/>
    </row>
    <row r="286" spans="6:7" x14ac:dyDescent="0.2">
      <c r="F286" s="392"/>
      <c r="G286" s="522"/>
    </row>
    <row r="287" spans="6:7" x14ac:dyDescent="0.2">
      <c r="F287" s="392"/>
      <c r="G287" s="522"/>
    </row>
    <row r="288" spans="6:7" x14ac:dyDescent="0.2">
      <c r="F288" s="392"/>
      <c r="G288" s="522"/>
    </row>
    <row r="289" spans="6:7" x14ac:dyDescent="0.2">
      <c r="F289" s="392"/>
      <c r="G289" s="522"/>
    </row>
    <row r="290" spans="6:7" x14ac:dyDescent="0.2">
      <c r="F290" s="392"/>
      <c r="G290" s="522"/>
    </row>
    <row r="291" spans="6:7" x14ac:dyDescent="0.2">
      <c r="F291" s="392"/>
      <c r="G291" s="522"/>
    </row>
    <row r="292" spans="6:7" x14ac:dyDescent="0.2">
      <c r="F292" s="392"/>
      <c r="G292" s="522"/>
    </row>
    <row r="293" spans="6:7" x14ac:dyDescent="0.2">
      <c r="F293" s="392"/>
      <c r="G293" s="522"/>
    </row>
    <row r="294" spans="6:7" x14ac:dyDescent="0.2">
      <c r="F294" s="392"/>
      <c r="G294" s="522"/>
    </row>
    <row r="295" spans="6:7" x14ac:dyDescent="0.2">
      <c r="F295" s="392"/>
      <c r="G295" s="522"/>
    </row>
    <row r="296" spans="6:7" x14ac:dyDescent="0.2">
      <c r="F296" s="392"/>
      <c r="G296" s="522"/>
    </row>
    <row r="297" spans="6:7" x14ac:dyDescent="0.2">
      <c r="F297" s="392"/>
      <c r="G297" s="522"/>
    </row>
    <row r="298" spans="6:7" x14ac:dyDescent="0.2">
      <c r="F298" s="392"/>
      <c r="G298" s="522"/>
    </row>
    <row r="299" spans="6:7" x14ac:dyDescent="0.2">
      <c r="F299" s="392"/>
      <c r="G299" s="522"/>
    </row>
    <row r="300" spans="6:7" x14ac:dyDescent="0.2">
      <c r="F300" s="392"/>
      <c r="G300" s="522"/>
    </row>
    <row r="301" spans="6:7" x14ac:dyDescent="0.2">
      <c r="F301" s="392"/>
      <c r="G301" s="522"/>
    </row>
    <row r="302" spans="6:7" x14ac:dyDescent="0.2">
      <c r="F302" s="392"/>
      <c r="G302" s="522"/>
    </row>
    <row r="303" spans="6:7" x14ac:dyDescent="0.2">
      <c r="F303" s="392"/>
      <c r="G303" s="522"/>
    </row>
    <row r="304" spans="6:7" x14ac:dyDescent="0.2">
      <c r="F304" s="392"/>
      <c r="G304" s="522"/>
    </row>
    <row r="305" spans="6:7" x14ac:dyDescent="0.2">
      <c r="F305" s="392"/>
      <c r="G305" s="522"/>
    </row>
    <row r="306" spans="6:7" x14ac:dyDescent="0.2">
      <c r="F306" s="392"/>
      <c r="G306" s="522"/>
    </row>
    <row r="307" spans="6:7" x14ac:dyDescent="0.2">
      <c r="F307" s="392"/>
      <c r="G307" s="522"/>
    </row>
    <row r="308" spans="6:7" x14ac:dyDescent="0.2">
      <c r="F308" s="392"/>
      <c r="G308" s="522"/>
    </row>
    <row r="309" spans="6:7" x14ac:dyDescent="0.2">
      <c r="F309" s="392"/>
      <c r="G309" s="522"/>
    </row>
    <row r="310" spans="6:7" x14ac:dyDescent="0.2">
      <c r="F310" s="392"/>
      <c r="G310" s="522"/>
    </row>
    <row r="311" spans="6:7" x14ac:dyDescent="0.2">
      <c r="F311" s="392"/>
      <c r="G311" s="522"/>
    </row>
    <row r="312" spans="6:7" x14ac:dyDescent="0.2">
      <c r="F312" s="392"/>
      <c r="G312" s="522"/>
    </row>
    <row r="313" spans="6:7" x14ac:dyDescent="0.2">
      <c r="F313" s="392"/>
      <c r="G313" s="522"/>
    </row>
    <row r="314" spans="6:7" x14ac:dyDescent="0.2">
      <c r="F314" s="392"/>
      <c r="G314" s="522"/>
    </row>
    <row r="315" spans="6:7" x14ac:dyDescent="0.2">
      <c r="F315" s="392"/>
      <c r="G315" s="522"/>
    </row>
    <row r="316" spans="6:7" x14ac:dyDescent="0.2">
      <c r="F316" s="392"/>
      <c r="G316" s="522"/>
    </row>
    <row r="317" spans="6:7" x14ac:dyDescent="0.2">
      <c r="F317" s="392"/>
      <c r="G317" s="522"/>
    </row>
    <row r="318" spans="6:7" x14ac:dyDescent="0.2">
      <c r="F318" s="392"/>
      <c r="G318" s="522"/>
    </row>
    <row r="319" spans="6:7" x14ac:dyDescent="0.2">
      <c r="F319" s="392"/>
      <c r="G319" s="522"/>
    </row>
    <row r="320" spans="6:7" x14ac:dyDescent="0.2">
      <c r="F320" s="392"/>
      <c r="G320" s="522"/>
    </row>
    <row r="321" spans="6:7" x14ac:dyDescent="0.2">
      <c r="F321" s="392"/>
      <c r="G321" s="522"/>
    </row>
    <row r="322" spans="6:7" x14ac:dyDescent="0.2">
      <c r="F322" s="392"/>
      <c r="G322" s="522"/>
    </row>
    <row r="323" spans="6:7" x14ac:dyDescent="0.2">
      <c r="F323" s="392"/>
      <c r="G323" s="522"/>
    </row>
    <row r="324" spans="6:7" x14ac:dyDescent="0.2">
      <c r="F324" s="392"/>
      <c r="G324" s="522"/>
    </row>
    <row r="325" spans="6:7" x14ac:dyDescent="0.2">
      <c r="F325" s="392"/>
      <c r="G325" s="522"/>
    </row>
    <row r="326" spans="6:7" x14ac:dyDescent="0.2">
      <c r="F326" s="392"/>
      <c r="G326" s="522"/>
    </row>
    <row r="327" spans="6:7" x14ac:dyDescent="0.2">
      <c r="F327" s="392"/>
      <c r="G327" s="522"/>
    </row>
    <row r="328" spans="6:7" x14ac:dyDescent="0.2">
      <c r="F328" s="392"/>
      <c r="G328" s="522"/>
    </row>
    <row r="329" spans="6:7" x14ac:dyDescent="0.2">
      <c r="F329" s="392"/>
      <c r="G329" s="522"/>
    </row>
    <row r="330" spans="6:7" x14ac:dyDescent="0.2">
      <c r="F330" s="392"/>
      <c r="G330" s="522"/>
    </row>
    <row r="331" spans="6:7" x14ac:dyDescent="0.2">
      <c r="F331" s="392"/>
      <c r="G331" s="522"/>
    </row>
    <row r="332" spans="6:7" x14ac:dyDescent="0.2">
      <c r="F332" s="392"/>
      <c r="G332" s="522"/>
    </row>
    <row r="333" spans="6:7" x14ac:dyDescent="0.2">
      <c r="F333" s="392"/>
      <c r="G333" s="522"/>
    </row>
    <row r="334" spans="6:7" x14ac:dyDescent="0.2">
      <c r="F334" s="392"/>
      <c r="G334" s="522"/>
    </row>
    <row r="335" spans="6:7" x14ac:dyDescent="0.2">
      <c r="F335" s="392"/>
      <c r="G335" s="522"/>
    </row>
    <row r="336" spans="6:7" x14ac:dyDescent="0.2">
      <c r="F336" s="392"/>
      <c r="G336" s="522"/>
    </row>
    <row r="337" spans="6:7" x14ac:dyDescent="0.2">
      <c r="F337" s="392"/>
      <c r="G337" s="522"/>
    </row>
    <row r="338" spans="6:7" x14ac:dyDescent="0.2">
      <c r="F338" s="392"/>
      <c r="G338" s="522"/>
    </row>
    <row r="339" spans="6:7" x14ac:dyDescent="0.2">
      <c r="F339" s="392"/>
      <c r="G339" s="522"/>
    </row>
    <row r="340" spans="6:7" x14ac:dyDescent="0.2">
      <c r="F340" s="392"/>
      <c r="G340" s="522"/>
    </row>
    <row r="341" spans="6:7" x14ac:dyDescent="0.2">
      <c r="F341" s="392"/>
      <c r="G341" s="522"/>
    </row>
    <row r="342" spans="6:7" x14ac:dyDescent="0.2">
      <c r="F342" s="392"/>
      <c r="G342" s="522"/>
    </row>
    <row r="343" spans="6:7" x14ac:dyDescent="0.2">
      <c r="F343" s="392"/>
      <c r="G343" s="522"/>
    </row>
    <row r="344" spans="6:7" x14ac:dyDescent="0.2">
      <c r="F344" s="392"/>
      <c r="G344" s="522"/>
    </row>
    <row r="345" spans="6:7" x14ac:dyDescent="0.2">
      <c r="F345" s="392"/>
      <c r="G345" s="522"/>
    </row>
    <row r="346" spans="6:7" x14ac:dyDescent="0.2">
      <c r="F346" s="392"/>
      <c r="G346" s="522"/>
    </row>
    <row r="347" spans="6:7" x14ac:dyDescent="0.2">
      <c r="F347" s="392"/>
      <c r="G347" s="522"/>
    </row>
    <row r="348" spans="6:7" x14ac:dyDescent="0.2">
      <c r="F348" s="392"/>
      <c r="G348" s="522"/>
    </row>
    <row r="349" spans="6:7" x14ac:dyDescent="0.2">
      <c r="F349" s="392"/>
      <c r="G349" s="522"/>
    </row>
    <row r="350" spans="6:7" x14ac:dyDescent="0.2">
      <c r="F350" s="392"/>
      <c r="G350" s="522"/>
    </row>
    <row r="351" spans="6:7" x14ac:dyDescent="0.2">
      <c r="F351" s="392"/>
      <c r="G351" s="522"/>
    </row>
    <row r="352" spans="6:7" x14ac:dyDescent="0.2">
      <c r="F352" s="392"/>
      <c r="G352" s="522"/>
    </row>
    <row r="353" spans="6:7" x14ac:dyDescent="0.2">
      <c r="F353" s="392"/>
      <c r="G353" s="522"/>
    </row>
    <row r="354" spans="6:7" x14ac:dyDescent="0.2">
      <c r="F354" s="392"/>
      <c r="G354" s="522"/>
    </row>
    <row r="355" spans="6:7" x14ac:dyDescent="0.2">
      <c r="F355" s="392"/>
      <c r="G355" s="522"/>
    </row>
    <row r="356" spans="6:7" x14ac:dyDescent="0.2">
      <c r="F356" s="392"/>
      <c r="G356" s="522"/>
    </row>
    <row r="357" spans="6:7" x14ac:dyDescent="0.2">
      <c r="F357" s="392"/>
      <c r="G357" s="522"/>
    </row>
    <row r="358" spans="6:7" x14ac:dyDescent="0.2">
      <c r="F358" s="392"/>
      <c r="G358" s="522"/>
    </row>
    <row r="359" spans="6:7" x14ac:dyDescent="0.2">
      <c r="F359" s="392"/>
      <c r="G359" s="522"/>
    </row>
    <row r="360" spans="6:7" x14ac:dyDescent="0.2">
      <c r="F360" s="392"/>
      <c r="G360" s="522"/>
    </row>
    <row r="361" spans="6:7" x14ac:dyDescent="0.2">
      <c r="F361" s="392"/>
      <c r="G361" s="522"/>
    </row>
    <row r="362" spans="6:7" x14ac:dyDescent="0.2">
      <c r="F362" s="392"/>
      <c r="G362" s="522"/>
    </row>
    <row r="363" spans="6:7" x14ac:dyDescent="0.2">
      <c r="F363" s="392"/>
      <c r="G363" s="522"/>
    </row>
    <row r="364" spans="6:7" x14ac:dyDescent="0.2">
      <c r="F364" s="392"/>
      <c r="G364" s="522"/>
    </row>
    <row r="365" spans="6:7" x14ac:dyDescent="0.2">
      <c r="F365" s="392"/>
      <c r="G365" s="522"/>
    </row>
    <row r="366" spans="6:7" x14ac:dyDescent="0.2">
      <c r="F366" s="392"/>
      <c r="G366" s="522"/>
    </row>
    <row r="367" spans="6:7" x14ac:dyDescent="0.2">
      <c r="F367" s="392"/>
      <c r="G367" s="522"/>
    </row>
    <row r="368" spans="6:7" x14ac:dyDescent="0.2">
      <c r="F368" s="392"/>
      <c r="G368" s="522"/>
    </row>
    <row r="369" spans="6:7" x14ac:dyDescent="0.2">
      <c r="F369" s="392"/>
      <c r="G369" s="522"/>
    </row>
    <row r="370" spans="6:7" x14ac:dyDescent="0.2">
      <c r="F370" s="392"/>
      <c r="G370" s="522"/>
    </row>
    <row r="371" spans="6:7" x14ac:dyDescent="0.2">
      <c r="F371" s="392"/>
      <c r="G371" s="522"/>
    </row>
    <row r="372" spans="6:7" x14ac:dyDescent="0.2">
      <c r="F372" s="392"/>
      <c r="G372" s="522"/>
    </row>
    <row r="373" spans="6:7" x14ac:dyDescent="0.2">
      <c r="F373" s="392"/>
      <c r="G373" s="522"/>
    </row>
    <row r="374" spans="6:7" x14ac:dyDescent="0.2">
      <c r="F374" s="392"/>
      <c r="G374" s="522"/>
    </row>
    <row r="375" spans="6:7" x14ac:dyDescent="0.2">
      <c r="F375" s="392"/>
      <c r="G375" s="522"/>
    </row>
    <row r="376" spans="6:7" x14ac:dyDescent="0.2">
      <c r="F376" s="392"/>
      <c r="G376" s="522"/>
    </row>
    <row r="377" spans="6:7" x14ac:dyDescent="0.2">
      <c r="F377" s="392"/>
      <c r="G377" s="522"/>
    </row>
    <row r="378" spans="6:7" x14ac:dyDescent="0.2">
      <c r="F378" s="392"/>
      <c r="G378" s="522"/>
    </row>
    <row r="379" spans="6:7" x14ac:dyDescent="0.2">
      <c r="F379" s="392"/>
      <c r="G379" s="522"/>
    </row>
    <row r="380" spans="6:7" x14ac:dyDescent="0.2">
      <c r="F380" s="392"/>
      <c r="G380" s="522"/>
    </row>
    <row r="381" spans="6:7" x14ac:dyDescent="0.2">
      <c r="F381" s="392"/>
      <c r="G381" s="522"/>
    </row>
    <row r="382" spans="6:7" x14ac:dyDescent="0.2">
      <c r="F382" s="392"/>
      <c r="G382" s="522"/>
    </row>
    <row r="383" spans="6:7" x14ac:dyDescent="0.2">
      <c r="F383" s="392"/>
      <c r="G383" s="522"/>
    </row>
    <row r="384" spans="6:7" x14ac:dyDescent="0.2">
      <c r="F384" s="392"/>
      <c r="G384" s="522"/>
    </row>
    <row r="385" spans="6:7" x14ac:dyDescent="0.2">
      <c r="F385" s="392"/>
      <c r="G385" s="522"/>
    </row>
    <row r="386" spans="6:7" x14ac:dyDescent="0.2">
      <c r="F386" s="392"/>
      <c r="G386" s="522"/>
    </row>
    <row r="387" spans="6:7" x14ac:dyDescent="0.2">
      <c r="F387" s="392"/>
      <c r="G387" s="522"/>
    </row>
    <row r="388" spans="6:7" x14ac:dyDescent="0.2">
      <c r="F388" s="392"/>
      <c r="G388" s="522"/>
    </row>
    <row r="389" spans="6:7" x14ac:dyDescent="0.2">
      <c r="F389" s="392"/>
      <c r="G389" s="522"/>
    </row>
    <row r="390" spans="6:7" x14ac:dyDescent="0.2">
      <c r="F390" s="392"/>
      <c r="G390" s="522"/>
    </row>
    <row r="391" spans="6:7" x14ac:dyDescent="0.2">
      <c r="F391" s="392"/>
      <c r="G391" s="522"/>
    </row>
    <row r="392" spans="6:7" x14ac:dyDescent="0.2">
      <c r="F392" s="392"/>
      <c r="G392" s="522"/>
    </row>
    <row r="393" spans="6:7" x14ac:dyDescent="0.2">
      <c r="F393" s="392"/>
      <c r="G393" s="522"/>
    </row>
    <row r="394" spans="6:7" x14ac:dyDescent="0.2">
      <c r="F394" s="392"/>
      <c r="G394" s="522"/>
    </row>
    <row r="395" spans="6:7" x14ac:dyDescent="0.2">
      <c r="F395" s="392"/>
      <c r="G395" s="522"/>
    </row>
    <row r="396" spans="6:7" x14ac:dyDescent="0.2">
      <c r="F396" s="392"/>
      <c r="G396" s="522"/>
    </row>
    <row r="397" spans="6:7" x14ac:dyDescent="0.2">
      <c r="F397" s="392"/>
      <c r="G397" s="522"/>
    </row>
    <row r="398" spans="6:7" x14ac:dyDescent="0.2">
      <c r="F398" s="392"/>
      <c r="G398" s="522"/>
    </row>
    <row r="399" spans="6:7" x14ac:dyDescent="0.2">
      <c r="F399" s="392"/>
      <c r="G399" s="522"/>
    </row>
    <row r="400" spans="6:7" x14ac:dyDescent="0.2">
      <c r="F400" s="392"/>
      <c r="G400" s="522"/>
    </row>
    <row r="401" spans="6:7" x14ac:dyDescent="0.2">
      <c r="F401" s="392"/>
      <c r="G401" s="522"/>
    </row>
    <row r="402" spans="6:7" x14ac:dyDescent="0.2">
      <c r="F402" s="392"/>
      <c r="G402" s="522"/>
    </row>
    <row r="403" spans="6:7" x14ac:dyDescent="0.2">
      <c r="F403" s="392"/>
      <c r="G403" s="522"/>
    </row>
    <row r="404" spans="6:7" x14ac:dyDescent="0.2">
      <c r="F404" s="392"/>
      <c r="G404" s="522"/>
    </row>
    <row r="405" spans="6:7" x14ac:dyDescent="0.2">
      <c r="F405" s="392"/>
      <c r="G405" s="522"/>
    </row>
    <row r="406" spans="6:7" x14ac:dyDescent="0.2">
      <c r="F406" s="392"/>
      <c r="G406" s="522"/>
    </row>
    <row r="407" spans="6:7" x14ac:dyDescent="0.2">
      <c r="F407" s="392"/>
      <c r="G407" s="522"/>
    </row>
    <row r="408" spans="6:7" x14ac:dyDescent="0.2">
      <c r="F408" s="392"/>
      <c r="G408" s="522"/>
    </row>
    <row r="409" spans="6:7" x14ac:dyDescent="0.2">
      <c r="F409" s="392"/>
      <c r="G409" s="522"/>
    </row>
    <row r="410" spans="6:7" x14ac:dyDescent="0.2">
      <c r="F410" s="392"/>
      <c r="G410" s="522"/>
    </row>
    <row r="411" spans="6:7" x14ac:dyDescent="0.2">
      <c r="F411" s="392"/>
      <c r="G411" s="522"/>
    </row>
    <row r="412" spans="6:7" x14ac:dyDescent="0.2">
      <c r="F412" s="392"/>
      <c r="G412" s="522"/>
    </row>
    <row r="413" spans="6:7" x14ac:dyDescent="0.2">
      <c r="F413" s="392"/>
      <c r="G413" s="522"/>
    </row>
    <row r="414" spans="6:7" x14ac:dyDescent="0.2">
      <c r="F414" s="392"/>
      <c r="G414" s="522"/>
    </row>
    <row r="415" spans="6:7" x14ac:dyDescent="0.2">
      <c r="F415" s="392"/>
      <c r="G415" s="522"/>
    </row>
    <row r="416" spans="6:7" x14ac:dyDescent="0.2">
      <c r="F416" s="392"/>
      <c r="G416" s="522"/>
    </row>
    <row r="417" spans="6:7" x14ac:dyDescent="0.2">
      <c r="F417" s="392"/>
      <c r="G417" s="522"/>
    </row>
    <row r="418" spans="6:7" x14ac:dyDescent="0.2">
      <c r="F418" s="392"/>
      <c r="G418" s="522"/>
    </row>
    <row r="419" spans="6:7" x14ac:dyDescent="0.2">
      <c r="F419" s="392"/>
      <c r="G419" s="522"/>
    </row>
    <row r="420" spans="6:7" x14ac:dyDescent="0.2">
      <c r="F420" s="392"/>
      <c r="G420" s="522"/>
    </row>
    <row r="421" spans="6:7" x14ac:dyDescent="0.2">
      <c r="F421" s="392"/>
      <c r="G421" s="522"/>
    </row>
    <row r="422" spans="6:7" x14ac:dyDescent="0.2">
      <c r="F422" s="392"/>
      <c r="G422" s="522"/>
    </row>
    <row r="423" spans="6:7" x14ac:dyDescent="0.2">
      <c r="F423" s="392"/>
      <c r="G423" s="522"/>
    </row>
    <row r="424" spans="6:7" x14ac:dyDescent="0.2">
      <c r="F424" s="392"/>
      <c r="G424" s="522"/>
    </row>
    <row r="425" spans="6:7" x14ac:dyDescent="0.2">
      <c r="F425" s="392"/>
      <c r="G425" s="522"/>
    </row>
    <row r="426" spans="6:7" x14ac:dyDescent="0.2">
      <c r="F426" s="392"/>
      <c r="G426" s="522"/>
    </row>
    <row r="427" spans="6:7" x14ac:dyDescent="0.2">
      <c r="F427" s="392"/>
      <c r="G427" s="522"/>
    </row>
    <row r="428" spans="6:7" x14ac:dyDescent="0.2">
      <c r="F428" s="392"/>
      <c r="G428" s="522"/>
    </row>
    <row r="429" spans="6:7" x14ac:dyDescent="0.2">
      <c r="F429" s="392"/>
      <c r="G429" s="522"/>
    </row>
    <row r="430" spans="6:7" x14ac:dyDescent="0.2">
      <c r="F430" s="392"/>
      <c r="G430" s="522"/>
    </row>
    <row r="431" spans="6:7" x14ac:dyDescent="0.2">
      <c r="F431" s="392"/>
      <c r="G431" s="522"/>
    </row>
    <row r="432" spans="6:7" x14ac:dyDescent="0.2">
      <c r="F432" s="392"/>
      <c r="G432" s="522"/>
    </row>
    <row r="433" spans="6:7" x14ac:dyDescent="0.2">
      <c r="F433" s="392"/>
      <c r="G433" s="522"/>
    </row>
    <row r="434" spans="6:7" x14ac:dyDescent="0.2">
      <c r="F434" s="392"/>
      <c r="G434" s="522"/>
    </row>
    <row r="435" spans="6:7" x14ac:dyDescent="0.2">
      <c r="F435" s="392"/>
      <c r="G435" s="522"/>
    </row>
    <row r="436" spans="6:7" x14ac:dyDescent="0.2">
      <c r="F436" s="392"/>
      <c r="G436" s="522"/>
    </row>
    <row r="437" spans="6:7" x14ac:dyDescent="0.2">
      <c r="F437" s="392"/>
      <c r="G437" s="522"/>
    </row>
    <row r="438" spans="6:7" x14ac:dyDescent="0.2">
      <c r="F438" s="392"/>
      <c r="G438" s="522"/>
    </row>
    <row r="439" spans="6:7" x14ac:dyDescent="0.2">
      <c r="F439" s="392"/>
      <c r="G439" s="522"/>
    </row>
    <row r="440" spans="6:7" x14ac:dyDescent="0.2">
      <c r="F440" s="392"/>
      <c r="G440" s="522"/>
    </row>
    <row r="441" spans="6:7" x14ac:dyDescent="0.2">
      <c r="F441" s="392"/>
      <c r="G441" s="522"/>
    </row>
    <row r="442" spans="6:7" x14ac:dyDescent="0.2">
      <c r="F442" s="392"/>
      <c r="G442" s="522"/>
    </row>
    <row r="443" spans="6:7" x14ac:dyDescent="0.2">
      <c r="F443" s="392"/>
      <c r="G443" s="522"/>
    </row>
    <row r="444" spans="6:7" x14ac:dyDescent="0.2">
      <c r="F444" s="392"/>
      <c r="G444" s="522"/>
    </row>
    <row r="445" spans="6:7" x14ac:dyDescent="0.2">
      <c r="F445" s="392"/>
      <c r="G445" s="522"/>
    </row>
    <row r="446" spans="6:7" x14ac:dyDescent="0.2">
      <c r="F446" s="392"/>
      <c r="G446" s="522"/>
    </row>
    <row r="447" spans="6:7" x14ac:dyDescent="0.2">
      <c r="F447" s="392"/>
      <c r="G447" s="522"/>
    </row>
    <row r="448" spans="6:7" x14ac:dyDescent="0.2">
      <c r="F448" s="392"/>
      <c r="G448" s="522"/>
    </row>
    <row r="449" spans="6:7" x14ac:dyDescent="0.2">
      <c r="F449" s="392"/>
      <c r="G449" s="522"/>
    </row>
    <row r="450" spans="6:7" x14ac:dyDescent="0.2">
      <c r="F450" s="392"/>
      <c r="G450" s="522"/>
    </row>
    <row r="451" spans="6:7" x14ac:dyDescent="0.2">
      <c r="F451" s="392"/>
      <c r="G451" s="522"/>
    </row>
    <row r="452" spans="6:7" x14ac:dyDescent="0.2">
      <c r="F452" s="392"/>
      <c r="G452" s="522"/>
    </row>
    <row r="453" spans="6:7" x14ac:dyDescent="0.2">
      <c r="F453" s="392"/>
      <c r="G453" s="522"/>
    </row>
    <row r="454" spans="6:7" x14ac:dyDescent="0.2">
      <c r="F454" s="392"/>
      <c r="G454" s="522"/>
    </row>
    <row r="455" spans="6:7" x14ac:dyDescent="0.2">
      <c r="F455" s="392"/>
      <c r="G455" s="522"/>
    </row>
    <row r="456" spans="6:7" x14ac:dyDescent="0.2">
      <c r="F456" s="392"/>
      <c r="G456" s="522"/>
    </row>
    <row r="457" spans="6:7" x14ac:dyDescent="0.2">
      <c r="F457" s="392"/>
      <c r="G457" s="522"/>
    </row>
    <row r="458" spans="6:7" x14ac:dyDescent="0.2">
      <c r="F458" s="392"/>
      <c r="G458" s="522"/>
    </row>
    <row r="459" spans="6:7" x14ac:dyDescent="0.2">
      <c r="F459" s="392"/>
      <c r="G459" s="522"/>
    </row>
    <row r="460" spans="6:7" x14ac:dyDescent="0.2">
      <c r="F460" s="392"/>
      <c r="G460" s="522"/>
    </row>
    <row r="461" spans="6:7" x14ac:dyDescent="0.2">
      <c r="F461" s="392"/>
      <c r="G461" s="522"/>
    </row>
    <row r="462" spans="6:7" x14ac:dyDescent="0.2">
      <c r="F462" s="392"/>
      <c r="G462" s="522"/>
    </row>
    <row r="463" spans="6:7" x14ac:dyDescent="0.2">
      <c r="F463" s="392"/>
      <c r="G463" s="522"/>
    </row>
    <row r="464" spans="6:7" x14ac:dyDescent="0.2">
      <c r="F464" s="392"/>
      <c r="G464" s="522"/>
    </row>
    <row r="465" spans="6:7" x14ac:dyDescent="0.2">
      <c r="F465" s="392"/>
      <c r="G465" s="522"/>
    </row>
    <row r="466" spans="6:7" x14ac:dyDescent="0.2">
      <c r="F466" s="392"/>
      <c r="G466" s="522"/>
    </row>
    <row r="467" spans="6:7" x14ac:dyDescent="0.2">
      <c r="F467" s="392"/>
      <c r="G467" s="522"/>
    </row>
    <row r="468" spans="6:7" x14ac:dyDescent="0.2">
      <c r="F468" s="392"/>
      <c r="G468" s="522"/>
    </row>
    <row r="469" spans="6:7" x14ac:dyDescent="0.2">
      <c r="F469" s="392"/>
      <c r="G469" s="522"/>
    </row>
    <row r="470" spans="6:7" x14ac:dyDescent="0.2">
      <c r="F470" s="392"/>
      <c r="G470" s="522"/>
    </row>
    <row r="471" spans="6:7" x14ac:dyDescent="0.2">
      <c r="F471" s="392"/>
      <c r="G471" s="522"/>
    </row>
    <row r="472" spans="6:7" x14ac:dyDescent="0.2">
      <c r="F472" s="392"/>
      <c r="G472" s="522"/>
    </row>
    <row r="473" spans="6:7" x14ac:dyDescent="0.2">
      <c r="F473" s="392"/>
      <c r="G473" s="522"/>
    </row>
    <row r="474" spans="6:7" x14ac:dyDescent="0.2">
      <c r="F474" s="392"/>
      <c r="G474" s="522"/>
    </row>
    <row r="475" spans="6:7" x14ac:dyDescent="0.2">
      <c r="F475" s="392"/>
      <c r="G475" s="522"/>
    </row>
    <row r="476" spans="6:7" x14ac:dyDescent="0.2">
      <c r="F476" s="392"/>
      <c r="G476" s="522"/>
    </row>
    <row r="477" spans="6:7" x14ac:dyDescent="0.2">
      <c r="F477" s="392"/>
      <c r="G477" s="522"/>
    </row>
    <row r="478" spans="6:7" x14ac:dyDescent="0.2">
      <c r="F478" s="392"/>
      <c r="G478" s="522"/>
    </row>
    <row r="479" spans="6:7" x14ac:dyDescent="0.2">
      <c r="F479" s="392"/>
      <c r="G479" s="522"/>
    </row>
    <row r="480" spans="6:7" x14ac:dyDescent="0.2">
      <c r="F480" s="392"/>
      <c r="G480" s="522"/>
    </row>
    <row r="481" spans="6:7" x14ac:dyDescent="0.2">
      <c r="F481" s="392"/>
      <c r="G481" s="522"/>
    </row>
    <row r="482" spans="6:7" x14ac:dyDescent="0.2">
      <c r="F482" s="392"/>
      <c r="G482" s="522"/>
    </row>
    <row r="483" spans="6:7" x14ac:dyDescent="0.2">
      <c r="F483" s="392"/>
      <c r="G483" s="522"/>
    </row>
    <row r="484" spans="6:7" x14ac:dyDescent="0.2">
      <c r="F484" s="392"/>
      <c r="G484" s="522"/>
    </row>
    <row r="485" spans="6:7" x14ac:dyDescent="0.2">
      <c r="F485" s="392"/>
      <c r="G485" s="522"/>
    </row>
    <row r="486" spans="6:7" x14ac:dyDescent="0.2">
      <c r="F486" s="392"/>
      <c r="G486" s="522"/>
    </row>
    <row r="487" spans="6:7" x14ac:dyDescent="0.2">
      <c r="F487" s="392"/>
      <c r="G487" s="522"/>
    </row>
    <row r="488" spans="6:7" x14ac:dyDescent="0.2">
      <c r="F488" s="392"/>
      <c r="G488" s="522"/>
    </row>
    <row r="489" spans="6:7" x14ac:dyDescent="0.2">
      <c r="F489" s="392"/>
      <c r="G489" s="522"/>
    </row>
    <row r="490" spans="6:7" x14ac:dyDescent="0.2">
      <c r="F490" s="392"/>
      <c r="G490" s="522"/>
    </row>
    <row r="491" spans="6:7" x14ac:dyDescent="0.2">
      <c r="F491" s="392"/>
      <c r="G491" s="522"/>
    </row>
    <row r="492" spans="6:7" x14ac:dyDescent="0.2">
      <c r="F492" s="392"/>
      <c r="G492" s="522"/>
    </row>
    <row r="493" spans="6:7" x14ac:dyDescent="0.2">
      <c r="F493" s="392"/>
      <c r="G493" s="522"/>
    </row>
    <row r="494" spans="6:7" x14ac:dyDescent="0.2">
      <c r="F494" s="392"/>
      <c r="G494" s="522"/>
    </row>
    <row r="495" spans="6:7" x14ac:dyDescent="0.2">
      <c r="F495" s="392"/>
      <c r="G495" s="522"/>
    </row>
    <row r="496" spans="6:7" x14ac:dyDescent="0.2">
      <c r="F496" s="392"/>
      <c r="G496" s="522"/>
    </row>
    <row r="497" spans="6:7" x14ac:dyDescent="0.2">
      <c r="F497" s="392"/>
      <c r="G497" s="522"/>
    </row>
    <row r="498" spans="6:7" x14ac:dyDescent="0.2">
      <c r="F498" s="392"/>
      <c r="G498" s="522"/>
    </row>
    <row r="499" spans="6:7" x14ac:dyDescent="0.2">
      <c r="F499" s="392"/>
      <c r="G499" s="522"/>
    </row>
    <row r="500" spans="6:7" x14ac:dyDescent="0.2">
      <c r="F500" s="392"/>
      <c r="G500" s="522"/>
    </row>
    <row r="501" spans="6:7" x14ac:dyDescent="0.2">
      <c r="F501" s="392"/>
      <c r="G501" s="522"/>
    </row>
    <row r="502" spans="6:7" x14ac:dyDescent="0.2">
      <c r="F502" s="392"/>
      <c r="G502" s="522"/>
    </row>
    <row r="503" spans="6:7" x14ac:dyDescent="0.2">
      <c r="F503" s="392"/>
      <c r="G503" s="522"/>
    </row>
    <row r="504" spans="6:7" x14ac:dyDescent="0.2">
      <c r="F504" s="392"/>
      <c r="G504" s="522"/>
    </row>
    <row r="505" spans="6:7" x14ac:dyDescent="0.2">
      <c r="F505" s="392"/>
      <c r="G505" s="522"/>
    </row>
    <row r="506" spans="6:7" x14ac:dyDescent="0.2">
      <c r="F506" s="392"/>
      <c r="G506" s="522"/>
    </row>
    <row r="507" spans="6:7" x14ac:dyDescent="0.2">
      <c r="F507" s="392"/>
      <c r="G507" s="522"/>
    </row>
    <row r="508" spans="6:7" x14ac:dyDescent="0.2">
      <c r="F508" s="392"/>
      <c r="G508" s="522"/>
    </row>
    <row r="509" spans="6:7" x14ac:dyDescent="0.2">
      <c r="F509" s="392"/>
      <c r="G509" s="522"/>
    </row>
    <row r="510" spans="6:7" x14ac:dyDescent="0.2">
      <c r="F510" s="392"/>
      <c r="G510" s="522"/>
    </row>
    <row r="511" spans="6:7" x14ac:dyDescent="0.2">
      <c r="F511" s="392"/>
      <c r="G511" s="522"/>
    </row>
    <row r="512" spans="6:7" x14ac:dyDescent="0.2">
      <c r="F512" s="392"/>
      <c r="G512" s="522"/>
    </row>
    <row r="513" spans="6:7" x14ac:dyDescent="0.2">
      <c r="F513" s="392"/>
      <c r="G513" s="522"/>
    </row>
    <row r="514" spans="6:7" x14ac:dyDescent="0.2">
      <c r="F514" s="392"/>
      <c r="G514" s="522"/>
    </row>
    <row r="515" spans="6:7" x14ac:dyDescent="0.2">
      <c r="F515" s="392"/>
      <c r="G515" s="522"/>
    </row>
    <row r="516" spans="6:7" x14ac:dyDescent="0.2">
      <c r="F516" s="392"/>
      <c r="G516" s="522"/>
    </row>
    <row r="517" spans="6:7" x14ac:dyDescent="0.2">
      <c r="F517" s="392"/>
      <c r="G517" s="522"/>
    </row>
    <row r="518" spans="6:7" x14ac:dyDescent="0.2">
      <c r="F518" s="392"/>
      <c r="G518" s="522"/>
    </row>
    <row r="519" spans="6:7" x14ac:dyDescent="0.2">
      <c r="F519" s="392"/>
      <c r="G519" s="522"/>
    </row>
    <row r="520" spans="6:7" x14ac:dyDescent="0.2">
      <c r="F520" s="392"/>
      <c r="G520" s="522"/>
    </row>
    <row r="521" spans="6:7" x14ac:dyDescent="0.2">
      <c r="F521" s="392"/>
      <c r="G521" s="522"/>
    </row>
    <row r="522" spans="6:7" x14ac:dyDescent="0.2">
      <c r="F522" s="392"/>
      <c r="G522" s="522"/>
    </row>
    <row r="523" spans="6:7" x14ac:dyDescent="0.2">
      <c r="F523" s="392"/>
      <c r="G523" s="522"/>
    </row>
    <row r="524" spans="6:7" x14ac:dyDescent="0.2">
      <c r="F524" s="392"/>
      <c r="G524" s="522"/>
    </row>
    <row r="525" spans="6:7" x14ac:dyDescent="0.2">
      <c r="F525" s="392"/>
      <c r="G525" s="522"/>
    </row>
    <row r="526" spans="6:7" x14ac:dyDescent="0.2">
      <c r="F526" s="392"/>
      <c r="G526" s="522"/>
    </row>
    <row r="527" spans="6:7" x14ac:dyDescent="0.2">
      <c r="F527" s="392"/>
      <c r="G527" s="522"/>
    </row>
    <row r="528" spans="6:7" x14ac:dyDescent="0.2">
      <c r="F528" s="392"/>
      <c r="G528" s="522"/>
    </row>
    <row r="529" spans="6:7" x14ac:dyDescent="0.2">
      <c r="F529" s="392"/>
      <c r="G529" s="522"/>
    </row>
    <row r="530" spans="6:7" x14ac:dyDescent="0.2">
      <c r="F530" s="392"/>
      <c r="G530" s="522"/>
    </row>
    <row r="531" spans="6:7" x14ac:dyDescent="0.2">
      <c r="F531" s="392"/>
      <c r="G531" s="522"/>
    </row>
    <row r="532" spans="6:7" x14ac:dyDescent="0.2">
      <c r="F532" s="392"/>
      <c r="G532" s="522"/>
    </row>
    <row r="533" spans="6:7" x14ac:dyDescent="0.2">
      <c r="F533" s="392"/>
      <c r="G533" s="522"/>
    </row>
    <row r="534" spans="6:7" x14ac:dyDescent="0.2">
      <c r="F534" s="392"/>
      <c r="G534" s="522"/>
    </row>
    <row r="535" spans="6:7" x14ac:dyDescent="0.2">
      <c r="F535" s="392"/>
      <c r="G535" s="522"/>
    </row>
    <row r="536" spans="6:7" x14ac:dyDescent="0.2">
      <c r="F536" s="392"/>
      <c r="G536" s="522"/>
    </row>
    <row r="537" spans="6:7" x14ac:dyDescent="0.2">
      <c r="F537" s="392"/>
      <c r="G537" s="522"/>
    </row>
    <row r="538" spans="6:7" x14ac:dyDescent="0.2">
      <c r="F538" s="392"/>
      <c r="G538" s="522"/>
    </row>
    <row r="539" spans="6:7" x14ac:dyDescent="0.2">
      <c r="F539" s="392"/>
      <c r="G539" s="522"/>
    </row>
    <row r="540" spans="6:7" x14ac:dyDescent="0.2">
      <c r="F540" s="392"/>
      <c r="G540" s="522"/>
    </row>
    <row r="541" spans="6:7" x14ac:dyDescent="0.2">
      <c r="F541" s="392"/>
      <c r="G541" s="522"/>
    </row>
    <row r="542" spans="6:7" x14ac:dyDescent="0.2">
      <c r="F542" s="392"/>
      <c r="G542" s="522"/>
    </row>
    <row r="543" spans="6:7" x14ac:dyDescent="0.2">
      <c r="F543" s="392"/>
      <c r="G543" s="522"/>
    </row>
    <row r="544" spans="6:7" x14ac:dyDescent="0.2">
      <c r="F544" s="392"/>
      <c r="G544" s="522"/>
    </row>
    <row r="545" spans="6:7" x14ac:dyDescent="0.2">
      <c r="F545" s="392"/>
      <c r="G545" s="522"/>
    </row>
    <row r="546" spans="6:7" x14ac:dyDescent="0.2">
      <c r="F546" s="392"/>
      <c r="G546" s="522"/>
    </row>
    <row r="547" spans="6:7" x14ac:dyDescent="0.2">
      <c r="F547" s="392"/>
      <c r="G547" s="522"/>
    </row>
    <row r="548" spans="6:7" x14ac:dyDescent="0.2">
      <c r="F548" s="392"/>
      <c r="G548" s="522"/>
    </row>
    <row r="549" spans="6:7" x14ac:dyDescent="0.2">
      <c r="F549" s="392"/>
      <c r="G549" s="522"/>
    </row>
    <row r="550" spans="6:7" x14ac:dyDescent="0.2">
      <c r="F550" s="392"/>
      <c r="G550" s="522"/>
    </row>
    <row r="551" spans="6:7" x14ac:dyDescent="0.2">
      <c r="F551" s="392"/>
      <c r="G551" s="522"/>
    </row>
    <row r="552" spans="6:7" x14ac:dyDescent="0.2">
      <c r="F552" s="392"/>
      <c r="G552" s="522"/>
    </row>
    <row r="553" spans="6:7" x14ac:dyDescent="0.2">
      <c r="F553" s="392"/>
      <c r="G553" s="522"/>
    </row>
    <row r="554" spans="6:7" x14ac:dyDescent="0.2">
      <c r="F554" s="392"/>
      <c r="G554" s="522"/>
    </row>
    <row r="555" spans="6:7" x14ac:dyDescent="0.2">
      <c r="F555" s="392"/>
      <c r="G555" s="522"/>
    </row>
    <row r="556" spans="6:7" x14ac:dyDescent="0.2">
      <c r="F556" s="392"/>
      <c r="G556" s="522"/>
    </row>
    <row r="557" spans="6:7" x14ac:dyDescent="0.2">
      <c r="F557" s="392"/>
      <c r="G557" s="522"/>
    </row>
    <row r="558" spans="6:7" x14ac:dyDescent="0.2">
      <c r="F558" s="392"/>
      <c r="G558" s="522"/>
    </row>
    <row r="559" spans="6:7" x14ac:dyDescent="0.2">
      <c r="F559" s="392"/>
      <c r="G559" s="522"/>
    </row>
    <row r="560" spans="6:7" x14ac:dyDescent="0.2">
      <c r="F560" s="392"/>
      <c r="G560" s="522"/>
    </row>
    <row r="561" spans="6:7" x14ac:dyDescent="0.2">
      <c r="F561" s="392"/>
      <c r="G561" s="522"/>
    </row>
    <row r="562" spans="6:7" x14ac:dyDescent="0.2">
      <c r="F562" s="392"/>
      <c r="G562" s="522"/>
    </row>
    <row r="563" spans="6:7" x14ac:dyDescent="0.2">
      <c r="F563" s="392"/>
      <c r="G563" s="522"/>
    </row>
    <row r="564" spans="6:7" x14ac:dyDescent="0.2">
      <c r="F564" s="392"/>
      <c r="G564" s="522"/>
    </row>
    <row r="565" spans="6:7" x14ac:dyDescent="0.2">
      <c r="F565" s="392"/>
      <c r="G565" s="522"/>
    </row>
    <row r="566" spans="6:7" x14ac:dyDescent="0.2">
      <c r="F566" s="392"/>
      <c r="G566" s="522"/>
    </row>
    <row r="567" spans="6:7" x14ac:dyDescent="0.2">
      <c r="F567" s="392"/>
      <c r="G567" s="522"/>
    </row>
    <row r="568" spans="6:7" x14ac:dyDescent="0.2">
      <c r="F568" s="392"/>
      <c r="G568" s="522"/>
    </row>
    <row r="569" spans="6:7" x14ac:dyDescent="0.2">
      <c r="F569" s="392"/>
      <c r="G569" s="522"/>
    </row>
    <row r="570" spans="6:7" x14ac:dyDescent="0.2">
      <c r="F570" s="392"/>
      <c r="G570" s="522"/>
    </row>
    <row r="571" spans="6:7" x14ac:dyDescent="0.2">
      <c r="F571" s="392"/>
      <c r="G571" s="522"/>
    </row>
    <row r="572" spans="6:7" x14ac:dyDescent="0.2">
      <c r="F572" s="392"/>
      <c r="G572" s="522"/>
    </row>
    <row r="573" spans="6:7" x14ac:dyDescent="0.2">
      <c r="F573" s="392"/>
      <c r="G573" s="522"/>
    </row>
    <row r="574" spans="6:7" x14ac:dyDescent="0.2">
      <c r="F574" s="392"/>
      <c r="G574" s="522"/>
    </row>
    <row r="575" spans="6:7" x14ac:dyDescent="0.2">
      <c r="F575" s="392"/>
      <c r="G575" s="522"/>
    </row>
    <row r="576" spans="6:7" x14ac:dyDescent="0.2">
      <c r="F576" s="392"/>
      <c r="G576" s="522"/>
    </row>
    <row r="577" spans="6:7" x14ac:dyDescent="0.2">
      <c r="F577" s="392"/>
      <c r="G577" s="522"/>
    </row>
    <row r="578" spans="6:7" x14ac:dyDescent="0.2">
      <c r="F578" s="392"/>
      <c r="G578" s="522"/>
    </row>
    <row r="579" spans="6:7" x14ac:dyDescent="0.2">
      <c r="F579" s="392"/>
      <c r="G579" s="522"/>
    </row>
    <row r="580" spans="6:7" x14ac:dyDescent="0.2">
      <c r="F580" s="392"/>
      <c r="G580" s="522"/>
    </row>
    <row r="581" spans="6:7" x14ac:dyDescent="0.2">
      <c r="F581" s="392"/>
      <c r="G581" s="522"/>
    </row>
    <row r="582" spans="6:7" x14ac:dyDescent="0.2">
      <c r="F582" s="392"/>
      <c r="G582" s="522"/>
    </row>
    <row r="583" spans="6:7" x14ac:dyDescent="0.2">
      <c r="F583" s="392"/>
      <c r="G583" s="522"/>
    </row>
    <row r="584" spans="6:7" x14ac:dyDescent="0.2">
      <c r="F584" s="392"/>
      <c r="G584" s="522"/>
    </row>
    <row r="585" spans="6:7" x14ac:dyDescent="0.2">
      <c r="F585" s="392"/>
      <c r="G585" s="522"/>
    </row>
    <row r="586" spans="6:7" x14ac:dyDescent="0.2">
      <c r="F586" s="392"/>
      <c r="G586" s="522"/>
    </row>
    <row r="587" spans="6:7" x14ac:dyDescent="0.2">
      <c r="F587" s="392"/>
      <c r="G587" s="522"/>
    </row>
    <row r="588" spans="6:7" x14ac:dyDescent="0.2">
      <c r="F588" s="392"/>
      <c r="G588" s="522"/>
    </row>
    <row r="589" spans="6:7" x14ac:dyDescent="0.2">
      <c r="F589" s="392"/>
      <c r="G589" s="522"/>
    </row>
    <row r="590" spans="6:7" x14ac:dyDescent="0.2">
      <c r="F590" s="392"/>
      <c r="G590" s="522"/>
    </row>
    <row r="591" spans="6:7" x14ac:dyDescent="0.2">
      <c r="F591" s="392"/>
      <c r="G591" s="522"/>
    </row>
    <row r="592" spans="6:7" x14ac:dyDescent="0.2">
      <c r="F592" s="392"/>
      <c r="G592" s="522"/>
    </row>
    <row r="593" spans="6:7" x14ac:dyDescent="0.2">
      <c r="F593" s="392"/>
      <c r="G593" s="522"/>
    </row>
    <row r="594" spans="6:7" x14ac:dyDescent="0.2">
      <c r="F594" s="392"/>
      <c r="G594" s="522"/>
    </row>
    <row r="595" spans="6:7" x14ac:dyDescent="0.2">
      <c r="F595" s="392"/>
      <c r="G595" s="522"/>
    </row>
    <row r="596" spans="6:7" x14ac:dyDescent="0.2">
      <c r="F596" s="392"/>
      <c r="G596" s="522"/>
    </row>
    <row r="597" spans="6:7" x14ac:dyDescent="0.2">
      <c r="F597" s="392"/>
      <c r="G597" s="522"/>
    </row>
    <row r="598" spans="6:7" x14ac:dyDescent="0.2">
      <c r="F598" s="392"/>
      <c r="G598" s="522"/>
    </row>
    <row r="599" spans="6:7" x14ac:dyDescent="0.2">
      <c r="F599" s="392"/>
      <c r="G599" s="522"/>
    </row>
    <row r="600" spans="6:7" x14ac:dyDescent="0.2">
      <c r="F600" s="392"/>
      <c r="G600" s="522"/>
    </row>
    <row r="601" spans="6:7" x14ac:dyDescent="0.2">
      <c r="F601" s="392"/>
      <c r="G601" s="522"/>
    </row>
    <row r="602" spans="6:7" x14ac:dyDescent="0.2">
      <c r="F602" s="392"/>
      <c r="G602" s="522"/>
    </row>
    <row r="603" spans="6:7" x14ac:dyDescent="0.2">
      <c r="F603" s="392"/>
      <c r="G603" s="522"/>
    </row>
    <row r="604" spans="6:7" x14ac:dyDescent="0.2">
      <c r="F604" s="392"/>
      <c r="G604" s="522"/>
    </row>
    <row r="605" spans="6:7" x14ac:dyDescent="0.2">
      <c r="F605" s="392"/>
      <c r="G605" s="522"/>
    </row>
    <row r="606" spans="6:7" x14ac:dyDescent="0.2">
      <c r="F606" s="392"/>
      <c r="G606" s="522"/>
    </row>
    <row r="607" spans="6:7" x14ac:dyDescent="0.2">
      <c r="F607" s="392"/>
      <c r="G607" s="522"/>
    </row>
    <row r="608" spans="6:7" x14ac:dyDescent="0.2">
      <c r="F608" s="392"/>
      <c r="G608" s="522"/>
    </row>
    <row r="609" spans="6:7" x14ac:dyDescent="0.2">
      <c r="F609" s="392"/>
      <c r="G609" s="522"/>
    </row>
    <row r="610" spans="6:7" x14ac:dyDescent="0.2">
      <c r="F610" s="392"/>
      <c r="G610" s="522"/>
    </row>
    <row r="611" spans="6:7" x14ac:dyDescent="0.2">
      <c r="F611" s="392"/>
      <c r="G611" s="522"/>
    </row>
    <row r="612" spans="6:7" x14ac:dyDescent="0.2">
      <c r="F612" s="392"/>
      <c r="G612" s="522"/>
    </row>
    <row r="613" spans="6:7" x14ac:dyDescent="0.2">
      <c r="F613" s="392"/>
      <c r="G613" s="522"/>
    </row>
    <row r="614" spans="6:7" x14ac:dyDescent="0.2">
      <c r="F614" s="392"/>
      <c r="G614" s="522"/>
    </row>
    <row r="615" spans="6:7" x14ac:dyDescent="0.2">
      <c r="F615" s="392"/>
      <c r="G615" s="522"/>
    </row>
    <row r="616" spans="6:7" x14ac:dyDescent="0.2">
      <c r="F616" s="392"/>
      <c r="G616" s="522"/>
    </row>
    <row r="617" spans="6:7" x14ac:dyDescent="0.2">
      <c r="F617" s="392"/>
      <c r="G617" s="522"/>
    </row>
    <row r="618" spans="6:7" x14ac:dyDescent="0.2">
      <c r="F618" s="392"/>
      <c r="G618" s="522"/>
    </row>
    <row r="619" spans="6:7" x14ac:dyDescent="0.2">
      <c r="F619" s="392"/>
      <c r="G619" s="522"/>
    </row>
    <row r="620" spans="6:7" x14ac:dyDescent="0.2">
      <c r="F620" s="392"/>
      <c r="G620" s="522"/>
    </row>
    <row r="621" spans="6:7" x14ac:dyDescent="0.2">
      <c r="F621" s="392"/>
      <c r="G621" s="522"/>
    </row>
    <row r="622" spans="6:7" x14ac:dyDescent="0.2">
      <c r="F622" s="392"/>
      <c r="G622" s="522"/>
    </row>
    <row r="623" spans="6:7" x14ac:dyDescent="0.2">
      <c r="F623" s="392"/>
      <c r="G623" s="522"/>
    </row>
    <row r="624" spans="6:7" x14ac:dyDescent="0.2">
      <c r="F624" s="392"/>
      <c r="G624" s="522"/>
    </row>
    <row r="625" spans="6:7" x14ac:dyDescent="0.2">
      <c r="F625" s="392"/>
      <c r="G625" s="522"/>
    </row>
    <row r="626" spans="6:7" x14ac:dyDescent="0.2">
      <c r="F626" s="392"/>
      <c r="G626" s="522"/>
    </row>
    <row r="627" spans="6:7" x14ac:dyDescent="0.2">
      <c r="F627" s="392"/>
      <c r="G627" s="522"/>
    </row>
    <row r="628" spans="6:7" x14ac:dyDescent="0.2">
      <c r="F628" s="392"/>
      <c r="G628" s="522"/>
    </row>
    <row r="629" spans="6:7" x14ac:dyDescent="0.2">
      <c r="F629" s="392"/>
      <c r="G629" s="522"/>
    </row>
    <row r="630" spans="6:7" x14ac:dyDescent="0.2">
      <c r="F630" s="392"/>
      <c r="G630" s="522"/>
    </row>
    <row r="631" spans="6:7" x14ac:dyDescent="0.2">
      <c r="F631" s="392"/>
      <c r="G631" s="522"/>
    </row>
    <row r="632" spans="6:7" x14ac:dyDescent="0.2">
      <c r="F632" s="392"/>
      <c r="G632" s="522"/>
    </row>
    <row r="633" spans="6:7" x14ac:dyDescent="0.2">
      <c r="F633" s="392"/>
      <c r="G633" s="522"/>
    </row>
    <row r="634" spans="6:7" x14ac:dyDescent="0.2">
      <c r="F634" s="392"/>
      <c r="G634" s="522"/>
    </row>
    <row r="635" spans="6:7" x14ac:dyDescent="0.2">
      <c r="F635" s="392"/>
      <c r="G635" s="522"/>
    </row>
    <row r="636" spans="6:7" x14ac:dyDescent="0.2">
      <c r="F636" s="392"/>
      <c r="G636" s="522"/>
    </row>
    <row r="637" spans="6:7" x14ac:dyDescent="0.2">
      <c r="F637" s="392"/>
      <c r="G637" s="522"/>
    </row>
    <row r="638" spans="6:7" x14ac:dyDescent="0.2">
      <c r="F638" s="392"/>
      <c r="G638" s="522"/>
    </row>
    <row r="639" spans="6:7" x14ac:dyDescent="0.2">
      <c r="F639" s="392"/>
      <c r="G639" s="522"/>
    </row>
    <row r="640" spans="6:7" x14ac:dyDescent="0.2">
      <c r="F640" s="392"/>
      <c r="G640" s="522"/>
    </row>
    <row r="641" spans="6:7" x14ac:dyDescent="0.2">
      <c r="F641" s="392"/>
      <c r="G641" s="522"/>
    </row>
    <row r="642" spans="6:7" x14ac:dyDescent="0.2">
      <c r="F642" s="392"/>
      <c r="G642" s="522"/>
    </row>
    <row r="643" spans="6:7" x14ac:dyDescent="0.2">
      <c r="F643" s="392"/>
      <c r="G643" s="522"/>
    </row>
    <row r="644" spans="6:7" x14ac:dyDescent="0.2">
      <c r="F644" s="392"/>
      <c r="G644" s="522"/>
    </row>
    <row r="645" spans="6:7" x14ac:dyDescent="0.2">
      <c r="F645" s="392"/>
      <c r="G645" s="522"/>
    </row>
    <row r="646" spans="6:7" x14ac:dyDescent="0.2">
      <c r="F646" s="392"/>
      <c r="G646" s="522"/>
    </row>
    <row r="647" spans="6:7" x14ac:dyDescent="0.2">
      <c r="F647" s="392"/>
      <c r="G647" s="522"/>
    </row>
    <row r="648" spans="6:7" x14ac:dyDescent="0.2">
      <c r="F648" s="392"/>
      <c r="G648" s="522"/>
    </row>
    <row r="649" spans="6:7" x14ac:dyDescent="0.2">
      <c r="F649" s="392"/>
      <c r="G649" s="522"/>
    </row>
    <row r="650" spans="6:7" x14ac:dyDescent="0.2">
      <c r="F650" s="392"/>
      <c r="G650" s="522"/>
    </row>
    <row r="651" spans="6:7" x14ac:dyDescent="0.2">
      <c r="F651" s="392"/>
      <c r="G651" s="522"/>
    </row>
    <row r="652" spans="6:7" x14ac:dyDescent="0.2">
      <c r="F652" s="392"/>
      <c r="G652" s="522"/>
    </row>
    <row r="653" spans="6:7" x14ac:dyDescent="0.2">
      <c r="F653" s="392"/>
      <c r="G653" s="522"/>
    </row>
    <row r="654" spans="6:7" x14ac:dyDescent="0.2">
      <c r="F654" s="392"/>
      <c r="G654" s="522"/>
    </row>
    <row r="655" spans="6:7" x14ac:dyDescent="0.2">
      <c r="F655" s="392"/>
      <c r="G655" s="522"/>
    </row>
    <row r="656" spans="6:7" x14ac:dyDescent="0.2">
      <c r="F656" s="392"/>
      <c r="G656" s="522"/>
    </row>
    <row r="657" spans="6:7" x14ac:dyDescent="0.2">
      <c r="F657" s="392"/>
      <c r="G657" s="522"/>
    </row>
    <row r="658" spans="6:7" x14ac:dyDescent="0.2">
      <c r="F658" s="392"/>
      <c r="G658" s="522"/>
    </row>
    <row r="659" spans="6:7" x14ac:dyDescent="0.2">
      <c r="F659" s="392"/>
      <c r="G659" s="522"/>
    </row>
    <row r="660" spans="6:7" x14ac:dyDescent="0.2">
      <c r="F660" s="392"/>
      <c r="G660" s="522"/>
    </row>
    <row r="661" spans="6:7" x14ac:dyDescent="0.2">
      <c r="F661" s="392"/>
      <c r="G661" s="522"/>
    </row>
    <row r="662" spans="6:7" x14ac:dyDescent="0.2">
      <c r="F662" s="392"/>
      <c r="G662" s="522"/>
    </row>
    <row r="663" spans="6:7" x14ac:dyDescent="0.2">
      <c r="F663" s="392"/>
      <c r="G663" s="522"/>
    </row>
    <row r="664" spans="6:7" x14ac:dyDescent="0.2">
      <c r="F664" s="392"/>
      <c r="G664" s="522"/>
    </row>
    <row r="665" spans="6:7" x14ac:dyDescent="0.2">
      <c r="F665" s="392"/>
      <c r="G665" s="522"/>
    </row>
    <row r="666" spans="6:7" x14ac:dyDescent="0.2">
      <c r="F666" s="392"/>
      <c r="G666" s="522"/>
    </row>
    <row r="667" spans="6:7" x14ac:dyDescent="0.2">
      <c r="F667" s="392"/>
      <c r="G667" s="522"/>
    </row>
    <row r="668" spans="6:7" x14ac:dyDescent="0.2">
      <c r="F668" s="392"/>
      <c r="G668" s="522"/>
    </row>
    <row r="669" spans="6:7" x14ac:dyDescent="0.2">
      <c r="F669" s="392"/>
      <c r="G669" s="522"/>
    </row>
    <row r="670" spans="6:7" x14ac:dyDescent="0.2">
      <c r="F670" s="392"/>
      <c r="G670" s="522"/>
    </row>
    <row r="671" spans="6:7" x14ac:dyDescent="0.2">
      <c r="F671" s="392"/>
      <c r="G671" s="522"/>
    </row>
    <row r="672" spans="6:7" x14ac:dyDescent="0.2">
      <c r="F672" s="392"/>
      <c r="G672" s="522"/>
    </row>
    <row r="673" spans="6:7" x14ac:dyDescent="0.2">
      <c r="F673" s="392"/>
      <c r="G673" s="522"/>
    </row>
    <row r="674" spans="6:7" x14ac:dyDescent="0.2">
      <c r="F674" s="392"/>
      <c r="G674" s="522"/>
    </row>
    <row r="675" spans="6:7" x14ac:dyDescent="0.2">
      <c r="F675" s="392"/>
      <c r="G675" s="522"/>
    </row>
    <row r="676" spans="6:7" x14ac:dyDescent="0.2">
      <c r="F676" s="392"/>
      <c r="G676" s="522"/>
    </row>
    <row r="677" spans="6:7" x14ac:dyDescent="0.2">
      <c r="F677" s="392"/>
      <c r="G677" s="522"/>
    </row>
    <row r="678" spans="6:7" x14ac:dyDescent="0.2">
      <c r="F678" s="392"/>
      <c r="G678" s="522"/>
    </row>
    <row r="679" spans="6:7" x14ac:dyDescent="0.2">
      <c r="F679" s="392"/>
      <c r="G679" s="522"/>
    </row>
    <row r="680" spans="6:7" x14ac:dyDescent="0.2">
      <c r="F680" s="392"/>
      <c r="G680" s="522"/>
    </row>
    <row r="681" spans="6:7" x14ac:dyDescent="0.2">
      <c r="F681" s="392"/>
      <c r="G681" s="522"/>
    </row>
    <row r="682" spans="6:7" x14ac:dyDescent="0.2">
      <c r="F682" s="392"/>
      <c r="G682" s="522"/>
    </row>
    <row r="683" spans="6:7" x14ac:dyDescent="0.2">
      <c r="F683" s="392"/>
      <c r="G683" s="522"/>
    </row>
    <row r="684" spans="6:7" x14ac:dyDescent="0.2">
      <c r="F684" s="392"/>
      <c r="G684" s="522"/>
    </row>
    <row r="685" spans="6:7" x14ac:dyDescent="0.2">
      <c r="F685" s="392"/>
      <c r="G685" s="522"/>
    </row>
    <row r="686" spans="6:7" x14ac:dyDescent="0.2">
      <c r="F686" s="392"/>
      <c r="G686" s="522"/>
    </row>
    <row r="687" spans="6:7" x14ac:dyDescent="0.2">
      <c r="F687" s="392"/>
      <c r="G687" s="522"/>
    </row>
    <row r="688" spans="6:7" x14ac:dyDescent="0.2">
      <c r="F688" s="392"/>
      <c r="G688" s="522"/>
    </row>
    <row r="689" spans="6:7" x14ac:dyDescent="0.2">
      <c r="F689" s="392"/>
      <c r="G689" s="522"/>
    </row>
    <row r="690" spans="6:7" x14ac:dyDescent="0.2">
      <c r="F690" s="392"/>
      <c r="G690" s="522"/>
    </row>
    <row r="691" spans="6:7" x14ac:dyDescent="0.2">
      <c r="F691" s="392"/>
      <c r="G691" s="522"/>
    </row>
    <row r="692" spans="6:7" x14ac:dyDescent="0.2">
      <c r="F692" s="392"/>
      <c r="G692" s="522"/>
    </row>
    <row r="693" spans="6:7" x14ac:dyDescent="0.2">
      <c r="F693" s="392"/>
      <c r="G693" s="522"/>
    </row>
    <row r="694" spans="6:7" x14ac:dyDescent="0.2">
      <c r="F694" s="392"/>
      <c r="G694" s="522"/>
    </row>
    <row r="695" spans="6:7" x14ac:dyDescent="0.2">
      <c r="F695" s="392"/>
      <c r="G695" s="522"/>
    </row>
    <row r="696" spans="6:7" x14ac:dyDescent="0.2">
      <c r="F696" s="392"/>
      <c r="G696" s="522"/>
    </row>
    <row r="697" spans="6:7" x14ac:dyDescent="0.2">
      <c r="F697" s="392"/>
      <c r="G697" s="522"/>
    </row>
    <row r="698" spans="6:7" x14ac:dyDescent="0.2">
      <c r="F698" s="392"/>
      <c r="G698" s="522"/>
    </row>
    <row r="699" spans="6:7" x14ac:dyDescent="0.2">
      <c r="F699" s="392"/>
      <c r="G699" s="522"/>
    </row>
    <row r="700" spans="6:7" x14ac:dyDescent="0.2">
      <c r="F700" s="392"/>
      <c r="G700" s="522"/>
    </row>
    <row r="701" spans="6:7" x14ac:dyDescent="0.2">
      <c r="F701" s="392"/>
      <c r="G701" s="522"/>
    </row>
    <row r="702" spans="6:7" x14ac:dyDescent="0.2">
      <c r="F702" s="392"/>
      <c r="G702" s="522"/>
    </row>
    <row r="703" spans="6:7" x14ac:dyDescent="0.2">
      <c r="F703" s="392"/>
      <c r="G703" s="522"/>
    </row>
    <row r="704" spans="6:7" x14ac:dyDescent="0.2">
      <c r="F704" s="392"/>
      <c r="G704" s="522"/>
    </row>
    <row r="705" spans="6:7" x14ac:dyDescent="0.2">
      <c r="F705" s="392"/>
      <c r="G705" s="522"/>
    </row>
    <row r="706" spans="6:7" x14ac:dyDescent="0.2">
      <c r="F706" s="392"/>
      <c r="G706" s="522"/>
    </row>
    <row r="707" spans="6:7" x14ac:dyDescent="0.2">
      <c r="F707" s="392"/>
      <c r="G707" s="522"/>
    </row>
    <row r="708" spans="6:7" x14ac:dyDescent="0.2">
      <c r="F708" s="392"/>
      <c r="G708" s="522"/>
    </row>
    <row r="709" spans="6:7" x14ac:dyDescent="0.2">
      <c r="F709" s="392"/>
      <c r="G709" s="522"/>
    </row>
    <row r="710" spans="6:7" x14ac:dyDescent="0.2">
      <c r="F710" s="392"/>
      <c r="G710" s="522"/>
    </row>
    <row r="711" spans="6:7" x14ac:dyDescent="0.2">
      <c r="F711" s="392"/>
      <c r="G711" s="522"/>
    </row>
    <row r="712" spans="6:7" x14ac:dyDescent="0.2">
      <c r="F712" s="392"/>
      <c r="G712" s="522"/>
    </row>
    <row r="713" spans="6:7" x14ac:dyDescent="0.2">
      <c r="F713" s="392"/>
      <c r="G713" s="522"/>
    </row>
    <row r="714" spans="6:7" x14ac:dyDescent="0.2">
      <c r="F714" s="392"/>
      <c r="G714" s="522"/>
    </row>
    <row r="715" spans="6:7" x14ac:dyDescent="0.2">
      <c r="F715" s="392"/>
      <c r="G715" s="522"/>
    </row>
    <row r="716" spans="6:7" x14ac:dyDescent="0.2">
      <c r="F716" s="392"/>
      <c r="G716" s="522"/>
    </row>
    <row r="717" spans="6:7" x14ac:dyDescent="0.2">
      <c r="F717" s="392"/>
      <c r="G717" s="522"/>
    </row>
    <row r="718" spans="6:7" x14ac:dyDescent="0.2">
      <c r="F718" s="392"/>
      <c r="G718" s="522"/>
    </row>
    <row r="719" spans="6:7" x14ac:dyDescent="0.2">
      <c r="F719" s="392"/>
      <c r="G719" s="522"/>
    </row>
    <row r="720" spans="6:7" x14ac:dyDescent="0.2">
      <c r="F720" s="392"/>
      <c r="G720" s="522"/>
    </row>
    <row r="721" spans="6:7" x14ac:dyDescent="0.2">
      <c r="F721" s="392"/>
      <c r="G721" s="522"/>
    </row>
    <row r="722" spans="6:7" x14ac:dyDescent="0.2">
      <c r="F722" s="392"/>
      <c r="G722" s="522"/>
    </row>
    <row r="723" spans="6:7" x14ac:dyDescent="0.2">
      <c r="F723" s="392"/>
      <c r="G723" s="522"/>
    </row>
    <row r="724" spans="6:7" x14ac:dyDescent="0.2">
      <c r="F724" s="392"/>
      <c r="G724" s="522"/>
    </row>
    <row r="725" spans="6:7" x14ac:dyDescent="0.2">
      <c r="F725" s="392"/>
      <c r="G725" s="522"/>
    </row>
    <row r="726" spans="6:7" x14ac:dyDescent="0.2">
      <c r="F726" s="392"/>
      <c r="G726" s="522"/>
    </row>
    <row r="727" spans="6:7" x14ac:dyDescent="0.2">
      <c r="F727" s="392"/>
      <c r="G727" s="522"/>
    </row>
    <row r="728" spans="6:7" x14ac:dyDescent="0.2">
      <c r="F728" s="392"/>
      <c r="G728" s="522"/>
    </row>
    <row r="729" spans="6:7" x14ac:dyDescent="0.2">
      <c r="F729" s="392"/>
      <c r="G729" s="522"/>
    </row>
    <row r="730" spans="6:7" x14ac:dyDescent="0.2">
      <c r="F730" s="392"/>
      <c r="G730" s="522"/>
    </row>
    <row r="731" spans="6:7" x14ac:dyDescent="0.2">
      <c r="F731" s="392"/>
      <c r="G731" s="522"/>
    </row>
    <row r="732" spans="6:7" x14ac:dyDescent="0.2">
      <c r="F732" s="392"/>
      <c r="G732" s="522"/>
    </row>
    <row r="733" spans="6:7" x14ac:dyDescent="0.2">
      <c r="F733" s="392"/>
      <c r="G733" s="522"/>
    </row>
    <row r="734" spans="6:7" x14ac:dyDescent="0.2">
      <c r="F734" s="392"/>
      <c r="G734" s="522"/>
    </row>
    <row r="735" spans="6:7" x14ac:dyDescent="0.2">
      <c r="F735" s="392"/>
      <c r="G735" s="522"/>
    </row>
    <row r="736" spans="6:7" x14ac:dyDescent="0.2">
      <c r="F736" s="392"/>
      <c r="G736" s="522"/>
    </row>
    <row r="737" spans="6:7" x14ac:dyDescent="0.2">
      <c r="F737" s="392"/>
      <c r="G737" s="522"/>
    </row>
    <row r="738" spans="6:7" x14ac:dyDescent="0.2">
      <c r="F738" s="392"/>
      <c r="G738" s="522"/>
    </row>
    <row r="739" spans="6:7" x14ac:dyDescent="0.2">
      <c r="F739" s="392"/>
      <c r="G739" s="522"/>
    </row>
    <row r="740" spans="6:7" x14ac:dyDescent="0.2">
      <c r="F740" s="392"/>
      <c r="G740" s="522"/>
    </row>
    <row r="741" spans="6:7" x14ac:dyDescent="0.2">
      <c r="F741" s="392"/>
      <c r="G741" s="522"/>
    </row>
    <row r="742" spans="6:7" x14ac:dyDescent="0.2">
      <c r="F742" s="392"/>
      <c r="G742" s="522"/>
    </row>
    <row r="743" spans="6:7" x14ac:dyDescent="0.2">
      <c r="F743" s="392"/>
      <c r="G743" s="522"/>
    </row>
    <row r="744" spans="6:7" x14ac:dyDescent="0.2">
      <c r="F744" s="392"/>
      <c r="G744" s="522"/>
    </row>
    <row r="745" spans="6:7" x14ac:dyDescent="0.2">
      <c r="F745" s="392"/>
      <c r="G745" s="522"/>
    </row>
    <row r="746" spans="6:7" x14ac:dyDescent="0.2">
      <c r="F746" s="392"/>
      <c r="G746" s="522"/>
    </row>
    <row r="747" spans="6:7" x14ac:dyDescent="0.2">
      <c r="F747" s="392"/>
      <c r="G747" s="522"/>
    </row>
    <row r="748" spans="6:7" x14ac:dyDescent="0.2">
      <c r="F748" s="392"/>
      <c r="G748" s="522"/>
    </row>
    <row r="749" spans="6:7" x14ac:dyDescent="0.2">
      <c r="F749" s="392"/>
      <c r="G749" s="522"/>
    </row>
    <row r="750" spans="6:7" x14ac:dyDescent="0.2">
      <c r="F750" s="392"/>
      <c r="G750" s="522"/>
    </row>
    <row r="751" spans="6:7" x14ac:dyDescent="0.2">
      <c r="F751" s="392"/>
      <c r="G751" s="522"/>
    </row>
    <row r="752" spans="6:7" x14ac:dyDescent="0.2">
      <c r="F752" s="392"/>
      <c r="G752" s="522"/>
    </row>
    <row r="753" spans="6:7" x14ac:dyDescent="0.2">
      <c r="F753" s="392"/>
      <c r="G753" s="522"/>
    </row>
    <row r="754" spans="6:7" x14ac:dyDescent="0.2">
      <c r="F754" s="392"/>
      <c r="G754" s="522"/>
    </row>
    <row r="755" spans="6:7" x14ac:dyDescent="0.2">
      <c r="F755" s="392"/>
      <c r="G755" s="522"/>
    </row>
    <row r="756" spans="6:7" x14ac:dyDescent="0.2">
      <c r="F756" s="392"/>
      <c r="G756" s="522"/>
    </row>
    <row r="757" spans="6:7" x14ac:dyDescent="0.2">
      <c r="F757" s="392"/>
      <c r="G757" s="522"/>
    </row>
    <row r="758" spans="6:7" x14ac:dyDescent="0.2">
      <c r="F758" s="392"/>
      <c r="G758" s="522"/>
    </row>
    <row r="759" spans="6:7" x14ac:dyDescent="0.2">
      <c r="F759" s="392"/>
      <c r="G759" s="522"/>
    </row>
    <row r="760" spans="6:7" x14ac:dyDescent="0.2">
      <c r="F760" s="392"/>
      <c r="G760" s="522"/>
    </row>
    <row r="761" spans="6:7" x14ac:dyDescent="0.2">
      <c r="F761" s="392"/>
      <c r="G761" s="522"/>
    </row>
    <row r="762" spans="6:7" x14ac:dyDescent="0.2">
      <c r="F762" s="392"/>
      <c r="G762" s="522"/>
    </row>
    <row r="763" spans="6:7" x14ac:dyDescent="0.2">
      <c r="F763" s="392"/>
      <c r="G763" s="522"/>
    </row>
    <row r="764" spans="6:7" x14ac:dyDescent="0.2">
      <c r="F764" s="392"/>
      <c r="G764" s="522"/>
    </row>
    <row r="765" spans="6:7" x14ac:dyDescent="0.2">
      <c r="F765" s="392"/>
      <c r="G765" s="522"/>
    </row>
    <row r="766" spans="6:7" x14ac:dyDescent="0.2">
      <c r="F766" s="392"/>
      <c r="G766" s="522"/>
    </row>
    <row r="767" spans="6:7" x14ac:dyDescent="0.2">
      <c r="F767" s="392"/>
      <c r="G767" s="522"/>
    </row>
    <row r="768" spans="6:7" x14ac:dyDescent="0.2">
      <c r="F768" s="392"/>
      <c r="G768" s="522"/>
    </row>
    <row r="769" spans="6:7" x14ac:dyDescent="0.2">
      <c r="F769" s="392"/>
      <c r="G769" s="522"/>
    </row>
    <row r="770" spans="6:7" x14ac:dyDescent="0.2">
      <c r="F770" s="392"/>
      <c r="G770" s="522"/>
    </row>
    <row r="771" spans="6:7" x14ac:dyDescent="0.2">
      <c r="F771" s="392"/>
      <c r="G771" s="522"/>
    </row>
    <row r="772" spans="6:7" x14ac:dyDescent="0.2">
      <c r="F772" s="392"/>
      <c r="G772" s="522"/>
    </row>
    <row r="773" spans="6:7" x14ac:dyDescent="0.2">
      <c r="F773" s="392"/>
      <c r="G773" s="522"/>
    </row>
    <row r="774" spans="6:7" x14ac:dyDescent="0.2">
      <c r="F774" s="392"/>
      <c r="G774" s="522"/>
    </row>
    <row r="775" spans="6:7" x14ac:dyDescent="0.2">
      <c r="F775" s="392"/>
      <c r="G775" s="522"/>
    </row>
    <row r="776" spans="6:7" x14ac:dyDescent="0.2">
      <c r="F776" s="392"/>
      <c r="G776" s="522"/>
    </row>
    <row r="777" spans="6:7" x14ac:dyDescent="0.2">
      <c r="F777" s="392"/>
      <c r="G777" s="522"/>
    </row>
    <row r="778" spans="6:7" x14ac:dyDescent="0.2">
      <c r="F778" s="392"/>
      <c r="G778" s="522"/>
    </row>
    <row r="779" spans="6:7" x14ac:dyDescent="0.2">
      <c r="F779" s="392"/>
      <c r="G779" s="522"/>
    </row>
    <row r="780" spans="6:7" x14ac:dyDescent="0.2">
      <c r="F780" s="392"/>
      <c r="G780" s="522"/>
    </row>
    <row r="781" spans="6:7" x14ac:dyDescent="0.2">
      <c r="F781" s="392"/>
      <c r="G781" s="522"/>
    </row>
    <row r="782" spans="6:7" x14ac:dyDescent="0.2">
      <c r="F782" s="392"/>
      <c r="G782" s="522"/>
    </row>
    <row r="783" spans="6:7" x14ac:dyDescent="0.2">
      <c r="F783" s="392"/>
      <c r="G783" s="522"/>
    </row>
    <row r="784" spans="6:7" x14ac:dyDescent="0.2">
      <c r="F784" s="392"/>
      <c r="G784" s="522"/>
    </row>
    <row r="785" spans="6:7" x14ac:dyDescent="0.2">
      <c r="F785" s="392"/>
      <c r="G785" s="522"/>
    </row>
    <row r="786" spans="6:7" x14ac:dyDescent="0.2">
      <c r="F786" s="392"/>
      <c r="G786" s="522"/>
    </row>
    <row r="787" spans="6:7" x14ac:dyDescent="0.2">
      <c r="F787" s="392"/>
      <c r="G787" s="522"/>
    </row>
    <row r="788" spans="6:7" x14ac:dyDescent="0.2">
      <c r="F788" s="392"/>
      <c r="G788" s="522"/>
    </row>
    <row r="789" spans="6:7" x14ac:dyDescent="0.2">
      <c r="F789" s="392"/>
      <c r="G789" s="522"/>
    </row>
    <row r="790" spans="6:7" x14ac:dyDescent="0.2">
      <c r="F790" s="392"/>
      <c r="G790" s="522"/>
    </row>
    <row r="791" spans="6:7" x14ac:dyDescent="0.2">
      <c r="F791" s="392"/>
      <c r="G791" s="522"/>
    </row>
    <row r="792" spans="6:7" x14ac:dyDescent="0.2">
      <c r="F792" s="392"/>
      <c r="G792" s="522"/>
    </row>
    <row r="793" spans="6:7" x14ac:dyDescent="0.2">
      <c r="F793" s="392"/>
      <c r="G793" s="522"/>
    </row>
    <row r="794" spans="6:7" x14ac:dyDescent="0.2">
      <c r="F794" s="392"/>
      <c r="G794" s="522"/>
    </row>
    <row r="795" spans="6:7" x14ac:dyDescent="0.2">
      <c r="F795" s="392"/>
      <c r="G795" s="522"/>
    </row>
    <row r="796" spans="6:7" x14ac:dyDescent="0.2">
      <c r="F796" s="392"/>
      <c r="G796" s="522"/>
    </row>
    <row r="797" spans="6:7" x14ac:dyDescent="0.2">
      <c r="F797" s="392"/>
      <c r="G797" s="522"/>
    </row>
    <row r="798" spans="6:7" x14ac:dyDescent="0.2">
      <c r="F798" s="392"/>
      <c r="G798" s="522"/>
    </row>
    <row r="799" spans="6:7" x14ac:dyDescent="0.2">
      <c r="F799" s="392"/>
      <c r="G799" s="522"/>
    </row>
    <row r="800" spans="6:7" x14ac:dyDescent="0.2">
      <c r="F800" s="392"/>
      <c r="G800" s="522"/>
    </row>
    <row r="801" spans="6:7" x14ac:dyDescent="0.2">
      <c r="F801" s="392"/>
      <c r="G801" s="522"/>
    </row>
    <row r="802" spans="6:7" x14ac:dyDescent="0.2">
      <c r="F802" s="392"/>
      <c r="G802" s="522"/>
    </row>
    <row r="803" spans="6:7" x14ac:dyDescent="0.2">
      <c r="F803" s="392"/>
      <c r="G803" s="522"/>
    </row>
    <row r="804" spans="6:7" x14ac:dyDescent="0.2">
      <c r="F804" s="392"/>
      <c r="G804" s="522"/>
    </row>
    <row r="805" spans="6:7" x14ac:dyDescent="0.2">
      <c r="F805" s="392"/>
      <c r="G805" s="522"/>
    </row>
    <row r="806" spans="6:7" x14ac:dyDescent="0.2">
      <c r="F806" s="392"/>
      <c r="G806" s="522"/>
    </row>
    <row r="807" spans="6:7" x14ac:dyDescent="0.2">
      <c r="F807" s="392"/>
      <c r="G807" s="522"/>
    </row>
    <row r="808" spans="6:7" x14ac:dyDescent="0.2">
      <c r="F808" s="392"/>
      <c r="G808" s="522"/>
    </row>
    <row r="809" spans="6:7" x14ac:dyDescent="0.2">
      <c r="F809" s="392"/>
      <c r="G809" s="522"/>
    </row>
    <row r="810" spans="6:7" x14ac:dyDescent="0.2">
      <c r="F810" s="392"/>
      <c r="G810" s="522"/>
    </row>
    <row r="811" spans="6:7" x14ac:dyDescent="0.2">
      <c r="F811" s="392"/>
      <c r="G811" s="522"/>
    </row>
    <row r="812" spans="6:7" x14ac:dyDescent="0.2">
      <c r="F812" s="392"/>
      <c r="G812" s="522"/>
    </row>
    <row r="813" spans="6:7" x14ac:dyDescent="0.2">
      <c r="F813" s="392"/>
      <c r="G813" s="522"/>
    </row>
    <row r="814" spans="6:7" x14ac:dyDescent="0.2">
      <c r="F814" s="392"/>
      <c r="G814" s="522"/>
    </row>
    <row r="815" spans="6:7" x14ac:dyDescent="0.2">
      <c r="F815" s="392"/>
      <c r="G815" s="522"/>
    </row>
    <row r="816" spans="6:7" x14ac:dyDescent="0.2">
      <c r="F816" s="392"/>
      <c r="G816" s="522"/>
    </row>
    <row r="817" spans="6:7" x14ac:dyDescent="0.2">
      <c r="F817" s="392"/>
      <c r="G817" s="522"/>
    </row>
    <row r="818" spans="6:7" x14ac:dyDescent="0.2">
      <c r="F818" s="392"/>
      <c r="G818" s="522"/>
    </row>
    <row r="819" spans="6:7" x14ac:dyDescent="0.2">
      <c r="F819" s="392"/>
      <c r="G819" s="522"/>
    </row>
    <row r="820" spans="6:7" x14ac:dyDescent="0.2">
      <c r="F820" s="392"/>
      <c r="G820" s="522"/>
    </row>
    <row r="821" spans="6:7" x14ac:dyDescent="0.2">
      <c r="F821" s="392"/>
      <c r="G821" s="522"/>
    </row>
    <row r="822" spans="6:7" x14ac:dyDescent="0.2">
      <c r="F822" s="392"/>
      <c r="G822" s="522"/>
    </row>
    <row r="823" spans="6:7" x14ac:dyDescent="0.2">
      <c r="F823" s="392"/>
      <c r="G823" s="522"/>
    </row>
    <row r="824" spans="6:7" x14ac:dyDescent="0.2">
      <c r="F824" s="392"/>
      <c r="G824" s="522"/>
    </row>
    <row r="825" spans="6:7" x14ac:dyDescent="0.2">
      <c r="F825" s="392"/>
      <c r="G825" s="522"/>
    </row>
    <row r="826" spans="6:7" x14ac:dyDescent="0.2">
      <c r="F826" s="392"/>
      <c r="G826" s="522"/>
    </row>
    <row r="827" spans="6:7" x14ac:dyDescent="0.2">
      <c r="F827" s="392"/>
      <c r="G827" s="522"/>
    </row>
    <row r="828" spans="6:7" x14ac:dyDescent="0.2">
      <c r="F828" s="392"/>
      <c r="G828" s="522"/>
    </row>
    <row r="829" spans="6:7" x14ac:dyDescent="0.2">
      <c r="F829" s="392"/>
      <c r="G829" s="522"/>
    </row>
    <row r="830" spans="6:7" x14ac:dyDescent="0.2">
      <c r="F830" s="392"/>
      <c r="G830" s="522"/>
    </row>
    <row r="831" spans="6:7" x14ac:dyDescent="0.2">
      <c r="F831" s="392"/>
      <c r="G831" s="522"/>
    </row>
    <row r="832" spans="6:7" x14ac:dyDescent="0.2">
      <c r="F832" s="392"/>
      <c r="G832" s="522"/>
    </row>
    <row r="833" spans="6:7" x14ac:dyDescent="0.2">
      <c r="F833" s="392"/>
      <c r="G833" s="522"/>
    </row>
    <row r="834" spans="6:7" x14ac:dyDescent="0.2">
      <c r="F834" s="392"/>
      <c r="G834" s="522"/>
    </row>
    <row r="835" spans="6:7" x14ac:dyDescent="0.2">
      <c r="F835" s="392"/>
      <c r="G835" s="522"/>
    </row>
    <row r="836" spans="6:7" x14ac:dyDescent="0.2">
      <c r="F836" s="392"/>
      <c r="G836" s="522"/>
    </row>
    <row r="837" spans="6:7" x14ac:dyDescent="0.2">
      <c r="F837" s="392"/>
      <c r="G837" s="522"/>
    </row>
    <row r="838" spans="6:7" x14ac:dyDescent="0.2">
      <c r="F838" s="392"/>
      <c r="G838" s="522"/>
    </row>
    <row r="839" spans="6:7" x14ac:dyDescent="0.2">
      <c r="F839" s="392"/>
      <c r="G839" s="522"/>
    </row>
    <row r="840" spans="6:7" x14ac:dyDescent="0.2">
      <c r="F840" s="392"/>
      <c r="G840" s="522"/>
    </row>
    <row r="841" spans="6:7" x14ac:dyDescent="0.2">
      <c r="F841" s="392"/>
      <c r="G841" s="522"/>
    </row>
    <row r="842" spans="6:7" x14ac:dyDescent="0.2">
      <c r="F842" s="392"/>
      <c r="G842" s="522"/>
    </row>
    <row r="843" spans="6:7" x14ac:dyDescent="0.2">
      <c r="F843" s="392"/>
      <c r="G843" s="522"/>
    </row>
    <row r="844" spans="6:7" x14ac:dyDescent="0.2">
      <c r="F844" s="392"/>
      <c r="G844" s="522"/>
    </row>
    <row r="845" spans="6:7" x14ac:dyDescent="0.2">
      <c r="F845" s="392"/>
      <c r="G845" s="522"/>
    </row>
    <row r="846" spans="6:7" x14ac:dyDescent="0.2">
      <c r="F846" s="392"/>
      <c r="G846" s="522"/>
    </row>
    <row r="847" spans="6:7" x14ac:dyDescent="0.2">
      <c r="F847" s="392"/>
      <c r="G847" s="522"/>
    </row>
    <row r="848" spans="6:7" x14ac:dyDescent="0.2">
      <c r="F848" s="392"/>
      <c r="G848" s="522"/>
    </row>
    <row r="849" spans="6:7" x14ac:dyDescent="0.2">
      <c r="F849" s="392"/>
      <c r="G849" s="522"/>
    </row>
    <row r="850" spans="6:7" x14ac:dyDescent="0.2">
      <c r="F850" s="392"/>
      <c r="G850" s="522"/>
    </row>
    <row r="851" spans="6:7" x14ac:dyDescent="0.2">
      <c r="F851" s="392"/>
      <c r="G851" s="522"/>
    </row>
    <row r="852" spans="6:7" x14ac:dyDescent="0.2">
      <c r="F852" s="392"/>
      <c r="G852" s="522"/>
    </row>
    <row r="853" spans="6:7" x14ac:dyDescent="0.2">
      <c r="F853" s="392"/>
      <c r="G853" s="522"/>
    </row>
    <row r="854" spans="6:7" x14ac:dyDescent="0.2">
      <c r="F854" s="392"/>
      <c r="G854" s="522"/>
    </row>
    <row r="855" spans="6:7" x14ac:dyDescent="0.2">
      <c r="F855" s="392"/>
      <c r="G855" s="522"/>
    </row>
    <row r="856" spans="6:7" x14ac:dyDescent="0.2">
      <c r="F856" s="392"/>
      <c r="G856" s="522"/>
    </row>
    <row r="857" spans="6:7" x14ac:dyDescent="0.2">
      <c r="F857" s="392"/>
      <c r="G857" s="522"/>
    </row>
    <row r="858" spans="6:7" x14ac:dyDescent="0.2">
      <c r="F858" s="392"/>
      <c r="G858" s="522"/>
    </row>
    <row r="859" spans="6:7" x14ac:dyDescent="0.2">
      <c r="F859" s="392"/>
      <c r="G859" s="522"/>
    </row>
    <row r="860" spans="6:7" x14ac:dyDescent="0.2">
      <c r="F860" s="392"/>
      <c r="G860" s="522"/>
    </row>
    <row r="861" spans="6:7" x14ac:dyDescent="0.2">
      <c r="F861" s="392"/>
      <c r="G861" s="522"/>
    </row>
    <row r="862" spans="6:7" x14ac:dyDescent="0.2">
      <c r="F862" s="392"/>
      <c r="G862" s="522"/>
    </row>
    <row r="863" spans="6:7" x14ac:dyDescent="0.2">
      <c r="F863" s="392"/>
      <c r="G863" s="522"/>
    </row>
    <row r="864" spans="6:7" x14ac:dyDescent="0.2">
      <c r="F864" s="392"/>
      <c r="G864" s="522"/>
    </row>
    <row r="865" spans="6:7" x14ac:dyDescent="0.2">
      <c r="F865" s="392"/>
      <c r="G865" s="522"/>
    </row>
    <row r="866" spans="6:7" x14ac:dyDescent="0.2">
      <c r="F866" s="392"/>
      <c r="G866" s="522"/>
    </row>
    <row r="867" spans="6:7" x14ac:dyDescent="0.2">
      <c r="F867" s="392"/>
      <c r="G867" s="522"/>
    </row>
    <row r="868" spans="6:7" x14ac:dyDescent="0.2">
      <c r="F868" s="392"/>
      <c r="G868" s="522"/>
    </row>
    <row r="869" spans="6:7" x14ac:dyDescent="0.2">
      <c r="F869" s="392"/>
      <c r="G869" s="522"/>
    </row>
    <row r="870" spans="6:7" x14ac:dyDescent="0.2">
      <c r="F870" s="392"/>
      <c r="G870" s="522"/>
    </row>
    <row r="871" spans="6:7" x14ac:dyDescent="0.2">
      <c r="F871" s="392"/>
      <c r="G871" s="522"/>
    </row>
    <row r="872" spans="6:7" x14ac:dyDescent="0.2">
      <c r="F872" s="392"/>
      <c r="G872" s="522"/>
    </row>
    <row r="873" spans="6:7" x14ac:dyDescent="0.2">
      <c r="F873" s="392"/>
      <c r="G873" s="522"/>
    </row>
    <row r="874" spans="6:7" x14ac:dyDescent="0.2">
      <c r="F874" s="392"/>
      <c r="G874" s="522"/>
    </row>
    <row r="875" spans="6:7" x14ac:dyDescent="0.2">
      <c r="F875" s="392"/>
      <c r="G875" s="522"/>
    </row>
    <row r="876" spans="6:7" x14ac:dyDescent="0.2">
      <c r="F876" s="392"/>
      <c r="G876" s="522"/>
    </row>
    <row r="877" spans="6:7" x14ac:dyDescent="0.2">
      <c r="F877" s="392"/>
      <c r="G877" s="522"/>
    </row>
    <row r="878" spans="6:7" x14ac:dyDescent="0.2">
      <c r="F878" s="392"/>
      <c r="G878" s="522"/>
    </row>
    <row r="879" spans="6:7" x14ac:dyDescent="0.2">
      <c r="F879" s="392"/>
      <c r="G879" s="522"/>
    </row>
    <row r="880" spans="6:7" x14ac:dyDescent="0.2">
      <c r="F880" s="392"/>
      <c r="G880" s="522"/>
    </row>
    <row r="881" spans="6:7" x14ac:dyDescent="0.2">
      <c r="F881" s="392"/>
      <c r="G881" s="522"/>
    </row>
    <row r="882" spans="6:7" x14ac:dyDescent="0.2">
      <c r="F882" s="392"/>
      <c r="G882" s="522"/>
    </row>
    <row r="883" spans="6:7" x14ac:dyDescent="0.2">
      <c r="F883" s="392"/>
      <c r="G883" s="522"/>
    </row>
    <row r="884" spans="6:7" x14ac:dyDescent="0.2">
      <c r="F884" s="392"/>
      <c r="G884" s="522"/>
    </row>
    <row r="885" spans="6:7" x14ac:dyDescent="0.2">
      <c r="F885" s="392"/>
      <c r="G885" s="522"/>
    </row>
    <row r="886" spans="6:7" x14ac:dyDescent="0.2">
      <c r="F886" s="392"/>
      <c r="G886" s="522"/>
    </row>
    <row r="887" spans="6:7" x14ac:dyDescent="0.2">
      <c r="F887" s="392"/>
      <c r="G887" s="522"/>
    </row>
    <row r="888" spans="6:7" x14ac:dyDescent="0.2">
      <c r="F888" s="392"/>
      <c r="G888" s="522"/>
    </row>
    <row r="889" spans="6:7" x14ac:dyDescent="0.2">
      <c r="F889" s="392"/>
      <c r="G889" s="522"/>
    </row>
    <row r="890" spans="6:7" x14ac:dyDescent="0.2">
      <c r="F890" s="392"/>
      <c r="G890" s="522"/>
    </row>
    <row r="891" spans="6:7" x14ac:dyDescent="0.2">
      <c r="F891" s="392"/>
      <c r="G891" s="522"/>
    </row>
    <row r="892" spans="6:7" x14ac:dyDescent="0.2">
      <c r="F892" s="392"/>
      <c r="G892" s="522"/>
    </row>
    <row r="893" spans="6:7" x14ac:dyDescent="0.2">
      <c r="F893" s="392"/>
      <c r="G893" s="522"/>
    </row>
    <row r="894" spans="6:7" x14ac:dyDescent="0.2">
      <c r="F894" s="392"/>
      <c r="G894" s="522"/>
    </row>
    <row r="895" spans="6:7" x14ac:dyDescent="0.2">
      <c r="F895" s="392"/>
      <c r="G895" s="522"/>
    </row>
    <row r="896" spans="6:7" x14ac:dyDescent="0.2">
      <c r="F896" s="392"/>
      <c r="G896" s="522"/>
    </row>
    <row r="897" spans="6:7" x14ac:dyDescent="0.2">
      <c r="F897" s="392"/>
      <c r="G897" s="522"/>
    </row>
    <row r="898" spans="6:7" x14ac:dyDescent="0.2">
      <c r="F898" s="392"/>
      <c r="G898" s="522"/>
    </row>
    <row r="899" spans="6:7" x14ac:dyDescent="0.2">
      <c r="F899" s="392"/>
      <c r="G899" s="522"/>
    </row>
    <row r="900" spans="6:7" x14ac:dyDescent="0.2">
      <c r="F900" s="392"/>
      <c r="G900" s="522"/>
    </row>
    <row r="901" spans="6:7" x14ac:dyDescent="0.2">
      <c r="F901" s="392"/>
      <c r="G901" s="522"/>
    </row>
    <row r="902" spans="6:7" x14ac:dyDescent="0.2">
      <c r="F902" s="392"/>
      <c r="G902" s="522"/>
    </row>
    <row r="903" spans="6:7" x14ac:dyDescent="0.2">
      <c r="F903" s="392"/>
      <c r="G903" s="522"/>
    </row>
    <row r="904" spans="6:7" x14ac:dyDescent="0.2">
      <c r="F904" s="392"/>
      <c r="G904" s="522"/>
    </row>
    <row r="905" spans="6:7" x14ac:dyDescent="0.2">
      <c r="F905" s="392"/>
      <c r="G905" s="522"/>
    </row>
    <row r="906" spans="6:7" x14ac:dyDescent="0.2">
      <c r="F906" s="392"/>
      <c r="G906" s="522"/>
    </row>
    <row r="907" spans="6:7" x14ac:dyDescent="0.2">
      <c r="F907" s="392"/>
      <c r="G907" s="522"/>
    </row>
    <row r="908" spans="6:7" x14ac:dyDescent="0.2">
      <c r="F908" s="392"/>
      <c r="G908" s="522"/>
    </row>
    <row r="909" spans="6:7" x14ac:dyDescent="0.2">
      <c r="F909" s="392"/>
      <c r="G909" s="522"/>
    </row>
    <row r="910" spans="6:7" x14ac:dyDescent="0.2">
      <c r="F910" s="392"/>
      <c r="G910" s="522"/>
    </row>
    <row r="911" spans="6:7" x14ac:dyDescent="0.2">
      <c r="F911" s="392"/>
      <c r="G911" s="522"/>
    </row>
    <row r="912" spans="6:7" x14ac:dyDescent="0.2">
      <c r="F912" s="392"/>
      <c r="G912" s="522"/>
    </row>
    <row r="913" spans="6:7" x14ac:dyDescent="0.2">
      <c r="F913" s="392"/>
      <c r="G913" s="522"/>
    </row>
    <row r="914" spans="6:7" x14ac:dyDescent="0.2">
      <c r="F914" s="392"/>
      <c r="G914" s="522"/>
    </row>
    <row r="915" spans="6:7" x14ac:dyDescent="0.2">
      <c r="F915" s="392"/>
      <c r="G915" s="522"/>
    </row>
    <row r="916" spans="6:7" x14ac:dyDescent="0.2">
      <c r="F916" s="392"/>
      <c r="G916" s="522"/>
    </row>
    <row r="917" spans="6:7" x14ac:dyDescent="0.2">
      <c r="F917" s="392"/>
      <c r="G917" s="522"/>
    </row>
    <row r="918" spans="6:7" x14ac:dyDescent="0.2">
      <c r="F918" s="392"/>
      <c r="G918" s="522"/>
    </row>
    <row r="919" spans="6:7" x14ac:dyDescent="0.2">
      <c r="F919" s="392"/>
      <c r="G919" s="522"/>
    </row>
    <row r="920" spans="6:7" x14ac:dyDescent="0.2">
      <c r="F920" s="392"/>
      <c r="G920" s="522"/>
    </row>
    <row r="921" spans="6:7" x14ac:dyDescent="0.2">
      <c r="F921" s="392"/>
      <c r="G921" s="522"/>
    </row>
    <row r="922" spans="6:7" x14ac:dyDescent="0.2">
      <c r="F922" s="392"/>
      <c r="G922" s="522"/>
    </row>
    <row r="923" spans="6:7" x14ac:dyDescent="0.2">
      <c r="F923" s="392"/>
      <c r="G923" s="522"/>
    </row>
    <row r="924" spans="6:7" x14ac:dyDescent="0.2">
      <c r="F924" s="392"/>
      <c r="G924" s="522"/>
    </row>
    <row r="925" spans="6:7" x14ac:dyDescent="0.2">
      <c r="F925" s="392"/>
      <c r="G925" s="522"/>
    </row>
    <row r="926" spans="6:7" x14ac:dyDescent="0.2">
      <c r="F926" s="392"/>
      <c r="G926" s="522"/>
    </row>
    <row r="927" spans="6:7" x14ac:dyDescent="0.2">
      <c r="F927" s="392"/>
      <c r="G927" s="522"/>
    </row>
    <row r="928" spans="6:7" x14ac:dyDescent="0.2">
      <c r="F928" s="392"/>
      <c r="G928" s="522"/>
    </row>
    <row r="929" spans="6:7" x14ac:dyDescent="0.2">
      <c r="F929" s="392"/>
      <c r="G929" s="522"/>
    </row>
    <row r="930" spans="6:7" x14ac:dyDescent="0.2">
      <c r="F930" s="392"/>
      <c r="G930" s="522"/>
    </row>
    <row r="931" spans="6:7" x14ac:dyDescent="0.2">
      <c r="F931" s="392"/>
      <c r="G931" s="522"/>
    </row>
    <row r="932" spans="6:7" x14ac:dyDescent="0.2">
      <c r="F932" s="392"/>
      <c r="G932" s="522"/>
    </row>
    <row r="933" spans="6:7" x14ac:dyDescent="0.2">
      <c r="F933" s="392"/>
      <c r="G933" s="522"/>
    </row>
    <row r="934" spans="6:7" x14ac:dyDescent="0.2">
      <c r="F934" s="392"/>
      <c r="G934" s="522"/>
    </row>
    <row r="935" spans="6:7" x14ac:dyDescent="0.2">
      <c r="F935" s="392"/>
      <c r="G935" s="522"/>
    </row>
    <row r="936" spans="6:7" x14ac:dyDescent="0.2">
      <c r="F936" s="392"/>
      <c r="G936" s="522"/>
    </row>
    <row r="937" spans="6:7" x14ac:dyDescent="0.2">
      <c r="F937" s="392"/>
      <c r="G937" s="522"/>
    </row>
    <row r="938" spans="6:7" x14ac:dyDescent="0.2">
      <c r="F938" s="392"/>
      <c r="G938" s="522"/>
    </row>
    <row r="939" spans="6:7" x14ac:dyDescent="0.2">
      <c r="F939" s="392"/>
      <c r="G939" s="522"/>
    </row>
    <row r="940" spans="6:7" x14ac:dyDescent="0.2">
      <c r="F940" s="392"/>
      <c r="G940" s="522"/>
    </row>
    <row r="941" spans="6:7" x14ac:dyDescent="0.2">
      <c r="F941" s="392"/>
      <c r="G941" s="522"/>
    </row>
    <row r="942" spans="6:7" x14ac:dyDescent="0.2">
      <c r="F942" s="392"/>
      <c r="G942" s="522"/>
    </row>
    <row r="943" spans="6:7" x14ac:dyDescent="0.2">
      <c r="F943" s="392"/>
      <c r="G943" s="522"/>
    </row>
    <row r="944" spans="6:7" x14ac:dyDescent="0.2">
      <c r="F944" s="392"/>
      <c r="G944" s="522"/>
    </row>
    <row r="945" spans="6:7" x14ac:dyDescent="0.2">
      <c r="F945" s="392"/>
      <c r="G945" s="522"/>
    </row>
    <row r="946" spans="6:7" x14ac:dyDescent="0.2">
      <c r="F946" s="392"/>
      <c r="G946" s="522"/>
    </row>
    <row r="947" spans="6:7" x14ac:dyDescent="0.2">
      <c r="F947" s="392"/>
      <c r="G947" s="522"/>
    </row>
    <row r="948" spans="6:7" x14ac:dyDescent="0.2">
      <c r="F948" s="392"/>
      <c r="G948" s="522"/>
    </row>
    <row r="949" spans="6:7" x14ac:dyDescent="0.2">
      <c r="F949" s="392"/>
      <c r="G949" s="522"/>
    </row>
    <row r="950" spans="6:7" x14ac:dyDescent="0.2">
      <c r="F950" s="392"/>
      <c r="G950" s="522"/>
    </row>
    <row r="951" spans="6:7" x14ac:dyDescent="0.2">
      <c r="F951" s="392"/>
      <c r="G951" s="522"/>
    </row>
    <row r="952" spans="6:7" x14ac:dyDescent="0.2">
      <c r="F952" s="392"/>
      <c r="G952" s="522"/>
    </row>
    <row r="953" spans="6:7" x14ac:dyDescent="0.2">
      <c r="F953" s="392"/>
      <c r="G953" s="522"/>
    </row>
    <row r="954" spans="6:7" x14ac:dyDescent="0.2">
      <c r="F954" s="392"/>
      <c r="G954" s="522"/>
    </row>
    <row r="955" spans="6:7" x14ac:dyDescent="0.2">
      <c r="F955" s="392"/>
      <c r="G955" s="522"/>
    </row>
    <row r="956" spans="6:7" x14ac:dyDescent="0.2">
      <c r="F956" s="392"/>
      <c r="G956" s="522"/>
    </row>
    <row r="957" spans="6:7" x14ac:dyDescent="0.2">
      <c r="F957" s="392"/>
      <c r="G957" s="522"/>
    </row>
    <row r="958" spans="6:7" x14ac:dyDescent="0.2">
      <c r="F958" s="392"/>
      <c r="G958" s="522"/>
    </row>
    <row r="959" spans="6:7" x14ac:dyDescent="0.2">
      <c r="F959" s="392"/>
      <c r="G959" s="522"/>
    </row>
    <row r="960" spans="6:7" x14ac:dyDescent="0.2">
      <c r="F960" s="392"/>
      <c r="G960" s="522"/>
    </row>
    <row r="961" spans="6:7" x14ac:dyDescent="0.2">
      <c r="F961" s="392"/>
      <c r="G961" s="522"/>
    </row>
    <row r="962" spans="6:7" x14ac:dyDescent="0.2">
      <c r="F962" s="392"/>
      <c r="G962" s="522"/>
    </row>
    <row r="963" spans="6:7" x14ac:dyDescent="0.2">
      <c r="F963" s="392"/>
      <c r="G963" s="522"/>
    </row>
    <row r="964" spans="6:7" x14ac:dyDescent="0.2">
      <c r="F964" s="392"/>
      <c r="G964" s="522"/>
    </row>
    <row r="965" spans="6:7" x14ac:dyDescent="0.2">
      <c r="F965" s="392"/>
      <c r="G965" s="522"/>
    </row>
    <row r="966" spans="6:7" x14ac:dyDescent="0.2">
      <c r="F966" s="392"/>
      <c r="G966" s="522"/>
    </row>
    <row r="967" spans="6:7" x14ac:dyDescent="0.2">
      <c r="F967" s="392"/>
      <c r="G967" s="522"/>
    </row>
    <row r="968" spans="6:7" x14ac:dyDescent="0.2">
      <c r="F968" s="392"/>
      <c r="G968" s="522"/>
    </row>
    <row r="969" spans="6:7" x14ac:dyDescent="0.2">
      <c r="F969" s="392"/>
      <c r="G969" s="522"/>
    </row>
    <row r="970" spans="6:7" x14ac:dyDescent="0.2">
      <c r="F970" s="392"/>
      <c r="G970" s="522"/>
    </row>
    <row r="971" spans="6:7" x14ac:dyDescent="0.2">
      <c r="F971" s="392"/>
      <c r="G971" s="522"/>
    </row>
    <row r="972" spans="6:7" x14ac:dyDescent="0.2">
      <c r="F972" s="392"/>
      <c r="G972" s="522"/>
    </row>
    <row r="973" spans="6:7" x14ac:dyDescent="0.2">
      <c r="F973" s="392"/>
      <c r="G973" s="522"/>
    </row>
    <row r="974" spans="6:7" x14ac:dyDescent="0.2">
      <c r="F974" s="392"/>
      <c r="G974" s="522"/>
    </row>
    <row r="975" spans="6:7" x14ac:dyDescent="0.2">
      <c r="F975" s="392"/>
      <c r="G975" s="522"/>
    </row>
    <row r="976" spans="6:7" x14ac:dyDescent="0.2">
      <c r="F976" s="392"/>
      <c r="G976" s="522"/>
    </row>
    <row r="977" spans="6:7" x14ac:dyDescent="0.2">
      <c r="F977" s="392"/>
      <c r="G977" s="522"/>
    </row>
    <row r="978" spans="6:7" x14ac:dyDescent="0.2">
      <c r="F978" s="392"/>
      <c r="G978" s="522"/>
    </row>
    <row r="979" spans="6:7" x14ac:dyDescent="0.2">
      <c r="F979" s="392"/>
      <c r="G979" s="522"/>
    </row>
    <row r="980" spans="6:7" x14ac:dyDescent="0.2">
      <c r="F980" s="392"/>
      <c r="G980" s="522"/>
    </row>
    <row r="981" spans="6:7" x14ac:dyDescent="0.2">
      <c r="F981" s="392"/>
      <c r="G981" s="522"/>
    </row>
    <row r="982" spans="6:7" x14ac:dyDescent="0.2">
      <c r="F982" s="392"/>
      <c r="G982" s="522"/>
    </row>
    <row r="983" spans="6:7" x14ac:dyDescent="0.2">
      <c r="F983" s="392"/>
      <c r="G983" s="522"/>
    </row>
    <row r="984" spans="6:7" x14ac:dyDescent="0.2">
      <c r="F984" s="392"/>
      <c r="G984" s="522"/>
    </row>
    <row r="985" spans="6:7" x14ac:dyDescent="0.2">
      <c r="F985" s="392"/>
      <c r="G985" s="522"/>
    </row>
    <row r="986" spans="6:7" x14ac:dyDescent="0.2">
      <c r="F986" s="392"/>
      <c r="G986" s="522"/>
    </row>
    <row r="987" spans="6:7" x14ac:dyDescent="0.2">
      <c r="F987" s="392"/>
      <c r="G987" s="522"/>
    </row>
    <row r="988" spans="6:7" x14ac:dyDescent="0.2">
      <c r="F988" s="392"/>
      <c r="G988" s="522"/>
    </row>
    <row r="989" spans="6:7" x14ac:dyDescent="0.2">
      <c r="F989" s="392"/>
      <c r="G989" s="522"/>
    </row>
    <row r="990" spans="6:7" x14ac:dyDescent="0.2">
      <c r="F990" s="392"/>
      <c r="G990" s="522"/>
    </row>
    <row r="991" spans="6:7" x14ac:dyDescent="0.2">
      <c r="F991" s="392"/>
      <c r="G991" s="522"/>
    </row>
    <row r="992" spans="6:7" x14ac:dyDescent="0.2">
      <c r="F992" s="392"/>
      <c r="G992" s="522"/>
    </row>
    <row r="993" spans="6:7" x14ac:dyDescent="0.2">
      <c r="F993" s="392"/>
      <c r="G993" s="522"/>
    </row>
    <row r="994" spans="6:7" x14ac:dyDescent="0.2">
      <c r="F994" s="392"/>
      <c r="G994" s="522"/>
    </row>
    <row r="995" spans="6:7" x14ac:dyDescent="0.2">
      <c r="F995" s="392"/>
      <c r="G995" s="522"/>
    </row>
    <row r="996" spans="6:7" x14ac:dyDescent="0.2">
      <c r="F996" s="392"/>
      <c r="G996" s="522"/>
    </row>
    <row r="997" spans="6:7" x14ac:dyDescent="0.2">
      <c r="F997" s="392"/>
      <c r="G997" s="522"/>
    </row>
    <row r="998" spans="6:7" x14ac:dyDescent="0.2">
      <c r="F998" s="392"/>
      <c r="G998" s="522"/>
    </row>
    <row r="999" spans="6:7" x14ac:dyDescent="0.2">
      <c r="F999" s="392"/>
      <c r="G999" s="522"/>
    </row>
    <row r="1000" spans="6:7" x14ac:dyDescent="0.2">
      <c r="F1000" s="392"/>
      <c r="G1000" s="522"/>
    </row>
    <row r="1001" spans="6:7" x14ac:dyDescent="0.2">
      <c r="F1001" s="392"/>
      <c r="G1001" s="522"/>
    </row>
    <row r="1002" spans="6:7" x14ac:dyDescent="0.2">
      <c r="F1002" s="392"/>
      <c r="G1002" s="522"/>
    </row>
    <row r="1003" spans="6:7" x14ac:dyDescent="0.2">
      <c r="F1003" s="392"/>
      <c r="G1003" s="522"/>
    </row>
    <row r="1004" spans="6:7" x14ac:dyDescent="0.2">
      <c r="F1004" s="392"/>
      <c r="G1004" s="522"/>
    </row>
    <row r="1005" spans="6:7" x14ac:dyDescent="0.2">
      <c r="F1005" s="392"/>
      <c r="G1005" s="522"/>
    </row>
    <row r="1006" spans="6:7" x14ac:dyDescent="0.2">
      <c r="F1006" s="392"/>
      <c r="G1006" s="522"/>
    </row>
    <row r="1007" spans="6:7" x14ac:dyDescent="0.2">
      <c r="F1007" s="392"/>
      <c r="G1007" s="522"/>
    </row>
    <row r="1008" spans="6:7" x14ac:dyDescent="0.2">
      <c r="F1008" s="392"/>
      <c r="G1008" s="522"/>
    </row>
    <row r="1009" spans="6:7" x14ac:dyDescent="0.2">
      <c r="F1009" s="392"/>
      <c r="G1009" s="522"/>
    </row>
    <row r="1010" spans="6:7" x14ac:dyDescent="0.2">
      <c r="F1010" s="392"/>
      <c r="G1010" s="522"/>
    </row>
    <row r="1011" spans="6:7" x14ac:dyDescent="0.2">
      <c r="F1011" s="392"/>
      <c r="G1011" s="522"/>
    </row>
    <row r="1012" spans="6:7" x14ac:dyDescent="0.2">
      <c r="F1012" s="392"/>
      <c r="G1012" s="522"/>
    </row>
    <row r="1013" spans="6:7" x14ac:dyDescent="0.2">
      <c r="F1013" s="392"/>
      <c r="G1013" s="522"/>
    </row>
    <row r="1014" spans="6:7" x14ac:dyDescent="0.2">
      <c r="F1014" s="392"/>
      <c r="G1014" s="522"/>
    </row>
    <row r="1015" spans="6:7" x14ac:dyDescent="0.2">
      <c r="F1015" s="392"/>
      <c r="G1015" s="522"/>
    </row>
    <row r="1016" spans="6:7" x14ac:dyDescent="0.2">
      <c r="F1016" s="392"/>
      <c r="G1016" s="522"/>
    </row>
    <row r="1017" spans="6:7" x14ac:dyDescent="0.2">
      <c r="F1017" s="392"/>
      <c r="G1017" s="522"/>
    </row>
    <row r="1018" spans="6:7" x14ac:dyDescent="0.2">
      <c r="F1018" s="392"/>
      <c r="G1018" s="522"/>
    </row>
    <row r="1019" spans="6:7" x14ac:dyDescent="0.2">
      <c r="F1019" s="392"/>
      <c r="G1019" s="522"/>
    </row>
    <row r="1020" spans="6:7" x14ac:dyDescent="0.2">
      <c r="F1020" s="392"/>
      <c r="G1020" s="522"/>
    </row>
    <row r="1021" spans="6:7" x14ac:dyDescent="0.2">
      <c r="F1021" s="392"/>
      <c r="G1021" s="522"/>
    </row>
    <row r="1022" spans="6:7" x14ac:dyDescent="0.2">
      <c r="F1022" s="392"/>
      <c r="G1022" s="522"/>
    </row>
    <row r="1023" spans="6:7" x14ac:dyDescent="0.2">
      <c r="F1023" s="392"/>
      <c r="G1023" s="522"/>
    </row>
    <row r="1024" spans="6:7" x14ac:dyDescent="0.2">
      <c r="F1024" s="392"/>
      <c r="G1024" s="522"/>
    </row>
    <row r="1025" spans="6:7" x14ac:dyDescent="0.2">
      <c r="F1025" s="392"/>
      <c r="G1025" s="522"/>
    </row>
    <row r="1026" spans="6:7" x14ac:dyDescent="0.2">
      <c r="F1026" s="392"/>
      <c r="G1026" s="522"/>
    </row>
    <row r="1027" spans="6:7" x14ac:dyDescent="0.2">
      <c r="F1027" s="392"/>
      <c r="G1027" s="522"/>
    </row>
    <row r="1028" spans="6:7" x14ac:dyDescent="0.2">
      <c r="F1028" s="392"/>
      <c r="G1028" s="522"/>
    </row>
    <row r="1029" spans="6:7" x14ac:dyDescent="0.2">
      <c r="F1029" s="392"/>
      <c r="G1029" s="522"/>
    </row>
    <row r="1030" spans="6:7" x14ac:dyDescent="0.2">
      <c r="F1030" s="392"/>
      <c r="G1030" s="522"/>
    </row>
    <row r="1031" spans="6:7" x14ac:dyDescent="0.2">
      <c r="F1031" s="392"/>
      <c r="G1031" s="522"/>
    </row>
    <row r="1032" spans="6:7" x14ac:dyDescent="0.2">
      <c r="F1032" s="392"/>
      <c r="G1032" s="522"/>
    </row>
    <row r="1033" spans="6:7" x14ac:dyDescent="0.2">
      <c r="F1033" s="392"/>
      <c r="G1033" s="522"/>
    </row>
    <row r="1034" spans="6:7" x14ac:dyDescent="0.2">
      <c r="F1034" s="392"/>
      <c r="G1034" s="522"/>
    </row>
    <row r="1035" spans="6:7" x14ac:dyDescent="0.2">
      <c r="F1035" s="392"/>
      <c r="G1035" s="522"/>
    </row>
    <row r="1036" spans="6:7" x14ac:dyDescent="0.2">
      <c r="F1036" s="392"/>
      <c r="G1036" s="522"/>
    </row>
    <row r="1037" spans="6:7" x14ac:dyDescent="0.2">
      <c r="F1037" s="392"/>
      <c r="G1037" s="522"/>
    </row>
    <row r="1038" spans="6:7" x14ac:dyDescent="0.2">
      <c r="F1038" s="392"/>
      <c r="G1038" s="522"/>
    </row>
    <row r="1039" spans="6:7" x14ac:dyDescent="0.2">
      <c r="F1039" s="392"/>
      <c r="G1039" s="522"/>
    </row>
    <row r="1040" spans="6:7" x14ac:dyDescent="0.2">
      <c r="F1040" s="392"/>
      <c r="G1040" s="522"/>
    </row>
    <row r="1041" spans="6:7" x14ac:dyDescent="0.2">
      <c r="F1041" s="392"/>
      <c r="G1041" s="522"/>
    </row>
    <row r="1042" spans="6:7" x14ac:dyDescent="0.2">
      <c r="F1042" s="392"/>
      <c r="G1042" s="522"/>
    </row>
    <row r="1043" spans="6:7" x14ac:dyDescent="0.2">
      <c r="F1043" s="392"/>
      <c r="G1043" s="522"/>
    </row>
    <row r="1044" spans="6:7" x14ac:dyDescent="0.2">
      <c r="F1044" s="392"/>
      <c r="G1044" s="522"/>
    </row>
    <row r="1045" spans="6:7" x14ac:dyDescent="0.2">
      <c r="F1045" s="392"/>
      <c r="G1045" s="522"/>
    </row>
    <row r="1046" spans="6:7" x14ac:dyDescent="0.2">
      <c r="F1046" s="392"/>
      <c r="G1046" s="522"/>
    </row>
    <row r="1047" spans="6:7" x14ac:dyDescent="0.2">
      <c r="F1047" s="392"/>
      <c r="G1047" s="522"/>
    </row>
    <row r="1048" spans="6:7" x14ac:dyDescent="0.2">
      <c r="F1048" s="392"/>
      <c r="G1048" s="522"/>
    </row>
    <row r="1049" spans="6:7" x14ac:dyDescent="0.2">
      <c r="F1049" s="392"/>
      <c r="G1049" s="522"/>
    </row>
    <row r="1050" spans="6:7" x14ac:dyDescent="0.2">
      <c r="F1050" s="392"/>
      <c r="G1050" s="522"/>
    </row>
    <row r="1051" spans="6:7" x14ac:dyDescent="0.2">
      <c r="F1051" s="392"/>
      <c r="G1051" s="522"/>
    </row>
    <row r="1052" spans="6:7" x14ac:dyDescent="0.2">
      <c r="F1052" s="392"/>
      <c r="G1052" s="522"/>
    </row>
    <row r="1053" spans="6:7" x14ac:dyDescent="0.2">
      <c r="F1053" s="392"/>
      <c r="G1053" s="522"/>
    </row>
    <row r="1054" spans="6:7" x14ac:dyDescent="0.2">
      <c r="F1054" s="392"/>
      <c r="G1054" s="522"/>
    </row>
    <row r="1055" spans="6:7" x14ac:dyDescent="0.2">
      <c r="F1055" s="392"/>
      <c r="G1055" s="522"/>
    </row>
    <row r="1056" spans="6:7" x14ac:dyDescent="0.2">
      <c r="F1056" s="392"/>
      <c r="G1056" s="522"/>
    </row>
    <row r="1057" spans="6:7" x14ac:dyDescent="0.2">
      <c r="F1057" s="392"/>
      <c r="G1057" s="522"/>
    </row>
    <row r="1058" spans="6:7" x14ac:dyDescent="0.2">
      <c r="F1058" s="392"/>
      <c r="G1058" s="522"/>
    </row>
    <row r="1059" spans="6:7" x14ac:dyDescent="0.2">
      <c r="F1059" s="392"/>
      <c r="G1059" s="522"/>
    </row>
    <row r="1060" spans="6:7" x14ac:dyDescent="0.2">
      <c r="F1060" s="392"/>
      <c r="G1060" s="522"/>
    </row>
    <row r="1061" spans="6:7" x14ac:dyDescent="0.2">
      <c r="F1061" s="392"/>
      <c r="G1061" s="522"/>
    </row>
    <row r="1062" spans="6:7" x14ac:dyDescent="0.2">
      <c r="F1062" s="392"/>
      <c r="G1062" s="522"/>
    </row>
    <row r="1063" spans="6:7" x14ac:dyDescent="0.2">
      <c r="F1063" s="392"/>
      <c r="G1063" s="522"/>
    </row>
    <row r="1064" spans="6:7" x14ac:dyDescent="0.2">
      <c r="F1064" s="392"/>
      <c r="G1064" s="522"/>
    </row>
    <row r="1065" spans="6:7" x14ac:dyDescent="0.2">
      <c r="F1065" s="392"/>
      <c r="G1065" s="522"/>
    </row>
    <row r="1066" spans="6:7" x14ac:dyDescent="0.2">
      <c r="F1066" s="392"/>
      <c r="G1066" s="522"/>
    </row>
    <row r="1067" spans="6:7" x14ac:dyDescent="0.2">
      <c r="F1067" s="392"/>
      <c r="G1067" s="522"/>
    </row>
    <row r="1068" spans="6:7" x14ac:dyDescent="0.2">
      <c r="F1068" s="392"/>
      <c r="G1068" s="522"/>
    </row>
    <row r="1069" spans="6:7" x14ac:dyDescent="0.2">
      <c r="F1069" s="392"/>
      <c r="G1069" s="522"/>
    </row>
    <row r="1070" spans="6:7" x14ac:dyDescent="0.2">
      <c r="F1070" s="392"/>
      <c r="G1070" s="522"/>
    </row>
    <row r="1071" spans="6:7" x14ac:dyDescent="0.2">
      <c r="F1071" s="392"/>
      <c r="G1071" s="522"/>
    </row>
    <row r="1072" spans="6:7" x14ac:dyDescent="0.2">
      <c r="F1072" s="392"/>
      <c r="G1072" s="522"/>
    </row>
    <row r="1073" spans="6:7" x14ac:dyDescent="0.2">
      <c r="F1073" s="392"/>
      <c r="G1073" s="522"/>
    </row>
    <row r="1074" spans="6:7" x14ac:dyDescent="0.2">
      <c r="F1074" s="392"/>
      <c r="G1074" s="522"/>
    </row>
    <row r="1075" spans="6:7" x14ac:dyDescent="0.2">
      <c r="F1075" s="392"/>
      <c r="G1075" s="522"/>
    </row>
    <row r="1076" spans="6:7" x14ac:dyDescent="0.2">
      <c r="F1076" s="392"/>
      <c r="G1076" s="522"/>
    </row>
    <row r="1077" spans="6:7" x14ac:dyDescent="0.2">
      <c r="F1077" s="392"/>
      <c r="G1077" s="522"/>
    </row>
    <row r="1078" spans="6:7" x14ac:dyDescent="0.2">
      <c r="F1078" s="392"/>
      <c r="G1078" s="522"/>
    </row>
    <row r="1079" spans="6:7" x14ac:dyDescent="0.2">
      <c r="F1079" s="392"/>
      <c r="G1079" s="522"/>
    </row>
    <row r="1080" spans="6:7" x14ac:dyDescent="0.2">
      <c r="F1080" s="392"/>
      <c r="G1080" s="522"/>
    </row>
    <row r="1081" spans="6:7" x14ac:dyDescent="0.2">
      <c r="F1081" s="392"/>
      <c r="G1081" s="522"/>
    </row>
    <row r="1082" spans="6:7" x14ac:dyDescent="0.2">
      <c r="F1082" s="392"/>
      <c r="G1082" s="522"/>
    </row>
    <row r="1083" spans="6:7" x14ac:dyDescent="0.2">
      <c r="F1083" s="392"/>
      <c r="G1083" s="522"/>
    </row>
    <row r="1084" spans="6:7" x14ac:dyDescent="0.2">
      <c r="F1084" s="392"/>
      <c r="G1084" s="522"/>
    </row>
    <row r="1085" spans="6:7" x14ac:dyDescent="0.2">
      <c r="F1085" s="392"/>
      <c r="G1085" s="522"/>
    </row>
    <row r="1086" spans="6:7" x14ac:dyDescent="0.2">
      <c r="F1086" s="392"/>
      <c r="G1086" s="522"/>
    </row>
    <row r="1087" spans="6:7" x14ac:dyDescent="0.2">
      <c r="F1087" s="392"/>
      <c r="G1087" s="522"/>
    </row>
    <row r="1088" spans="6:7" x14ac:dyDescent="0.2">
      <c r="F1088" s="392"/>
      <c r="G1088" s="522"/>
    </row>
    <row r="1089" spans="6:7" x14ac:dyDescent="0.2">
      <c r="F1089" s="392"/>
      <c r="G1089" s="522"/>
    </row>
    <row r="1090" spans="6:7" x14ac:dyDescent="0.2">
      <c r="F1090" s="392"/>
      <c r="G1090" s="522"/>
    </row>
    <row r="1091" spans="6:7" x14ac:dyDescent="0.2">
      <c r="F1091" s="392"/>
      <c r="G1091" s="522"/>
    </row>
    <row r="1092" spans="6:7" x14ac:dyDescent="0.2">
      <c r="F1092" s="392"/>
      <c r="G1092" s="522"/>
    </row>
    <row r="1093" spans="6:7" x14ac:dyDescent="0.2">
      <c r="F1093" s="392"/>
      <c r="G1093" s="522"/>
    </row>
    <row r="1094" spans="6:7" x14ac:dyDescent="0.2">
      <c r="F1094" s="392"/>
      <c r="G1094" s="522"/>
    </row>
    <row r="1095" spans="6:7" x14ac:dyDescent="0.2">
      <c r="F1095" s="392"/>
      <c r="G1095" s="522"/>
    </row>
    <row r="1096" spans="6:7" x14ac:dyDescent="0.2">
      <c r="F1096" s="392"/>
      <c r="G1096" s="522"/>
    </row>
    <row r="1097" spans="6:7" x14ac:dyDescent="0.2">
      <c r="F1097" s="392"/>
      <c r="G1097" s="522"/>
    </row>
    <row r="1098" spans="6:7" x14ac:dyDescent="0.2">
      <c r="F1098" s="392"/>
      <c r="G1098" s="522"/>
    </row>
    <row r="1099" spans="6:7" x14ac:dyDescent="0.2">
      <c r="F1099" s="392"/>
      <c r="G1099" s="522"/>
    </row>
    <row r="1100" spans="6:7" x14ac:dyDescent="0.2">
      <c r="F1100" s="392"/>
      <c r="G1100" s="522"/>
    </row>
    <row r="1101" spans="6:7" x14ac:dyDescent="0.2">
      <c r="F1101" s="392"/>
      <c r="G1101" s="522"/>
    </row>
    <row r="1102" spans="6:7" x14ac:dyDescent="0.2">
      <c r="F1102" s="392"/>
      <c r="G1102" s="522"/>
    </row>
    <row r="1103" spans="6:7" x14ac:dyDescent="0.2">
      <c r="F1103" s="392"/>
      <c r="G1103" s="522"/>
    </row>
    <row r="1104" spans="6:7" x14ac:dyDescent="0.2">
      <c r="F1104" s="392"/>
      <c r="G1104" s="522"/>
    </row>
    <row r="1105" spans="6:7" x14ac:dyDescent="0.2">
      <c r="F1105" s="392"/>
      <c r="G1105" s="522"/>
    </row>
    <row r="1106" spans="6:7" x14ac:dyDescent="0.2">
      <c r="F1106" s="392"/>
      <c r="G1106" s="522"/>
    </row>
    <row r="1107" spans="6:7" x14ac:dyDescent="0.2">
      <c r="F1107" s="392"/>
      <c r="G1107" s="522"/>
    </row>
    <row r="1108" spans="6:7" x14ac:dyDescent="0.2">
      <c r="F1108" s="392"/>
      <c r="G1108" s="522"/>
    </row>
    <row r="1109" spans="6:7" x14ac:dyDescent="0.2">
      <c r="F1109" s="392"/>
      <c r="G1109" s="522"/>
    </row>
    <row r="1110" spans="6:7" x14ac:dyDescent="0.2">
      <c r="F1110" s="392"/>
      <c r="G1110" s="522"/>
    </row>
    <row r="1111" spans="6:7" x14ac:dyDescent="0.2">
      <c r="F1111" s="392"/>
      <c r="G1111" s="522"/>
    </row>
    <row r="1112" spans="6:7" x14ac:dyDescent="0.2">
      <c r="F1112" s="392"/>
      <c r="G1112" s="522"/>
    </row>
    <row r="1113" spans="6:7" x14ac:dyDescent="0.2">
      <c r="F1113" s="392"/>
      <c r="G1113" s="522"/>
    </row>
    <row r="1114" spans="6:7" x14ac:dyDescent="0.2">
      <c r="F1114" s="392"/>
      <c r="G1114" s="522"/>
    </row>
    <row r="1115" spans="6:7" x14ac:dyDescent="0.2">
      <c r="F1115" s="392"/>
      <c r="G1115" s="522"/>
    </row>
    <row r="1116" spans="6:7" x14ac:dyDescent="0.2">
      <c r="F1116" s="392"/>
      <c r="G1116" s="522"/>
    </row>
    <row r="1117" spans="6:7" x14ac:dyDescent="0.2">
      <c r="F1117" s="392"/>
      <c r="G1117" s="522"/>
    </row>
    <row r="1118" spans="6:7" x14ac:dyDescent="0.2">
      <c r="F1118" s="392"/>
      <c r="G1118" s="522"/>
    </row>
    <row r="1119" spans="6:7" x14ac:dyDescent="0.2">
      <c r="F1119" s="392"/>
      <c r="G1119" s="522"/>
    </row>
    <row r="1120" spans="6:7" x14ac:dyDescent="0.2">
      <c r="F1120" s="392"/>
      <c r="G1120" s="522"/>
    </row>
    <row r="1121" spans="6:7" x14ac:dyDescent="0.2">
      <c r="F1121" s="392"/>
      <c r="G1121" s="522"/>
    </row>
    <row r="1122" spans="6:7" x14ac:dyDescent="0.2">
      <c r="F1122" s="392"/>
      <c r="G1122" s="522"/>
    </row>
    <row r="1123" spans="6:7" x14ac:dyDescent="0.2">
      <c r="F1123" s="392"/>
      <c r="G1123" s="522"/>
    </row>
    <row r="1124" spans="6:7" x14ac:dyDescent="0.2">
      <c r="F1124" s="392"/>
      <c r="G1124" s="522"/>
    </row>
    <row r="1125" spans="6:7" x14ac:dyDescent="0.2">
      <c r="F1125" s="392"/>
      <c r="G1125" s="522"/>
    </row>
    <row r="1126" spans="6:7" x14ac:dyDescent="0.2">
      <c r="F1126" s="392"/>
      <c r="G1126" s="522"/>
    </row>
    <row r="1127" spans="6:7" x14ac:dyDescent="0.2">
      <c r="F1127" s="392"/>
      <c r="G1127" s="522"/>
    </row>
    <row r="1128" spans="6:7" x14ac:dyDescent="0.2">
      <c r="F1128" s="392"/>
      <c r="G1128" s="522"/>
    </row>
    <row r="1129" spans="6:7" x14ac:dyDescent="0.2">
      <c r="F1129" s="392"/>
      <c r="G1129" s="522"/>
    </row>
    <row r="1130" spans="6:7" x14ac:dyDescent="0.2">
      <c r="F1130" s="392"/>
      <c r="G1130" s="522"/>
    </row>
    <row r="1131" spans="6:7" x14ac:dyDescent="0.2">
      <c r="F1131" s="392"/>
      <c r="G1131" s="522"/>
    </row>
    <row r="1132" spans="6:7" x14ac:dyDescent="0.2">
      <c r="F1132" s="392"/>
      <c r="G1132" s="522"/>
    </row>
    <row r="1133" spans="6:7" x14ac:dyDescent="0.2">
      <c r="F1133" s="392"/>
      <c r="G1133" s="522"/>
    </row>
    <row r="1134" spans="6:7" x14ac:dyDescent="0.2">
      <c r="F1134" s="392"/>
      <c r="G1134" s="522"/>
    </row>
    <row r="1135" spans="6:7" x14ac:dyDescent="0.2">
      <c r="F1135" s="392"/>
      <c r="G1135" s="522"/>
    </row>
    <row r="1136" spans="6:7" x14ac:dyDescent="0.2">
      <c r="F1136" s="392"/>
      <c r="G1136" s="522"/>
    </row>
    <row r="1137" spans="6:7" x14ac:dyDescent="0.2">
      <c r="F1137" s="392"/>
      <c r="G1137" s="522"/>
    </row>
    <row r="1138" spans="6:7" x14ac:dyDescent="0.2">
      <c r="F1138" s="392"/>
      <c r="G1138" s="522"/>
    </row>
    <row r="1139" spans="6:7" x14ac:dyDescent="0.2">
      <c r="F1139" s="392"/>
      <c r="G1139" s="522"/>
    </row>
    <row r="1140" spans="6:7" x14ac:dyDescent="0.2">
      <c r="F1140" s="392"/>
      <c r="G1140" s="522"/>
    </row>
    <row r="1141" spans="6:7" x14ac:dyDescent="0.2">
      <c r="F1141" s="392"/>
      <c r="G1141" s="522"/>
    </row>
    <row r="1142" spans="6:7" x14ac:dyDescent="0.2">
      <c r="F1142" s="392"/>
      <c r="G1142" s="522"/>
    </row>
    <row r="1143" spans="6:7" x14ac:dyDescent="0.2">
      <c r="F1143" s="392"/>
      <c r="G1143" s="522"/>
    </row>
    <row r="1144" spans="6:7" x14ac:dyDescent="0.2">
      <c r="F1144" s="392"/>
      <c r="G1144" s="522"/>
    </row>
    <row r="1145" spans="6:7" x14ac:dyDescent="0.2">
      <c r="F1145" s="392"/>
      <c r="G1145" s="522"/>
    </row>
    <row r="1146" spans="6:7" x14ac:dyDescent="0.2">
      <c r="F1146" s="392"/>
      <c r="G1146" s="522"/>
    </row>
    <row r="1147" spans="6:7" x14ac:dyDescent="0.2">
      <c r="F1147" s="392"/>
      <c r="G1147" s="522"/>
    </row>
    <row r="1148" spans="6:7" x14ac:dyDescent="0.2">
      <c r="F1148" s="392"/>
      <c r="G1148" s="522"/>
    </row>
    <row r="1149" spans="6:7" x14ac:dyDescent="0.2">
      <c r="F1149" s="392"/>
      <c r="G1149" s="522"/>
    </row>
    <row r="1150" spans="6:7" x14ac:dyDescent="0.2">
      <c r="F1150" s="392"/>
      <c r="G1150" s="522"/>
    </row>
    <row r="1151" spans="6:7" x14ac:dyDescent="0.2">
      <c r="F1151" s="392"/>
      <c r="G1151" s="522"/>
    </row>
    <row r="1152" spans="6:7" x14ac:dyDescent="0.2">
      <c r="F1152" s="392"/>
      <c r="G1152" s="522"/>
    </row>
    <row r="1153" spans="6:7" x14ac:dyDescent="0.2">
      <c r="F1153" s="392"/>
      <c r="G1153" s="522"/>
    </row>
    <row r="1154" spans="6:7" x14ac:dyDescent="0.2">
      <c r="F1154" s="392"/>
      <c r="G1154" s="522"/>
    </row>
    <row r="1155" spans="6:7" x14ac:dyDescent="0.2">
      <c r="F1155" s="392"/>
      <c r="G1155" s="522"/>
    </row>
    <row r="1156" spans="6:7" x14ac:dyDescent="0.2">
      <c r="F1156" s="392"/>
      <c r="G1156" s="522"/>
    </row>
    <row r="1157" spans="6:7" x14ac:dyDescent="0.2">
      <c r="F1157" s="392"/>
      <c r="G1157" s="522"/>
    </row>
    <row r="1158" spans="6:7" x14ac:dyDescent="0.2">
      <c r="F1158" s="392"/>
      <c r="G1158" s="522"/>
    </row>
    <row r="1159" spans="6:7" x14ac:dyDescent="0.2">
      <c r="F1159" s="392"/>
      <c r="G1159" s="522"/>
    </row>
    <row r="1160" spans="6:7" x14ac:dyDescent="0.2">
      <c r="F1160" s="392"/>
      <c r="G1160" s="522"/>
    </row>
    <row r="1161" spans="6:7" x14ac:dyDescent="0.2">
      <c r="F1161" s="392"/>
      <c r="G1161" s="522"/>
    </row>
    <row r="1162" spans="6:7" x14ac:dyDescent="0.2">
      <c r="F1162" s="392"/>
      <c r="G1162" s="522"/>
    </row>
    <row r="1163" spans="6:7" x14ac:dyDescent="0.2">
      <c r="F1163" s="392"/>
      <c r="G1163" s="522"/>
    </row>
    <row r="1164" spans="6:7" x14ac:dyDescent="0.2">
      <c r="F1164" s="392"/>
      <c r="G1164" s="522"/>
    </row>
    <row r="1165" spans="6:7" x14ac:dyDescent="0.2">
      <c r="F1165" s="392"/>
      <c r="G1165" s="522"/>
    </row>
    <row r="1166" spans="6:7" x14ac:dyDescent="0.2">
      <c r="F1166" s="392"/>
      <c r="G1166" s="522"/>
    </row>
    <row r="1167" spans="6:7" x14ac:dyDescent="0.2">
      <c r="F1167" s="392"/>
      <c r="G1167" s="522"/>
    </row>
    <row r="1168" spans="6:7" x14ac:dyDescent="0.2">
      <c r="F1168" s="392"/>
      <c r="G1168" s="522"/>
    </row>
    <row r="1169" spans="6:7" x14ac:dyDescent="0.2">
      <c r="F1169" s="392"/>
      <c r="G1169" s="522"/>
    </row>
    <row r="1170" spans="6:7" x14ac:dyDescent="0.2">
      <c r="F1170" s="392"/>
      <c r="G1170" s="522"/>
    </row>
    <row r="1171" spans="6:7" x14ac:dyDescent="0.2">
      <c r="F1171" s="392"/>
      <c r="G1171" s="522"/>
    </row>
    <row r="1172" spans="6:7" x14ac:dyDescent="0.2">
      <c r="F1172" s="392"/>
      <c r="G1172" s="522"/>
    </row>
    <row r="1173" spans="6:7" x14ac:dyDescent="0.2">
      <c r="F1173" s="392"/>
      <c r="G1173" s="522"/>
    </row>
    <row r="1174" spans="6:7" x14ac:dyDescent="0.2">
      <c r="F1174" s="392"/>
      <c r="G1174" s="522"/>
    </row>
    <row r="1175" spans="6:7" x14ac:dyDescent="0.2">
      <c r="F1175" s="392"/>
      <c r="G1175" s="522"/>
    </row>
    <row r="1176" spans="6:7" x14ac:dyDescent="0.2">
      <c r="F1176" s="392"/>
      <c r="G1176" s="522"/>
    </row>
    <row r="1177" spans="6:7" x14ac:dyDescent="0.2">
      <c r="F1177" s="392"/>
      <c r="G1177" s="522"/>
    </row>
    <row r="1178" spans="6:7" x14ac:dyDescent="0.2">
      <c r="F1178" s="392"/>
      <c r="G1178" s="522"/>
    </row>
    <row r="1179" spans="6:7" x14ac:dyDescent="0.2">
      <c r="F1179" s="392"/>
      <c r="G1179" s="522"/>
    </row>
    <row r="1180" spans="6:7" x14ac:dyDescent="0.2">
      <c r="F1180" s="392"/>
      <c r="G1180" s="522"/>
    </row>
    <row r="1181" spans="6:7" x14ac:dyDescent="0.2">
      <c r="F1181" s="392"/>
      <c r="G1181" s="522"/>
    </row>
    <row r="1182" spans="6:7" x14ac:dyDescent="0.2">
      <c r="F1182" s="392"/>
      <c r="G1182" s="522"/>
    </row>
    <row r="1183" spans="6:7" x14ac:dyDescent="0.2">
      <c r="F1183" s="392"/>
      <c r="G1183" s="522"/>
    </row>
    <row r="1184" spans="6:7" x14ac:dyDescent="0.2">
      <c r="F1184" s="392"/>
      <c r="G1184" s="522"/>
    </row>
    <row r="1185" spans="6:7" x14ac:dyDescent="0.2">
      <c r="F1185" s="392"/>
      <c r="G1185" s="522"/>
    </row>
    <row r="1186" spans="6:7" x14ac:dyDescent="0.2">
      <c r="F1186" s="392"/>
      <c r="G1186" s="522"/>
    </row>
    <row r="1187" spans="6:7" x14ac:dyDescent="0.2">
      <c r="F1187" s="392"/>
      <c r="G1187" s="522"/>
    </row>
    <row r="1188" spans="6:7" x14ac:dyDescent="0.2">
      <c r="F1188" s="392"/>
      <c r="G1188" s="522"/>
    </row>
    <row r="1189" spans="6:7" x14ac:dyDescent="0.2">
      <c r="F1189" s="392"/>
      <c r="G1189" s="522"/>
    </row>
    <row r="1190" spans="6:7" x14ac:dyDescent="0.2">
      <c r="F1190" s="392"/>
      <c r="G1190" s="522"/>
    </row>
    <row r="1191" spans="6:7" x14ac:dyDescent="0.2">
      <c r="F1191" s="392"/>
      <c r="G1191" s="522"/>
    </row>
    <row r="1192" spans="6:7" x14ac:dyDescent="0.2">
      <c r="F1192" s="392"/>
      <c r="G1192" s="522"/>
    </row>
    <row r="1193" spans="6:7" x14ac:dyDescent="0.2">
      <c r="F1193" s="392"/>
      <c r="G1193" s="522"/>
    </row>
    <row r="1194" spans="6:7" x14ac:dyDescent="0.2">
      <c r="F1194" s="392"/>
      <c r="G1194" s="522"/>
    </row>
    <row r="1195" spans="6:7" x14ac:dyDescent="0.2">
      <c r="F1195" s="392"/>
      <c r="G1195" s="522"/>
    </row>
    <row r="1196" spans="6:7" x14ac:dyDescent="0.2">
      <c r="F1196" s="392"/>
      <c r="G1196" s="522"/>
    </row>
    <row r="1197" spans="6:7" x14ac:dyDescent="0.2">
      <c r="F1197" s="392"/>
      <c r="G1197" s="522"/>
    </row>
    <row r="1198" spans="6:7" x14ac:dyDescent="0.2">
      <c r="F1198" s="392"/>
      <c r="G1198" s="522"/>
    </row>
    <row r="1199" spans="6:7" x14ac:dyDescent="0.2">
      <c r="F1199" s="392"/>
      <c r="G1199" s="522"/>
    </row>
    <row r="1200" spans="6:7" x14ac:dyDescent="0.2">
      <c r="F1200" s="392"/>
      <c r="G1200" s="522"/>
    </row>
    <row r="1201" spans="6:7" x14ac:dyDescent="0.2">
      <c r="F1201" s="392"/>
      <c r="G1201" s="522"/>
    </row>
    <row r="1202" spans="6:7" x14ac:dyDescent="0.2">
      <c r="F1202" s="392"/>
      <c r="G1202" s="522"/>
    </row>
    <row r="1203" spans="6:7" x14ac:dyDescent="0.2">
      <c r="F1203" s="392"/>
      <c r="G1203" s="522"/>
    </row>
    <row r="1204" spans="6:7" x14ac:dyDescent="0.2">
      <c r="F1204" s="392"/>
      <c r="G1204" s="522"/>
    </row>
    <row r="1205" spans="6:7" x14ac:dyDescent="0.2">
      <c r="F1205" s="392"/>
      <c r="G1205" s="522"/>
    </row>
    <row r="1206" spans="6:7" x14ac:dyDescent="0.2">
      <c r="F1206" s="392"/>
      <c r="G1206" s="522"/>
    </row>
    <row r="1207" spans="6:7" x14ac:dyDescent="0.2">
      <c r="F1207" s="392"/>
      <c r="G1207" s="522"/>
    </row>
    <row r="1208" spans="6:7" x14ac:dyDescent="0.2">
      <c r="F1208" s="392"/>
      <c r="G1208" s="522"/>
    </row>
    <row r="1209" spans="6:7" x14ac:dyDescent="0.2">
      <c r="F1209" s="392"/>
      <c r="G1209" s="522"/>
    </row>
    <row r="1210" spans="6:7" x14ac:dyDescent="0.2">
      <c r="F1210" s="392"/>
      <c r="G1210" s="522"/>
    </row>
    <row r="1211" spans="6:7" x14ac:dyDescent="0.2">
      <c r="F1211" s="392"/>
      <c r="G1211" s="522"/>
    </row>
    <row r="1212" spans="6:7" x14ac:dyDescent="0.2">
      <c r="F1212" s="392"/>
      <c r="G1212" s="522"/>
    </row>
    <row r="1213" spans="6:7" x14ac:dyDescent="0.2">
      <c r="F1213" s="392"/>
      <c r="G1213" s="522"/>
    </row>
    <row r="1214" spans="6:7" x14ac:dyDescent="0.2">
      <c r="F1214" s="392"/>
      <c r="G1214" s="522"/>
    </row>
    <row r="1215" spans="6:7" x14ac:dyDescent="0.2">
      <c r="F1215" s="392"/>
      <c r="G1215" s="522"/>
    </row>
    <row r="1216" spans="6:7" x14ac:dyDescent="0.2">
      <c r="F1216" s="392"/>
      <c r="G1216" s="522"/>
    </row>
    <row r="1217" spans="6:7" x14ac:dyDescent="0.2">
      <c r="F1217" s="392"/>
      <c r="G1217" s="522"/>
    </row>
    <row r="1218" spans="6:7" x14ac:dyDescent="0.2">
      <c r="F1218" s="392"/>
      <c r="G1218" s="522"/>
    </row>
    <row r="1219" spans="6:7" x14ac:dyDescent="0.2">
      <c r="F1219" s="392"/>
      <c r="G1219" s="522"/>
    </row>
    <row r="1220" spans="6:7" x14ac:dyDescent="0.2">
      <c r="F1220" s="392"/>
      <c r="G1220" s="522"/>
    </row>
    <row r="1221" spans="6:7" x14ac:dyDescent="0.2">
      <c r="F1221" s="392"/>
      <c r="G1221" s="522"/>
    </row>
    <row r="1222" spans="6:7" x14ac:dyDescent="0.2">
      <c r="F1222" s="392"/>
      <c r="G1222" s="522"/>
    </row>
    <row r="1223" spans="6:7" x14ac:dyDescent="0.2">
      <c r="F1223" s="392"/>
      <c r="G1223" s="522"/>
    </row>
    <row r="1224" spans="6:7" x14ac:dyDescent="0.2">
      <c r="F1224" s="392"/>
      <c r="G1224" s="522"/>
    </row>
    <row r="1225" spans="6:7" x14ac:dyDescent="0.2">
      <c r="F1225" s="392"/>
      <c r="G1225" s="522"/>
    </row>
    <row r="1226" spans="6:7" x14ac:dyDescent="0.2">
      <c r="F1226" s="392"/>
      <c r="G1226" s="522"/>
    </row>
    <row r="1227" spans="6:7" x14ac:dyDescent="0.2">
      <c r="F1227" s="392"/>
      <c r="G1227" s="522"/>
    </row>
    <row r="1228" spans="6:7" x14ac:dyDescent="0.2">
      <c r="F1228" s="392"/>
      <c r="G1228" s="522"/>
    </row>
    <row r="1229" spans="6:7" x14ac:dyDescent="0.2">
      <c r="F1229" s="392"/>
      <c r="G1229" s="522"/>
    </row>
    <row r="1230" spans="6:7" x14ac:dyDescent="0.2">
      <c r="F1230" s="392"/>
      <c r="G1230" s="522"/>
    </row>
    <row r="1231" spans="6:7" x14ac:dyDescent="0.2">
      <c r="F1231" s="392"/>
      <c r="G1231" s="522"/>
    </row>
    <row r="1232" spans="6:7" x14ac:dyDescent="0.2">
      <c r="F1232" s="392"/>
      <c r="G1232" s="522"/>
    </row>
    <row r="1233" spans="6:7" x14ac:dyDescent="0.2">
      <c r="F1233" s="392"/>
      <c r="G1233" s="522"/>
    </row>
    <row r="1234" spans="6:7" x14ac:dyDescent="0.2">
      <c r="F1234" s="392"/>
      <c r="G1234" s="522"/>
    </row>
    <row r="1235" spans="6:7" x14ac:dyDescent="0.2">
      <c r="F1235" s="392"/>
      <c r="G1235" s="522"/>
    </row>
    <row r="1236" spans="6:7" x14ac:dyDescent="0.2">
      <c r="F1236" s="392"/>
      <c r="G1236" s="522"/>
    </row>
    <row r="1237" spans="6:7" x14ac:dyDescent="0.2">
      <c r="F1237" s="392"/>
      <c r="G1237" s="522"/>
    </row>
    <row r="1238" spans="6:7" x14ac:dyDescent="0.2">
      <c r="F1238" s="392"/>
      <c r="G1238" s="522"/>
    </row>
    <row r="1239" spans="6:7" x14ac:dyDescent="0.2">
      <c r="F1239" s="392"/>
      <c r="G1239" s="522"/>
    </row>
    <row r="1240" spans="6:7" x14ac:dyDescent="0.2">
      <c r="F1240" s="392"/>
      <c r="G1240" s="522"/>
    </row>
    <row r="1241" spans="6:7" x14ac:dyDescent="0.2">
      <c r="F1241" s="392"/>
      <c r="G1241" s="522"/>
    </row>
    <row r="1242" spans="6:7" x14ac:dyDescent="0.2">
      <c r="F1242" s="392"/>
      <c r="G1242" s="522"/>
    </row>
    <row r="1243" spans="6:7" x14ac:dyDescent="0.2">
      <c r="F1243" s="392"/>
      <c r="G1243" s="522"/>
    </row>
    <row r="1244" spans="6:7" x14ac:dyDescent="0.2">
      <c r="F1244" s="392"/>
      <c r="G1244" s="522"/>
    </row>
    <row r="1245" spans="6:7" x14ac:dyDescent="0.2">
      <c r="F1245" s="392"/>
      <c r="G1245" s="522"/>
    </row>
    <row r="1246" spans="6:7" x14ac:dyDescent="0.2">
      <c r="F1246" s="392"/>
      <c r="G1246" s="522"/>
    </row>
    <row r="1247" spans="6:7" x14ac:dyDescent="0.2">
      <c r="F1247" s="392"/>
      <c r="G1247" s="522"/>
    </row>
    <row r="1248" spans="6:7" x14ac:dyDescent="0.2">
      <c r="F1248" s="392"/>
      <c r="G1248" s="522"/>
    </row>
    <row r="1249" spans="6:7" x14ac:dyDescent="0.2">
      <c r="F1249" s="392"/>
      <c r="G1249" s="522"/>
    </row>
    <row r="1250" spans="6:7" x14ac:dyDescent="0.2">
      <c r="F1250" s="392"/>
      <c r="G1250" s="522"/>
    </row>
    <row r="1251" spans="6:7" x14ac:dyDescent="0.2">
      <c r="F1251" s="392"/>
      <c r="G1251" s="522"/>
    </row>
    <row r="1252" spans="6:7" x14ac:dyDescent="0.2">
      <c r="F1252" s="392"/>
      <c r="G1252" s="522"/>
    </row>
    <row r="1253" spans="6:7" x14ac:dyDescent="0.2">
      <c r="F1253" s="392"/>
      <c r="G1253" s="522"/>
    </row>
    <row r="1254" spans="6:7" x14ac:dyDescent="0.2">
      <c r="F1254" s="392"/>
      <c r="G1254" s="522"/>
    </row>
    <row r="1255" spans="6:7" x14ac:dyDescent="0.2">
      <c r="F1255" s="392"/>
      <c r="G1255" s="522"/>
    </row>
    <row r="1256" spans="6:7" x14ac:dyDescent="0.2">
      <c r="F1256" s="392"/>
      <c r="G1256" s="522"/>
    </row>
    <row r="1257" spans="6:7" x14ac:dyDescent="0.2">
      <c r="F1257" s="392"/>
      <c r="G1257" s="522"/>
    </row>
    <row r="1258" spans="6:7" x14ac:dyDescent="0.2">
      <c r="F1258" s="392"/>
      <c r="G1258" s="522"/>
    </row>
    <row r="1259" spans="6:7" x14ac:dyDescent="0.2">
      <c r="F1259" s="392"/>
      <c r="G1259" s="522"/>
    </row>
    <row r="1260" spans="6:7" x14ac:dyDescent="0.2">
      <c r="F1260" s="392"/>
      <c r="G1260" s="522"/>
    </row>
    <row r="1261" spans="6:7" x14ac:dyDescent="0.2">
      <c r="F1261" s="392"/>
      <c r="G1261" s="522"/>
    </row>
    <row r="1262" spans="6:7" x14ac:dyDescent="0.2">
      <c r="F1262" s="392"/>
      <c r="G1262" s="522"/>
    </row>
    <row r="1263" spans="6:7" x14ac:dyDescent="0.2">
      <c r="F1263" s="392"/>
      <c r="G1263" s="522"/>
    </row>
    <row r="1264" spans="6:7" x14ac:dyDescent="0.2">
      <c r="F1264" s="392"/>
      <c r="G1264" s="522"/>
    </row>
    <row r="1265" spans="6:7" x14ac:dyDescent="0.2">
      <c r="F1265" s="392"/>
      <c r="G1265" s="522"/>
    </row>
    <row r="1266" spans="6:7" x14ac:dyDescent="0.2">
      <c r="F1266" s="392"/>
      <c r="G1266" s="522"/>
    </row>
    <row r="1267" spans="6:7" x14ac:dyDescent="0.2">
      <c r="F1267" s="392"/>
      <c r="G1267" s="522"/>
    </row>
    <row r="1268" spans="6:7" x14ac:dyDescent="0.2">
      <c r="F1268" s="392"/>
      <c r="G1268" s="522"/>
    </row>
    <row r="1269" spans="6:7" x14ac:dyDescent="0.2">
      <c r="F1269" s="392"/>
      <c r="G1269" s="522"/>
    </row>
    <row r="1270" spans="6:7" x14ac:dyDescent="0.2">
      <c r="F1270" s="392"/>
      <c r="G1270" s="522"/>
    </row>
    <row r="1271" spans="6:7" x14ac:dyDescent="0.2">
      <c r="F1271" s="392"/>
      <c r="G1271" s="522"/>
    </row>
    <row r="1272" spans="6:7" x14ac:dyDescent="0.2">
      <c r="F1272" s="392"/>
      <c r="G1272" s="522"/>
    </row>
    <row r="1273" spans="6:7" x14ac:dyDescent="0.2">
      <c r="F1273" s="392"/>
      <c r="G1273" s="522"/>
    </row>
    <row r="1274" spans="6:7" x14ac:dyDescent="0.2">
      <c r="F1274" s="392"/>
      <c r="G1274" s="522"/>
    </row>
    <row r="1275" spans="6:7" x14ac:dyDescent="0.2">
      <c r="F1275" s="392"/>
      <c r="G1275" s="522"/>
    </row>
    <row r="1276" spans="6:7" x14ac:dyDescent="0.2">
      <c r="F1276" s="392"/>
      <c r="G1276" s="522"/>
    </row>
    <row r="1277" spans="6:7" x14ac:dyDescent="0.2">
      <c r="F1277" s="392"/>
      <c r="G1277" s="522"/>
    </row>
    <row r="1278" spans="6:7" x14ac:dyDescent="0.2">
      <c r="F1278" s="392"/>
      <c r="G1278" s="522"/>
    </row>
    <row r="1279" spans="6:7" x14ac:dyDescent="0.2">
      <c r="F1279" s="392"/>
      <c r="G1279" s="522"/>
    </row>
    <row r="1280" spans="6:7" x14ac:dyDescent="0.2">
      <c r="F1280" s="392"/>
      <c r="G1280" s="522"/>
    </row>
    <row r="1281" spans="6:7" x14ac:dyDescent="0.2">
      <c r="F1281" s="392"/>
      <c r="G1281" s="522"/>
    </row>
    <row r="1282" spans="6:7" x14ac:dyDescent="0.2">
      <c r="F1282" s="392"/>
      <c r="G1282" s="522"/>
    </row>
    <row r="1283" spans="6:7" x14ac:dyDescent="0.2">
      <c r="F1283" s="392"/>
      <c r="G1283" s="522"/>
    </row>
    <row r="1284" spans="6:7" x14ac:dyDescent="0.2">
      <c r="F1284" s="392"/>
      <c r="G1284" s="522"/>
    </row>
    <row r="1285" spans="6:7" x14ac:dyDescent="0.2">
      <c r="F1285" s="392"/>
      <c r="G1285" s="522"/>
    </row>
    <row r="1286" spans="6:7" x14ac:dyDescent="0.2">
      <c r="F1286" s="392"/>
      <c r="G1286" s="522"/>
    </row>
    <row r="1287" spans="6:7" x14ac:dyDescent="0.2">
      <c r="F1287" s="392"/>
      <c r="G1287" s="522"/>
    </row>
    <row r="1288" spans="6:7" x14ac:dyDescent="0.2">
      <c r="F1288" s="392"/>
      <c r="G1288" s="522"/>
    </row>
    <row r="1289" spans="6:7" x14ac:dyDescent="0.2">
      <c r="F1289" s="392"/>
      <c r="G1289" s="522"/>
    </row>
    <row r="1290" spans="6:7" x14ac:dyDescent="0.2">
      <c r="F1290" s="392"/>
      <c r="G1290" s="522"/>
    </row>
    <row r="1291" spans="6:7" x14ac:dyDescent="0.2">
      <c r="F1291" s="392"/>
      <c r="G1291" s="522"/>
    </row>
    <row r="1292" spans="6:7" x14ac:dyDescent="0.2">
      <c r="F1292" s="392"/>
      <c r="G1292" s="522"/>
    </row>
    <row r="1293" spans="6:7" x14ac:dyDescent="0.2">
      <c r="F1293" s="392"/>
      <c r="G1293" s="522"/>
    </row>
    <row r="1294" spans="6:7" x14ac:dyDescent="0.2">
      <c r="F1294" s="392"/>
      <c r="G1294" s="522"/>
    </row>
    <row r="1295" spans="6:7" x14ac:dyDescent="0.2">
      <c r="F1295" s="392"/>
      <c r="G1295" s="522"/>
    </row>
    <row r="1296" spans="6:7" x14ac:dyDescent="0.2">
      <c r="F1296" s="392"/>
      <c r="G1296" s="522"/>
    </row>
    <row r="1297" spans="6:7" x14ac:dyDescent="0.2">
      <c r="F1297" s="392"/>
      <c r="G1297" s="522"/>
    </row>
    <row r="1298" spans="6:7" x14ac:dyDescent="0.2">
      <c r="F1298" s="392"/>
      <c r="G1298" s="522"/>
    </row>
    <row r="1299" spans="6:7" x14ac:dyDescent="0.2">
      <c r="F1299" s="392"/>
      <c r="G1299" s="522"/>
    </row>
    <row r="1300" spans="6:7" x14ac:dyDescent="0.2">
      <c r="F1300" s="392"/>
      <c r="G1300" s="522"/>
    </row>
    <row r="1301" spans="6:7" x14ac:dyDescent="0.2">
      <c r="F1301" s="392"/>
      <c r="G1301" s="522"/>
    </row>
    <row r="1302" spans="6:7" x14ac:dyDescent="0.2">
      <c r="F1302" s="392"/>
      <c r="G1302" s="522"/>
    </row>
    <row r="1303" spans="6:7" x14ac:dyDescent="0.2">
      <c r="F1303" s="392"/>
      <c r="G1303" s="522"/>
    </row>
    <row r="1304" spans="6:7" x14ac:dyDescent="0.2">
      <c r="F1304" s="392"/>
      <c r="G1304" s="522"/>
    </row>
    <row r="1305" spans="6:7" x14ac:dyDescent="0.2">
      <c r="F1305" s="392"/>
      <c r="G1305" s="522"/>
    </row>
    <row r="1306" spans="6:7" x14ac:dyDescent="0.2">
      <c r="F1306" s="392"/>
      <c r="G1306" s="522"/>
    </row>
    <row r="1307" spans="6:7" x14ac:dyDescent="0.2">
      <c r="F1307" s="392"/>
      <c r="G1307" s="522"/>
    </row>
    <row r="1308" spans="6:7" x14ac:dyDescent="0.2">
      <c r="F1308" s="392"/>
      <c r="G1308" s="522"/>
    </row>
    <row r="1309" spans="6:7" x14ac:dyDescent="0.2">
      <c r="F1309" s="392"/>
      <c r="G1309" s="522"/>
    </row>
    <row r="1310" spans="6:7" x14ac:dyDescent="0.2">
      <c r="F1310" s="392"/>
      <c r="G1310" s="522"/>
    </row>
    <row r="1311" spans="6:7" x14ac:dyDescent="0.2">
      <c r="F1311" s="392"/>
      <c r="G1311" s="522"/>
    </row>
    <row r="1312" spans="6:7" x14ac:dyDescent="0.2">
      <c r="F1312" s="392"/>
      <c r="G1312" s="522"/>
    </row>
    <row r="1313" spans="6:7" x14ac:dyDescent="0.2">
      <c r="F1313" s="392"/>
      <c r="G1313" s="522"/>
    </row>
    <row r="1314" spans="6:7" x14ac:dyDescent="0.2">
      <c r="F1314" s="392"/>
      <c r="G1314" s="522"/>
    </row>
    <row r="1315" spans="6:7" x14ac:dyDescent="0.2">
      <c r="F1315" s="392"/>
      <c r="G1315" s="522"/>
    </row>
    <row r="1316" spans="6:7" x14ac:dyDescent="0.2">
      <c r="F1316" s="392"/>
      <c r="G1316" s="522"/>
    </row>
    <row r="1317" spans="6:7" x14ac:dyDescent="0.2">
      <c r="F1317" s="392"/>
      <c r="G1317" s="522"/>
    </row>
    <row r="1318" spans="6:7" x14ac:dyDescent="0.2">
      <c r="F1318" s="392"/>
      <c r="G1318" s="522"/>
    </row>
    <row r="1319" spans="6:7" x14ac:dyDescent="0.2">
      <c r="F1319" s="392"/>
      <c r="G1319" s="522"/>
    </row>
    <row r="1320" spans="6:7" x14ac:dyDescent="0.2">
      <c r="F1320" s="392"/>
      <c r="G1320" s="522"/>
    </row>
    <row r="1321" spans="6:7" x14ac:dyDescent="0.2">
      <c r="F1321" s="392"/>
      <c r="G1321" s="522"/>
    </row>
    <row r="1322" spans="6:7" x14ac:dyDescent="0.2">
      <c r="F1322" s="392"/>
      <c r="G1322" s="522"/>
    </row>
    <row r="1323" spans="6:7" x14ac:dyDescent="0.2">
      <c r="F1323" s="392"/>
      <c r="G1323" s="522"/>
    </row>
    <row r="1324" spans="6:7" x14ac:dyDescent="0.2">
      <c r="F1324" s="392"/>
      <c r="G1324" s="522"/>
    </row>
    <row r="1325" spans="6:7" x14ac:dyDescent="0.2">
      <c r="F1325" s="392"/>
      <c r="G1325" s="522"/>
    </row>
    <row r="1326" spans="6:7" x14ac:dyDescent="0.2">
      <c r="F1326" s="392"/>
      <c r="G1326" s="522"/>
    </row>
    <row r="1327" spans="6:7" x14ac:dyDescent="0.2">
      <c r="F1327" s="392"/>
      <c r="G1327" s="522"/>
    </row>
    <row r="1328" spans="6:7" x14ac:dyDescent="0.2">
      <c r="F1328" s="392"/>
      <c r="G1328" s="522"/>
    </row>
    <row r="1329" spans="6:7" x14ac:dyDescent="0.2">
      <c r="F1329" s="392"/>
      <c r="G1329" s="522"/>
    </row>
    <row r="1330" spans="6:7" x14ac:dyDescent="0.2">
      <c r="F1330" s="392"/>
      <c r="G1330" s="522"/>
    </row>
    <row r="1331" spans="6:7" x14ac:dyDescent="0.2">
      <c r="F1331" s="392"/>
      <c r="G1331" s="522"/>
    </row>
    <row r="1332" spans="6:7" x14ac:dyDescent="0.2">
      <c r="F1332" s="392"/>
      <c r="G1332" s="522"/>
    </row>
    <row r="1333" spans="6:7" x14ac:dyDescent="0.2">
      <c r="F1333" s="392"/>
      <c r="G1333" s="522"/>
    </row>
    <row r="1334" spans="6:7" x14ac:dyDescent="0.2">
      <c r="F1334" s="392"/>
      <c r="G1334" s="522"/>
    </row>
    <row r="1335" spans="6:7" x14ac:dyDescent="0.2">
      <c r="F1335" s="392"/>
      <c r="G1335" s="522"/>
    </row>
    <row r="1336" spans="6:7" x14ac:dyDescent="0.2">
      <c r="F1336" s="392"/>
      <c r="G1336" s="522"/>
    </row>
    <row r="1337" spans="6:7" x14ac:dyDescent="0.2">
      <c r="F1337" s="392"/>
      <c r="G1337" s="522"/>
    </row>
    <row r="1338" spans="6:7" x14ac:dyDescent="0.2">
      <c r="F1338" s="392"/>
      <c r="G1338" s="522"/>
    </row>
    <row r="1339" spans="6:7" x14ac:dyDescent="0.2">
      <c r="F1339" s="392"/>
      <c r="G1339" s="522"/>
    </row>
    <row r="1340" spans="6:7" x14ac:dyDescent="0.2">
      <c r="F1340" s="392"/>
      <c r="G1340" s="522"/>
    </row>
    <row r="1341" spans="6:7" x14ac:dyDescent="0.2">
      <c r="F1341" s="392"/>
      <c r="G1341" s="522"/>
    </row>
    <row r="1342" spans="6:7" x14ac:dyDescent="0.2">
      <c r="F1342" s="392"/>
      <c r="G1342" s="522"/>
    </row>
    <row r="1343" spans="6:7" x14ac:dyDescent="0.2">
      <c r="F1343" s="392"/>
      <c r="G1343" s="522"/>
    </row>
    <row r="1344" spans="6:7" x14ac:dyDescent="0.2">
      <c r="F1344" s="392"/>
      <c r="G1344" s="522"/>
    </row>
    <row r="1345" spans="6:7" x14ac:dyDescent="0.2">
      <c r="F1345" s="392"/>
      <c r="G1345" s="522"/>
    </row>
    <row r="1346" spans="6:7" x14ac:dyDescent="0.2">
      <c r="F1346" s="392"/>
      <c r="G1346" s="522"/>
    </row>
    <row r="1347" spans="6:7" x14ac:dyDescent="0.2">
      <c r="F1347" s="392"/>
      <c r="G1347" s="522"/>
    </row>
    <row r="1348" spans="6:7" x14ac:dyDescent="0.2">
      <c r="F1348" s="392"/>
      <c r="G1348" s="522"/>
    </row>
    <row r="1349" spans="6:7" x14ac:dyDescent="0.2">
      <c r="F1349" s="392"/>
      <c r="G1349" s="522"/>
    </row>
    <row r="1350" spans="6:7" x14ac:dyDescent="0.2">
      <c r="F1350" s="392"/>
      <c r="G1350" s="522"/>
    </row>
    <row r="1351" spans="6:7" x14ac:dyDescent="0.2">
      <c r="F1351" s="392"/>
      <c r="G1351" s="522"/>
    </row>
    <row r="1352" spans="6:7" x14ac:dyDescent="0.2">
      <c r="F1352" s="392"/>
      <c r="G1352" s="522"/>
    </row>
    <row r="1353" spans="6:7" x14ac:dyDescent="0.2">
      <c r="F1353" s="392"/>
      <c r="G1353" s="522"/>
    </row>
    <row r="1354" spans="6:7" x14ac:dyDescent="0.2">
      <c r="F1354" s="392"/>
      <c r="G1354" s="522"/>
    </row>
    <row r="1355" spans="6:7" x14ac:dyDescent="0.2">
      <c r="F1355" s="392"/>
      <c r="G1355" s="522"/>
    </row>
    <row r="1356" spans="6:7" x14ac:dyDescent="0.2">
      <c r="F1356" s="392"/>
      <c r="G1356" s="522"/>
    </row>
    <row r="1357" spans="6:7" x14ac:dyDescent="0.2">
      <c r="F1357" s="392"/>
      <c r="G1357" s="522"/>
    </row>
    <row r="1358" spans="6:7" x14ac:dyDescent="0.2">
      <c r="F1358" s="392"/>
      <c r="G1358" s="522"/>
    </row>
    <row r="1359" spans="6:7" x14ac:dyDescent="0.2">
      <c r="F1359" s="392"/>
      <c r="G1359" s="522"/>
    </row>
    <row r="1360" spans="6:7" x14ac:dyDescent="0.2">
      <c r="F1360" s="392"/>
      <c r="G1360" s="522"/>
    </row>
    <row r="1361" spans="6:7" x14ac:dyDescent="0.2">
      <c r="F1361" s="392"/>
      <c r="G1361" s="522"/>
    </row>
    <row r="1362" spans="6:7" x14ac:dyDescent="0.2">
      <c r="F1362" s="392"/>
      <c r="G1362" s="522"/>
    </row>
    <row r="1363" spans="6:7" x14ac:dyDescent="0.2">
      <c r="F1363" s="392"/>
      <c r="G1363" s="522"/>
    </row>
    <row r="1364" spans="6:7" x14ac:dyDescent="0.2">
      <c r="F1364" s="392"/>
      <c r="G1364" s="522"/>
    </row>
    <row r="1365" spans="6:7" x14ac:dyDescent="0.2">
      <c r="F1365" s="392"/>
      <c r="G1365" s="522"/>
    </row>
    <row r="1366" spans="6:7" x14ac:dyDescent="0.2">
      <c r="F1366" s="392"/>
      <c r="G1366" s="522"/>
    </row>
    <row r="1367" spans="6:7" x14ac:dyDescent="0.2">
      <c r="F1367" s="392"/>
      <c r="G1367" s="522"/>
    </row>
    <row r="1368" spans="6:7" x14ac:dyDescent="0.2">
      <c r="F1368" s="392"/>
      <c r="G1368" s="522"/>
    </row>
    <row r="1369" spans="6:7" x14ac:dyDescent="0.2">
      <c r="F1369" s="392"/>
      <c r="G1369" s="522"/>
    </row>
    <row r="1370" spans="6:7" x14ac:dyDescent="0.2">
      <c r="F1370" s="392"/>
      <c r="G1370" s="522"/>
    </row>
    <row r="1371" spans="6:7" x14ac:dyDescent="0.2">
      <c r="F1371" s="392"/>
      <c r="G1371" s="522"/>
    </row>
    <row r="1372" spans="6:7" x14ac:dyDescent="0.2">
      <c r="F1372" s="392"/>
      <c r="G1372" s="522"/>
    </row>
    <row r="1373" spans="6:7" x14ac:dyDescent="0.2">
      <c r="F1373" s="392"/>
      <c r="G1373" s="522"/>
    </row>
    <row r="1374" spans="6:7" x14ac:dyDescent="0.2">
      <c r="F1374" s="392"/>
      <c r="G1374" s="522"/>
    </row>
    <row r="1375" spans="6:7" x14ac:dyDescent="0.2">
      <c r="F1375" s="392"/>
      <c r="G1375" s="522"/>
    </row>
    <row r="1376" spans="6:7" x14ac:dyDescent="0.2">
      <c r="F1376" s="392"/>
      <c r="G1376" s="522"/>
    </row>
    <row r="1377" spans="6:7" x14ac:dyDescent="0.2">
      <c r="F1377" s="392"/>
      <c r="G1377" s="522"/>
    </row>
    <row r="1378" spans="6:7" x14ac:dyDescent="0.2">
      <c r="F1378" s="392"/>
      <c r="G1378" s="522"/>
    </row>
    <row r="1379" spans="6:7" x14ac:dyDescent="0.2">
      <c r="F1379" s="392"/>
      <c r="G1379" s="522"/>
    </row>
    <row r="1380" spans="6:7" x14ac:dyDescent="0.2">
      <c r="F1380" s="392"/>
      <c r="G1380" s="522"/>
    </row>
    <row r="1381" spans="6:7" x14ac:dyDescent="0.2">
      <c r="F1381" s="392"/>
      <c r="G1381" s="522"/>
    </row>
    <row r="1382" spans="6:7" x14ac:dyDescent="0.2">
      <c r="F1382" s="392"/>
      <c r="G1382" s="522"/>
    </row>
    <row r="1383" spans="6:7" x14ac:dyDescent="0.2">
      <c r="F1383" s="392"/>
      <c r="G1383" s="522"/>
    </row>
    <row r="1384" spans="6:7" x14ac:dyDescent="0.2">
      <c r="F1384" s="392"/>
      <c r="G1384" s="522"/>
    </row>
    <row r="1385" spans="6:7" x14ac:dyDescent="0.2">
      <c r="F1385" s="392"/>
      <c r="G1385" s="522"/>
    </row>
    <row r="1386" spans="6:7" x14ac:dyDescent="0.2">
      <c r="F1386" s="392"/>
      <c r="G1386" s="522"/>
    </row>
    <row r="1387" spans="6:7" x14ac:dyDescent="0.2">
      <c r="F1387" s="392"/>
      <c r="G1387" s="522"/>
    </row>
    <row r="1388" spans="6:7" x14ac:dyDescent="0.2">
      <c r="F1388" s="392"/>
      <c r="G1388" s="522"/>
    </row>
    <row r="1389" spans="6:7" x14ac:dyDescent="0.2">
      <c r="F1389" s="392"/>
      <c r="G1389" s="522"/>
    </row>
    <row r="1390" spans="6:7" x14ac:dyDescent="0.2">
      <c r="F1390" s="392"/>
      <c r="G1390" s="522"/>
    </row>
    <row r="1391" spans="6:7" x14ac:dyDescent="0.2">
      <c r="F1391" s="392"/>
      <c r="G1391" s="522"/>
    </row>
    <row r="1392" spans="6:7" x14ac:dyDescent="0.2">
      <c r="F1392" s="392"/>
      <c r="G1392" s="522"/>
    </row>
    <row r="1393" spans="6:7" x14ac:dyDescent="0.2">
      <c r="F1393" s="392"/>
      <c r="G1393" s="522"/>
    </row>
    <row r="1394" spans="6:7" x14ac:dyDescent="0.2">
      <c r="F1394" s="392"/>
      <c r="G1394" s="522"/>
    </row>
    <row r="1395" spans="6:7" x14ac:dyDescent="0.2">
      <c r="F1395" s="392"/>
      <c r="G1395" s="522"/>
    </row>
    <row r="1396" spans="6:7" x14ac:dyDescent="0.2">
      <c r="F1396" s="392"/>
      <c r="G1396" s="522"/>
    </row>
    <row r="1397" spans="6:7" x14ac:dyDescent="0.2">
      <c r="F1397" s="392"/>
      <c r="G1397" s="522"/>
    </row>
    <row r="1398" spans="6:7" x14ac:dyDescent="0.2">
      <c r="F1398" s="392"/>
      <c r="G1398" s="522"/>
    </row>
    <row r="1399" spans="6:7" x14ac:dyDescent="0.2">
      <c r="F1399" s="392"/>
      <c r="G1399" s="522"/>
    </row>
    <row r="1400" spans="6:7" x14ac:dyDescent="0.2">
      <c r="F1400" s="392"/>
      <c r="G1400" s="522"/>
    </row>
    <row r="1401" spans="6:7" x14ac:dyDescent="0.2">
      <c r="F1401" s="392"/>
      <c r="G1401" s="522"/>
    </row>
    <row r="1402" spans="6:7" x14ac:dyDescent="0.2">
      <c r="F1402" s="392"/>
      <c r="G1402" s="522"/>
    </row>
    <row r="1403" spans="6:7" x14ac:dyDescent="0.2">
      <c r="F1403" s="392"/>
      <c r="G1403" s="522"/>
    </row>
    <row r="1404" spans="6:7" x14ac:dyDescent="0.2">
      <c r="F1404" s="392"/>
      <c r="G1404" s="522"/>
    </row>
    <row r="1405" spans="6:7" x14ac:dyDescent="0.2">
      <c r="F1405" s="392"/>
      <c r="G1405" s="522"/>
    </row>
    <row r="1406" spans="6:7" x14ac:dyDescent="0.2">
      <c r="F1406" s="392"/>
      <c r="G1406" s="522"/>
    </row>
    <row r="1407" spans="6:7" x14ac:dyDescent="0.2">
      <c r="F1407" s="392"/>
      <c r="G1407" s="522"/>
    </row>
    <row r="1408" spans="6:7" x14ac:dyDescent="0.2">
      <c r="F1408" s="392"/>
      <c r="G1408" s="522"/>
    </row>
    <row r="1409" spans="6:7" x14ac:dyDescent="0.2">
      <c r="F1409" s="392"/>
      <c r="G1409" s="522"/>
    </row>
    <row r="1410" spans="6:7" x14ac:dyDescent="0.2">
      <c r="F1410" s="392"/>
      <c r="G1410" s="522"/>
    </row>
    <row r="1411" spans="6:7" x14ac:dyDescent="0.2">
      <c r="F1411" s="392"/>
      <c r="G1411" s="522"/>
    </row>
    <row r="1412" spans="6:7" x14ac:dyDescent="0.2">
      <c r="F1412" s="392"/>
      <c r="G1412" s="522"/>
    </row>
    <row r="1413" spans="6:7" x14ac:dyDescent="0.2">
      <c r="F1413" s="392"/>
      <c r="G1413" s="522"/>
    </row>
    <row r="1414" spans="6:7" x14ac:dyDescent="0.2">
      <c r="F1414" s="392"/>
      <c r="G1414" s="522"/>
    </row>
    <row r="1415" spans="6:7" x14ac:dyDescent="0.2">
      <c r="F1415" s="392"/>
      <c r="G1415" s="522"/>
    </row>
    <row r="1416" spans="6:7" x14ac:dyDescent="0.2">
      <c r="F1416" s="392"/>
      <c r="G1416" s="522"/>
    </row>
    <row r="1417" spans="6:7" x14ac:dyDescent="0.2">
      <c r="F1417" s="392"/>
      <c r="G1417" s="522"/>
    </row>
    <row r="1418" spans="6:7" x14ac:dyDescent="0.2">
      <c r="F1418" s="392"/>
      <c r="G1418" s="522"/>
    </row>
    <row r="1419" spans="6:7" x14ac:dyDescent="0.2">
      <c r="F1419" s="392"/>
      <c r="G1419" s="522"/>
    </row>
    <row r="1420" spans="6:7" x14ac:dyDescent="0.2">
      <c r="F1420" s="392"/>
      <c r="G1420" s="522"/>
    </row>
    <row r="1421" spans="6:7" x14ac:dyDescent="0.2">
      <c r="F1421" s="392"/>
      <c r="G1421" s="522"/>
    </row>
    <row r="1422" spans="6:7" x14ac:dyDescent="0.2">
      <c r="F1422" s="392"/>
      <c r="G1422" s="522"/>
    </row>
    <row r="1423" spans="6:7" x14ac:dyDescent="0.2">
      <c r="F1423" s="392"/>
      <c r="G1423" s="522"/>
    </row>
    <row r="1424" spans="6:7" x14ac:dyDescent="0.2">
      <c r="F1424" s="392"/>
      <c r="G1424" s="522"/>
    </row>
    <row r="1425" spans="6:7" x14ac:dyDescent="0.2">
      <c r="F1425" s="392"/>
      <c r="G1425" s="522"/>
    </row>
    <row r="1426" spans="6:7" x14ac:dyDescent="0.2">
      <c r="F1426" s="392"/>
      <c r="G1426" s="522"/>
    </row>
    <row r="1427" spans="6:7" x14ac:dyDescent="0.2">
      <c r="F1427" s="392"/>
      <c r="G1427" s="522"/>
    </row>
    <row r="1428" spans="6:7" x14ac:dyDescent="0.2">
      <c r="F1428" s="392"/>
      <c r="G1428" s="522"/>
    </row>
    <row r="1429" spans="6:7" x14ac:dyDescent="0.2">
      <c r="F1429" s="392"/>
      <c r="G1429" s="522"/>
    </row>
    <row r="1430" spans="6:7" x14ac:dyDescent="0.2">
      <c r="F1430" s="392"/>
      <c r="G1430" s="522"/>
    </row>
    <row r="1431" spans="6:7" x14ac:dyDescent="0.2">
      <c r="F1431" s="392"/>
      <c r="G1431" s="522"/>
    </row>
    <row r="1432" spans="6:7" x14ac:dyDescent="0.2">
      <c r="F1432" s="392"/>
      <c r="G1432" s="522"/>
    </row>
    <row r="1433" spans="6:7" x14ac:dyDescent="0.2">
      <c r="F1433" s="392"/>
      <c r="G1433" s="522"/>
    </row>
    <row r="1434" spans="6:7" x14ac:dyDescent="0.2">
      <c r="F1434" s="392"/>
      <c r="G1434" s="522"/>
    </row>
    <row r="1435" spans="6:7" x14ac:dyDescent="0.2">
      <c r="F1435" s="392"/>
      <c r="G1435" s="522"/>
    </row>
    <row r="1436" spans="6:7" x14ac:dyDescent="0.2">
      <c r="F1436" s="392"/>
      <c r="G1436" s="522"/>
    </row>
    <row r="1437" spans="6:7" x14ac:dyDescent="0.2">
      <c r="F1437" s="392"/>
      <c r="G1437" s="522"/>
    </row>
    <row r="1438" spans="6:7" x14ac:dyDescent="0.2">
      <c r="F1438" s="392"/>
      <c r="G1438" s="522"/>
    </row>
    <row r="1439" spans="6:7" x14ac:dyDescent="0.2">
      <c r="F1439" s="392"/>
      <c r="G1439" s="522"/>
    </row>
    <row r="1440" spans="6:7" x14ac:dyDescent="0.2">
      <c r="F1440" s="392"/>
      <c r="G1440" s="522"/>
    </row>
    <row r="1441" spans="6:7" x14ac:dyDescent="0.2">
      <c r="F1441" s="392"/>
      <c r="G1441" s="522"/>
    </row>
    <row r="1442" spans="6:7" x14ac:dyDescent="0.2">
      <c r="F1442" s="392"/>
      <c r="G1442" s="522"/>
    </row>
    <row r="1443" spans="6:7" x14ac:dyDescent="0.2">
      <c r="F1443" s="392"/>
      <c r="G1443" s="522"/>
    </row>
    <row r="1444" spans="6:7" x14ac:dyDescent="0.2">
      <c r="F1444" s="392"/>
      <c r="G1444" s="522"/>
    </row>
    <row r="1445" spans="6:7" x14ac:dyDescent="0.2">
      <c r="F1445" s="392"/>
      <c r="G1445" s="522"/>
    </row>
    <row r="1446" spans="6:7" x14ac:dyDescent="0.2">
      <c r="F1446" s="392"/>
      <c r="G1446" s="522"/>
    </row>
    <row r="1447" spans="6:7" x14ac:dyDescent="0.2">
      <c r="F1447" s="392"/>
      <c r="G1447" s="522"/>
    </row>
    <row r="1448" spans="6:7" x14ac:dyDescent="0.2">
      <c r="F1448" s="392"/>
      <c r="G1448" s="522"/>
    </row>
    <row r="1449" spans="6:7" x14ac:dyDescent="0.2">
      <c r="F1449" s="392"/>
      <c r="G1449" s="522"/>
    </row>
    <row r="1450" spans="6:7" x14ac:dyDescent="0.2">
      <c r="F1450" s="392"/>
      <c r="G1450" s="522"/>
    </row>
    <row r="1451" spans="6:7" x14ac:dyDescent="0.2">
      <c r="F1451" s="392"/>
      <c r="G1451" s="522"/>
    </row>
    <row r="1452" spans="6:7" x14ac:dyDescent="0.2">
      <c r="F1452" s="392"/>
      <c r="G1452" s="522"/>
    </row>
    <row r="1453" spans="6:7" x14ac:dyDescent="0.2">
      <c r="F1453" s="392"/>
      <c r="G1453" s="522"/>
    </row>
    <row r="1454" spans="6:7" x14ac:dyDescent="0.2">
      <c r="F1454" s="392"/>
      <c r="G1454" s="522"/>
    </row>
    <row r="1455" spans="6:7" x14ac:dyDescent="0.2">
      <c r="F1455" s="392"/>
      <c r="G1455" s="522"/>
    </row>
    <row r="1456" spans="6:7" x14ac:dyDescent="0.2">
      <c r="F1456" s="392"/>
      <c r="G1456" s="522"/>
    </row>
    <row r="1457" spans="6:7" x14ac:dyDescent="0.2">
      <c r="F1457" s="392"/>
      <c r="G1457" s="522"/>
    </row>
    <row r="1458" spans="6:7" x14ac:dyDescent="0.2">
      <c r="F1458" s="392"/>
      <c r="G1458" s="522"/>
    </row>
    <row r="1459" spans="6:7" x14ac:dyDescent="0.2">
      <c r="F1459" s="392"/>
      <c r="G1459" s="522"/>
    </row>
    <row r="1460" spans="6:7" x14ac:dyDescent="0.2">
      <c r="F1460" s="392"/>
      <c r="G1460" s="522"/>
    </row>
    <row r="1461" spans="6:7" x14ac:dyDescent="0.2">
      <c r="F1461" s="392"/>
      <c r="G1461" s="522"/>
    </row>
    <row r="1462" spans="6:7" x14ac:dyDescent="0.2">
      <c r="F1462" s="392"/>
      <c r="G1462" s="522"/>
    </row>
    <row r="1463" spans="6:7" x14ac:dyDescent="0.2">
      <c r="F1463" s="392"/>
      <c r="G1463" s="522"/>
    </row>
    <row r="1464" spans="6:7" x14ac:dyDescent="0.2">
      <c r="F1464" s="392"/>
      <c r="G1464" s="522"/>
    </row>
    <row r="1465" spans="6:7" x14ac:dyDescent="0.2">
      <c r="F1465" s="392"/>
      <c r="G1465" s="522"/>
    </row>
    <row r="1466" spans="6:7" x14ac:dyDescent="0.2">
      <c r="F1466" s="392"/>
      <c r="G1466" s="522"/>
    </row>
    <row r="1467" spans="6:7" x14ac:dyDescent="0.2">
      <c r="F1467" s="392"/>
      <c r="G1467" s="522"/>
    </row>
    <row r="1468" spans="6:7" x14ac:dyDescent="0.2">
      <c r="F1468" s="392"/>
      <c r="G1468" s="522"/>
    </row>
    <row r="1469" spans="6:7" x14ac:dyDescent="0.2">
      <c r="F1469" s="392"/>
      <c r="G1469" s="522"/>
    </row>
    <row r="1470" spans="6:7" x14ac:dyDescent="0.2">
      <c r="F1470" s="392"/>
      <c r="G1470" s="522"/>
    </row>
    <row r="1471" spans="6:7" x14ac:dyDescent="0.2">
      <c r="F1471" s="392"/>
      <c r="G1471" s="522"/>
    </row>
    <row r="1472" spans="6:7" x14ac:dyDescent="0.2">
      <c r="F1472" s="392"/>
      <c r="G1472" s="522"/>
    </row>
    <row r="1473" spans="6:7" x14ac:dyDescent="0.2">
      <c r="F1473" s="392"/>
      <c r="G1473" s="522"/>
    </row>
    <row r="1474" spans="6:7" x14ac:dyDescent="0.2">
      <c r="F1474" s="392"/>
      <c r="G1474" s="522"/>
    </row>
    <row r="1475" spans="6:7" x14ac:dyDescent="0.2">
      <c r="F1475" s="392"/>
      <c r="G1475" s="522"/>
    </row>
    <row r="1476" spans="6:7" x14ac:dyDescent="0.2">
      <c r="F1476" s="392"/>
      <c r="G1476" s="522"/>
    </row>
    <row r="1477" spans="6:7" x14ac:dyDescent="0.2">
      <c r="F1477" s="392"/>
      <c r="G1477" s="522"/>
    </row>
    <row r="1478" spans="6:7" x14ac:dyDescent="0.2">
      <c r="F1478" s="392"/>
      <c r="G1478" s="522"/>
    </row>
    <row r="1479" spans="6:7" x14ac:dyDescent="0.2">
      <c r="F1479" s="392"/>
      <c r="G1479" s="522"/>
    </row>
    <row r="1480" spans="6:7" x14ac:dyDescent="0.2">
      <c r="F1480" s="392"/>
      <c r="G1480" s="522"/>
    </row>
    <row r="1481" spans="6:7" x14ac:dyDescent="0.2">
      <c r="F1481" s="392"/>
      <c r="G1481" s="522"/>
    </row>
    <row r="1482" spans="6:7" x14ac:dyDescent="0.2">
      <c r="F1482" s="392"/>
      <c r="G1482" s="522"/>
    </row>
    <row r="1483" spans="6:7" x14ac:dyDescent="0.2">
      <c r="F1483" s="392"/>
      <c r="G1483" s="522"/>
    </row>
    <row r="1484" spans="6:7" x14ac:dyDescent="0.2">
      <c r="F1484" s="392"/>
      <c r="G1484" s="522"/>
    </row>
    <row r="1485" spans="6:7" x14ac:dyDescent="0.2">
      <c r="F1485" s="392"/>
      <c r="G1485" s="522"/>
    </row>
    <row r="1486" spans="6:7" x14ac:dyDescent="0.2">
      <c r="F1486" s="392"/>
      <c r="G1486" s="522"/>
    </row>
    <row r="1487" spans="6:7" x14ac:dyDescent="0.2">
      <c r="F1487" s="392"/>
      <c r="G1487" s="522"/>
    </row>
    <row r="1488" spans="6:7" x14ac:dyDescent="0.2">
      <c r="F1488" s="392"/>
      <c r="G1488" s="522"/>
    </row>
    <row r="1489" spans="6:7" x14ac:dyDescent="0.2">
      <c r="F1489" s="392"/>
      <c r="G1489" s="522"/>
    </row>
    <row r="1490" spans="6:7" x14ac:dyDescent="0.2">
      <c r="F1490" s="392"/>
      <c r="G1490" s="522"/>
    </row>
    <row r="1491" spans="6:7" x14ac:dyDescent="0.2">
      <c r="F1491" s="392"/>
      <c r="G1491" s="522"/>
    </row>
    <row r="1492" spans="6:7" x14ac:dyDescent="0.2">
      <c r="F1492" s="392"/>
      <c r="G1492" s="522"/>
    </row>
    <row r="1493" spans="6:7" x14ac:dyDescent="0.2">
      <c r="F1493" s="392"/>
      <c r="G1493" s="522"/>
    </row>
    <row r="1494" spans="6:7" x14ac:dyDescent="0.2">
      <c r="F1494" s="392"/>
      <c r="G1494" s="522"/>
    </row>
    <row r="1495" spans="6:7" x14ac:dyDescent="0.2">
      <c r="F1495" s="392"/>
      <c r="G1495" s="522"/>
    </row>
    <row r="1496" spans="6:7" x14ac:dyDescent="0.2">
      <c r="F1496" s="392"/>
      <c r="G1496" s="522"/>
    </row>
    <row r="1497" spans="6:7" x14ac:dyDescent="0.2">
      <c r="F1497" s="392"/>
      <c r="G1497" s="522"/>
    </row>
    <row r="1498" spans="6:7" x14ac:dyDescent="0.2">
      <c r="F1498" s="392"/>
      <c r="G1498" s="522"/>
    </row>
    <row r="1499" spans="6:7" x14ac:dyDescent="0.2">
      <c r="F1499" s="392"/>
      <c r="G1499" s="522"/>
    </row>
    <row r="1500" spans="6:7" x14ac:dyDescent="0.2">
      <c r="F1500" s="392"/>
      <c r="G1500" s="522"/>
    </row>
    <row r="1501" spans="6:7" x14ac:dyDescent="0.2">
      <c r="F1501" s="392"/>
      <c r="G1501" s="522"/>
    </row>
    <row r="1502" spans="6:7" x14ac:dyDescent="0.2">
      <c r="F1502" s="392"/>
      <c r="G1502" s="522"/>
    </row>
    <row r="1503" spans="6:7" x14ac:dyDescent="0.2">
      <c r="F1503" s="392"/>
      <c r="G1503" s="522"/>
    </row>
    <row r="1504" spans="6:7" x14ac:dyDescent="0.2">
      <c r="F1504" s="392"/>
      <c r="G1504" s="522"/>
    </row>
    <row r="1505" spans="6:7" x14ac:dyDescent="0.2">
      <c r="F1505" s="392"/>
      <c r="G1505" s="522"/>
    </row>
    <row r="1506" spans="6:7" x14ac:dyDescent="0.2">
      <c r="F1506" s="392"/>
      <c r="G1506" s="522"/>
    </row>
    <row r="1507" spans="6:7" x14ac:dyDescent="0.2">
      <c r="F1507" s="392"/>
      <c r="G1507" s="522"/>
    </row>
    <row r="1508" spans="6:7" x14ac:dyDescent="0.2">
      <c r="F1508" s="392"/>
      <c r="G1508" s="522"/>
    </row>
    <row r="1509" spans="6:7" x14ac:dyDescent="0.2">
      <c r="F1509" s="392"/>
      <c r="G1509" s="522"/>
    </row>
    <row r="1510" spans="6:7" x14ac:dyDescent="0.2">
      <c r="F1510" s="392"/>
      <c r="G1510" s="522"/>
    </row>
    <row r="1511" spans="6:7" x14ac:dyDescent="0.2">
      <c r="F1511" s="392"/>
      <c r="G1511" s="522"/>
    </row>
    <row r="1512" spans="6:7" x14ac:dyDescent="0.2">
      <c r="F1512" s="392"/>
      <c r="G1512" s="522"/>
    </row>
    <row r="1513" spans="6:7" x14ac:dyDescent="0.2">
      <c r="F1513" s="392"/>
      <c r="G1513" s="522"/>
    </row>
    <row r="1514" spans="6:7" x14ac:dyDescent="0.2">
      <c r="F1514" s="392"/>
      <c r="G1514" s="522"/>
    </row>
    <row r="1515" spans="6:7" x14ac:dyDescent="0.2">
      <c r="F1515" s="392"/>
      <c r="G1515" s="522"/>
    </row>
    <row r="1516" spans="6:7" x14ac:dyDescent="0.2">
      <c r="F1516" s="392"/>
      <c r="G1516" s="522"/>
    </row>
    <row r="1517" spans="6:7" x14ac:dyDescent="0.2">
      <c r="F1517" s="392"/>
      <c r="G1517" s="522"/>
    </row>
    <row r="1518" spans="6:7" x14ac:dyDescent="0.2">
      <c r="F1518" s="392"/>
      <c r="G1518" s="522"/>
    </row>
    <row r="1519" spans="6:7" x14ac:dyDescent="0.2">
      <c r="F1519" s="392"/>
      <c r="G1519" s="522"/>
    </row>
    <row r="1520" spans="6:7" x14ac:dyDescent="0.2">
      <c r="F1520" s="392"/>
      <c r="G1520" s="522"/>
    </row>
    <row r="1521" spans="6:7" x14ac:dyDescent="0.2">
      <c r="F1521" s="392"/>
      <c r="G1521" s="522"/>
    </row>
    <row r="1522" spans="6:7" x14ac:dyDescent="0.2">
      <c r="F1522" s="392"/>
      <c r="G1522" s="522"/>
    </row>
    <row r="1523" spans="6:7" x14ac:dyDescent="0.2">
      <c r="F1523" s="392"/>
      <c r="G1523" s="522"/>
    </row>
    <row r="1524" spans="6:7" x14ac:dyDescent="0.2">
      <c r="F1524" s="392"/>
      <c r="G1524" s="522"/>
    </row>
    <row r="1525" spans="6:7" x14ac:dyDescent="0.2">
      <c r="F1525" s="392"/>
      <c r="G1525" s="522"/>
    </row>
    <row r="1526" spans="6:7" x14ac:dyDescent="0.2">
      <c r="F1526" s="392"/>
      <c r="G1526" s="522"/>
    </row>
    <row r="1527" spans="6:7" x14ac:dyDescent="0.2">
      <c r="F1527" s="392"/>
      <c r="G1527" s="522"/>
    </row>
    <row r="1528" spans="6:7" x14ac:dyDescent="0.2">
      <c r="F1528" s="392"/>
      <c r="G1528" s="522"/>
    </row>
    <row r="1529" spans="6:7" x14ac:dyDescent="0.2">
      <c r="F1529" s="392"/>
      <c r="G1529" s="522"/>
    </row>
    <row r="1530" spans="6:7" x14ac:dyDescent="0.2">
      <c r="F1530" s="392"/>
      <c r="G1530" s="522"/>
    </row>
    <row r="1531" spans="6:7" x14ac:dyDescent="0.2">
      <c r="F1531" s="392"/>
      <c r="G1531" s="522"/>
    </row>
    <row r="1532" spans="6:7" x14ac:dyDescent="0.2">
      <c r="F1532" s="392"/>
      <c r="G1532" s="522"/>
    </row>
    <row r="1533" spans="6:7" x14ac:dyDescent="0.2">
      <c r="F1533" s="392"/>
      <c r="G1533" s="522"/>
    </row>
    <row r="1534" spans="6:7" x14ac:dyDescent="0.2">
      <c r="F1534" s="392"/>
      <c r="G1534" s="522"/>
    </row>
    <row r="1535" spans="6:7" x14ac:dyDescent="0.2">
      <c r="F1535" s="392"/>
      <c r="G1535" s="522"/>
    </row>
    <row r="1536" spans="6:7" x14ac:dyDescent="0.2">
      <c r="F1536" s="392"/>
      <c r="G1536" s="522"/>
    </row>
    <row r="1537" spans="6:7" x14ac:dyDescent="0.2">
      <c r="F1537" s="392"/>
      <c r="G1537" s="522"/>
    </row>
    <row r="1538" spans="6:7" x14ac:dyDescent="0.2">
      <c r="F1538" s="392"/>
      <c r="G1538" s="522"/>
    </row>
    <row r="1539" spans="6:7" x14ac:dyDescent="0.2">
      <c r="F1539" s="392"/>
      <c r="G1539" s="522"/>
    </row>
    <row r="1540" spans="6:7" x14ac:dyDescent="0.2">
      <c r="F1540" s="392"/>
      <c r="G1540" s="522"/>
    </row>
    <row r="1541" spans="6:7" x14ac:dyDescent="0.2">
      <c r="F1541" s="392"/>
      <c r="G1541" s="522"/>
    </row>
    <row r="1542" spans="6:7" x14ac:dyDescent="0.2">
      <c r="F1542" s="392"/>
      <c r="G1542" s="522"/>
    </row>
    <row r="1543" spans="6:7" x14ac:dyDescent="0.2">
      <c r="F1543" s="392"/>
      <c r="G1543" s="522"/>
    </row>
    <row r="1544" spans="6:7" x14ac:dyDescent="0.2">
      <c r="F1544" s="392"/>
      <c r="G1544" s="522"/>
    </row>
    <row r="1545" spans="6:7" x14ac:dyDescent="0.2">
      <c r="F1545" s="392"/>
      <c r="G1545" s="522"/>
    </row>
    <row r="1546" spans="6:7" x14ac:dyDescent="0.2">
      <c r="F1546" s="392"/>
      <c r="G1546" s="522"/>
    </row>
    <row r="1547" spans="6:7" x14ac:dyDescent="0.2">
      <c r="F1547" s="392"/>
      <c r="G1547" s="522"/>
    </row>
    <row r="1548" spans="6:7" x14ac:dyDescent="0.2">
      <c r="F1548" s="392"/>
      <c r="G1548" s="522"/>
    </row>
    <row r="1549" spans="6:7" x14ac:dyDescent="0.2">
      <c r="F1549" s="392"/>
      <c r="G1549" s="522"/>
    </row>
    <row r="1550" spans="6:7" x14ac:dyDescent="0.2">
      <c r="F1550" s="392"/>
      <c r="G1550" s="522"/>
    </row>
    <row r="1551" spans="6:7" x14ac:dyDescent="0.2">
      <c r="F1551" s="392"/>
      <c r="G1551" s="522"/>
    </row>
    <row r="1552" spans="6:7" x14ac:dyDescent="0.2">
      <c r="F1552" s="392"/>
      <c r="G1552" s="522"/>
    </row>
    <row r="1553" spans="6:7" x14ac:dyDescent="0.2">
      <c r="F1553" s="392"/>
      <c r="G1553" s="522"/>
    </row>
    <row r="1554" spans="6:7" x14ac:dyDescent="0.2">
      <c r="F1554" s="392"/>
      <c r="G1554" s="522"/>
    </row>
    <row r="1555" spans="6:7" x14ac:dyDescent="0.2">
      <c r="F1555" s="392"/>
      <c r="G1555" s="522"/>
    </row>
    <row r="1556" spans="6:7" x14ac:dyDescent="0.2">
      <c r="F1556" s="392"/>
      <c r="G1556" s="522"/>
    </row>
    <row r="1557" spans="6:7" x14ac:dyDescent="0.2">
      <c r="F1557" s="392"/>
      <c r="G1557" s="522"/>
    </row>
    <row r="1558" spans="6:7" x14ac:dyDescent="0.2">
      <c r="F1558" s="392"/>
      <c r="G1558" s="522"/>
    </row>
    <row r="1559" spans="6:7" x14ac:dyDescent="0.2">
      <c r="F1559" s="392"/>
      <c r="G1559" s="522"/>
    </row>
    <row r="1560" spans="6:7" x14ac:dyDescent="0.2">
      <c r="F1560" s="392"/>
      <c r="G1560" s="522"/>
    </row>
    <row r="1561" spans="6:7" x14ac:dyDescent="0.2">
      <c r="F1561" s="392"/>
      <c r="G1561" s="522"/>
    </row>
    <row r="1562" spans="6:7" x14ac:dyDescent="0.2">
      <c r="F1562" s="392"/>
      <c r="G1562" s="522"/>
    </row>
    <row r="1563" spans="6:7" x14ac:dyDescent="0.2">
      <c r="F1563" s="392"/>
      <c r="G1563" s="522"/>
    </row>
    <row r="1564" spans="6:7" x14ac:dyDescent="0.2">
      <c r="F1564" s="392"/>
      <c r="G1564" s="522"/>
    </row>
    <row r="1565" spans="6:7" x14ac:dyDescent="0.2">
      <c r="F1565" s="392"/>
      <c r="G1565" s="522"/>
    </row>
    <row r="1566" spans="6:7" x14ac:dyDescent="0.2">
      <c r="F1566" s="392"/>
      <c r="G1566" s="522"/>
    </row>
    <row r="1567" spans="6:7" x14ac:dyDescent="0.2">
      <c r="F1567" s="392"/>
      <c r="G1567" s="522"/>
    </row>
    <row r="1568" spans="6:7" x14ac:dyDescent="0.2">
      <c r="F1568" s="392"/>
      <c r="G1568" s="522"/>
    </row>
    <row r="1569" spans="6:7" x14ac:dyDescent="0.2">
      <c r="F1569" s="392"/>
      <c r="G1569" s="522"/>
    </row>
    <row r="1570" spans="6:7" x14ac:dyDescent="0.2">
      <c r="F1570" s="392"/>
      <c r="G1570" s="522"/>
    </row>
    <row r="1571" spans="6:7" x14ac:dyDescent="0.2">
      <c r="F1571" s="392"/>
      <c r="G1571" s="522"/>
    </row>
    <row r="1572" spans="6:7" x14ac:dyDescent="0.2">
      <c r="F1572" s="392"/>
      <c r="G1572" s="522"/>
    </row>
    <row r="1573" spans="6:7" x14ac:dyDescent="0.2">
      <c r="F1573" s="392"/>
      <c r="G1573" s="522"/>
    </row>
    <row r="1574" spans="6:7" x14ac:dyDescent="0.2">
      <c r="F1574" s="392"/>
      <c r="G1574" s="522"/>
    </row>
    <row r="1575" spans="6:7" x14ac:dyDescent="0.2">
      <c r="F1575" s="392"/>
      <c r="G1575" s="522"/>
    </row>
    <row r="1576" spans="6:7" x14ac:dyDescent="0.2">
      <c r="F1576" s="392"/>
      <c r="G1576" s="522"/>
    </row>
    <row r="1577" spans="6:7" x14ac:dyDescent="0.2">
      <c r="F1577" s="392"/>
      <c r="G1577" s="522"/>
    </row>
    <row r="1578" spans="6:7" x14ac:dyDescent="0.2">
      <c r="F1578" s="392"/>
      <c r="G1578" s="522"/>
    </row>
    <row r="1579" spans="6:7" x14ac:dyDescent="0.2">
      <c r="F1579" s="392"/>
      <c r="G1579" s="522"/>
    </row>
    <row r="1580" spans="6:7" x14ac:dyDescent="0.2">
      <c r="F1580" s="392"/>
      <c r="G1580" s="522"/>
    </row>
    <row r="1581" spans="6:7" x14ac:dyDescent="0.2">
      <c r="F1581" s="392"/>
      <c r="G1581" s="522"/>
    </row>
    <row r="1582" spans="6:7" x14ac:dyDescent="0.2">
      <c r="F1582" s="392"/>
      <c r="G1582" s="522"/>
    </row>
    <row r="1583" spans="6:7" x14ac:dyDescent="0.2">
      <c r="F1583" s="392"/>
      <c r="G1583" s="522"/>
    </row>
    <row r="1584" spans="6:7" x14ac:dyDescent="0.2">
      <c r="F1584" s="392"/>
      <c r="G1584" s="522"/>
    </row>
    <row r="1585" spans="6:7" x14ac:dyDescent="0.2">
      <c r="F1585" s="392"/>
      <c r="G1585" s="522"/>
    </row>
    <row r="1586" spans="6:7" x14ac:dyDescent="0.2">
      <c r="F1586" s="392"/>
      <c r="G1586" s="522"/>
    </row>
    <row r="1587" spans="6:7" x14ac:dyDescent="0.2">
      <c r="F1587" s="392"/>
      <c r="G1587" s="522"/>
    </row>
    <row r="1588" spans="6:7" x14ac:dyDescent="0.2">
      <c r="F1588" s="392"/>
      <c r="G1588" s="522"/>
    </row>
    <row r="1589" spans="6:7" x14ac:dyDescent="0.2">
      <c r="F1589" s="392"/>
      <c r="G1589" s="522"/>
    </row>
    <row r="1590" spans="6:7" x14ac:dyDescent="0.2">
      <c r="F1590" s="392"/>
      <c r="G1590" s="522"/>
    </row>
    <row r="1591" spans="6:7" x14ac:dyDescent="0.2">
      <c r="F1591" s="392"/>
      <c r="G1591" s="522"/>
    </row>
    <row r="1592" spans="6:7" x14ac:dyDescent="0.2">
      <c r="F1592" s="392"/>
      <c r="G1592" s="522"/>
    </row>
    <row r="1593" spans="6:7" x14ac:dyDescent="0.2">
      <c r="F1593" s="392"/>
      <c r="G1593" s="522"/>
    </row>
    <row r="1594" spans="6:7" x14ac:dyDescent="0.2">
      <c r="F1594" s="392"/>
      <c r="G1594" s="522"/>
    </row>
    <row r="1595" spans="6:7" x14ac:dyDescent="0.2">
      <c r="F1595" s="392"/>
      <c r="G1595" s="522"/>
    </row>
    <row r="1596" spans="6:7" x14ac:dyDescent="0.2">
      <c r="F1596" s="392"/>
      <c r="G1596" s="522"/>
    </row>
    <row r="1597" spans="6:7" x14ac:dyDescent="0.2">
      <c r="F1597" s="392"/>
      <c r="G1597" s="522"/>
    </row>
    <row r="1598" spans="6:7" x14ac:dyDescent="0.2">
      <c r="F1598" s="392"/>
      <c r="G1598" s="522"/>
    </row>
    <row r="1599" spans="6:7" x14ac:dyDescent="0.2">
      <c r="F1599" s="392"/>
      <c r="G1599" s="522"/>
    </row>
    <row r="1600" spans="6:7" x14ac:dyDescent="0.2">
      <c r="F1600" s="392"/>
      <c r="G1600" s="522"/>
    </row>
    <row r="1601" spans="6:7" x14ac:dyDescent="0.2">
      <c r="F1601" s="392"/>
      <c r="G1601" s="522"/>
    </row>
    <row r="1602" spans="6:7" x14ac:dyDescent="0.2">
      <c r="F1602" s="392"/>
      <c r="G1602" s="522"/>
    </row>
    <row r="1603" spans="6:7" x14ac:dyDescent="0.2">
      <c r="F1603" s="392"/>
      <c r="G1603" s="522"/>
    </row>
    <row r="1604" spans="6:7" x14ac:dyDescent="0.2">
      <c r="F1604" s="392"/>
      <c r="G1604" s="522"/>
    </row>
    <row r="1605" spans="6:7" x14ac:dyDescent="0.2">
      <c r="F1605" s="392"/>
      <c r="G1605" s="522"/>
    </row>
    <row r="1606" spans="6:7" x14ac:dyDescent="0.2">
      <c r="F1606" s="392"/>
      <c r="G1606" s="522"/>
    </row>
    <row r="1607" spans="6:7" x14ac:dyDescent="0.2">
      <c r="F1607" s="392"/>
      <c r="G1607" s="522"/>
    </row>
    <row r="1608" spans="6:7" x14ac:dyDescent="0.2">
      <c r="F1608" s="392"/>
      <c r="G1608" s="522"/>
    </row>
    <row r="1609" spans="6:7" x14ac:dyDescent="0.2">
      <c r="F1609" s="392"/>
      <c r="G1609" s="522"/>
    </row>
    <row r="1610" spans="6:7" x14ac:dyDescent="0.2">
      <c r="F1610" s="392"/>
      <c r="G1610" s="522"/>
    </row>
    <row r="1611" spans="6:7" x14ac:dyDescent="0.2">
      <c r="F1611" s="392"/>
      <c r="G1611" s="522"/>
    </row>
    <row r="1612" spans="6:7" x14ac:dyDescent="0.2">
      <c r="F1612" s="392"/>
      <c r="G1612" s="522"/>
    </row>
    <row r="1613" spans="6:7" x14ac:dyDescent="0.2">
      <c r="F1613" s="392"/>
      <c r="G1613" s="522"/>
    </row>
    <row r="1614" spans="6:7" x14ac:dyDescent="0.2">
      <c r="F1614" s="392"/>
      <c r="G1614" s="522"/>
    </row>
    <row r="1615" spans="6:7" x14ac:dyDescent="0.2">
      <c r="F1615" s="392"/>
      <c r="G1615" s="522"/>
    </row>
    <row r="1616" spans="6:7" x14ac:dyDescent="0.2">
      <c r="F1616" s="392"/>
      <c r="G1616" s="522"/>
    </row>
    <row r="1617" spans="6:7" x14ac:dyDescent="0.2">
      <c r="F1617" s="392"/>
      <c r="G1617" s="522"/>
    </row>
    <row r="1618" spans="6:7" x14ac:dyDescent="0.2">
      <c r="F1618" s="392"/>
      <c r="G1618" s="522"/>
    </row>
    <row r="1619" spans="6:7" x14ac:dyDescent="0.2">
      <c r="F1619" s="392"/>
      <c r="G1619" s="522"/>
    </row>
    <row r="1620" spans="6:7" x14ac:dyDescent="0.2">
      <c r="F1620" s="392"/>
      <c r="G1620" s="522"/>
    </row>
    <row r="1621" spans="6:7" x14ac:dyDescent="0.2">
      <c r="F1621" s="392"/>
      <c r="G1621" s="522"/>
    </row>
    <row r="1622" spans="6:7" x14ac:dyDescent="0.2">
      <c r="F1622" s="392"/>
      <c r="G1622" s="522"/>
    </row>
    <row r="1623" spans="6:7" x14ac:dyDescent="0.2">
      <c r="F1623" s="392"/>
      <c r="G1623" s="522"/>
    </row>
    <row r="1624" spans="6:7" x14ac:dyDescent="0.2">
      <c r="F1624" s="392"/>
      <c r="G1624" s="522"/>
    </row>
    <row r="1625" spans="6:7" x14ac:dyDescent="0.2">
      <c r="F1625" s="392"/>
      <c r="G1625" s="522"/>
    </row>
    <row r="1626" spans="6:7" x14ac:dyDescent="0.2">
      <c r="F1626" s="392"/>
      <c r="G1626" s="522"/>
    </row>
    <row r="1627" spans="6:7" x14ac:dyDescent="0.2">
      <c r="F1627" s="392"/>
      <c r="G1627" s="522"/>
    </row>
    <row r="1628" spans="6:7" x14ac:dyDescent="0.2">
      <c r="F1628" s="392"/>
      <c r="G1628" s="522"/>
    </row>
    <row r="1629" spans="6:7" x14ac:dyDescent="0.2">
      <c r="F1629" s="392"/>
      <c r="G1629" s="522"/>
    </row>
    <row r="1630" spans="6:7" x14ac:dyDescent="0.2">
      <c r="F1630" s="392"/>
      <c r="G1630" s="522"/>
    </row>
    <row r="1631" spans="6:7" x14ac:dyDescent="0.2">
      <c r="F1631" s="392"/>
      <c r="G1631" s="522"/>
    </row>
    <row r="1632" spans="6:7" x14ac:dyDescent="0.2">
      <c r="F1632" s="392"/>
      <c r="G1632" s="522"/>
    </row>
    <row r="1633" spans="6:7" x14ac:dyDescent="0.2">
      <c r="F1633" s="392"/>
      <c r="G1633" s="522"/>
    </row>
    <row r="1634" spans="6:7" x14ac:dyDescent="0.2">
      <c r="F1634" s="392"/>
      <c r="G1634" s="522"/>
    </row>
    <row r="1635" spans="6:7" x14ac:dyDescent="0.2">
      <c r="F1635" s="392"/>
      <c r="G1635" s="522"/>
    </row>
    <row r="1636" spans="6:7" x14ac:dyDescent="0.2">
      <c r="F1636" s="392"/>
      <c r="G1636" s="522"/>
    </row>
    <row r="1637" spans="6:7" x14ac:dyDescent="0.2">
      <c r="F1637" s="392"/>
      <c r="G1637" s="522"/>
    </row>
    <row r="1638" spans="6:7" x14ac:dyDescent="0.2">
      <c r="F1638" s="392"/>
      <c r="G1638" s="522"/>
    </row>
    <row r="1639" spans="6:7" x14ac:dyDescent="0.2">
      <c r="F1639" s="392"/>
      <c r="G1639" s="522"/>
    </row>
    <row r="1640" spans="6:7" x14ac:dyDescent="0.2">
      <c r="F1640" s="392"/>
      <c r="G1640" s="522"/>
    </row>
    <row r="1641" spans="6:7" x14ac:dyDescent="0.2">
      <c r="F1641" s="392"/>
      <c r="G1641" s="522"/>
    </row>
    <row r="1642" spans="6:7" x14ac:dyDescent="0.2">
      <c r="F1642" s="392"/>
      <c r="G1642" s="522"/>
    </row>
    <row r="1643" spans="6:7" x14ac:dyDescent="0.2">
      <c r="F1643" s="392"/>
      <c r="G1643" s="522"/>
    </row>
    <row r="1644" spans="6:7" x14ac:dyDescent="0.2">
      <c r="F1644" s="392"/>
      <c r="G1644" s="522"/>
    </row>
    <row r="1645" spans="6:7" x14ac:dyDescent="0.2">
      <c r="F1645" s="392"/>
      <c r="G1645" s="522"/>
    </row>
    <row r="1646" spans="6:7" x14ac:dyDescent="0.2">
      <c r="F1646" s="392"/>
      <c r="G1646" s="522"/>
    </row>
    <row r="1647" spans="6:7" x14ac:dyDescent="0.2">
      <c r="F1647" s="392"/>
      <c r="G1647" s="522"/>
    </row>
    <row r="1648" spans="6:7" x14ac:dyDescent="0.2">
      <c r="F1648" s="392"/>
      <c r="G1648" s="522"/>
    </row>
    <row r="1649" spans="6:7" x14ac:dyDescent="0.2">
      <c r="F1649" s="392"/>
      <c r="G1649" s="522"/>
    </row>
    <row r="1650" spans="6:7" x14ac:dyDescent="0.2">
      <c r="F1650" s="392"/>
      <c r="G1650" s="522"/>
    </row>
    <row r="1651" spans="6:7" x14ac:dyDescent="0.2">
      <c r="F1651" s="392"/>
      <c r="G1651" s="522"/>
    </row>
    <row r="1652" spans="6:7" x14ac:dyDescent="0.2">
      <c r="F1652" s="392"/>
      <c r="G1652" s="522"/>
    </row>
    <row r="1653" spans="6:7" x14ac:dyDescent="0.2">
      <c r="F1653" s="392"/>
      <c r="G1653" s="522"/>
    </row>
  </sheetData>
  <sheetProtection password="C4B9" sheet="1" objects="1" scenarios="1"/>
  <sortState ref="A172:BO190">
    <sortCondition ref="A190"/>
  </sortState>
  <customSheetViews>
    <customSheetView guid="{B8E02330-2419-4DE6-AD01-7ACC7A5D18DD}" scale="75" topLeftCell="A245">
      <selection activeCell="A2" sqref="A2:H260"/>
      <pageMargins left="0.75" right="0.75" top="1" bottom="1" header="0.5" footer="0.5"/>
      <pageSetup orientation="portrait" r:id="rId1"/>
      <headerFooter alignWithMargins="0"/>
    </customSheetView>
  </customSheetViews>
  <mergeCells count="82">
    <mergeCell ref="A131:A132"/>
    <mergeCell ref="A120:A124"/>
    <mergeCell ref="B120:B124"/>
    <mergeCell ref="I125:I130"/>
    <mergeCell ref="B125:B130"/>
    <mergeCell ref="A125:A130"/>
    <mergeCell ref="I114:I118"/>
    <mergeCell ref="B114:B118"/>
    <mergeCell ref="I120:I124"/>
    <mergeCell ref="H120:H124"/>
    <mergeCell ref="H125:H130"/>
    <mergeCell ref="H114:H118"/>
    <mergeCell ref="I94:I96"/>
    <mergeCell ref="A97:A100"/>
    <mergeCell ref="B97:B100"/>
    <mergeCell ref="I97:I100"/>
    <mergeCell ref="A114:A118"/>
    <mergeCell ref="I107:I113"/>
    <mergeCell ref="I101:I106"/>
    <mergeCell ref="H101:H106"/>
    <mergeCell ref="A107:A113"/>
    <mergeCell ref="B107:B113"/>
    <mergeCell ref="H107:H113"/>
    <mergeCell ref="H97:H100"/>
    <mergeCell ref="H94:H96"/>
    <mergeCell ref="A101:A106"/>
    <mergeCell ref="B101:B106"/>
    <mergeCell ref="A94:A96"/>
    <mergeCell ref="A85:A93"/>
    <mergeCell ref="A66:A70"/>
    <mergeCell ref="A50:A55"/>
    <mergeCell ref="A71:A74"/>
    <mergeCell ref="B75:B79"/>
    <mergeCell ref="A75:A79"/>
    <mergeCell ref="A56:A59"/>
    <mergeCell ref="B71:B74"/>
    <mergeCell ref="B50:B55"/>
    <mergeCell ref="I66:I70"/>
    <mergeCell ref="A23:A29"/>
    <mergeCell ref="H80:H84"/>
    <mergeCell ref="H85:H93"/>
    <mergeCell ref="H75:H79"/>
    <mergeCell ref="H71:H74"/>
    <mergeCell ref="H66:H70"/>
    <mergeCell ref="H60:H63"/>
    <mergeCell ref="H43:H49"/>
    <mergeCell ref="H35:H42"/>
    <mergeCell ref="H56:H59"/>
    <mergeCell ref="I43:I49"/>
    <mergeCell ref="I23:I29"/>
    <mergeCell ref="B85:B93"/>
    <mergeCell ref="B60:B63"/>
    <mergeCell ref="B66:B70"/>
    <mergeCell ref="H50:H55"/>
    <mergeCell ref="H30:H34"/>
    <mergeCell ref="H23:H29"/>
    <mergeCell ref="A80:A84"/>
    <mergeCell ref="A35:A42"/>
    <mergeCell ref="B43:B49"/>
    <mergeCell ref="A60:A63"/>
    <mergeCell ref="B23:B29"/>
    <mergeCell ref="B56:B59"/>
    <mergeCell ref="B80:B84"/>
    <mergeCell ref="A43:A49"/>
    <mergeCell ref="A30:A34"/>
    <mergeCell ref="B30:B34"/>
    <mergeCell ref="I80:I84"/>
    <mergeCell ref="I60:I63"/>
    <mergeCell ref="E1:I1"/>
    <mergeCell ref="B131:B132"/>
    <mergeCell ref="H131:H132"/>
    <mergeCell ref="I131:I132"/>
    <mergeCell ref="A1:B1"/>
    <mergeCell ref="I50:I55"/>
    <mergeCell ref="I56:I59"/>
    <mergeCell ref="I30:I34"/>
    <mergeCell ref="B94:B96"/>
    <mergeCell ref="I71:I74"/>
    <mergeCell ref="I75:I79"/>
    <mergeCell ref="B35:B42"/>
    <mergeCell ref="I35:I42"/>
    <mergeCell ref="I85:I93"/>
  </mergeCells>
  <phoneticPr fontId="5" type="noConversion"/>
  <conditionalFormatting sqref="D124:D129 D101:D105 D107:D112 D114 D82:D94 D60 D62:D66 D68:D71 D73:D75 D45:D54 D96:D99 D43 D24 D26:D30 D56:D58 D32:D41 D77:D80 D116:D122 D133:D134 D136:D138 D143:D144 D140:D141 D146:D147 D150:D152">
    <cfRule type="cellIs" dxfId="4" priority="1" operator="greaterThan">
      <formula>0</formula>
    </cfRule>
  </conditionalFormatting>
  <pageMargins left="0.75" right="0.75" top="1" bottom="1" header="0.5" footer="0.5"/>
  <pageSetup orientation="portrait"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S230"/>
  <sheetViews>
    <sheetView zoomScaleNormal="100" workbookViewId="0">
      <selection activeCell="D199" sqref="D199"/>
    </sheetView>
  </sheetViews>
  <sheetFormatPr defaultColWidth="9.33203125" defaultRowHeight="12.75" x14ac:dyDescent="0.2"/>
  <cols>
    <col min="1" max="1" width="5.83203125" style="56" customWidth="1"/>
    <col min="2" max="2" width="18.83203125" style="56" customWidth="1"/>
    <col min="3" max="3" width="69.83203125" style="177" customWidth="1"/>
    <col min="4" max="4" width="6.83203125" style="562" customWidth="1"/>
    <col min="5" max="5" width="7.6640625" style="562" customWidth="1"/>
    <col min="6" max="6" width="7.83203125" style="562" customWidth="1"/>
    <col min="7" max="7" width="10.83203125" style="563" customWidth="1"/>
    <col min="8" max="8" width="13.33203125" style="20" customWidth="1"/>
    <col min="9" max="9" width="69.83203125" style="56" customWidth="1"/>
    <col min="10" max="10" width="9.33203125" style="237"/>
    <col min="11" max="16384" width="9.33203125" style="38"/>
  </cols>
  <sheetData>
    <row r="1" spans="1:71" ht="60" customHeight="1" thickBot="1" x14ac:dyDescent="0.25">
      <c r="A1" s="2125" t="s">
        <v>2098</v>
      </c>
      <c r="B1" s="2354"/>
      <c r="C1" s="77" t="s">
        <v>922</v>
      </c>
      <c r="D1" s="1093" t="s">
        <v>670</v>
      </c>
      <c r="E1" s="2361"/>
      <c r="F1" s="2362"/>
      <c r="G1" s="2362"/>
      <c r="H1" s="2362"/>
      <c r="I1" s="2363"/>
    </row>
    <row r="2" spans="1:71" s="708" customFormat="1" ht="42" customHeight="1" thickBot="1" x14ac:dyDescent="0.25">
      <c r="A2" s="1605" t="s">
        <v>110</v>
      </c>
      <c r="B2" s="1606" t="s">
        <v>1096</v>
      </c>
      <c r="C2" s="1607" t="s">
        <v>1395</v>
      </c>
      <c r="D2" s="1605"/>
      <c r="E2" s="1608"/>
      <c r="F2" s="1609"/>
      <c r="G2" s="1610" t="s">
        <v>1111</v>
      </c>
      <c r="H2" s="1611" t="s">
        <v>1108</v>
      </c>
      <c r="I2" s="1606" t="s">
        <v>304</v>
      </c>
    </row>
    <row r="3" spans="1:71" s="155" customFormat="1" ht="45" customHeight="1" thickBot="1" x14ac:dyDescent="0.25">
      <c r="A3" s="931" t="str">
        <f>OF!A8</f>
        <v>OF7</v>
      </c>
      <c r="B3" s="715" t="str">
        <f>OF!C8</f>
        <v>Distance to Nearest Annual Cropland or Developed Land</v>
      </c>
      <c r="C3" s="1007" t="s">
        <v>507</v>
      </c>
      <c r="D3" s="716"/>
      <c r="E3" s="717"/>
      <c r="F3" s="717"/>
      <c r="G3" s="761" t="str">
        <f>IF((Dist2DevCrop=""),"",Dist2DevCrop)</f>
        <v/>
      </c>
      <c r="H3" s="1071" t="s">
        <v>1257</v>
      </c>
      <c r="I3" s="1169" t="s">
        <v>1611</v>
      </c>
      <c r="J3" s="392"/>
      <c r="K3" s="393"/>
      <c r="BL3" s="7"/>
      <c r="BM3" s="7"/>
      <c r="BN3" s="7"/>
      <c r="BO3" s="7"/>
      <c r="BP3" s="7"/>
      <c r="BQ3" s="7"/>
      <c r="BR3" s="7"/>
      <c r="BS3" s="7"/>
    </row>
    <row r="4" spans="1:71" s="155" customFormat="1" ht="41.25" customHeight="1" thickBot="1" x14ac:dyDescent="0.25">
      <c r="A4" s="709" t="str">
        <f>OF!A11</f>
        <v>OF10</v>
      </c>
      <c r="B4" s="710" t="str">
        <f>OF!C11</f>
        <v>Waterfowl Breeding Density</v>
      </c>
      <c r="C4" s="1061" t="s">
        <v>507</v>
      </c>
      <c r="D4" s="712"/>
      <c r="E4" s="713"/>
      <c r="F4" s="713"/>
      <c r="G4" s="740" t="str">
        <f>IF((DuckDens=""),"",DuckDens)</f>
        <v/>
      </c>
      <c r="H4" s="742" t="s">
        <v>1052</v>
      </c>
      <c r="I4" s="163" t="s">
        <v>2099</v>
      </c>
      <c r="J4" s="392"/>
      <c r="K4" s="393"/>
    </row>
    <row r="5" spans="1:71" s="155" customFormat="1" ht="30" customHeight="1" thickBot="1" x14ac:dyDescent="0.25">
      <c r="A5" s="931" t="str">
        <f>OF!A18</f>
        <v>OF17</v>
      </c>
      <c r="B5" s="715" t="str">
        <f>OF!C18</f>
        <v>Growing Degree Days</v>
      </c>
      <c r="C5" s="1007" t="s">
        <v>507</v>
      </c>
      <c r="D5" s="716"/>
      <c r="E5" s="717"/>
      <c r="F5" s="717"/>
      <c r="G5" s="761" t="str">
        <f>IF((GrowDD=""),"",GrowDD)</f>
        <v/>
      </c>
      <c r="H5" s="767" t="s">
        <v>1078</v>
      </c>
      <c r="I5" s="1083" t="s">
        <v>1100</v>
      </c>
      <c r="J5" s="392"/>
      <c r="K5" s="393"/>
    </row>
    <row r="6" spans="1:71" s="155" customFormat="1" ht="30" customHeight="1" thickBot="1" x14ac:dyDescent="0.25">
      <c r="A6" s="709" t="str">
        <f>OF!A21</f>
        <v>OF20</v>
      </c>
      <c r="B6" s="710" t="str">
        <f>OF!C21</f>
        <v>Important Bird Area</v>
      </c>
      <c r="C6" s="1061" t="s">
        <v>1447</v>
      </c>
      <c r="D6" s="712"/>
      <c r="E6" s="713"/>
      <c r="F6" s="713"/>
      <c r="G6" s="740" t="str">
        <f>IF((IBirdArea=""),"",IF((IBirdArea=1),1,""))</f>
        <v/>
      </c>
      <c r="H6" s="742" t="s">
        <v>1079</v>
      </c>
      <c r="I6" s="163" t="s">
        <v>1612</v>
      </c>
      <c r="J6" s="392"/>
      <c r="K6" s="393"/>
    </row>
    <row r="7" spans="1:71" s="155" customFormat="1" ht="30" customHeight="1" thickBot="1" x14ac:dyDescent="0.25">
      <c r="A7" s="931" t="str">
        <f>OF!A24</f>
        <v>OF23</v>
      </c>
      <c r="B7" s="715" t="str">
        <f>OF!C24</f>
        <v>% of the AA that is Marsh</v>
      </c>
      <c r="C7" s="1007"/>
      <c r="D7" s="716"/>
      <c r="E7" s="717"/>
      <c r="F7" s="717"/>
      <c r="G7" s="1069" t="str">
        <f>IF((MarshPct=""),"",MarshPct)</f>
        <v/>
      </c>
      <c r="H7" s="892" t="s">
        <v>1265</v>
      </c>
      <c r="I7" s="1083" t="s">
        <v>1613</v>
      </c>
      <c r="J7" s="346"/>
      <c r="K7" s="393"/>
    </row>
    <row r="8" spans="1:71" s="155" customFormat="1" ht="96" customHeight="1" thickBot="1" x14ac:dyDescent="0.25">
      <c r="A8" s="709" t="str">
        <f>OF!A28</f>
        <v>OF27</v>
      </c>
      <c r="B8" s="710" t="str">
        <f>OF!C28</f>
        <v>Interspersion Index for Internal Water &amp; Vegetation (macroscale)</v>
      </c>
      <c r="C8" s="1061" t="s">
        <v>507</v>
      </c>
      <c r="D8" s="712"/>
      <c r="E8" s="713"/>
      <c r="F8" s="713"/>
      <c r="G8" s="740" t="str">
        <f>IF((MixWaterVeg=""),"",MixWaterVeg)</f>
        <v/>
      </c>
      <c r="H8" s="741" t="s">
        <v>1032</v>
      </c>
      <c r="I8" s="1034" t="s">
        <v>1614</v>
      </c>
      <c r="J8" s="392"/>
      <c r="K8" s="393"/>
    </row>
    <row r="9" spans="1:71" s="155" customFormat="1" ht="45" customHeight="1" thickBot="1" x14ac:dyDescent="0.25">
      <c r="A9" s="931" t="str">
        <f>OF!A34</f>
        <v>OF33</v>
      </c>
      <c r="B9" s="715" t="str">
        <f>OF!C34</f>
        <v>% of AA that is Open Water (macro scale, Waterbird Habitat)</v>
      </c>
      <c r="C9" s="1007" t="s">
        <v>1417</v>
      </c>
      <c r="D9" s="716"/>
      <c r="E9" s="717"/>
      <c r="F9" s="717"/>
      <c r="G9" s="761" t="str">
        <f>IF((OWpct_WB=""),"",OWpct_WB)</f>
        <v/>
      </c>
      <c r="H9" s="877" t="s">
        <v>1402</v>
      </c>
      <c r="I9" s="943" t="s">
        <v>107</v>
      </c>
      <c r="J9" s="392"/>
      <c r="K9" s="393"/>
    </row>
    <row r="10" spans="1:71" s="155" customFormat="1" ht="45" customHeight="1" thickBot="1" x14ac:dyDescent="0.25">
      <c r="A10" s="709" t="str">
        <f>OF!A35</f>
        <v>OF34</v>
      </c>
      <c r="B10" s="710" t="str">
        <f>OF!C35</f>
        <v>% of Wetland Perimeter Adjoined by Natural Cover</v>
      </c>
      <c r="C10" s="1061" t="s">
        <v>507</v>
      </c>
      <c r="D10" s="712"/>
      <c r="E10" s="713"/>
      <c r="F10" s="713"/>
      <c r="G10" s="740" t="str">
        <f>IF((PerimNatCov=""),"",PerimNatCov)</f>
        <v/>
      </c>
      <c r="H10" s="1170" t="s">
        <v>1064</v>
      </c>
      <c r="I10" s="1034" t="s">
        <v>1615</v>
      </c>
      <c r="J10" s="392"/>
      <c r="K10" s="393"/>
    </row>
    <row r="11" spans="1:71" s="155" customFormat="1" ht="60" customHeight="1" thickBot="1" x14ac:dyDescent="0.25">
      <c r="A11" s="931" t="str">
        <f>OF!A39</f>
        <v>OF38</v>
      </c>
      <c r="B11" s="715" t="str">
        <f>OF!C39</f>
        <v>Nesting Bird Colony, Piping Plover Water Body, or Trumpeter Swan Use Area</v>
      </c>
      <c r="C11" s="1007" t="s">
        <v>1448</v>
      </c>
      <c r="D11" s="716"/>
      <c r="E11" s="717"/>
      <c r="F11" s="717"/>
      <c r="G11" s="761" t="str">
        <f>IF((RareBirdUse=""),"",IF((RareBirdUse=1),1,""))</f>
        <v/>
      </c>
      <c r="H11" s="877" t="s">
        <v>1070</v>
      </c>
      <c r="I11" s="1084" t="s">
        <v>1616</v>
      </c>
      <c r="J11" s="392"/>
      <c r="K11" s="393"/>
    </row>
    <row r="12" spans="1:71" s="155" customFormat="1" ht="30" customHeight="1" thickBot="1" x14ac:dyDescent="0.25">
      <c r="A12" s="709" t="str">
        <f>OF!A43</f>
        <v>OF42</v>
      </c>
      <c r="B12" s="710" t="str">
        <f>OF!C43</f>
        <v>Riparian or Floodway Location</v>
      </c>
      <c r="C12" s="1061" t="s">
        <v>1446</v>
      </c>
      <c r="D12" s="712"/>
      <c r="E12" s="713"/>
      <c r="F12" s="713"/>
      <c r="G12" s="740" t="str">
        <f>IF((RipFloodpl=""),"",IF((RipFloodpl=1),1,""))</f>
        <v/>
      </c>
      <c r="H12" s="741" t="s">
        <v>1077</v>
      </c>
      <c r="I12" s="1034" t="s">
        <v>1617</v>
      </c>
      <c r="J12" s="392"/>
      <c r="K12" s="393"/>
    </row>
    <row r="13" spans="1:71" s="7" customFormat="1" ht="45" customHeight="1" thickBot="1" x14ac:dyDescent="0.25">
      <c r="A13" s="931" t="str">
        <f>OF!A44</f>
        <v>OF43</v>
      </c>
      <c r="B13" s="715" t="str">
        <f>OF!C44</f>
        <v xml:space="preserve">Shorebird Staging Wetland </v>
      </c>
      <c r="C13" s="1007" t="s">
        <v>1443</v>
      </c>
      <c r="D13" s="716"/>
      <c r="E13" s="717"/>
      <c r="F13" s="717"/>
      <c r="G13" s="761" t="str">
        <f>IF((SBstaging=""),"",IF((SBstaging=1),1,""))</f>
        <v/>
      </c>
      <c r="H13" s="877" t="s">
        <v>1073</v>
      </c>
      <c r="I13" s="1084" t="s">
        <v>1618</v>
      </c>
      <c r="J13" s="392"/>
      <c r="K13" s="393"/>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row>
    <row r="14" spans="1:71" s="155" customFormat="1" ht="30" customHeight="1" thickBot="1" x14ac:dyDescent="0.25">
      <c r="A14" s="709" t="str">
        <f>OF!A55</f>
        <v>OF54</v>
      </c>
      <c r="B14" s="710" t="str">
        <f>OF!C55</f>
        <v>Trumpeter Swan Area</v>
      </c>
      <c r="C14" s="1061" t="s">
        <v>1445</v>
      </c>
      <c r="D14" s="712"/>
      <c r="E14" s="713"/>
      <c r="F14" s="713"/>
      <c r="G14" s="740" t="str">
        <f>IF((TrumSwan=""),"",IF((TrumSwan=1),1,""))</f>
        <v/>
      </c>
      <c r="H14" s="742" t="s">
        <v>1071</v>
      </c>
      <c r="I14" s="1170" t="s">
        <v>2210</v>
      </c>
      <c r="J14" s="392"/>
      <c r="K14" s="393"/>
    </row>
    <row r="15" spans="1:71" s="155" customFormat="1" ht="30" customHeight="1" thickBot="1" x14ac:dyDescent="0.25">
      <c r="A15" s="931" t="str">
        <f>OF!A56</f>
        <v>OF55</v>
      </c>
      <c r="B15" s="715" t="str">
        <f>OF!C56</f>
        <v>% Undeveloped Openlands Within 1km</v>
      </c>
      <c r="C15" s="1007" t="s">
        <v>507</v>
      </c>
      <c r="D15" s="716"/>
      <c r="E15" s="717"/>
      <c r="F15" s="717"/>
      <c r="G15" s="1171" t="str">
        <f>IF((UndevOpenL1k=""),"",UndevOpenL1k)</f>
        <v/>
      </c>
      <c r="H15" s="1084" t="s">
        <v>1062</v>
      </c>
      <c r="I15" s="892" t="s">
        <v>1619</v>
      </c>
      <c r="J15" s="394"/>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7"/>
    </row>
    <row r="16" spans="1:71" s="155" customFormat="1" ht="45" customHeight="1" thickBot="1" x14ac:dyDescent="0.25">
      <c r="A16" s="709" t="str">
        <f>OF!A58</f>
        <v>OF57</v>
      </c>
      <c r="B16" s="710" t="str">
        <f>OF!C58</f>
        <v>FenMarshPct/ FenMarshPct1k</v>
      </c>
      <c r="C16" s="1061" t="s">
        <v>507</v>
      </c>
      <c r="D16" s="712"/>
      <c r="E16" s="713"/>
      <c r="F16" s="713"/>
      <c r="G16" s="1101" t="str">
        <f>IF((UniqFenMarsh=""),"",UniqFenMarsh)</f>
        <v/>
      </c>
      <c r="H16" s="1033" t="s">
        <v>1254</v>
      </c>
      <c r="I16" s="1034" t="s">
        <v>1620</v>
      </c>
      <c r="J16" s="346"/>
      <c r="K16" s="393"/>
    </row>
    <row r="17" spans="1:71" s="155" customFormat="1" ht="45" customHeight="1" thickBot="1" x14ac:dyDescent="0.25">
      <c r="A17" s="931" t="str">
        <f>OF!A60</f>
        <v>OF59</v>
      </c>
      <c r="B17" s="715" t="str">
        <f>OF!C60</f>
        <v>Vegetation Connectivity to Other Wetlands within 1 km</v>
      </c>
      <c r="C17" s="1007" t="s">
        <v>507</v>
      </c>
      <c r="D17" s="716"/>
      <c r="E17" s="717"/>
      <c r="F17" s="717"/>
      <c r="G17" s="761" t="str">
        <f>IF((VegCon1k=""),"",VegCon1k)</f>
        <v/>
      </c>
      <c r="H17" s="1071" t="s">
        <v>1030</v>
      </c>
      <c r="I17" s="1084" t="s">
        <v>1099</v>
      </c>
      <c r="J17" s="392"/>
      <c r="K17" s="393"/>
    </row>
    <row r="18" spans="1:71" s="155" customFormat="1" ht="39.75" customHeight="1" thickBot="1" x14ac:dyDescent="0.25">
      <c r="A18" s="709" t="str">
        <f>OF!A61</f>
        <v>OF60</v>
      </c>
      <c r="B18" s="710" t="str">
        <f>OF!C61</f>
        <v>Water Permanence Probability</v>
      </c>
      <c r="C18" s="1061" t="s">
        <v>507</v>
      </c>
      <c r="D18" s="712"/>
      <c r="E18" s="713"/>
      <c r="F18" s="713"/>
      <c r="G18" s="740" t="str">
        <f>IF((WatProb=""),"",WatProb)</f>
        <v/>
      </c>
      <c r="H18" s="741" t="s">
        <v>1026</v>
      </c>
      <c r="I18" s="163" t="s">
        <v>1621</v>
      </c>
      <c r="J18" s="392"/>
      <c r="K18" s="393"/>
    </row>
    <row r="19" spans="1:71" s="155" customFormat="1" ht="54" customHeight="1" thickBot="1" x14ac:dyDescent="0.25">
      <c r="A19" s="931" t="str">
        <f>OF!A62</f>
        <v>OF61</v>
      </c>
      <c r="B19" s="715" t="str">
        <f>OF!C62</f>
        <v>Waterfowl Staging Wetland</v>
      </c>
      <c r="C19" s="1007" t="s">
        <v>1444</v>
      </c>
      <c r="D19" s="716"/>
      <c r="E19" s="717"/>
      <c r="F19" s="717"/>
      <c r="G19" s="761" t="str">
        <f>IF((WBstaging=""),"",IF((WBstaging=1),1,""))</f>
        <v/>
      </c>
      <c r="H19" s="877" t="s">
        <v>1072</v>
      </c>
      <c r="I19" s="1084" t="s">
        <v>1622</v>
      </c>
      <c r="J19" s="392"/>
      <c r="K19" s="393"/>
    </row>
    <row r="20" spans="1:71" s="155" customFormat="1" ht="208.5" customHeight="1" thickBot="1" x14ac:dyDescent="0.25">
      <c r="A20" s="709" t="str">
        <f>OF!A66</f>
        <v>OF65</v>
      </c>
      <c r="B20" s="710" t="str">
        <f>OF!C66</f>
        <v>Wetland Density Within 1km (excluding those with no open water)</v>
      </c>
      <c r="C20" s="1061" t="s">
        <v>507</v>
      </c>
      <c r="D20" s="712"/>
      <c r="E20" s="713"/>
      <c r="F20" s="713"/>
      <c r="G20" s="1101" t="str">
        <f>IF((WetDens1k_OW=""),"",WetDens1k_OW)</f>
        <v/>
      </c>
      <c r="H20" s="1033" t="s">
        <v>1101</v>
      </c>
      <c r="I20" s="1033" t="s">
        <v>1623</v>
      </c>
      <c r="J20" s="346"/>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7"/>
    </row>
    <row r="21" spans="1:71" s="155" customFormat="1" ht="57" customHeight="1" thickBot="1" x14ac:dyDescent="0.25">
      <c r="A21" s="1004" t="str">
        <f>OF!A69</f>
        <v>OF68</v>
      </c>
      <c r="B21" s="696" t="str">
        <f>OF!C69</f>
        <v>Wetland Vegetated Area</v>
      </c>
      <c r="C21" s="1062" t="s">
        <v>507</v>
      </c>
      <c r="D21" s="1025"/>
      <c r="E21" s="1026"/>
      <c r="F21" s="1026"/>
      <c r="G21" s="389" t="str">
        <f>IF((WetVegArea=""),"",WetVegArea)</f>
        <v/>
      </c>
      <c r="H21" s="1040" t="s">
        <v>1011</v>
      </c>
      <c r="I21" s="1172" t="s">
        <v>1102</v>
      </c>
      <c r="J21" s="392"/>
      <c r="K21" s="393"/>
    </row>
    <row r="22" spans="1:71" s="2" customFormat="1" ht="42" customHeight="1" thickBot="1" x14ac:dyDescent="0.25">
      <c r="A22" s="1622" t="s">
        <v>110</v>
      </c>
      <c r="B22" s="1613" t="s">
        <v>1110</v>
      </c>
      <c r="C22" s="1623" t="s">
        <v>1109</v>
      </c>
      <c r="D22" s="1624" t="s">
        <v>45</v>
      </c>
      <c r="E22" s="1625" t="s">
        <v>2028</v>
      </c>
      <c r="F22" s="1626" t="s">
        <v>2027</v>
      </c>
      <c r="G22" s="1627" t="s">
        <v>1111</v>
      </c>
      <c r="H22" s="1628" t="s">
        <v>1108</v>
      </c>
      <c r="I22" s="1629" t="s">
        <v>1503</v>
      </c>
      <c r="J22" s="59"/>
    </row>
    <row r="23" spans="1:71" s="54" customFormat="1" ht="21" customHeight="1" thickBot="1" x14ac:dyDescent="0.25">
      <c r="A23" s="1112" t="str">
        <f>F!A6</f>
        <v>F1</v>
      </c>
      <c r="B23" s="2358" t="str">
        <f>F!B6</f>
        <v>Wetland Type - Predominant</v>
      </c>
      <c r="C23" s="1115" t="str">
        <f>F!C6</f>
        <v>Most of the vegetated part of the AA (wetland Assessment Area) is a (select ONE):</v>
      </c>
      <c r="D23" s="364"/>
      <c r="E23" s="440"/>
      <c r="F23" s="443"/>
      <c r="G23" s="441">
        <f>MAX(F24:F27)/MAX(E24:E27)</f>
        <v>0</v>
      </c>
      <c r="H23" s="2087" t="s">
        <v>162</v>
      </c>
      <c r="I23" s="2135" t="s">
        <v>783</v>
      </c>
      <c r="J23" s="213"/>
      <c r="K23" s="395"/>
      <c r="L23" s="395"/>
      <c r="M23" s="395"/>
      <c r="N23" s="395"/>
      <c r="O23" s="395"/>
      <c r="P23" s="395"/>
      <c r="Q23" s="395"/>
      <c r="R23" s="395"/>
      <c r="S23" s="395"/>
      <c r="T23" s="395"/>
      <c r="U23" s="395"/>
      <c r="V23" s="395"/>
      <c r="W23" s="395"/>
      <c r="X23" s="395"/>
      <c r="Y23" s="395"/>
      <c r="Z23" s="395"/>
      <c r="AA23" s="395"/>
      <c r="AB23" s="395"/>
      <c r="AC23" s="395"/>
      <c r="AD23" s="395"/>
      <c r="AE23" s="395"/>
      <c r="AF23" s="395"/>
      <c r="AG23" s="395"/>
      <c r="AH23" s="395"/>
      <c r="AI23" s="395"/>
      <c r="AJ23" s="395"/>
      <c r="AK23" s="395"/>
      <c r="AL23" s="395"/>
      <c r="AM23" s="395"/>
      <c r="AN23" s="395"/>
      <c r="AO23" s="395"/>
      <c r="AP23" s="395"/>
      <c r="AQ23" s="395"/>
      <c r="AR23" s="395"/>
      <c r="AS23" s="395"/>
      <c r="AT23" s="395"/>
      <c r="AU23" s="395"/>
      <c r="AV23" s="395"/>
      <c r="AW23" s="395"/>
      <c r="AX23" s="395"/>
      <c r="AY23" s="395"/>
      <c r="AZ23" s="395"/>
      <c r="BA23" s="395"/>
      <c r="BB23" s="395"/>
      <c r="BC23" s="395"/>
      <c r="BD23" s="395"/>
      <c r="BE23" s="395"/>
      <c r="BF23" s="395"/>
      <c r="BG23" s="395"/>
      <c r="BH23" s="395"/>
      <c r="BI23" s="395"/>
      <c r="BJ23" s="35"/>
      <c r="BK23" s="35"/>
      <c r="BL23" s="35"/>
      <c r="BM23" s="35"/>
      <c r="BN23" s="35"/>
      <c r="BO23" s="35"/>
      <c r="BP23" s="35"/>
      <c r="BQ23" s="35"/>
      <c r="BR23" s="35"/>
      <c r="BS23" s="35"/>
    </row>
    <row r="24" spans="1:71" s="54" customFormat="1" ht="15" customHeight="1" x14ac:dyDescent="0.2">
      <c r="A24" s="1113" t="str">
        <f>F!A7</f>
        <v>F1.1</v>
      </c>
      <c r="B24" s="2359"/>
      <c r="C24" s="1116" t="str">
        <f>F!C7</f>
        <v>Wooded Swamp</v>
      </c>
      <c r="D24" s="140">
        <f>F!D7</f>
        <v>0</v>
      </c>
      <c r="E24" s="382">
        <v>1</v>
      </c>
      <c r="F24" s="382">
        <f>D24*E24</f>
        <v>0</v>
      </c>
      <c r="G24" s="1140"/>
      <c r="H24" s="2083"/>
      <c r="I24" s="2136"/>
      <c r="J24" s="213"/>
      <c r="K24" s="395"/>
      <c r="L24" s="395"/>
      <c r="M24" s="395"/>
      <c r="N24" s="395"/>
      <c r="O24" s="395"/>
      <c r="P24" s="395"/>
      <c r="Q24" s="395"/>
      <c r="R24" s="395"/>
      <c r="S24" s="395"/>
      <c r="T24" s="395"/>
      <c r="U24" s="395"/>
      <c r="V24" s="395"/>
      <c r="W24" s="395"/>
      <c r="X24" s="395"/>
      <c r="Y24" s="395"/>
      <c r="Z24" s="395"/>
      <c r="AA24" s="395"/>
      <c r="AB24" s="395"/>
      <c r="AC24" s="395"/>
      <c r="AD24" s="395"/>
      <c r="AE24" s="395"/>
      <c r="AF24" s="395"/>
      <c r="AG24" s="395"/>
      <c r="AH24" s="395"/>
      <c r="AI24" s="395"/>
      <c r="AJ24" s="395"/>
      <c r="AK24" s="395"/>
      <c r="AL24" s="395"/>
      <c r="AM24" s="395"/>
      <c r="AN24" s="395"/>
      <c r="AO24" s="395"/>
      <c r="AP24" s="395"/>
      <c r="AQ24" s="395"/>
      <c r="AR24" s="395"/>
      <c r="AS24" s="395"/>
      <c r="AT24" s="395"/>
      <c r="AU24" s="395"/>
      <c r="AV24" s="395"/>
      <c r="AW24" s="395"/>
      <c r="AX24" s="395"/>
      <c r="AY24" s="395"/>
      <c r="AZ24" s="395"/>
      <c r="BA24" s="395"/>
      <c r="BB24" s="395"/>
      <c r="BC24" s="395"/>
      <c r="BD24" s="395"/>
      <c r="BE24" s="395"/>
      <c r="BF24" s="395"/>
      <c r="BG24" s="395"/>
      <c r="BH24" s="395"/>
      <c r="BI24" s="395"/>
      <c r="BJ24" s="35"/>
      <c r="BK24" s="35"/>
      <c r="BL24" s="35"/>
      <c r="BM24" s="35"/>
      <c r="BN24" s="35"/>
      <c r="BO24" s="35"/>
      <c r="BP24" s="35"/>
      <c r="BQ24" s="35"/>
      <c r="BR24" s="35"/>
      <c r="BS24" s="35"/>
    </row>
    <row r="25" spans="1:71" s="54" customFormat="1" ht="15" customHeight="1" x14ac:dyDescent="0.2">
      <c r="A25" s="1113" t="str">
        <f>F!A8</f>
        <v>F1.2</v>
      </c>
      <c r="B25" s="2359"/>
      <c r="C25" s="1117" t="str">
        <f>F!C8</f>
        <v>Bog</v>
      </c>
      <c r="D25" s="140">
        <f>F!D8</f>
        <v>0</v>
      </c>
      <c r="E25" s="382">
        <v>0</v>
      </c>
      <c r="F25" s="382">
        <f>D25*E25</f>
        <v>0</v>
      </c>
      <c r="G25" s="1140"/>
      <c r="H25" s="2083"/>
      <c r="I25" s="2136"/>
      <c r="J25" s="213"/>
      <c r="K25" s="395"/>
      <c r="L25" s="395"/>
      <c r="M25" s="395"/>
      <c r="N25" s="395"/>
      <c r="O25" s="395"/>
      <c r="P25" s="395"/>
      <c r="Q25" s="395"/>
      <c r="R25" s="395"/>
      <c r="S25" s="395"/>
      <c r="T25" s="395"/>
      <c r="U25" s="395"/>
      <c r="V25" s="395"/>
      <c r="W25" s="395"/>
      <c r="X25" s="395"/>
      <c r="Y25" s="395"/>
      <c r="Z25" s="395"/>
      <c r="AA25" s="395"/>
      <c r="AB25" s="395"/>
      <c r="AC25" s="395"/>
      <c r="AD25" s="395"/>
      <c r="AE25" s="395"/>
      <c r="AF25" s="395"/>
      <c r="AG25" s="395"/>
      <c r="AH25" s="395"/>
      <c r="AI25" s="395"/>
      <c r="AJ25" s="395"/>
      <c r="AK25" s="395"/>
      <c r="AL25" s="395"/>
      <c r="AM25" s="395"/>
      <c r="AN25" s="395"/>
      <c r="AO25" s="395"/>
      <c r="AP25" s="395"/>
      <c r="AQ25" s="395"/>
      <c r="AR25" s="395"/>
      <c r="AS25" s="395"/>
      <c r="AT25" s="395"/>
      <c r="AU25" s="395"/>
      <c r="AV25" s="395"/>
      <c r="AW25" s="395"/>
      <c r="AX25" s="395"/>
      <c r="AY25" s="395"/>
      <c r="AZ25" s="395"/>
      <c r="BA25" s="395"/>
      <c r="BB25" s="395"/>
      <c r="BC25" s="395"/>
      <c r="BD25" s="395"/>
      <c r="BE25" s="395"/>
      <c r="BF25" s="395"/>
      <c r="BG25" s="395"/>
      <c r="BH25" s="395"/>
      <c r="BI25" s="395"/>
      <c r="BJ25" s="35"/>
      <c r="BK25" s="35"/>
      <c r="BL25" s="35"/>
      <c r="BM25" s="35"/>
      <c r="BN25" s="35"/>
      <c r="BO25" s="35"/>
      <c r="BP25" s="35"/>
      <c r="BQ25" s="35"/>
      <c r="BR25" s="35"/>
      <c r="BS25" s="35"/>
    </row>
    <row r="26" spans="1:71" s="54" customFormat="1" ht="15" customHeight="1" x14ac:dyDescent="0.2">
      <c r="A26" s="1113" t="str">
        <f>F!A9</f>
        <v>F1.3</v>
      </c>
      <c r="B26" s="2359"/>
      <c r="C26" s="1117" t="str">
        <f>F!C9</f>
        <v>Fen</v>
      </c>
      <c r="D26" s="140">
        <f>F!D9</f>
        <v>0</v>
      </c>
      <c r="E26" s="382">
        <v>2</v>
      </c>
      <c r="F26" s="382">
        <f>D26*E26</f>
        <v>0</v>
      </c>
      <c r="G26" s="1140"/>
      <c r="H26" s="2083"/>
      <c r="I26" s="2136"/>
      <c r="J26" s="213"/>
      <c r="K26" s="395"/>
      <c r="L26" s="395"/>
      <c r="M26" s="395"/>
      <c r="N26" s="395"/>
      <c r="O26" s="395"/>
      <c r="P26" s="395"/>
      <c r="Q26" s="395"/>
      <c r="R26" s="395"/>
      <c r="S26" s="395"/>
      <c r="T26" s="395"/>
      <c r="U26" s="395"/>
      <c r="V26" s="395"/>
      <c r="W26" s="395"/>
      <c r="X26" s="395"/>
      <c r="Y26" s="395"/>
      <c r="Z26" s="395"/>
      <c r="AA26" s="395"/>
      <c r="AB26" s="395"/>
      <c r="AC26" s="395"/>
      <c r="AD26" s="395"/>
      <c r="AE26" s="395"/>
      <c r="AF26" s="395"/>
      <c r="AG26" s="395"/>
      <c r="AH26" s="395"/>
      <c r="AI26" s="395"/>
      <c r="AJ26" s="395"/>
      <c r="AK26" s="395"/>
      <c r="AL26" s="395"/>
      <c r="AM26" s="395"/>
      <c r="AN26" s="395"/>
      <c r="AO26" s="395"/>
      <c r="AP26" s="395"/>
      <c r="AQ26" s="395"/>
      <c r="AR26" s="395"/>
      <c r="AS26" s="395"/>
      <c r="AT26" s="395"/>
      <c r="AU26" s="395"/>
      <c r="AV26" s="395"/>
      <c r="AW26" s="395"/>
      <c r="AX26" s="395"/>
      <c r="AY26" s="395"/>
      <c r="AZ26" s="395"/>
      <c r="BA26" s="395"/>
      <c r="BB26" s="395"/>
      <c r="BC26" s="395"/>
      <c r="BD26" s="395"/>
      <c r="BE26" s="395"/>
      <c r="BF26" s="395"/>
      <c r="BG26" s="395"/>
      <c r="BH26" s="395"/>
      <c r="BI26" s="395"/>
      <c r="BJ26" s="35"/>
      <c r="BK26" s="35"/>
      <c r="BL26" s="35"/>
      <c r="BM26" s="35"/>
      <c r="BN26" s="35"/>
      <c r="BO26" s="35"/>
      <c r="BP26" s="35"/>
      <c r="BQ26" s="35"/>
      <c r="BR26" s="35"/>
      <c r="BS26" s="35"/>
    </row>
    <row r="27" spans="1:71" s="54" customFormat="1" ht="15" customHeight="1" thickBot="1" x14ac:dyDescent="0.25">
      <c r="A27" s="1143" t="str">
        <f>F!A10</f>
        <v>F1.4</v>
      </c>
      <c r="B27" s="2360"/>
      <c r="C27" s="1132" t="str">
        <f>F!C10</f>
        <v>Marsh or Shallow Open Water</v>
      </c>
      <c r="D27" s="1144">
        <f>F!D10</f>
        <v>0</v>
      </c>
      <c r="E27" s="635">
        <v>3</v>
      </c>
      <c r="F27" s="635">
        <f>D27*E27</f>
        <v>0</v>
      </c>
      <c r="G27" s="542"/>
      <c r="H27" s="2088"/>
      <c r="I27" s="2136"/>
      <c r="J27" s="213"/>
      <c r="K27" s="395"/>
      <c r="L27" s="395"/>
      <c r="M27" s="395"/>
      <c r="N27" s="395"/>
      <c r="O27" s="395"/>
      <c r="P27" s="395"/>
      <c r="Q27" s="395"/>
      <c r="R27" s="395"/>
      <c r="S27" s="395"/>
      <c r="T27" s="395"/>
      <c r="U27" s="395"/>
      <c r="V27" s="395"/>
      <c r="W27" s="395"/>
      <c r="X27" s="395"/>
      <c r="Y27" s="395"/>
      <c r="Z27" s="395"/>
      <c r="AA27" s="395"/>
      <c r="AB27" s="395"/>
      <c r="AC27" s="395"/>
      <c r="AD27" s="395"/>
      <c r="AE27" s="395"/>
      <c r="AF27" s="395"/>
      <c r="AG27" s="395"/>
      <c r="AH27" s="395"/>
      <c r="AI27" s="395"/>
      <c r="AJ27" s="395"/>
      <c r="AK27" s="395"/>
      <c r="AL27" s="395"/>
      <c r="AM27" s="395"/>
      <c r="AN27" s="395"/>
      <c r="AO27" s="395"/>
      <c r="AP27" s="395"/>
      <c r="AQ27" s="395"/>
      <c r="AR27" s="395"/>
      <c r="AS27" s="395"/>
      <c r="AT27" s="395"/>
      <c r="AU27" s="395"/>
      <c r="AV27" s="395"/>
      <c r="AW27" s="395"/>
      <c r="AX27" s="395"/>
      <c r="AY27" s="395"/>
      <c r="AZ27" s="395"/>
      <c r="BA27" s="395"/>
      <c r="BB27" s="395"/>
      <c r="BC27" s="395"/>
      <c r="BD27" s="395"/>
      <c r="BE27" s="395"/>
      <c r="BF27" s="395"/>
      <c r="BG27" s="395"/>
      <c r="BH27" s="395"/>
      <c r="BI27" s="395"/>
      <c r="BJ27" s="35"/>
      <c r="BK27" s="35"/>
      <c r="BL27" s="35"/>
      <c r="BM27" s="35"/>
      <c r="BN27" s="35"/>
      <c r="BO27" s="35"/>
      <c r="BP27" s="35"/>
      <c r="BQ27" s="35"/>
      <c r="BR27" s="35"/>
      <c r="BS27" s="35"/>
    </row>
    <row r="28" spans="1:71" s="35" customFormat="1" ht="30" customHeight="1" thickBot="1" x14ac:dyDescent="0.25">
      <c r="A28" s="2355" t="str">
        <f>F!A17</f>
        <v>F3</v>
      </c>
      <c r="B28" s="2349" t="str">
        <f>F!B17</f>
        <v>% Saturated Only</v>
      </c>
      <c r="C28" s="1129" t="str">
        <f>F!C17</f>
        <v>The percentage of the AA that never contains surface water during an average year (that is, except perhaps for a few hours after snowmelt or rainstorms), but which is still a wetland, is:</v>
      </c>
      <c r="D28" s="1146"/>
      <c r="E28" s="1147"/>
      <c r="F28" s="1148"/>
      <c r="G28" s="340">
        <f>MAX(F29:F34)/MAX(E29:E34)</f>
        <v>0.2</v>
      </c>
      <c r="H28" s="2087" t="s">
        <v>350</v>
      </c>
      <c r="I28" s="2135" t="s">
        <v>504</v>
      </c>
      <c r="J28" s="213"/>
      <c r="K28" s="395"/>
      <c r="L28" s="395"/>
      <c r="M28" s="395"/>
      <c r="N28" s="395"/>
      <c r="O28" s="395"/>
      <c r="P28" s="395"/>
      <c r="Q28" s="395"/>
      <c r="R28" s="395"/>
      <c r="S28" s="395"/>
      <c r="T28" s="395"/>
      <c r="U28" s="395"/>
      <c r="V28" s="395"/>
      <c r="W28" s="395"/>
      <c r="X28" s="395"/>
      <c r="Y28" s="395"/>
      <c r="Z28" s="395"/>
      <c r="AA28" s="395"/>
      <c r="AB28" s="395"/>
      <c r="AC28" s="395"/>
      <c r="AD28" s="395"/>
      <c r="AE28" s="395"/>
      <c r="AF28" s="395"/>
      <c r="AG28" s="395"/>
      <c r="AH28" s="395"/>
      <c r="AI28" s="395"/>
      <c r="AJ28" s="395"/>
      <c r="AK28" s="395"/>
      <c r="AL28" s="395"/>
      <c r="AM28" s="395"/>
      <c r="AN28" s="395"/>
      <c r="AO28" s="395"/>
      <c r="AP28" s="395"/>
      <c r="AQ28" s="395"/>
      <c r="AR28" s="395"/>
      <c r="AS28" s="395"/>
      <c r="AT28" s="395"/>
      <c r="AU28" s="395"/>
      <c r="AV28" s="395"/>
      <c r="AW28" s="395"/>
      <c r="AX28" s="395"/>
      <c r="AY28" s="395"/>
      <c r="AZ28" s="395"/>
      <c r="BA28" s="395"/>
      <c r="BB28" s="395"/>
      <c r="BC28" s="395"/>
      <c r="BD28" s="395"/>
      <c r="BE28" s="395"/>
      <c r="BF28" s="395"/>
      <c r="BG28" s="395"/>
      <c r="BH28" s="395"/>
      <c r="BI28" s="395"/>
    </row>
    <row r="29" spans="1:71" s="35" customFormat="1" ht="27" customHeight="1" x14ac:dyDescent="0.2">
      <c r="A29" s="2356"/>
      <c r="B29" s="2338"/>
      <c r="C29" s="1120" t="str">
        <f>F!C18</f>
        <v>less than 1%, or &lt;0.01 hectare (about 10 m on a side) never has surface water.  In other words, all or nearly all of the AA is inundated permanently or at least seasonally.</v>
      </c>
      <c r="D29" s="1149">
        <f>F!D18</f>
        <v>0</v>
      </c>
      <c r="E29" s="1150">
        <v>4</v>
      </c>
      <c r="F29" s="1151">
        <f t="shared" ref="F29:F34" si="0">D29*E29</f>
        <v>0</v>
      </c>
      <c r="G29" s="1141"/>
      <c r="H29" s="2083"/>
      <c r="I29" s="2136"/>
      <c r="J29" s="213"/>
      <c r="K29" s="395"/>
      <c r="L29" s="395"/>
      <c r="M29" s="395"/>
      <c r="N29" s="395"/>
      <c r="O29" s="395"/>
      <c r="P29" s="395"/>
      <c r="Q29" s="395"/>
      <c r="R29" s="395"/>
      <c r="S29" s="395"/>
      <c r="T29" s="395"/>
      <c r="U29" s="395"/>
      <c r="V29" s="395"/>
      <c r="W29" s="395"/>
      <c r="X29" s="395"/>
      <c r="Y29" s="395"/>
      <c r="Z29" s="395"/>
      <c r="AA29" s="395"/>
      <c r="AB29" s="395"/>
      <c r="AC29" s="395"/>
      <c r="AD29" s="395"/>
      <c r="AE29" s="395"/>
      <c r="AF29" s="395"/>
      <c r="AG29" s="395"/>
      <c r="AH29" s="395"/>
      <c r="AI29" s="395"/>
      <c r="AJ29" s="395"/>
      <c r="AK29" s="395"/>
      <c r="AL29" s="395"/>
      <c r="AM29" s="395"/>
      <c r="AN29" s="395"/>
      <c r="AO29" s="395"/>
      <c r="AP29" s="395"/>
      <c r="AQ29" s="395"/>
      <c r="AR29" s="395"/>
      <c r="AS29" s="395"/>
      <c r="AT29" s="395"/>
      <c r="AU29" s="395"/>
      <c r="AV29" s="395"/>
      <c r="AW29" s="395"/>
      <c r="AX29" s="395"/>
      <c r="AY29" s="395"/>
      <c r="AZ29" s="395"/>
      <c r="BA29" s="395"/>
      <c r="BB29" s="395"/>
      <c r="BC29" s="395"/>
      <c r="BD29" s="395"/>
      <c r="BE29" s="395"/>
      <c r="BF29" s="395"/>
      <c r="BG29" s="395"/>
      <c r="BH29" s="395"/>
      <c r="BI29" s="395"/>
    </row>
    <row r="30" spans="1:71" s="35" customFormat="1" ht="15" customHeight="1" x14ac:dyDescent="0.2">
      <c r="A30" s="2356"/>
      <c r="B30" s="2338"/>
      <c r="C30" s="1121" t="str">
        <f>F!C19</f>
        <v>1-25% of the AA never contains surface water.</v>
      </c>
      <c r="D30" s="302">
        <f>F!D19</f>
        <v>0</v>
      </c>
      <c r="E30" s="1150">
        <v>5</v>
      </c>
      <c r="F30" s="1151">
        <f t="shared" si="0"/>
        <v>0</v>
      </c>
      <c r="G30" s="1141"/>
      <c r="H30" s="2083"/>
      <c r="I30" s="2136"/>
      <c r="J30" s="213"/>
      <c r="K30" s="395"/>
      <c r="L30" s="395"/>
      <c r="M30" s="395"/>
      <c r="N30" s="395"/>
      <c r="O30" s="395"/>
      <c r="P30" s="395"/>
      <c r="Q30" s="395"/>
      <c r="R30" s="395"/>
      <c r="S30" s="395"/>
      <c r="T30" s="395"/>
      <c r="U30" s="395"/>
      <c r="V30" s="395"/>
      <c r="W30" s="395"/>
      <c r="X30" s="395"/>
      <c r="Y30" s="395"/>
      <c r="Z30" s="395"/>
      <c r="AA30" s="395"/>
      <c r="AB30" s="395"/>
      <c r="AC30" s="395"/>
      <c r="AD30" s="395"/>
      <c r="AE30" s="395"/>
      <c r="AF30" s="395"/>
      <c r="AG30" s="395"/>
      <c r="AH30" s="395"/>
      <c r="AI30" s="395"/>
      <c r="AJ30" s="395"/>
      <c r="AK30" s="395"/>
      <c r="AL30" s="395"/>
      <c r="AM30" s="395"/>
      <c r="AN30" s="395"/>
      <c r="AO30" s="395"/>
      <c r="AP30" s="395"/>
      <c r="AQ30" s="395"/>
      <c r="AR30" s="395"/>
      <c r="AS30" s="395"/>
      <c r="AT30" s="395"/>
      <c r="AU30" s="395"/>
      <c r="AV30" s="395"/>
      <c r="AW30" s="395"/>
      <c r="AX30" s="395"/>
      <c r="AY30" s="395"/>
      <c r="AZ30" s="395"/>
      <c r="BA30" s="395"/>
      <c r="BB30" s="395"/>
      <c r="BC30" s="395"/>
      <c r="BD30" s="395"/>
      <c r="BE30" s="395"/>
      <c r="BF30" s="395"/>
      <c r="BG30" s="395"/>
      <c r="BH30" s="395"/>
      <c r="BI30" s="395"/>
    </row>
    <row r="31" spans="1:71" s="35" customFormat="1" ht="15" customHeight="1" x14ac:dyDescent="0.2">
      <c r="A31" s="2356"/>
      <c r="B31" s="2338"/>
      <c r="C31" s="1121" t="str">
        <f>F!C20</f>
        <v>25-50% of the AA never contains surface water.</v>
      </c>
      <c r="D31" s="1149">
        <f>F!D20</f>
        <v>0</v>
      </c>
      <c r="E31" s="1150">
        <v>3</v>
      </c>
      <c r="F31" s="1151">
        <f t="shared" si="0"/>
        <v>0</v>
      </c>
      <c r="G31" s="1141"/>
      <c r="H31" s="2083"/>
      <c r="I31" s="2136"/>
      <c r="J31" s="213"/>
      <c r="K31" s="395"/>
      <c r="L31" s="395"/>
      <c r="M31" s="395"/>
      <c r="N31" s="395"/>
      <c r="O31" s="395"/>
      <c r="P31" s="395"/>
      <c r="Q31" s="395"/>
      <c r="R31" s="395"/>
      <c r="S31" s="395"/>
      <c r="T31" s="395"/>
      <c r="U31" s="395"/>
      <c r="V31" s="395"/>
      <c r="W31" s="395"/>
      <c r="X31" s="395"/>
      <c r="Y31" s="395"/>
      <c r="Z31" s="395"/>
      <c r="AA31" s="395"/>
      <c r="AB31" s="395"/>
      <c r="AC31" s="395"/>
      <c r="AD31" s="395"/>
      <c r="AE31" s="395"/>
      <c r="AF31" s="395"/>
      <c r="AG31" s="395"/>
      <c r="AH31" s="395"/>
      <c r="AI31" s="395"/>
      <c r="AJ31" s="395"/>
      <c r="AK31" s="395"/>
      <c r="AL31" s="395"/>
      <c r="AM31" s="395"/>
      <c r="AN31" s="395"/>
      <c r="AO31" s="395"/>
      <c r="AP31" s="395"/>
      <c r="AQ31" s="395"/>
      <c r="AR31" s="395"/>
      <c r="AS31" s="395"/>
      <c r="AT31" s="395"/>
      <c r="AU31" s="395"/>
      <c r="AV31" s="395"/>
      <c r="AW31" s="395"/>
      <c r="AX31" s="395"/>
      <c r="AY31" s="395"/>
      <c r="AZ31" s="395"/>
      <c r="BA31" s="395"/>
      <c r="BB31" s="395"/>
      <c r="BC31" s="395"/>
      <c r="BD31" s="395"/>
      <c r="BE31" s="395"/>
      <c r="BF31" s="395"/>
      <c r="BG31" s="395"/>
      <c r="BH31" s="395"/>
      <c r="BI31" s="395"/>
    </row>
    <row r="32" spans="1:71" s="35" customFormat="1" ht="15" customHeight="1" x14ac:dyDescent="0.2">
      <c r="A32" s="2356"/>
      <c r="B32" s="2338"/>
      <c r="C32" s="1121" t="str">
        <f>F!C21</f>
        <v>50-99% of the AA never contains surface water.</v>
      </c>
      <c r="D32" s="1149">
        <f>F!D21</f>
        <v>0</v>
      </c>
      <c r="E32" s="1150">
        <v>2</v>
      </c>
      <c r="F32" s="1151">
        <f t="shared" si="0"/>
        <v>0</v>
      </c>
      <c r="G32" s="1141"/>
      <c r="H32" s="2083"/>
      <c r="I32" s="2136"/>
      <c r="J32" s="213"/>
      <c r="K32" s="395"/>
      <c r="L32" s="395"/>
      <c r="M32" s="395"/>
      <c r="N32" s="395"/>
      <c r="O32" s="395"/>
      <c r="P32" s="395"/>
      <c r="Q32" s="395"/>
      <c r="R32" s="395"/>
      <c r="S32" s="395"/>
      <c r="T32" s="395"/>
      <c r="U32" s="395"/>
      <c r="V32" s="395"/>
      <c r="W32" s="395"/>
      <c r="X32" s="395"/>
      <c r="Y32" s="395"/>
      <c r="Z32" s="395"/>
      <c r="AA32" s="395"/>
      <c r="AB32" s="395"/>
      <c r="AC32" s="395"/>
      <c r="AD32" s="395"/>
      <c r="AE32" s="395"/>
      <c r="AF32" s="395"/>
      <c r="AG32" s="395"/>
      <c r="AH32" s="395"/>
      <c r="AI32" s="395"/>
      <c r="AJ32" s="395"/>
      <c r="AK32" s="395"/>
      <c r="AL32" s="395"/>
      <c r="AM32" s="395"/>
      <c r="AN32" s="395"/>
      <c r="AO32" s="395"/>
      <c r="AP32" s="395"/>
      <c r="AQ32" s="395"/>
      <c r="AR32" s="395"/>
      <c r="AS32" s="395"/>
      <c r="AT32" s="395"/>
      <c r="AU32" s="395"/>
      <c r="AV32" s="395"/>
      <c r="AW32" s="395"/>
      <c r="AX32" s="395"/>
      <c r="AY32" s="395"/>
      <c r="AZ32" s="395"/>
      <c r="BA32" s="395"/>
      <c r="BB32" s="395"/>
      <c r="BC32" s="395"/>
      <c r="BD32" s="395"/>
      <c r="BE32" s="395"/>
      <c r="BF32" s="395"/>
      <c r="BG32" s="395"/>
      <c r="BH32" s="395"/>
      <c r="BI32" s="395"/>
    </row>
    <row r="33" spans="1:71" s="35" customFormat="1" ht="39" customHeight="1" x14ac:dyDescent="0.2">
      <c r="A33" s="2356"/>
      <c r="B33" s="2338"/>
      <c r="C33" s="1121" t="str">
        <f>F!C22</f>
        <v>&gt;99% of the AA never contains surface water, except for water flowing in channels and/or in pools that occupy &lt;1% of the AA. SKIP to F26 (Channel Connection &amp; Outflow Duration)</v>
      </c>
      <c r="D33" s="1149">
        <v>1</v>
      </c>
      <c r="E33" s="1150">
        <v>1</v>
      </c>
      <c r="F33" s="1151">
        <f t="shared" si="0"/>
        <v>1</v>
      </c>
      <c r="G33" s="1141"/>
      <c r="H33" s="2083"/>
      <c r="I33" s="2136"/>
      <c r="J33" s="213"/>
      <c r="K33" s="395"/>
      <c r="L33" s="395"/>
      <c r="M33" s="395"/>
      <c r="N33" s="395"/>
      <c r="O33" s="395"/>
      <c r="P33" s="395"/>
      <c r="Q33" s="395"/>
      <c r="R33" s="395"/>
      <c r="S33" s="395"/>
      <c r="T33" s="395"/>
      <c r="U33" s="395"/>
      <c r="V33" s="395"/>
      <c r="W33" s="395"/>
      <c r="X33" s="395"/>
      <c r="Y33" s="395"/>
      <c r="Z33" s="395"/>
      <c r="AA33" s="395"/>
      <c r="AB33" s="395"/>
      <c r="AC33" s="395"/>
      <c r="AD33" s="395"/>
      <c r="AE33" s="395"/>
      <c r="AF33" s="395"/>
      <c r="AG33" s="395"/>
      <c r="AH33" s="395"/>
      <c r="AI33" s="395"/>
      <c r="AJ33" s="395"/>
      <c r="AK33" s="395"/>
      <c r="AL33" s="395"/>
      <c r="AM33" s="395"/>
      <c r="AN33" s="395"/>
      <c r="AO33" s="395"/>
      <c r="AP33" s="395"/>
      <c r="AQ33" s="395"/>
      <c r="AR33" s="395"/>
      <c r="AS33" s="395"/>
      <c r="AT33" s="395"/>
      <c r="AU33" s="395"/>
      <c r="AV33" s="395"/>
      <c r="AW33" s="395"/>
      <c r="AX33" s="395"/>
      <c r="AY33" s="395"/>
      <c r="AZ33" s="395"/>
      <c r="BA33" s="395"/>
      <c r="BB33" s="395"/>
      <c r="BC33" s="395"/>
      <c r="BD33" s="395"/>
      <c r="BE33" s="395"/>
      <c r="BF33" s="395"/>
      <c r="BG33" s="395"/>
      <c r="BH33" s="395"/>
      <c r="BI33" s="395"/>
    </row>
    <row r="34" spans="1:71" s="35" customFormat="1" ht="27" customHeight="1" thickBot="1" x14ac:dyDescent="0.25">
      <c r="A34" s="2357"/>
      <c r="B34" s="2350"/>
      <c r="C34" s="1152" t="str">
        <f>F!C23</f>
        <v>&gt;99% of the AA never contains surface water, and AA is not intersected by channels that have flow, not even for a few days per year. SKIP to F26.</v>
      </c>
      <c r="D34" s="125">
        <f>F!D23</f>
        <v>0</v>
      </c>
      <c r="E34" s="374">
        <v>0</v>
      </c>
      <c r="F34" s="353">
        <f t="shared" si="0"/>
        <v>0</v>
      </c>
      <c r="G34" s="337"/>
      <c r="H34" s="2088"/>
      <c r="I34" s="2137"/>
      <c r="J34" s="213"/>
      <c r="K34" s="395"/>
      <c r="L34" s="395"/>
      <c r="M34" s="395"/>
      <c r="N34" s="395"/>
      <c r="O34" s="395"/>
      <c r="P34" s="395"/>
      <c r="Q34" s="395"/>
      <c r="R34" s="395"/>
      <c r="S34" s="395"/>
      <c r="T34" s="395"/>
      <c r="U34" s="395"/>
      <c r="V34" s="395"/>
      <c r="W34" s="395"/>
      <c r="X34" s="395"/>
      <c r="Y34" s="395"/>
      <c r="Z34" s="395"/>
      <c r="AA34" s="395"/>
      <c r="AB34" s="395"/>
      <c r="AC34" s="395"/>
      <c r="AD34" s="395"/>
      <c r="AE34" s="395"/>
      <c r="AF34" s="395"/>
      <c r="AG34" s="395"/>
      <c r="AH34" s="395"/>
      <c r="AI34" s="395"/>
      <c r="AJ34" s="395"/>
      <c r="AK34" s="395"/>
      <c r="AL34" s="395"/>
      <c r="AM34" s="395"/>
      <c r="AN34" s="395"/>
      <c r="AO34" s="395"/>
      <c r="AP34" s="395"/>
      <c r="AQ34" s="395"/>
      <c r="AR34" s="395"/>
      <c r="AS34" s="395"/>
      <c r="AT34" s="395"/>
      <c r="AU34" s="395"/>
      <c r="AV34" s="395"/>
      <c r="AW34" s="395"/>
      <c r="AX34" s="395"/>
      <c r="AY34" s="395"/>
      <c r="AZ34" s="395"/>
      <c r="BA34" s="395"/>
      <c r="BB34" s="395"/>
      <c r="BC34" s="395"/>
      <c r="BD34" s="395"/>
      <c r="BE34" s="395"/>
      <c r="BF34" s="395"/>
      <c r="BG34" s="395"/>
      <c r="BH34" s="395"/>
      <c r="BI34" s="395"/>
    </row>
    <row r="35" spans="1:71" s="34" customFormat="1" ht="30" customHeight="1" thickBot="1" x14ac:dyDescent="0.25">
      <c r="A35" s="2341" t="str">
        <f>F!A24</f>
        <v>F4</v>
      </c>
      <c r="B35" s="2338" t="str">
        <f>F!B24</f>
        <v>% with Persistent Surface Water</v>
      </c>
      <c r="C35" s="1133" t="str">
        <f>F!C24</f>
        <v>The percentage of the AA that has surface water (either ponded or flowing, either open or obscured by vegetation) during all of the growing season during most years is:</v>
      </c>
      <c r="D35" s="1145"/>
      <c r="E35" s="359"/>
      <c r="F35" s="381"/>
      <c r="G35" s="339">
        <f>IF((AllSat+AllSat&gt;0),"", MAX(F36:F40)/MAX(E36:E40))</f>
        <v>0</v>
      </c>
      <c r="H35" s="2077" t="s">
        <v>164</v>
      </c>
      <c r="I35" s="2136" t="s">
        <v>2100</v>
      </c>
      <c r="J35" s="274"/>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71" ht="25.5" customHeight="1" x14ac:dyDescent="0.2">
      <c r="A36" s="2341"/>
      <c r="B36" s="2338"/>
      <c r="C36" s="1122" t="str">
        <f>F!C25</f>
        <v>less than 1%, or &lt;0.01 hectare (whichever is less).  SKIP to F8 (% Flooded Only Seasonally).</v>
      </c>
      <c r="D36" s="544">
        <f>F!D25</f>
        <v>0</v>
      </c>
      <c r="E36" s="450">
        <v>1</v>
      </c>
      <c r="F36" s="351">
        <f>D36*E36</f>
        <v>0</v>
      </c>
      <c r="G36" s="545"/>
      <c r="H36" s="2078"/>
      <c r="I36" s="2136"/>
      <c r="J36" s="273"/>
      <c r="K36" s="333"/>
      <c r="L36" s="333"/>
      <c r="M36" s="333"/>
      <c r="N36" s="333"/>
      <c r="O36" s="333"/>
      <c r="P36" s="333"/>
      <c r="Q36" s="333"/>
      <c r="R36" s="333"/>
      <c r="S36" s="333"/>
      <c r="T36" s="333"/>
      <c r="U36" s="333"/>
      <c r="V36" s="333"/>
      <c r="W36" s="333"/>
      <c r="X36" s="333"/>
      <c r="Y36" s="333"/>
      <c r="Z36" s="333"/>
      <c r="AA36" s="333"/>
      <c r="AB36" s="333"/>
      <c r="AC36" s="333"/>
      <c r="AD36" s="333"/>
      <c r="AE36" s="333"/>
      <c r="AF36" s="333"/>
      <c r="AG36" s="333"/>
      <c r="AH36" s="333"/>
      <c r="AI36" s="333"/>
      <c r="AJ36" s="333"/>
      <c r="AK36" s="333"/>
      <c r="AL36" s="333"/>
      <c r="AM36" s="333"/>
      <c r="AN36" s="333"/>
      <c r="AO36" s="333"/>
      <c r="AP36" s="333"/>
      <c r="AQ36" s="333"/>
      <c r="AR36" s="333"/>
      <c r="AS36" s="333"/>
      <c r="AT36" s="333"/>
      <c r="AU36" s="333"/>
      <c r="AV36" s="333"/>
      <c r="AW36" s="333"/>
      <c r="AX36" s="333"/>
      <c r="AY36" s="333"/>
      <c r="AZ36" s="333"/>
      <c r="BA36" s="333"/>
      <c r="BB36" s="333"/>
      <c r="BC36" s="333"/>
      <c r="BD36" s="333"/>
      <c r="BE36" s="333"/>
      <c r="BF36" s="333"/>
      <c r="BG36" s="333"/>
      <c r="BH36" s="333"/>
      <c r="BI36" s="333"/>
    </row>
    <row r="37" spans="1:71" ht="15" customHeight="1" x14ac:dyDescent="0.2">
      <c r="A37" s="2341"/>
      <c r="B37" s="2338"/>
      <c r="C37" s="1123" t="str">
        <f>F!C26</f>
        <v>1-25% of the AA, and mostly in narrow channels and/or small scattered pools.</v>
      </c>
      <c r="D37" s="544">
        <f>F!D26</f>
        <v>0</v>
      </c>
      <c r="E37" s="450">
        <v>2</v>
      </c>
      <c r="F37" s="351">
        <f>D37*E37</f>
        <v>0</v>
      </c>
      <c r="G37" s="546"/>
      <c r="H37" s="2078"/>
      <c r="I37" s="2136"/>
      <c r="J37" s="273"/>
      <c r="K37" s="333"/>
      <c r="L37" s="333"/>
      <c r="M37" s="333"/>
      <c r="N37" s="333"/>
      <c r="O37" s="333"/>
      <c r="P37" s="333"/>
      <c r="Q37" s="333"/>
      <c r="R37" s="333"/>
      <c r="S37" s="333"/>
      <c r="T37" s="333"/>
      <c r="U37" s="333"/>
      <c r="V37" s="333"/>
      <c r="W37" s="333"/>
      <c r="X37" s="333"/>
      <c r="Y37" s="333"/>
      <c r="Z37" s="333"/>
      <c r="AA37" s="333"/>
      <c r="AB37" s="333"/>
      <c r="AC37" s="333"/>
      <c r="AD37" s="333"/>
      <c r="AE37" s="333"/>
      <c r="AF37" s="333"/>
      <c r="AG37" s="333"/>
      <c r="AH37" s="333"/>
      <c r="AI37" s="333"/>
      <c r="AJ37" s="333"/>
      <c r="AK37" s="333"/>
      <c r="AL37" s="333"/>
      <c r="AM37" s="333"/>
      <c r="AN37" s="333"/>
      <c r="AO37" s="333"/>
      <c r="AP37" s="333"/>
      <c r="AQ37" s="333"/>
      <c r="AR37" s="333"/>
      <c r="AS37" s="333"/>
      <c r="AT37" s="333"/>
      <c r="AU37" s="333"/>
      <c r="AV37" s="333"/>
      <c r="AW37" s="333"/>
      <c r="AX37" s="333"/>
      <c r="AY37" s="333"/>
      <c r="AZ37" s="333"/>
      <c r="BA37" s="333"/>
      <c r="BB37" s="333"/>
      <c r="BC37" s="333"/>
      <c r="BD37" s="333"/>
      <c r="BE37" s="333"/>
      <c r="BF37" s="333"/>
      <c r="BG37" s="333"/>
      <c r="BH37" s="333"/>
      <c r="BI37" s="333"/>
    </row>
    <row r="38" spans="1:71" ht="15" customHeight="1" x14ac:dyDescent="0.2">
      <c r="A38" s="2341"/>
      <c r="B38" s="2338"/>
      <c r="C38" s="1123" t="str">
        <f>F!C28</f>
        <v>25-50% of the AA</v>
      </c>
      <c r="D38" s="544">
        <f>F!D28</f>
        <v>0</v>
      </c>
      <c r="E38" s="450">
        <v>3</v>
      </c>
      <c r="F38" s="351">
        <f>D38*E38</f>
        <v>0</v>
      </c>
      <c r="G38" s="546"/>
      <c r="H38" s="2078"/>
      <c r="I38" s="2136"/>
      <c r="J38" s="273"/>
      <c r="K38" s="333"/>
      <c r="L38" s="333"/>
      <c r="M38" s="333"/>
      <c r="N38" s="333"/>
      <c r="O38" s="333"/>
      <c r="P38" s="333"/>
      <c r="Q38" s="333"/>
      <c r="R38" s="333"/>
      <c r="S38" s="333"/>
      <c r="T38" s="333"/>
      <c r="U38" s="333"/>
      <c r="V38" s="333"/>
      <c r="W38" s="333"/>
      <c r="X38" s="333"/>
      <c r="Y38" s="333"/>
      <c r="Z38" s="333"/>
      <c r="AA38" s="333"/>
      <c r="AB38" s="333"/>
      <c r="AC38" s="333"/>
      <c r="AD38" s="333"/>
      <c r="AE38" s="333"/>
      <c r="AF38" s="333"/>
      <c r="AG38" s="333"/>
      <c r="AH38" s="333"/>
      <c r="AI38" s="333"/>
      <c r="AJ38" s="333"/>
      <c r="AK38" s="333"/>
      <c r="AL38" s="333"/>
      <c r="AM38" s="333"/>
      <c r="AN38" s="333"/>
      <c r="AO38" s="333"/>
      <c r="AP38" s="333"/>
      <c r="AQ38" s="333"/>
      <c r="AR38" s="333"/>
      <c r="AS38" s="333"/>
      <c r="AT38" s="333"/>
      <c r="AU38" s="333"/>
      <c r="AV38" s="333"/>
      <c r="AW38" s="333"/>
      <c r="AX38" s="333"/>
      <c r="AY38" s="333"/>
      <c r="AZ38" s="333"/>
      <c r="BA38" s="333"/>
      <c r="BB38" s="333"/>
      <c r="BC38" s="333"/>
      <c r="BD38" s="333"/>
      <c r="BE38" s="333"/>
      <c r="BF38" s="333"/>
      <c r="BG38" s="333"/>
      <c r="BH38" s="333"/>
      <c r="BI38" s="333"/>
    </row>
    <row r="39" spans="1:71" ht="15" customHeight="1" x14ac:dyDescent="0.2">
      <c r="A39" s="2341"/>
      <c r="B39" s="2338"/>
      <c r="C39" s="1123" t="str">
        <f>F!C29</f>
        <v>50-95% of the AA</v>
      </c>
      <c r="D39" s="303">
        <f>F!D29</f>
        <v>0</v>
      </c>
      <c r="E39" s="450">
        <v>4</v>
      </c>
      <c r="F39" s="351">
        <f>D39*E39</f>
        <v>0</v>
      </c>
      <c r="G39" s="546"/>
      <c r="H39" s="2078"/>
      <c r="I39" s="2136"/>
      <c r="J39" s="273"/>
      <c r="K39" s="333"/>
      <c r="L39" s="333"/>
      <c r="M39" s="333"/>
      <c r="N39" s="333"/>
      <c r="O39" s="333"/>
      <c r="P39" s="333"/>
      <c r="Q39" s="333"/>
      <c r="R39" s="333"/>
      <c r="S39" s="333"/>
      <c r="T39" s="333"/>
      <c r="U39" s="333"/>
      <c r="V39" s="333"/>
      <c r="W39" s="333"/>
      <c r="X39" s="333"/>
      <c r="Y39" s="333"/>
      <c r="Z39" s="333"/>
      <c r="AA39" s="333"/>
      <c r="AB39" s="333"/>
      <c r="AC39" s="333"/>
      <c r="AD39" s="333"/>
      <c r="AE39" s="333"/>
      <c r="AF39" s="333"/>
      <c r="AG39" s="333"/>
      <c r="AH39" s="333"/>
      <c r="AI39" s="333"/>
      <c r="AJ39" s="333"/>
      <c r="AK39" s="333"/>
      <c r="AL39" s="333"/>
      <c r="AM39" s="333"/>
      <c r="AN39" s="333"/>
      <c r="AO39" s="333"/>
      <c r="AP39" s="333"/>
      <c r="AQ39" s="333"/>
      <c r="AR39" s="333"/>
      <c r="AS39" s="333"/>
      <c r="AT39" s="333"/>
      <c r="AU39" s="333"/>
      <c r="AV39" s="333"/>
      <c r="AW39" s="333"/>
      <c r="AX39" s="333"/>
      <c r="AY39" s="333"/>
      <c r="AZ39" s="333"/>
      <c r="BA39" s="333"/>
      <c r="BB39" s="333"/>
      <c r="BC39" s="333"/>
      <c r="BD39" s="333"/>
      <c r="BE39" s="333"/>
      <c r="BF39" s="333"/>
      <c r="BG39" s="333"/>
      <c r="BH39" s="333"/>
      <c r="BI39" s="333"/>
    </row>
    <row r="40" spans="1:71" ht="15" customHeight="1" thickBot="1" x14ac:dyDescent="0.25">
      <c r="A40" s="2341"/>
      <c r="B40" s="2338"/>
      <c r="C40" s="1123" t="str">
        <f>F!C30</f>
        <v>&gt;95% of the AA</v>
      </c>
      <c r="D40" s="1153">
        <f>F!D30</f>
        <v>0</v>
      </c>
      <c r="E40" s="806">
        <v>3</v>
      </c>
      <c r="F40" s="636">
        <f>D40*E40</f>
        <v>0</v>
      </c>
      <c r="G40" s="1142"/>
      <c r="H40" s="2079"/>
      <c r="I40" s="2136"/>
      <c r="J40" s="273"/>
      <c r="K40" s="333"/>
      <c r="L40" s="333"/>
      <c r="M40" s="333"/>
      <c r="N40" s="333"/>
      <c r="O40" s="333"/>
      <c r="P40" s="333"/>
      <c r="Q40" s="333"/>
      <c r="R40" s="333"/>
      <c r="S40" s="333"/>
      <c r="T40" s="333"/>
      <c r="U40" s="333"/>
      <c r="V40" s="333"/>
      <c r="W40" s="333"/>
      <c r="X40" s="333"/>
      <c r="Y40" s="333"/>
      <c r="Z40" s="333"/>
      <c r="AA40" s="333"/>
      <c r="AB40" s="333"/>
      <c r="AC40" s="333"/>
      <c r="AD40" s="333"/>
      <c r="AE40" s="333"/>
      <c r="AF40" s="333"/>
      <c r="AG40" s="333"/>
      <c r="AH40" s="333"/>
      <c r="AI40" s="333"/>
      <c r="AJ40" s="333"/>
      <c r="AK40" s="333"/>
      <c r="AL40" s="333"/>
      <c r="AM40" s="333"/>
      <c r="AN40" s="333"/>
      <c r="AO40" s="333"/>
      <c r="AP40" s="333"/>
      <c r="AQ40" s="333"/>
      <c r="AR40" s="333"/>
      <c r="AS40" s="333"/>
      <c r="AT40" s="333"/>
      <c r="AU40" s="333"/>
      <c r="AV40" s="333"/>
      <c r="AW40" s="333"/>
      <c r="AX40" s="333"/>
      <c r="AY40" s="333"/>
      <c r="AZ40" s="333"/>
      <c r="BA40" s="333"/>
      <c r="BB40" s="333"/>
      <c r="BC40" s="333"/>
      <c r="BD40" s="333"/>
      <c r="BE40" s="333"/>
      <c r="BF40" s="333"/>
      <c r="BG40" s="333"/>
      <c r="BH40" s="333"/>
      <c r="BI40" s="333"/>
    </row>
    <row r="41" spans="1:71" s="36" customFormat="1" ht="75" customHeight="1" thickBot="1" x14ac:dyDescent="0.25">
      <c r="A41" s="1114" t="str">
        <f>F!A38</f>
        <v>F7</v>
      </c>
      <c r="B41" s="1137" t="str">
        <f>F!B38</f>
        <v>Lacustrine Wetland</v>
      </c>
      <c r="C41" s="1115" t="str">
        <f>F!C38</f>
        <v>The AA borders a body of ponded open water whose size -- not counting the vegetated AA -- exceeds 8 hectares (about 300 x 300 m) during most of the growing season.  Enter "1" if true, "0" if false.</v>
      </c>
      <c r="D41" s="548">
        <f>F!D38</f>
        <v>0</v>
      </c>
      <c r="E41" s="549"/>
      <c r="F41" s="388"/>
      <c r="G41" s="340" t="str">
        <f>IF((AllSat+AllSat&gt;0),"",IF((OpenW=0),"",IF((NoPonded=1),"",1)))</f>
        <v/>
      </c>
      <c r="H41" s="53" t="s">
        <v>1263</v>
      </c>
      <c r="I41" s="768" t="s">
        <v>2101</v>
      </c>
      <c r="J41" s="213"/>
      <c r="K41" s="395"/>
      <c r="L41" s="395"/>
      <c r="M41" s="395"/>
      <c r="N41" s="395"/>
      <c r="O41" s="395"/>
      <c r="P41" s="395"/>
      <c r="Q41" s="395"/>
      <c r="R41" s="395"/>
      <c r="S41" s="395"/>
      <c r="T41" s="395"/>
      <c r="U41" s="395"/>
      <c r="V41" s="395"/>
      <c r="W41" s="395"/>
      <c r="X41" s="395"/>
      <c r="Y41" s="395"/>
      <c r="Z41" s="395"/>
      <c r="AA41" s="395"/>
      <c r="AB41" s="395"/>
      <c r="AC41" s="395"/>
      <c r="AD41" s="395"/>
      <c r="AE41" s="395"/>
      <c r="AF41" s="395"/>
      <c r="AG41" s="395"/>
      <c r="AH41" s="395"/>
      <c r="AI41" s="395"/>
      <c r="AJ41" s="395"/>
      <c r="AK41" s="395"/>
      <c r="AL41" s="395"/>
      <c r="AM41" s="395"/>
      <c r="AN41" s="395"/>
      <c r="AO41" s="395"/>
      <c r="AP41" s="395"/>
      <c r="AQ41" s="395"/>
      <c r="AR41" s="395"/>
      <c r="AS41" s="395"/>
      <c r="AT41" s="395"/>
      <c r="AU41" s="395"/>
      <c r="AV41" s="395"/>
      <c r="AW41" s="395"/>
      <c r="AX41" s="395"/>
      <c r="AY41" s="395"/>
      <c r="AZ41" s="395"/>
      <c r="BA41" s="395"/>
      <c r="BB41" s="395"/>
      <c r="BC41" s="395"/>
      <c r="BD41" s="395"/>
      <c r="BE41" s="395"/>
      <c r="BF41" s="395"/>
      <c r="BG41" s="395"/>
      <c r="BH41" s="395"/>
      <c r="BI41" s="395"/>
      <c r="BJ41" s="35"/>
      <c r="BK41" s="35"/>
      <c r="BL41" s="35"/>
      <c r="BM41" s="35"/>
      <c r="BN41" s="35"/>
      <c r="BO41" s="35"/>
      <c r="BP41" s="35"/>
      <c r="BQ41" s="35"/>
      <c r="BR41" s="35"/>
      <c r="BS41" s="35"/>
    </row>
    <row r="42" spans="1:71" ht="30" customHeight="1" thickBot="1" x14ac:dyDescent="0.25">
      <c r="A42" s="2364" t="str">
        <f>F!A39</f>
        <v>F8</v>
      </c>
      <c r="B42" s="2365" t="str">
        <f>F!B39</f>
        <v>% Flooded Only Seasonally</v>
      </c>
      <c r="C42" s="1154" t="str">
        <f>F!C39</f>
        <v>The percentage of the AA that is covered by surface water only during the wettest time of year (and for &gt;2 consecutive days during that time) is:</v>
      </c>
      <c r="D42" s="1145"/>
      <c r="E42" s="359"/>
      <c r="F42" s="381"/>
      <c r="G42" s="552">
        <f>IF((AllSat+AllSat&gt;0),"",MAX(F43:F47)/MAX(E43:E47))</f>
        <v>0</v>
      </c>
      <c r="H42" s="2274" t="s">
        <v>1264</v>
      </c>
      <c r="I42" s="2136" t="s">
        <v>342</v>
      </c>
      <c r="J42" s="273"/>
      <c r="K42" s="333"/>
      <c r="L42" s="333"/>
      <c r="M42" s="333"/>
      <c r="N42" s="333"/>
      <c r="O42" s="333"/>
      <c r="P42" s="333"/>
      <c r="Q42" s="333"/>
      <c r="R42" s="333"/>
      <c r="S42" s="333"/>
      <c r="T42" s="333"/>
      <c r="U42" s="333"/>
      <c r="V42" s="333"/>
      <c r="W42" s="333"/>
      <c r="X42" s="333"/>
      <c r="Y42" s="333"/>
      <c r="Z42" s="333"/>
      <c r="AA42" s="333"/>
      <c r="AB42" s="333"/>
      <c r="AC42" s="333"/>
      <c r="AD42" s="333"/>
      <c r="AE42" s="333"/>
      <c r="AF42" s="333"/>
      <c r="AG42" s="333"/>
      <c r="AH42" s="333"/>
      <c r="AI42" s="333"/>
      <c r="AJ42" s="333"/>
      <c r="AK42" s="333"/>
      <c r="AL42" s="333"/>
      <c r="AM42" s="333"/>
      <c r="AN42" s="333"/>
      <c r="AO42" s="333"/>
      <c r="AP42" s="333"/>
      <c r="AQ42" s="333"/>
      <c r="AR42" s="333"/>
      <c r="AS42" s="333"/>
      <c r="AT42" s="333"/>
      <c r="AU42" s="333"/>
      <c r="AV42" s="333"/>
      <c r="AW42" s="333"/>
      <c r="AX42" s="333"/>
      <c r="AY42" s="333"/>
      <c r="AZ42" s="333"/>
      <c r="BA42" s="333"/>
      <c r="BB42" s="333"/>
      <c r="BC42" s="333"/>
      <c r="BD42" s="333"/>
      <c r="BE42" s="333"/>
      <c r="BF42" s="333"/>
      <c r="BG42" s="333"/>
      <c r="BH42" s="333"/>
      <c r="BI42" s="333"/>
    </row>
    <row r="43" spans="1:71" ht="15" customHeight="1" x14ac:dyDescent="0.2">
      <c r="A43" s="2364"/>
      <c r="B43" s="2365"/>
      <c r="C43" s="1124" t="str">
        <f>F!C40</f>
        <v xml:space="preserve">&lt;1%. </v>
      </c>
      <c r="D43" s="123">
        <f>F!D40</f>
        <v>0</v>
      </c>
      <c r="E43" s="351">
        <v>4</v>
      </c>
      <c r="F43" s="351">
        <f>D43*E43</f>
        <v>0</v>
      </c>
      <c r="G43" s="545"/>
      <c r="H43" s="2275"/>
      <c r="I43" s="2136"/>
      <c r="J43" s="273"/>
      <c r="K43" s="333"/>
      <c r="L43" s="333"/>
      <c r="M43" s="333"/>
      <c r="N43" s="333"/>
      <c r="O43" s="333"/>
      <c r="P43" s="333"/>
      <c r="Q43" s="333"/>
      <c r="R43" s="333"/>
      <c r="S43" s="333"/>
      <c r="T43" s="333"/>
      <c r="U43" s="333"/>
      <c r="V43" s="333"/>
      <c r="W43" s="333"/>
      <c r="X43" s="333"/>
      <c r="Y43" s="333"/>
      <c r="Z43" s="333"/>
      <c r="AA43" s="333"/>
      <c r="AB43" s="333"/>
      <c r="AC43" s="333"/>
      <c r="AD43" s="333"/>
      <c r="AE43" s="333"/>
      <c r="AF43" s="333"/>
      <c r="AG43" s="333"/>
      <c r="AH43" s="333"/>
      <c r="AI43" s="333"/>
      <c r="AJ43" s="333"/>
      <c r="AK43" s="333"/>
      <c r="AL43" s="333"/>
      <c r="AM43" s="333"/>
      <c r="AN43" s="333"/>
      <c r="AO43" s="333"/>
      <c r="AP43" s="333"/>
      <c r="AQ43" s="333"/>
      <c r="AR43" s="333"/>
      <c r="AS43" s="333"/>
      <c r="AT43" s="333"/>
      <c r="AU43" s="333"/>
      <c r="AV43" s="333"/>
      <c r="AW43" s="333"/>
      <c r="AX43" s="333"/>
      <c r="AY43" s="333"/>
      <c r="AZ43" s="333"/>
      <c r="BA43" s="333"/>
      <c r="BB43" s="333"/>
      <c r="BC43" s="333"/>
      <c r="BD43" s="333"/>
      <c r="BE43" s="333"/>
      <c r="BF43" s="333"/>
      <c r="BG43" s="333"/>
      <c r="BH43" s="333"/>
      <c r="BI43" s="333"/>
    </row>
    <row r="44" spans="1:71" ht="15" customHeight="1" x14ac:dyDescent="0.2">
      <c r="A44" s="2364"/>
      <c r="B44" s="2365"/>
      <c r="C44" s="1125" t="str">
        <f>F!C41</f>
        <v xml:space="preserve">1-25% </v>
      </c>
      <c r="D44" s="304">
        <f>F!D41</f>
        <v>0</v>
      </c>
      <c r="E44" s="351">
        <v>5</v>
      </c>
      <c r="F44" s="351">
        <f>D44*E44</f>
        <v>0</v>
      </c>
      <c r="G44" s="546"/>
      <c r="H44" s="2275"/>
      <c r="I44" s="2136"/>
      <c r="J44" s="273"/>
      <c r="K44" s="333"/>
      <c r="L44" s="333"/>
      <c r="M44" s="333"/>
      <c r="N44" s="333"/>
      <c r="O44" s="333"/>
      <c r="P44" s="333"/>
      <c r="Q44" s="333"/>
      <c r="R44" s="333"/>
      <c r="S44" s="333"/>
      <c r="T44" s="333"/>
      <c r="U44" s="333"/>
      <c r="V44" s="333"/>
      <c r="W44" s="333"/>
      <c r="X44" s="333"/>
      <c r="Y44" s="333"/>
      <c r="Z44" s="333"/>
      <c r="AA44" s="333"/>
      <c r="AB44" s="333"/>
      <c r="AC44" s="333"/>
      <c r="AD44" s="333"/>
      <c r="AE44" s="333"/>
      <c r="AF44" s="333"/>
      <c r="AG44" s="333"/>
      <c r="AH44" s="333"/>
      <c r="AI44" s="333"/>
      <c r="AJ44" s="333"/>
      <c r="AK44" s="333"/>
      <c r="AL44" s="333"/>
      <c r="AM44" s="333"/>
      <c r="AN44" s="333"/>
      <c r="AO44" s="333"/>
      <c r="AP44" s="333"/>
      <c r="AQ44" s="333"/>
      <c r="AR44" s="333"/>
      <c r="AS44" s="333"/>
      <c r="AT44" s="333"/>
      <c r="AU44" s="333"/>
      <c r="AV44" s="333"/>
      <c r="AW44" s="333"/>
      <c r="AX44" s="333"/>
      <c r="AY44" s="333"/>
      <c r="AZ44" s="333"/>
      <c r="BA44" s="333"/>
      <c r="BB44" s="333"/>
      <c r="BC44" s="333"/>
      <c r="BD44" s="333"/>
      <c r="BE44" s="333"/>
      <c r="BF44" s="333"/>
      <c r="BG44" s="333"/>
      <c r="BH44" s="333"/>
      <c r="BI44" s="333"/>
    </row>
    <row r="45" spans="1:71" ht="15" customHeight="1" x14ac:dyDescent="0.2">
      <c r="A45" s="2364"/>
      <c r="B45" s="2365"/>
      <c r="C45" s="1125" t="str">
        <f>F!C42</f>
        <v xml:space="preserve">25-50% </v>
      </c>
      <c r="D45" s="123">
        <f>F!D42</f>
        <v>0</v>
      </c>
      <c r="E45" s="351">
        <v>3</v>
      </c>
      <c r="F45" s="351">
        <f>D45*E45</f>
        <v>0</v>
      </c>
      <c r="G45" s="546"/>
      <c r="H45" s="2275"/>
      <c r="I45" s="2136"/>
      <c r="J45" s="273"/>
      <c r="K45" s="333"/>
      <c r="L45" s="333"/>
      <c r="M45" s="333"/>
      <c r="N45" s="333"/>
      <c r="O45" s="333"/>
      <c r="P45" s="333"/>
      <c r="Q45" s="333"/>
      <c r="R45" s="333"/>
      <c r="S45" s="333"/>
      <c r="T45" s="333"/>
      <c r="U45" s="333"/>
      <c r="V45" s="333"/>
      <c r="W45" s="333"/>
      <c r="X45" s="333"/>
      <c r="Y45" s="333"/>
      <c r="Z45" s="333"/>
      <c r="AA45" s="333"/>
      <c r="AB45" s="333"/>
      <c r="AC45" s="333"/>
      <c r="AD45" s="333"/>
      <c r="AE45" s="333"/>
      <c r="AF45" s="333"/>
      <c r="AG45" s="333"/>
      <c r="AH45" s="333"/>
      <c r="AI45" s="333"/>
      <c r="AJ45" s="333"/>
      <c r="AK45" s="333"/>
      <c r="AL45" s="333"/>
      <c r="AM45" s="333"/>
      <c r="AN45" s="333"/>
      <c r="AO45" s="333"/>
      <c r="AP45" s="333"/>
      <c r="AQ45" s="333"/>
      <c r="AR45" s="333"/>
      <c r="AS45" s="333"/>
      <c r="AT45" s="333"/>
      <c r="AU45" s="333"/>
      <c r="AV45" s="333"/>
      <c r="AW45" s="333"/>
      <c r="AX45" s="333"/>
      <c r="AY45" s="333"/>
      <c r="AZ45" s="333"/>
      <c r="BA45" s="333"/>
      <c r="BB45" s="333"/>
      <c r="BC45" s="333"/>
      <c r="BD45" s="333"/>
      <c r="BE45" s="333"/>
      <c r="BF45" s="333"/>
      <c r="BG45" s="333"/>
      <c r="BH45" s="333"/>
      <c r="BI45" s="333"/>
    </row>
    <row r="46" spans="1:71" ht="15" customHeight="1" x14ac:dyDescent="0.2">
      <c r="A46" s="2364"/>
      <c r="B46" s="2365"/>
      <c r="C46" s="1125" t="str">
        <f>F!C43</f>
        <v xml:space="preserve">50-95% </v>
      </c>
      <c r="D46" s="123">
        <f>F!D43</f>
        <v>0</v>
      </c>
      <c r="E46" s="351">
        <v>2</v>
      </c>
      <c r="F46" s="351">
        <f>D46*E46</f>
        <v>0</v>
      </c>
      <c r="G46" s="546"/>
      <c r="H46" s="2275"/>
      <c r="I46" s="2136"/>
      <c r="J46" s="273"/>
      <c r="K46" s="333"/>
      <c r="L46" s="333"/>
      <c r="M46" s="333"/>
      <c r="N46" s="333"/>
      <c r="O46" s="333"/>
      <c r="P46" s="333"/>
      <c r="Q46" s="333"/>
      <c r="R46" s="333"/>
      <c r="S46" s="333"/>
      <c r="T46" s="333"/>
      <c r="U46" s="333"/>
      <c r="V46" s="333"/>
      <c r="W46" s="333"/>
      <c r="X46" s="333"/>
      <c r="Y46" s="333"/>
      <c r="Z46" s="333"/>
      <c r="AA46" s="333"/>
      <c r="AB46" s="333"/>
      <c r="AC46" s="333"/>
      <c r="AD46" s="333"/>
      <c r="AE46" s="333"/>
      <c r="AF46" s="333"/>
      <c r="AG46" s="333"/>
      <c r="AH46" s="333"/>
      <c r="AI46" s="333"/>
      <c r="AJ46" s="333"/>
      <c r="AK46" s="333"/>
      <c r="AL46" s="333"/>
      <c r="AM46" s="333"/>
      <c r="AN46" s="333"/>
      <c r="AO46" s="333"/>
      <c r="AP46" s="333"/>
      <c r="AQ46" s="333"/>
      <c r="AR46" s="333"/>
      <c r="AS46" s="333"/>
      <c r="AT46" s="333"/>
      <c r="AU46" s="333"/>
      <c r="AV46" s="333"/>
      <c r="AW46" s="333"/>
      <c r="AX46" s="333"/>
      <c r="AY46" s="333"/>
      <c r="AZ46" s="333"/>
      <c r="BA46" s="333"/>
      <c r="BB46" s="333"/>
      <c r="BC46" s="333"/>
      <c r="BD46" s="333"/>
      <c r="BE46" s="333"/>
      <c r="BF46" s="333"/>
      <c r="BG46" s="333"/>
      <c r="BH46" s="333"/>
      <c r="BI46" s="333"/>
    </row>
    <row r="47" spans="1:71" ht="15" customHeight="1" thickBot="1" x14ac:dyDescent="0.25">
      <c r="A47" s="2364"/>
      <c r="B47" s="2365"/>
      <c r="C47" s="1155" t="str">
        <f>F!C44</f>
        <v xml:space="preserve">&gt;95% </v>
      </c>
      <c r="D47" s="634">
        <f>F!D44</f>
        <v>0</v>
      </c>
      <c r="E47" s="1150">
        <v>1</v>
      </c>
      <c r="F47" s="636">
        <f>D47*E47</f>
        <v>0</v>
      </c>
      <c r="G47" s="1142"/>
      <c r="H47" s="2276"/>
      <c r="I47" s="2136"/>
      <c r="J47" s="273"/>
      <c r="K47" s="333"/>
      <c r="L47" s="333"/>
      <c r="M47" s="333"/>
      <c r="N47" s="333"/>
      <c r="O47" s="333"/>
      <c r="P47" s="333"/>
      <c r="Q47" s="333"/>
      <c r="R47" s="333"/>
      <c r="S47" s="333"/>
      <c r="T47" s="333"/>
      <c r="U47" s="333"/>
      <c r="V47" s="333"/>
      <c r="W47" s="333"/>
      <c r="X47" s="333"/>
      <c r="Y47" s="333"/>
      <c r="Z47" s="333"/>
      <c r="AA47" s="333"/>
      <c r="AB47" s="333"/>
      <c r="AC47" s="333"/>
      <c r="AD47" s="333"/>
      <c r="AE47" s="333"/>
      <c r="AF47" s="333"/>
      <c r="AG47" s="333"/>
      <c r="AH47" s="333"/>
      <c r="AI47" s="333"/>
      <c r="AJ47" s="333"/>
      <c r="AK47" s="333"/>
      <c r="AL47" s="333"/>
      <c r="AM47" s="333"/>
      <c r="AN47" s="333"/>
      <c r="AO47" s="333"/>
      <c r="AP47" s="333"/>
      <c r="AQ47" s="333"/>
      <c r="AR47" s="333"/>
      <c r="AS47" s="333"/>
      <c r="AT47" s="333"/>
      <c r="AU47" s="333"/>
      <c r="AV47" s="333"/>
      <c r="AW47" s="333"/>
      <c r="AX47" s="333"/>
      <c r="AY47" s="333"/>
      <c r="AZ47" s="333"/>
      <c r="BA47" s="333"/>
      <c r="BB47" s="333"/>
      <c r="BC47" s="333"/>
      <c r="BD47" s="333"/>
      <c r="BE47" s="333"/>
      <c r="BF47" s="333"/>
      <c r="BG47" s="333"/>
      <c r="BH47" s="333"/>
      <c r="BI47" s="333"/>
    </row>
    <row r="48" spans="1:71" ht="30" customHeight="1" thickBot="1" x14ac:dyDescent="0.25">
      <c r="A48" s="2336" t="str">
        <f>F!A45</f>
        <v>F9</v>
      </c>
      <c r="B48" s="2332" t="str">
        <f>F!B45</f>
        <v>Annual Water Fluctuation Range</v>
      </c>
      <c r="C48" s="1129" t="str">
        <f>F!C45</f>
        <v>The annual fluctuation in surface water level within most of the parts of the AA that contain surface water is:</v>
      </c>
      <c r="D48" s="1147"/>
      <c r="E48" s="1148"/>
      <c r="F48" s="553"/>
      <c r="G48" s="340">
        <f>IF((AllSat+AllSat&gt;0),"", IF((NoSeasonal=1),"",MAX(F49:F52)/MAX(E49:E52)))</f>
        <v>0</v>
      </c>
      <c r="H48" s="2274" t="s">
        <v>163</v>
      </c>
      <c r="I48" s="2135" t="s">
        <v>2102</v>
      </c>
      <c r="J48" s="273"/>
      <c r="K48" s="333"/>
      <c r="L48" s="333"/>
      <c r="M48" s="333"/>
      <c r="N48" s="333"/>
      <c r="O48" s="333"/>
      <c r="P48" s="333"/>
      <c r="Q48" s="333"/>
      <c r="R48" s="333"/>
      <c r="S48" s="333"/>
      <c r="T48" s="333"/>
      <c r="U48" s="333"/>
      <c r="V48" s="333"/>
      <c r="W48" s="333"/>
      <c r="X48" s="333"/>
      <c r="Y48" s="333"/>
      <c r="Z48" s="333"/>
      <c r="AA48" s="333"/>
      <c r="AB48" s="333"/>
      <c r="AC48" s="333"/>
      <c r="AD48" s="333"/>
      <c r="AE48" s="333"/>
      <c r="AF48" s="333"/>
      <c r="AG48" s="333"/>
      <c r="AH48" s="333"/>
      <c r="AI48" s="333"/>
      <c r="AJ48" s="333"/>
      <c r="AK48" s="333"/>
      <c r="AL48" s="333"/>
      <c r="AM48" s="333"/>
      <c r="AN48" s="333"/>
      <c r="AO48" s="333"/>
      <c r="AP48" s="333"/>
      <c r="AQ48" s="333"/>
      <c r="AR48" s="333"/>
      <c r="AS48" s="333"/>
      <c r="AT48" s="333"/>
      <c r="AU48" s="333"/>
      <c r="AV48" s="333"/>
      <c r="AW48" s="333"/>
      <c r="AX48" s="333"/>
      <c r="AY48" s="333"/>
      <c r="AZ48" s="333"/>
      <c r="BA48" s="333"/>
      <c r="BB48" s="333"/>
      <c r="BC48" s="333"/>
      <c r="BD48" s="333"/>
      <c r="BE48" s="333"/>
      <c r="BF48" s="333"/>
      <c r="BG48" s="333"/>
      <c r="BH48" s="333"/>
      <c r="BI48" s="333"/>
    </row>
    <row r="49" spans="1:61" ht="15" customHeight="1" x14ac:dyDescent="0.2">
      <c r="A49" s="2344"/>
      <c r="B49" s="2352"/>
      <c r="C49" s="1126" t="str">
        <f>F!C46</f>
        <v xml:space="preserve">&lt;10 cm change (stable) </v>
      </c>
      <c r="D49" s="1149">
        <f>F!D46</f>
        <v>0</v>
      </c>
      <c r="E49" s="1151">
        <v>0</v>
      </c>
      <c r="F49" s="1151">
        <f>D49*E49</f>
        <v>0</v>
      </c>
      <c r="G49" s="545"/>
      <c r="H49" s="2275"/>
      <c r="I49" s="2136"/>
      <c r="J49" s="273"/>
      <c r="K49" s="333"/>
      <c r="L49" s="333"/>
      <c r="M49" s="333"/>
      <c r="N49" s="333"/>
      <c r="O49" s="333"/>
      <c r="P49" s="333"/>
      <c r="Q49" s="333"/>
      <c r="R49" s="333"/>
      <c r="S49" s="333"/>
      <c r="T49" s="333"/>
      <c r="U49" s="333"/>
      <c r="V49" s="333"/>
      <c r="W49" s="333"/>
      <c r="X49" s="333"/>
      <c r="Y49" s="333"/>
      <c r="Z49" s="333"/>
      <c r="AA49" s="333"/>
      <c r="AB49" s="333"/>
      <c r="AC49" s="333"/>
      <c r="AD49" s="333"/>
      <c r="AE49" s="333"/>
      <c r="AF49" s="333"/>
      <c r="AG49" s="333"/>
      <c r="AH49" s="333"/>
      <c r="AI49" s="333"/>
      <c r="AJ49" s="333"/>
      <c r="AK49" s="333"/>
      <c r="AL49" s="333"/>
      <c r="AM49" s="333"/>
      <c r="AN49" s="333"/>
      <c r="AO49" s="333"/>
      <c r="AP49" s="333"/>
      <c r="AQ49" s="333"/>
      <c r="AR49" s="333"/>
      <c r="AS49" s="333"/>
      <c r="AT49" s="333"/>
      <c r="AU49" s="333"/>
      <c r="AV49" s="333"/>
      <c r="AW49" s="333"/>
      <c r="AX49" s="333"/>
      <c r="AY49" s="333"/>
      <c r="AZ49" s="333"/>
      <c r="BA49" s="333"/>
      <c r="BB49" s="333"/>
      <c r="BC49" s="333"/>
      <c r="BD49" s="333"/>
      <c r="BE49" s="333"/>
      <c r="BF49" s="333"/>
      <c r="BG49" s="333"/>
      <c r="BH49" s="333"/>
      <c r="BI49" s="333"/>
    </row>
    <row r="50" spans="1:61" ht="15" customHeight="1" x14ac:dyDescent="0.2">
      <c r="A50" s="2344"/>
      <c r="B50" s="2352"/>
      <c r="C50" s="1127" t="str">
        <f>F!C47</f>
        <v>10 cm - 50 cm change</v>
      </c>
      <c r="D50" s="1149">
        <f>F!D47</f>
        <v>0</v>
      </c>
      <c r="E50" s="1151">
        <v>1</v>
      </c>
      <c r="F50" s="1151">
        <f>D50*E50</f>
        <v>0</v>
      </c>
      <c r="G50" s="546"/>
      <c r="H50" s="2275"/>
      <c r="I50" s="2136"/>
      <c r="J50" s="273"/>
      <c r="K50" s="333"/>
      <c r="L50" s="333"/>
      <c r="M50" s="333"/>
      <c r="N50" s="333"/>
      <c r="O50" s="333"/>
      <c r="P50" s="333"/>
      <c r="Q50" s="333"/>
      <c r="R50" s="333"/>
      <c r="S50" s="333"/>
      <c r="T50" s="333"/>
      <c r="U50" s="333"/>
      <c r="V50" s="333"/>
      <c r="W50" s="333"/>
      <c r="X50" s="333"/>
      <c r="Y50" s="333"/>
      <c r="Z50" s="333"/>
      <c r="AA50" s="333"/>
      <c r="AB50" s="333"/>
      <c r="AC50" s="333"/>
      <c r="AD50" s="333"/>
      <c r="AE50" s="333"/>
      <c r="AF50" s="333"/>
      <c r="AG50" s="333"/>
      <c r="AH50" s="333"/>
      <c r="AI50" s="333"/>
      <c r="AJ50" s="333"/>
      <c r="AK50" s="333"/>
      <c r="AL50" s="333"/>
      <c r="AM50" s="333"/>
      <c r="AN50" s="333"/>
      <c r="AO50" s="333"/>
      <c r="AP50" s="333"/>
      <c r="AQ50" s="333"/>
      <c r="AR50" s="333"/>
      <c r="AS50" s="333"/>
      <c r="AT50" s="333"/>
      <c r="AU50" s="333"/>
      <c r="AV50" s="333"/>
      <c r="AW50" s="333"/>
      <c r="AX50" s="333"/>
      <c r="AY50" s="333"/>
      <c r="AZ50" s="333"/>
      <c r="BA50" s="333"/>
      <c r="BB50" s="333"/>
      <c r="BC50" s="333"/>
      <c r="BD50" s="333"/>
      <c r="BE50" s="333"/>
      <c r="BF50" s="333"/>
      <c r="BG50" s="333"/>
      <c r="BH50" s="333"/>
      <c r="BI50" s="333"/>
    </row>
    <row r="51" spans="1:61" ht="15" customHeight="1" x14ac:dyDescent="0.2">
      <c r="A51" s="2344"/>
      <c r="B51" s="2352"/>
      <c r="C51" s="1127" t="str">
        <f>F!C49</f>
        <v>1-2 m change</v>
      </c>
      <c r="D51" s="1156">
        <f>F!D49</f>
        <v>0</v>
      </c>
      <c r="E51" s="1151">
        <v>2</v>
      </c>
      <c r="F51" s="1151">
        <f>D51*E51</f>
        <v>0</v>
      </c>
      <c r="G51" s="546"/>
      <c r="H51" s="2275"/>
      <c r="I51" s="2136"/>
      <c r="J51" s="273"/>
      <c r="K51" s="333"/>
      <c r="L51" s="333"/>
      <c r="M51" s="333"/>
      <c r="N51" s="333"/>
      <c r="O51" s="333"/>
      <c r="P51" s="333"/>
      <c r="Q51" s="333"/>
      <c r="R51" s="333"/>
      <c r="S51" s="333"/>
      <c r="T51" s="333"/>
      <c r="U51" s="333"/>
      <c r="V51" s="333"/>
      <c r="W51" s="333"/>
      <c r="X51" s="333"/>
      <c r="Y51" s="333"/>
      <c r="Z51" s="333"/>
      <c r="AA51" s="333"/>
      <c r="AB51" s="333"/>
      <c r="AC51" s="333"/>
      <c r="AD51" s="333"/>
      <c r="AE51" s="333"/>
      <c r="AF51" s="333"/>
      <c r="AG51" s="333"/>
      <c r="AH51" s="333"/>
      <c r="AI51" s="333"/>
      <c r="AJ51" s="333"/>
      <c r="AK51" s="333"/>
      <c r="AL51" s="333"/>
      <c r="AM51" s="333"/>
      <c r="AN51" s="333"/>
      <c r="AO51" s="333"/>
      <c r="AP51" s="333"/>
      <c r="AQ51" s="333"/>
      <c r="AR51" s="333"/>
      <c r="AS51" s="333"/>
      <c r="AT51" s="333"/>
      <c r="AU51" s="333"/>
      <c r="AV51" s="333"/>
      <c r="AW51" s="333"/>
      <c r="AX51" s="333"/>
      <c r="AY51" s="333"/>
      <c r="AZ51" s="333"/>
      <c r="BA51" s="333"/>
      <c r="BB51" s="333"/>
      <c r="BC51" s="333"/>
      <c r="BD51" s="333"/>
      <c r="BE51" s="333"/>
      <c r="BF51" s="333"/>
      <c r="BG51" s="333"/>
      <c r="BH51" s="333"/>
      <c r="BI51" s="333"/>
    </row>
    <row r="52" spans="1:61" ht="15" customHeight="1" thickBot="1" x14ac:dyDescent="0.25">
      <c r="A52" s="2345"/>
      <c r="B52" s="2353"/>
      <c r="C52" s="1130" t="str">
        <f>F!C50</f>
        <v>&gt;2 m change</v>
      </c>
      <c r="D52" s="125">
        <f>F!D50</f>
        <v>0</v>
      </c>
      <c r="E52" s="353">
        <v>2</v>
      </c>
      <c r="F52" s="353">
        <f>D52*E52</f>
        <v>0</v>
      </c>
      <c r="G52" s="547"/>
      <c r="H52" s="2276"/>
      <c r="I52" s="2137"/>
      <c r="J52" s="273"/>
      <c r="K52" s="333"/>
      <c r="L52" s="333"/>
      <c r="M52" s="333"/>
      <c r="N52" s="333"/>
      <c r="O52" s="333"/>
      <c r="P52" s="333"/>
      <c r="Q52" s="333"/>
      <c r="R52" s="333"/>
      <c r="S52" s="333"/>
      <c r="T52" s="333"/>
      <c r="U52" s="333"/>
      <c r="V52" s="333"/>
      <c r="W52" s="333"/>
      <c r="X52" s="333"/>
      <c r="Y52" s="333"/>
      <c r="Z52" s="333"/>
      <c r="AA52" s="333"/>
      <c r="AB52" s="333"/>
      <c r="AC52" s="333"/>
      <c r="AD52" s="333"/>
      <c r="AE52" s="333"/>
      <c r="AF52" s="333"/>
      <c r="AG52" s="333"/>
      <c r="AH52" s="333"/>
      <c r="AI52" s="333"/>
      <c r="AJ52" s="333"/>
      <c r="AK52" s="333"/>
      <c r="AL52" s="333"/>
      <c r="AM52" s="333"/>
      <c r="AN52" s="333"/>
      <c r="AO52" s="333"/>
      <c r="AP52" s="333"/>
      <c r="AQ52" s="333"/>
      <c r="AR52" s="333"/>
      <c r="AS52" s="333"/>
      <c r="AT52" s="333"/>
      <c r="AU52" s="333"/>
      <c r="AV52" s="333"/>
      <c r="AW52" s="333"/>
      <c r="AX52" s="333"/>
      <c r="AY52" s="333"/>
      <c r="AZ52" s="333"/>
      <c r="BA52" s="333"/>
      <c r="BB52" s="333"/>
      <c r="BC52" s="333"/>
      <c r="BD52" s="333"/>
      <c r="BE52" s="333"/>
      <c r="BF52" s="333"/>
      <c r="BG52" s="333"/>
      <c r="BH52" s="333"/>
      <c r="BI52" s="333"/>
    </row>
    <row r="53" spans="1:61" ht="21" customHeight="1" thickBot="1" x14ac:dyDescent="0.25">
      <c r="A53" s="2328" t="str">
        <f>F!A58</f>
        <v>F11</v>
      </c>
      <c r="B53" s="2333" t="str">
        <f>F!B58</f>
        <v>Depth Classes - Evenness of Proportions</v>
      </c>
      <c r="C53" s="1119" t="str">
        <f>F!C58</f>
        <v>When present, surface water in most of the AA usually consists of (select one):</v>
      </c>
      <c r="D53" s="1145"/>
      <c r="E53" s="359"/>
      <c r="F53" s="381"/>
      <c r="G53" s="552">
        <f>IF((AllSat+AllSat&gt;0),"", IF((SmallAA=1),"", MAX(F54:F56)/MAX(E54:E56)))</f>
        <v>0</v>
      </c>
      <c r="H53" s="2274" t="s">
        <v>166</v>
      </c>
      <c r="I53" s="2136" t="s">
        <v>1842</v>
      </c>
      <c r="J53" s="273"/>
      <c r="K53" s="333"/>
      <c r="L53" s="333"/>
      <c r="M53" s="333"/>
      <c r="N53" s="333"/>
      <c r="O53" s="333"/>
      <c r="P53" s="333"/>
      <c r="Q53" s="333"/>
      <c r="R53" s="333"/>
      <c r="S53" s="333"/>
      <c r="T53" s="333"/>
      <c r="U53" s="333"/>
      <c r="V53" s="333"/>
      <c r="W53" s="333"/>
      <c r="X53" s="333"/>
      <c r="Y53" s="333"/>
      <c r="Z53" s="333"/>
      <c r="AA53" s="333"/>
      <c r="AB53" s="333"/>
      <c r="AC53" s="333"/>
      <c r="AD53" s="333"/>
      <c r="AE53" s="333"/>
      <c r="AF53" s="333"/>
      <c r="AG53" s="333"/>
      <c r="AH53" s="333"/>
      <c r="AI53" s="333"/>
      <c r="AJ53" s="333"/>
      <c r="AK53" s="333"/>
      <c r="AL53" s="333"/>
      <c r="AM53" s="333"/>
      <c r="AN53" s="333"/>
      <c r="AO53" s="333"/>
      <c r="AP53" s="333"/>
      <c r="AQ53" s="333"/>
      <c r="AR53" s="333"/>
      <c r="AS53" s="333"/>
      <c r="AT53" s="333"/>
      <c r="AU53" s="333"/>
      <c r="AV53" s="333"/>
      <c r="AW53" s="333"/>
      <c r="AX53" s="333"/>
      <c r="AY53" s="333"/>
      <c r="AZ53" s="333"/>
      <c r="BA53" s="333"/>
      <c r="BB53" s="333"/>
      <c r="BC53" s="333"/>
      <c r="BD53" s="333"/>
      <c r="BE53" s="333"/>
      <c r="BF53" s="333"/>
      <c r="BG53" s="333"/>
      <c r="BH53" s="333"/>
      <c r="BI53" s="333"/>
    </row>
    <row r="54" spans="1:61" ht="27" customHeight="1" x14ac:dyDescent="0.2">
      <c r="A54" s="2344"/>
      <c r="B54" s="2352"/>
      <c r="C54" s="1126" t="str">
        <f>F!C59</f>
        <v>One depth class that comprises &gt;90% of the AA’s inundated area (use the classes in the question above).</v>
      </c>
      <c r="D54" s="123">
        <f>F!D59</f>
        <v>0</v>
      </c>
      <c r="E54" s="359">
        <v>0</v>
      </c>
      <c r="F54" s="359">
        <f>D54*E54</f>
        <v>0</v>
      </c>
      <c r="G54" s="545"/>
      <c r="H54" s="2275"/>
      <c r="I54" s="2136"/>
      <c r="J54" s="273"/>
      <c r="K54" s="333"/>
      <c r="L54" s="333"/>
      <c r="M54" s="333"/>
      <c r="N54" s="333"/>
      <c r="O54" s="333"/>
      <c r="P54" s="333"/>
      <c r="Q54" s="333"/>
      <c r="R54" s="333"/>
      <c r="S54" s="333"/>
      <c r="T54" s="333"/>
      <c r="U54" s="333"/>
      <c r="V54" s="333"/>
      <c r="W54" s="333"/>
      <c r="X54" s="333"/>
      <c r="Y54" s="333"/>
      <c r="Z54" s="333"/>
      <c r="AA54" s="333"/>
      <c r="AB54" s="333"/>
      <c r="AC54" s="333"/>
      <c r="AD54" s="333"/>
      <c r="AE54" s="333"/>
      <c r="AF54" s="333"/>
      <c r="AG54" s="333"/>
      <c r="AH54" s="333"/>
      <c r="AI54" s="333"/>
      <c r="AJ54" s="333"/>
      <c r="AK54" s="333"/>
      <c r="AL54" s="333"/>
      <c r="AM54" s="333"/>
      <c r="AN54" s="333"/>
      <c r="AO54" s="333"/>
      <c r="AP54" s="333"/>
      <c r="AQ54" s="333"/>
      <c r="AR54" s="333"/>
      <c r="AS54" s="333"/>
      <c r="AT54" s="333"/>
      <c r="AU54" s="333"/>
      <c r="AV54" s="333"/>
      <c r="AW54" s="333"/>
      <c r="AX54" s="333"/>
      <c r="AY54" s="333"/>
      <c r="AZ54" s="333"/>
      <c r="BA54" s="333"/>
      <c r="BB54" s="333"/>
      <c r="BC54" s="333"/>
      <c r="BD54" s="333"/>
      <c r="BE54" s="333"/>
      <c r="BF54" s="333"/>
      <c r="BG54" s="333"/>
      <c r="BH54" s="333"/>
      <c r="BI54" s="333"/>
    </row>
    <row r="55" spans="1:61" ht="15" customHeight="1" x14ac:dyDescent="0.2">
      <c r="A55" s="2344"/>
      <c r="B55" s="2352"/>
      <c r="C55" s="1127" t="str">
        <f>F!C60</f>
        <v>One depth class that comprises 60-90% of the AA's inundated area.</v>
      </c>
      <c r="D55" s="123">
        <f>F!D60</f>
        <v>0</v>
      </c>
      <c r="E55" s="351">
        <v>1</v>
      </c>
      <c r="F55" s="351">
        <f>D55*E55</f>
        <v>0</v>
      </c>
      <c r="G55" s="546"/>
      <c r="H55" s="2275"/>
      <c r="I55" s="2136"/>
      <c r="J55" s="273"/>
      <c r="K55" s="333"/>
      <c r="L55" s="333"/>
      <c r="M55" s="333"/>
      <c r="N55" s="333"/>
      <c r="O55" s="333"/>
      <c r="P55" s="333"/>
      <c r="Q55" s="333"/>
      <c r="R55" s="333"/>
      <c r="S55" s="333"/>
      <c r="T55" s="333"/>
      <c r="U55" s="333"/>
      <c r="V55" s="333"/>
      <c r="W55" s="333"/>
      <c r="X55" s="333"/>
      <c r="Y55" s="333"/>
      <c r="Z55" s="333"/>
      <c r="AA55" s="333"/>
      <c r="AB55" s="333"/>
      <c r="AC55" s="333"/>
      <c r="AD55" s="333"/>
      <c r="AE55" s="333"/>
      <c r="AF55" s="333"/>
      <c r="AG55" s="333"/>
      <c r="AH55" s="333"/>
      <c r="AI55" s="333"/>
      <c r="AJ55" s="333"/>
      <c r="AK55" s="333"/>
      <c r="AL55" s="333"/>
      <c r="AM55" s="333"/>
      <c r="AN55" s="333"/>
      <c r="AO55" s="333"/>
      <c r="AP55" s="333"/>
      <c r="AQ55" s="333"/>
      <c r="AR55" s="333"/>
      <c r="AS55" s="333"/>
      <c r="AT55" s="333"/>
      <c r="AU55" s="333"/>
      <c r="AV55" s="333"/>
      <c r="AW55" s="333"/>
      <c r="AX55" s="333"/>
      <c r="AY55" s="333"/>
      <c r="AZ55" s="333"/>
      <c r="BA55" s="333"/>
      <c r="BB55" s="333"/>
      <c r="BC55" s="333"/>
      <c r="BD55" s="333"/>
      <c r="BE55" s="333"/>
      <c r="BF55" s="333"/>
      <c r="BG55" s="333"/>
      <c r="BH55" s="333"/>
      <c r="BI55" s="333"/>
    </row>
    <row r="56" spans="1:61" ht="15" customHeight="1" thickBot="1" x14ac:dyDescent="0.25">
      <c r="A56" s="2344"/>
      <c r="B56" s="2352"/>
      <c r="C56" s="1128" t="str">
        <f>F!C61</f>
        <v>Neither of above.  Multiple depth classes; none occupy more than 50% of the AA.</v>
      </c>
      <c r="D56" s="1157">
        <f>F!D61</f>
        <v>0</v>
      </c>
      <c r="E56" s="636">
        <v>2</v>
      </c>
      <c r="F56" s="636">
        <f>D56*E56</f>
        <v>0</v>
      </c>
      <c r="G56" s="1142"/>
      <c r="H56" s="2276"/>
      <c r="I56" s="2136"/>
      <c r="J56" s="273"/>
      <c r="K56" s="333"/>
      <c r="L56" s="333"/>
      <c r="M56" s="333"/>
      <c r="N56" s="333"/>
      <c r="O56" s="333"/>
      <c r="P56" s="333"/>
      <c r="Q56" s="333"/>
      <c r="R56" s="333"/>
      <c r="S56" s="333"/>
      <c r="T56" s="333"/>
      <c r="U56" s="333"/>
      <c r="V56" s="333"/>
      <c r="W56" s="333"/>
      <c r="X56" s="333"/>
      <c r="Y56" s="333"/>
      <c r="Z56" s="333"/>
      <c r="AA56" s="333"/>
      <c r="AB56" s="333"/>
      <c r="AC56" s="333"/>
      <c r="AD56" s="333"/>
      <c r="AE56" s="333"/>
      <c r="AF56" s="333"/>
      <c r="AG56" s="333"/>
      <c r="AH56" s="333"/>
      <c r="AI56" s="333"/>
      <c r="AJ56" s="333"/>
      <c r="AK56" s="333"/>
      <c r="AL56" s="333"/>
      <c r="AM56" s="333"/>
      <c r="AN56" s="333"/>
      <c r="AO56" s="333"/>
      <c r="AP56" s="333"/>
      <c r="AQ56" s="333"/>
      <c r="AR56" s="333"/>
      <c r="AS56" s="333"/>
      <c r="AT56" s="333"/>
      <c r="AU56" s="333"/>
      <c r="AV56" s="333"/>
      <c r="AW56" s="333"/>
      <c r="AX56" s="333"/>
      <c r="AY56" s="333"/>
      <c r="AZ56" s="333"/>
      <c r="BA56" s="333"/>
      <c r="BB56" s="333"/>
      <c r="BC56" s="333"/>
      <c r="BD56" s="333"/>
      <c r="BE56" s="333"/>
      <c r="BF56" s="333"/>
      <c r="BG56" s="333"/>
      <c r="BH56" s="333"/>
      <c r="BI56" s="333"/>
    </row>
    <row r="57" spans="1:61" ht="45" customHeight="1" thickBot="1" x14ac:dyDescent="0.25">
      <c r="A57" s="2347" t="str">
        <f>F!A62</f>
        <v>F12</v>
      </c>
      <c r="B57" s="2349" t="str">
        <f>F!B62</f>
        <v xml:space="preserve">% of Water Ponded vs. Flowing </v>
      </c>
      <c r="C57" s="1129" t="str">
        <f>F!C62</f>
        <v>The percentage of the AA's surface water that is ponded (stagnant, or flows so slowly that fine sediment is not held in suspension) during most of the time it is present, and which is either open or shaded by emergent vegetation is:</v>
      </c>
      <c r="D57" s="1147"/>
      <c r="E57" s="1148"/>
      <c r="F57" s="350"/>
      <c r="G57" s="340">
        <f>IF((AllSat+AllSat&gt;0),"", IF((SmallAA=1),"", MAX(F58:F64)/MAX(E58:E64)))</f>
        <v>0</v>
      </c>
      <c r="H57" s="2274" t="s">
        <v>165</v>
      </c>
      <c r="I57" s="2135" t="s">
        <v>2103</v>
      </c>
      <c r="J57" s="273"/>
      <c r="K57" s="333"/>
      <c r="L57" s="333"/>
      <c r="M57" s="333"/>
      <c r="N57" s="333"/>
      <c r="O57" s="333"/>
      <c r="P57" s="333"/>
      <c r="Q57" s="333"/>
      <c r="R57" s="333"/>
      <c r="S57" s="333"/>
      <c r="T57" s="333"/>
      <c r="U57" s="333"/>
      <c r="V57" s="333"/>
      <c r="W57" s="333"/>
      <c r="X57" s="333"/>
      <c r="Y57" s="333"/>
      <c r="Z57" s="333"/>
      <c r="AA57" s="333"/>
      <c r="AB57" s="333"/>
      <c r="AC57" s="333"/>
      <c r="AD57" s="333"/>
      <c r="AE57" s="333"/>
      <c r="AF57" s="333"/>
      <c r="AG57" s="333"/>
      <c r="AH57" s="333"/>
      <c r="AI57" s="333"/>
      <c r="AJ57" s="333"/>
      <c r="AK57" s="333"/>
      <c r="AL57" s="333"/>
      <c r="AM57" s="333"/>
      <c r="AN57" s="333"/>
      <c r="AO57" s="333"/>
      <c r="AP57" s="333"/>
      <c r="AQ57" s="333"/>
      <c r="AR57" s="333"/>
      <c r="AS57" s="333"/>
      <c r="AT57" s="333"/>
      <c r="AU57" s="333"/>
      <c r="AV57" s="333"/>
      <c r="AW57" s="333"/>
      <c r="AX57" s="333"/>
      <c r="AY57" s="333"/>
      <c r="AZ57" s="333"/>
      <c r="BA57" s="333"/>
      <c r="BB57" s="333"/>
      <c r="BC57" s="333"/>
      <c r="BD57" s="333"/>
      <c r="BE57" s="333"/>
      <c r="BF57" s="333"/>
      <c r="BG57" s="333"/>
      <c r="BH57" s="333"/>
      <c r="BI57" s="333"/>
    </row>
    <row r="58" spans="1:61" ht="27" customHeight="1" x14ac:dyDescent="0.2">
      <c r="A58" s="2341"/>
      <c r="B58" s="2338"/>
      <c r="C58" s="1126" t="str">
        <f>F!C63</f>
        <v>&lt;1% or none, or occupies &lt;0.01 hectare cumulatively.  Nearly all water is flowing.  Enter "1" and SKIP to F21 (Stained Surface Water).</v>
      </c>
      <c r="D58" s="1149">
        <f>F!D63</f>
        <v>0</v>
      </c>
      <c r="E58" s="1151">
        <v>0</v>
      </c>
      <c r="F58" s="1151">
        <f t="shared" ref="F58:F64" si="1">D58*E58</f>
        <v>0</v>
      </c>
      <c r="G58" s="546"/>
      <c r="H58" s="2275"/>
      <c r="I58" s="2136"/>
      <c r="J58" s="273"/>
      <c r="K58" s="333"/>
      <c r="L58" s="333"/>
      <c r="M58" s="333"/>
      <c r="N58" s="333"/>
      <c r="O58" s="333"/>
      <c r="P58" s="333"/>
      <c r="Q58" s="333"/>
      <c r="R58" s="333"/>
      <c r="S58" s="333"/>
      <c r="T58" s="333"/>
      <c r="U58" s="333"/>
      <c r="V58" s="333"/>
      <c r="W58" s="333"/>
      <c r="X58" s="333"/>
      <c r="Y58" s="333"/>
      <c r="Z58" s="333"/>
      <c r="AA58" s="333"/>
      <c r="AB58" s="333"/>
      <c r="AC58" s="333"/>
      <c r="AD58" s="333"/>
      <c r="AE58" s="333"/>
      <c r="AF58" s="333"/>
      <c r="AG58" s="333"/>
      <c r="AH58" s="333"/>
      <c r="AI58" s="333"/>
      <c r="AJ58" s="333"/>
      <c r="AK58" s="333"/>
      <c r="AL58" s="333"/>
      <c r="AM58" s="333"/>
      <c r="AN58" s="333"/>
      <c r="AO58" s="333"/>
      <c r="AP58" s="333"/>
      <c r="AQ58" s="333"/>
      <c r="AR58" s="333"/>
      <c r="AS58" s="333"/>
      <c r="AT58" s="333"/>
      <c r="AU58" s="333"/>
      <c r="AV58" s="333"/>
      <c r="AW58" s="333"/>
      <c r="AX58" s="333"/>
      <c r="AY58" s="333"/>
      <c r="AZ58" s="333"/>
      <c r="BA58" s="333"/>
      <c r="BB58" s="333"/>
      <c r="BC58" s="333"/>
      <c r="BD58" s="333"/>
      <c r="BE58" s="333"/>
      <c r="BF58" s="333"/>
      <c r="BG58" s="333"/>
      <c r="BH58" s="333"/>
      <c r="BI58" s="333"/>
    </row>
    <row r="59" spans="1:61" ht="15" customHeight="1" x14ac:dyDescent="0.2">
      <c r="A59" s="2341"/>
      <c r="B59" s="2338"/>
      <c r="C59" s="1127" t="str">
        <f>F!C64</f>
        <v>1-5% of the water, and mainly in small pools.  The rest is flowing.</v>
      </c>
      <c r="D59" s="1149">
        <f>F!D64</f>
        <v>0</v>
      </c>
      <c r="E59" s="1151">
        <v>1</v>
      </c>
      <c r="F59" s="1151">
        <f t="shared" si="1"/>
        <v>0</v>
      </c>
      <c r="G59" s="546"/>
      <c r="H59" s="2275"/>
      <c r="I59" s="2136"/>
      <c r="J59" s="273"/>
      <c r="K59" s="333"/>
      <c r="L59" s="333"/>
      <c r="M59" s="333"/>
      <c r="N59" s="333"/>
      <c r="O59" s="333"/>
      <c r="P59" s="333"/>
      <c r="Q59" s="333"/>
      <c r="R59" s="333"/>
      <c r="S59" s="333"/>
      <c r="T59" s="333"/>
      <c r="U59" s="333"/>
      <c r="V59" s="333"/>
      <c r="W59" s="333"/>
      <c r="X59" s="333"/>
      <c r="Y59" s="333"/>
      <c r="Z59" s="333"/>
      <c r="AA59" s="333"/>
      <c r="AB59" s="333"/>
      <c r="AC59" s="333"/>
      <c r="AD59" s="333"/>
      <c r="AE59" s="333"/>
      <c r="AF59" s="333"/>
      <c r="AG59" s="333"/>
      <c r="AH59" s="333"/>
      <c r="AI59" s="333"/>
      <c r="AJ59" s="333"/>
      <c r="AK59" s="333"/>
      <c r="AL59" s="333"/>
      <c r="AM59" s="333"/>
      <c r="AN59" s="333"/>
      <c r="AO59" s="333"/>
      <c r="AP59" s="333"/>
      <c r="AQ59" s="333"/>
      <c r="AR59" s="333"/>
      <c r="AS59" s="333"/>
      <c r="AT59" s="333"/>
      <c r="AU59" s="333"/>
      <c r="AV59" s="333"/>
      <c r="AW59" s="333"/>
      <c r="AX59" s="333"/>
      <c r="AY59" s="333"/>
      <c r="AZ59" s="333"/>
      <c r="BA59" s="333"/>
      <c r="BB59" s="333"/>
      <c r="BC59" s="333"/>
      <c r="BD59" s="333"/>
      <c r="BE59" s="333"/>
      <c r="BF59" s="333"/>
      <c r="BG59" s="333"/>
      <c r="BH59" s="333"/>
      <c r="BI59" s="333"/>
    </row>
    <row r="60" spans="1:61" ht="15" customHeight="1" x14ac:dyDescent="0.2">
      <c r="A60" s="2341"/>
      <c r="B60" s="2338"/>
      <c r="C60" s="1127" t="str">
        <f>F!C65</f>
        <v>1-5% of the water, and mainly in a single large pool or pond.  The rest is flowing.</v>
      </c>
      <c r="D60" s="1149">
        <f>F!D65</f>
        <v>0</v>
      </c>
      <c r="E60" s="1151">
        <v>2</v>
      </c>
      <c r="F60" s="1151">
        <f t="shared" si="1"/>
        <v>0</v>
      </c>
      <c r="G60" s="546"/>
      <c r="H60" s="2275"/>
      <c r="I60" s="2136"/>
      <c r="J60" s="273"/>
      <c r="K60" s="333"/>
      <c r="L60" s="333"/>
      <c r="M60" s="333"/>
      <c r="N60" s="333"/>
      <c r="O60" s="333"/>
      <c r="P60" s="333"/>
      <c r="Q60" s="333"/>
      <c r="R60" s="333"/>
      <c r="S60" s="333"/>
      <c r="T60" s="333"/>
      <c r="U60" s="333"/>
      <c r="V60" s="333"/>
      <c r="W60" s="333"/>
      <c r="X60" s="333"/>
      <c r="Y60" s="333"/>
      <c r="Z60" s="333"/>
      <c r="AA60" s="333"/>
      <c r="AB60" s="333"/>
      <c r="AC60" s="333"/>
      <c r="AD60" s="333"/>
      <c r="AE60" s="333"/>
      <c r="AF60" s="333"/>
      <c r="AG60" s="333"/>
      <c r="AH60" s="333"/>
      <c r="AI60" s="333"/>
      <c r="AJ60" s="333"/>
      <c r="AK60" s="333"/>
      <c r="AL60" s="333"/>
      <c r="AM60" s="333"/>
      <c r="AN60" s="333"/>
      <c r="AO60" s="333"/>
      <c r="AP60" s="333"/>
      <c r="AQ60" s="333"/>
      <c r="AR60" s="333"/>
      <c r="AS60" s="333"/>
      <c r="AT60" s="333"/>
      <c r="AU60" s="333"/>
      <c r="AV60" s="333"/>
      <c r="AW60" s="333"/>
      <c r="AX60" s="333"/>
      <c r="AY60" s="333"/>
      <c r="AZ60" s="333"/>
      <c r="BA60" s="333"/>
      <c r="BB60" s="333"/>
      <c r="BC60" s="333"/>
      <c r="BD60" s="333"/>
      <c r="BE60" s="333"/>
      <c r="BF60" s="333"/>
      <c r="BG60" s="333"/>
      <c r="BH60" s="333"/>
      <c r="BI60" s="333"/>
    </row>
    <row r="61" spans="1:61" ht="15" customHeight="1" x14ac:dyDescent="0.2">
      <c r="A61" s="2341"/>
      <c r="B61" s="2338"/>
      <c r="C61" s="1127" t="str">
        <f>F!C66</f>
        <v>5-30% of the water</v>
      </c>
      <c r="D61" s="1149">
        <f>F!D66</f>
        <v>0</v>
      </c>
      <c r="E61" s="1151">
        <v>3</v>
      </c>
      <c r="F61" s="1151">
        <f t="shared" si="1"/>
        <v>0</v>
      </c>
      <c r="G61" s="546"/>
      <c r="H61" s="2275"/>
      <c r="I61" s="2136"/>
      <c r="J61" s="273"/>
      <c r="K61" s="333"/>
      <c r="L61" s="333"/>
      <c r="M61" s="333"/>
      <c r="N61" s="333"/>
      <c r="O61" s="333"/>
      <c r="P61" s="333"/>
      <c r="Q61" s="333"/>
      <c r="R61" s="333"/>
      <c r="S61" s="333"/>
      <c r="T61" s="333"/>
      <c r="U61" s="333"/>
      <c r="V61" s="333"/>
      <c r="W61" s="333"/>
      <c r="X61" s="333"/>
      <c r="Y61" s="333"/>
      <c r="Z61" s="333"/>
      <c r="AA61" s="333"/>
      <c r="AB61" s="333"/>
      <c r="AC61" s="333"/>
      <c r="AD61" s="333"/>
      <c r="AE61" s="333"/>
      <c r="AF61" s="333"/>
      <c r="AG61" s="333"/>
      <c r="AH61" s="333"/>
      <c r="AI61" s="333"/>
      <c r="AJ61" s="333"/>
      <c r="AK61" s="333"/>
      <c r="AL61" s="333"/>
      <c r="AM61" s="333"/>
      <c r="AN61" s="333"/>
      <c r="AO61" s="333"/>
      <c r="AP61" s="333"/>
      <c r="AQ61" s="333"/>
      <c r="AR61" s="333"/>
      <c r="AS61" s="333"/>
      <c r="AT61" s="333"/>
      <c r="AU61" s="333"/>
      <c r="AV61" s="333"/>
      <c r="AW61" s="333"/>
      <c r="AX61" s="333"/>
      <c r="AY61" s="333"/>
      <c r="AZ61" s="333"/>
      <c r="BA61" s="333"/>
      <c r="BB61" s="333"/>
      <c r="BC61" s="333"/>
      <c r="BD61" s="333"/>
      <c r="BE61" s="333"/>
      <c r="BF61" s="333"/>
      <c r="BG61" s="333"/>
      <c r="BH61" s="333"/>
      <c r="BI61" s="333"/>
    </row>
    <row r="62" spans="1:61" ht="15" customHeight="1" x14ac:dyDescent="0.2">
      <c r="A62" s="2341"/>
      <c r="B62" s="2338"/>
      <c r="C62" s="1127" t="str">
        <f>F!C67</f>
        <v>30-70% of the water</v>
      </c>
      <c r="D62" s="1149">
        <f>F!D67</f>
        <v>0</v>
      </c>
      <c r="E62" s="1151">
        <v>4</v>
      </c>
      <c r="F62" s="1151">
        <f t="shared" si="1"/>
        <v>0</v>
      </c>
      <c r="G62" s="1142"/>
      <c r="H62" s="2275"/>
      <c r="I62" s="2136"/>
      <c r="J62" s="273"/>
      <c r="K62" s="333"/>
      <c r="L62" s="333"/>
      <c r="M62" s="333"/>
      <c r="N62" s="333"/>
      <c r="O62" s="333"/>
      <c r="P62" s="333"/>
      <c r="Q62" s="333"/>
      <c r="R62" s="333"/>
      <c r="S62" s="333"/>
      <c r="T62" s="333"/>
      <c r="U62" s="333"/>
      <c r="V62" s="333"/>
      <c r="W62" s="333"/>
      <c r="X62" s="333"/>
      <c r="Y62" s="333"/>
      <c r="Z62" s="333"/>
      <c r="AA62" s="333"/>
      <c r="AB62" s="333"/>
      <c r="AC62" s="333"/>
      <c r="AD62" s="333"/>
      <c r="AE62" s="333"/>
      <c r="AF62" s="333"/>
      <c r="AG62" s="333"/>
      <c r="AH62" s="333"/>
      <c r="AI62" s="333"/>
      <c r="AJ62" s="333"/>
      <c r="AK62" s="333"/>
      <c r="AL62" s="333"/>
      <c r="AM62" s="333"/>
      <c r="AN62" s="333"/>
      <c r="AO62" s="333"/>
      <c r="AP62" s="333"/>
      <c r="AQ62" s="333"/>
      <c r="AR62" s="333"/>
      <c r="AS62" s="333"/>
      <c r="AT62" s="333"/>
      <c r="AU62" s="333"/>
      <c r="AV62" s="333"/>
      <c r="AW62" s="333"/>
      <c r="AX62" s="333"/>
      <c r="AY62" s="333"/>
      <c r="AZ62" s="333"/>
      <c r="BA62" s="333"/>
      <c r="BB62" s="333"/>
      <c r="BC62" s="333"/>
      <c r="BD62" s="333"/>
      <c r="BE62" s="333"/>
      <c r="BF62" s="333"/>
      <c r="BG62" s="333"/>
      <c r="BH62" s="333"/>
      <c r="BI62" s="333"/>
    </row>
    <row r="63" spans="1:61" ht="15" customHeight="1" x14ac:dyDescent="0.2">
      <c r="A63" s="2341"/>
      <c r="B63" s="2338"/>
      <c r="C63" s="1127" t="str">
        <f>F!C68</f>
        <v>70-95% of the water</v>
      </c>
      <c r="D63" s="1149">
        <f>F!D68</f>
        <v>0</v>
      </c>
      <c r="E63" s="1151">
        <v>5</v>
      </c>
      <c r="F63" s="1151">
        <f t="shared" si="1"/>
        <v>0</v>
      </c>
      <c r="G63" s="1142"/>
      <c r="H63" s="2275"/>
      <c r="I63" s="2136"/>
      <c r="J63" s="273"/>
      <c r="K63" s="333"/>
      <c r="L63" s="333"/>
      <c r="M63" s="333"/>
      <c r="N63" s="333"/>
      <c r="O63" s="333"/>
      <c r="P63" s="333"/>
      <c r="Q63" s="333"/>
      <c r="R63" s="333"/>
      <c r="S63" s="333"/>
      <c r="T63" s="333"/>
      <c r="U63" s="333"/>
      <c r="V63" s="333"/>
      <c r="W63" s="333"/>
      <c r="X63" s="333"/>
      <c r="Y63" s="333"/>
      <c r="Z63" s="333"/>
      <c r="AA63" s="333"/>
      <c r="AB63" s="333"/>
      <c r="AC63" s="333"/>
      <c r="AD63" s="333"/>
      <c r="AE63" s="333"/>
      <c r="AF63" s="333"/>
      <c r="AG63" s="333"/>
      <c r="AH63" s="333"/>
      <c r="AI63" s="333"/>
      <c r="AJ63" s="333"/>
      <c r="AK63" s="333"/>
      <c r="AL63" s="333"/>
      <c r="AM63" s="333"/>
      <c r="AN63" s="333"/>
      <c r="AO63" s="333"/>
      <c r="AP63" s="333"/>
      <c r="AQ63" s="333"/>
      <c r="AR63" s="333"/>
      <c r="AS63" s="333"/>
      <c r="AT63" s="333"/>
      <c r="AU63" s="333"/>
      <c r="AV63" s="333"/>
      <c r="AW63" s="333"/>
      <c r="AX63" s="333"/>
      <c r="AY63" s="333"/>
      <c r="AZ63" s="333"/>
      <c r="BA63" s="333"/>
      <c r="BB63" s="333"/>
      <c r="BC63" s="333"/>
      <c r="BD63" s="333"/>
      <c r="BE63" s="333"/>
      <c r="BF63" s="333"/>
      <c r="BG63" s="333"/>
      <c r="BH63" s="333"/>
      <c r="BI63" s="333"/>
    </row>
    <row r="64" spans="1:61" ht="15" customHeight="1" thickBot="1" x14ac:dyDescent="0.25">
      <c r="A64" s="2348"/>
      <c r="B64" s="2350"/>
      <c r="C64" s="1130" t="str">
        <f>F!C69</f>
        <v>&gt;95% of the water.  Little or no visibly flowing water within the AA.</v>
      </c>
      <c r="D64" s="305">
        <f>F!D69</f>
        <v>0</v>
      </c>
      <c r="E64" s="353">
        <v>6</v>
      </c>
      <c r="F64" s="353">
        <f t="shared" si="1"/>
        <v>0</v>
      </c>
      <c r="G64" s="547"/>
      <c r="H64" s="2276"/>
      <c r="I64" s="2137"/>
      <c r="J64" s="273"/>
      <c r="K64" s="333"/>
      <c r="L64" s="333"/>
      <c r="M64" s="333"/>
      <c r="N64" s="333"/>
      <c r="O64" s="333"/>
      <c r="P64" s="333"/>
      <c r="Q64" s="333"/>
      <c r="R64" s="333"/>
      <c r="S64" s="333"/>
      <c r="T64" s="333"/>
      <c r="U64" s="333"/>
      <c r="V64" s="333"/>
      <c r="W64" s="333"/>
      <c r="X64" s="333"/>
      <c r="Y64" s="333"/>
      <c r="Z64" s="333"/>
      <c r="AA64" s="333"/>
      <c r="AB64" s="333"/>
      <c r="AC64" s="333"/>
      <c r="AD64" s="333"/>
      <c r="AE64" s="333"/>
      <c r="AF64" s="333"/>
      <c r="AG64" s="333"/>
      <c r="AH64" s="333"/>
      <c r="AI64" s="333"/>
      <c r="AJ64" s="333"/>
      <c r="AK64" s="333"/>
      <c r="AL64" s="333"/>
      <c r="AM64" s="333"/>
      <c r="AN64" s="333"/>
      <c r="AO64" s="333"/>
      <c r="AP64" s="333"/>
      <c r="AQ64" s="333"/>
      <c r="AR64" s="333"/>
      <c r="AS64" s="333"/>
      <c r="AT64" s="333"/>
      <c r="AU64" s="333"/>
      <c r="AV64" s="333"/>
      <c r="AW64" s="333"/>
      <c r="AX64" s="333"/>
      <c r="AY64" s="333"/>
      <c r="AZ64" s="333"/>
      <c r="BA64" s="333"/>
      <c r="BB64" s="333"/>
      <c r="BC64" s="333"/>
      <c r="BD64" s="333"/>
      <c r="BE64" s="333"/>
      <c r="BF64" s="333"/>
      <c r="BG64" s="333"/>
      <c r="BH64" s="333"/>
      <c r="BI64" s="333"/>
    </row>
    <row r="65" spans="1:61" ht="30" customHeight="1" thickBot="1" x14ac:dyDescent="0.25">
      <c r="A65" s="2342" t="str">
        <f>F!A71</f>
        <v>F14</v>
      </c>
      <c r="B65" s="2338" t="str">
        <f>F!B71</f>
        <v xml:space="preserve">% of Ponded Water That Is Open </v>
      </c>
      <c r="C65" s="1133" t="str">
        <f>F!C71</f>
        <v>In ducks-eye aerial view, the percentage of the ponded water that is open (lacking emergent vegetation during most of the growing season, and unhidden by a forest or shrub canopy) is:</v>
      </c>
      <c r="D65" s="355"/>
      <c r="E65" s="357"/>
      <c r="F65" s="381"/>
      <c r="G65" s="552">
        <f>IF((AllSat+AllSat&gt;0),"", IF((NoPonded=1),"", IF((SmallAA=1),"", MAX(F66:F71)/MAX(E66:E71))))</f>
        <v>0</v>
      </c>
      <c r="H65" s="2274" t="s">
        <v>1262</v>
      </c>
      <c r="I65" s="2136" t="s">
        <v>2104</v>
      </c>
      <c r="J65" s="273"/>
      <c r="K65" s="333"/>
      <c r="L65" s="333"/>
      <c r="M65" s="333"/>
      <c r="N65" s="333"/>
      <c r="O65" s="333"/>
      <c r="P65" s="333"/>
      <c r="Q65" s="333"/>
      <c r="R65" s="333"/>
      <c r="S65" s="333"/>
      <c r="T65" s="333"/>
      <c r="U65" s="333"/>
      <c r="V65" s="333"/>
      <c r="W65" s="333"/>
      <c r="X65" s="333"/>
      <c r="Y65" s="333"/>
      <c r="Z65" s="333"/>
      <c r="AA65" s="333"/>
      <c r="AB65" s="333"/>
      <c r="AC65" s="333"/>
      <c r="AD65" s="333"/>
      <c r="AE65" s="333"/>
      <c r="AF65" s="333"/>
      <c r="AG65" s="333"/>
      <c r="AH65" s="333"/>
      <c r="AI65" s="333"/>
      <c r="AJ65" s="333"/>
      <c r="AK65" s="333"/>
      <c r="AL65" s="333"/>
      <c r="AM65" s="333"/>
      <c r="AN65" s="333"/>
      <c r="AO65" s="333"/>
      <c r="AP65" s="333"/>
      <c r="AQ65" s="333"/>
      <c r="AR65" s="333"/>
      <c r="AS65" s="333"/>
      <c r="AT65" s="333"/>
      <c r="AU65" s="333"/>
      <c r="AV65" s="333"/>
      <c r="AW65" s="333"/>
      <c r="AX65" s="333"/>
      <c r="AY65" s="333"/>
      <c r="AZ65" s="333"/>
      <c r="BA65" s="333"/>
      <c r="BB65" s="333"/>
      <c r="BC65" s="333"/>
      <c r="BD65" s="333"/>
      <c r="BE65" s="333"/>
      <c r="BF65" s="333"/>
      <c r="BG65" s="333"/>
      <c r="BH65" s="333"/>
      <c r="BI65" s="333"/>
    </row>
    <row r="66" spans="1:61" ht="27" customHeight="1" x14ac:dyDescent="0.2">
      <c r="A66" s="2342"/>
      <c r="B66" s="2338"/>
      <c r="C66" s="1116" t="str">
        <f>F!C72</f>
        <v>&lt;1% or none, or largest pool occupies &lt;0.01 hectares.  Enter "1" and SKIP to F20 (Floating Algae &amp; Duckweed).</v>
      </c>
      <c r="D66" s="140">
        <f>F!D72</f>
        <v>0</v>
      </c>
      <c r="E66" s="450">
        <v>1</v>
      </c>
      <c r="F66" s="351">
        <f t="shared" ref="F66:F71" si="2">D66*E66</f>
        <v>0</v>
      </c>
      <c r="G66" s="545"/>
      <c r="H66" s="2275"/>
      <c r="I66" s="2136"/>
      <c r="J66" s="273"/>
      <c r="K66" s="333"/>
      <c r="L66" s="333"/>
      <c r="M66" s="333"/>
      <c r="N66" s="333"/>
      <c r="O66" s="333"/>
      <c r="P66" s="333"/>
      <c r="Q66" s="333"/>
      <c r="R66" s="333"/>
      <c r="S66" s="333"/>
      <c r="T66" s="333"/>
      <c r="U66" s="333"/>
      <c r="V66" s="333"/>
      <c r="W66" s="333"/>
      <c r="X66" s="333"/>
      <c r="Y66" s="333"/>
      <c r="Z66" s="333"/>
      <c r="AA66" s="333"/>
      <c r="AB66" s="333"/>
      <c r="AC66" s="333"/>
      <c r="AD66" s="333"/>
      <c r="AE66" s="333"/>
      <c r="AF66" s="333"/>
      <c r="AG66" s="333"/>
      <c r="AH66" s="333"/>
      <c r="AI66" s="333"/>
      <c r="AJ66" s="333"/>
      <c r="AK66" s="333"/>
      <c r="AL66" s="333"/>
      <c r="AM66" s="333"/>
      <c r="AN66" s="333"/>
      <c r="AO66" s="333"/>
      <c r="AP66" s="333"/>
      <c r="AQ66" s="333"/>
      <c r="AR66" s="333"/>
      <c r="AS66" s="333"/>
      <c r="AT66" s="333"/>
      <c r="AU66" s="333"/>
      <c r="AV66" s="333"/>
      <c r="AW66" s="333"/>
      <c r="AX66" s="333"/>
      <c r="AY66" s="333"/>
      <c r="AZ66" s="333"/>
      <c r="BA66" s="333"/>
      <c r="BB66" s="333"/>
      <c r="BC66" s="333"/>
      <c r="BD66" s="333"/>
      <c r="BE66" s="333"/>
      <c r="BF66" s="333"/>
      <c r="BG66" s="333"/>
      <c r="BH66" s="333"/>
      <c r="BI66" s="333"/>
    </row>
    <row r="67" spans="1:61" ht="15" customHeight="1" x14ac:dyDescent="0.2">
      <c r="A67" s="2342"/>
      <c r="B67" s="2338"/>
      <c r="C67" s="1117" t="str">
        <f>F!C73</f>
        <v>1-5% of the ponded water.  Enter "1" and SKIP to F20.</v>
      </c>
      <c r="D67" s="140">
        <f>F!D73</f>
        <v>0</v>
      </c>
      <c r="E67" s="450">
        <v>2</v>
      </c>
      <c r="F67" s="351">
        <f t="shared" si="2"/>
        <v>0</v>
      </c>
      <c r="G67" s="546"/>
      <c r="H67" s="2275"/>
      <c r="I67" s="2136"/>
      <c r="J67" s="273"/>
      <c r="K67" s="333"/>
      <c r="L67" s="333"/>
      <c r="M67" s="333"/>
      <c r="N67" s="333"/>
      <c r="O67" s="333"/>
      <c r="P67" s="333"/>
      <c r="Q67" s="333"/>
      <c r="R67" s="333"/>
      <c r="S67" s="333"/>
      <c r="T67" s="333"/>
      <c r="U67" s="333"/>
      <c r="V67" s="333"/>
      <c r="W67" s="333"/>
      <c r="X67" s="333"/>
      <c r="Y67" s="333"/>
      <c r="Z67" s="333"/>
      <c r="AA67" s="333"/>
      <c r="AB67" s="333"/>
      <c r="AC67" s="333"/>
      <c r="AD67" s="333"/>
      <c r="AE67" s="333"/>
      <c r="AF67" s="333"/>
      <c r="AG67" s="333"/>
      <c r="AH67" s="333"/>
      <c r="AI67" s="333"/>
      <c r="AJ67" s="333"/>
      <c r="AK67" s="333"/>
      <c r="AL67" s="333"/>
      <c r="AM67" s="333"/>
      <c r="AN67" s="333"/>
      <c r="AO67" s="333"/>
      <c r="AP67" s="333"/>
      <c r="AQ67" s="333"/>
      <c r="AR67" s="333"/>
      <c r="AS67" s="333"/>
      <c r="AT67" s="333"/>
      <c r="AU67" s="333"/>
      <c r="AV67" s="333"/>
      <c r="AW67" s="333"/>
      <c r="AX67" s="333"/>
      <c r="AY67" s="333"/>
      <c r="AZ67" s="333"/>
      <c r="BA67" s="333"/>
      <c r="BB67" s="333"/>
      <c r="BC67" s="333"/>
      <c r="BD67" s="333"/>
      <c r="BE67" s="333"/>
      <c r="BF67" s="333"/>
      <c r="BG67" s="333"/>
      <c r="BH67" s="333"/>
      <c r="BI67" s="333"/>
    </row>
    <row r="68" spans="1:61" ht="15" customHeight="1" x14ac:dyDescent="0.2">
      <c r="A68" s="2342"/>
      <c r="B68" s="2338"/>
      <c r="C68" s="1117" t="str">
        <f>F!C74</f>
        <v>5-30% of the ponded water.</v>
      </c>
      <c r="D68" s="140">
        <f>F!D74</f>
        <v>0</v>
      </c>
      <c r="E68" s="450">
        <v>4</v>
      </c>
      <c r="F68" s="351">
        <f t="shared" si="2"/>
        <v>0</v>
      </c>
      <c r="G68" s="546"/>
      <c r="H68" s="2275"/>
      <c r="I68" s="2136"/>
      <c r="J68" s="273"/>
      <c r="K68" s="333"/>
      <c r="L68" s="333"/>
      <c r="M68" s="333"/>
      <c r="N68" s="333"/>
      <c r="O68" s="333"/>
      <c r="P68" s="333"/>
      <c r="Q68" s="333"/>
      <c r="R68" s="333"/>
      <c r="S68" s="333"/>
      <c r="T68" s="333"/>
      <c r="U68" s="333"/>
      <c r="V68" s="333"/>
      <c r="W68" s="333"/>
      <c r="X68" s="333"/>
      <c r="Y68" s="333"/>
      <c r="Z68" s="333"/>
      <c r="AA68" s="333"/>
      <c r="AB68" s="333"/>
      <c r="AC68" s="333"/>
      <c r="AD68" s="333"/>
      <c r="AE68" s="333"/>
      <c r="AF68" s="333"/>
      <c r="AG68" s="333"/>
      <c r="AH68" s="333"/>
      <c r="AI68" s="333"/>
      <c r="AJ68" s="333"/>
      <c r="AK68" s="333"/>
      <c r="AL68" s="333"/>
      <c r="AM68" s="333"/>
      <c r="AN68" s="333"/>
      <c r="AO68" s="333"/>
      <c r="AP68" s="333"/>
      <c r="AQ68" s="333"/>
      <c r="AR68" s="333"/>
      <c r="AS68" s="333"/>
      <c r="AT68" s="333"/>
      <c r="AU68" s="333"/>
      <c r="AV68" s="333"/>
      <c r="AW68" s="333"/>
      <c r="AX68" s="333"/>
      <c r="AY68" s="333"/>
      <c r="AZ68" s="333"/>
      <c r="BA68" s="333"/>
      <c r="BB68" s="333"/>
      <c r="BC68" s="333"/>
      <c r="BD68" s="333"/>
      <c r="BE68" s="333"/>
      <c r="BF68" s="333"/>
      <c r="BG68" s="333"/>
      <c r="BH68" s="333"/>
      <c r="BI68" s="333"/>
    </row>
    <row r="69" spans="1:61" ht="15" customHeight="1" x14ac:dyDescent="0.2">
      <c r="A69" s="2342"/>
      <c r="B69" s="2338"/>
      <c r="C69" s="1117" t="str">
        <f>F!C75</f>
        <v>30-70% of the ponded water.</v>
      </c>
      <c r="D69" s="306">
        <f>F!D75</f>
        <v>0</v>
      </c>
      <c r="E69" s="450">
        <v>6</v>
      </c>
      <c r="F69" s="351">
        <f t="shared" si="2"/>
        <v>0</v>
      </c>
      <c r="G69" s="546"/>
      <c r="H69" s="2275"/>
      <c r="I69" s="2136"/>
      <c r="J69" s="273"/>
      <c r="K69" s="333"/>
      <c r="L69" s="333"/>
      <c r="M69" s="333"/>
      <c r="N69" s="333"/>
      <c r="O69" s="333"/>
      <c r="P69" s="333"/>
      <c r="Q69" s="333"/>
      <c r="R69" s="333"/>
      <c r="S69" s="333"/>
      <c r="T69" s="333"/>
      <c r="U69" s="333"/>
      <c r="V69" s="333"/>
      <c r="W69" s="333"/>
      <c r="X69" s="333"/>
      <c r="Y69" s="333"/>
      <c r="Z69" s="333"/>
      <c r="AA69" s="333"/>
      <c r="AB69" s="333"/>
      <c r="AC69" s="333"/>
      <c r="AD69" s="333"/>
      <c r="AE69" s="333"/>
      <c r="AF69" s="333"/>
      <c r="AG69" s="333"/>
      <c r="AH69" s="333"/>
      <c r="AI69" s="333"/>
      <c r="AJ69" s="333"/>
      <c r="AK69" s="333"/>
      <c r="AL69" s="333"/>
      <c r="AM69" s="333"/>
      <c r="AN69" s="333"/>
      <c r="AO69" s="333"/>
      <c r="AP69" s="333"/>
      <c r="AQ69" s="333"/>
      <c r="AR69" s="333"/>
      <c r="AS69" s="333"/>
      <c r="AT69" s="333"/>
      <c r="AU69" s="333"/>
      <c r="AV69" s="333"/>
      <c r="AW69" s="333"/>
      <c r="AX69" s="333"/>
      <c r="AY69" s="333"/>
      <c r="AZ69" s="333"/>
      <c r="BA69" s="333"/>
      <c r="BB69" s="333"/>
      <c r="BC69" s="333"/>
      <c r="BD69" s="333"/>
      <c r="BE69" s="333"/>
      <c r="BF69" s="333"/>
      <c r="BG69" s="333"/>
      <c r="BH69" s="333"/>
      <c r="BI69" s="333"/>
    </row>
    <row r="70" spans="1:61" ht="15" customHeight="1" x14ac:dyDescent="0.2">
      <c r="A70" s="2342"/>
      <c r="B70" s="2338"/>
      <c r="C70" s="1117" t="str">
        <f>F!C76</f>
        <v>70-99% of the ponded water.</v>
      </c>
      <c r="D70" s="140">
        <f>F!D76</f>
        <v>0</v>
      </c>
      <c r="E70" s="450">
        <v>4</v>
      </c>
      <c r="F70" s="351">
        <f t="shared" si="2"/>
        <v>0</v>
      </c>
      <c r="G70" s="546"/>
      <c r="H70" s="2275"/>
      <c r="I70" s="2136"/>
      <c r="J70" s="273"/>
      <c r="K70" s="333"/>
      <c r="L70" s="333"/>
      <c r="M70" s="333"/>
      <c r="N70" s="333"/>
      <c r="O70" s="333"/>
      <c r="P70" s="333"/>
      <c r="Q70" s="333"/>
      <c r="R70" s="333"/>
      <c r="S70" s="333"/>
      <c r="T70" s="333"/>
      <c r="U70" s="333"/>
      <c r="V70" s="333"/>
      <c r="W70" s="333"/>
      <c r="X70" s="333"/>
      <c r="Y70" s="333"/>
      <c r="Z70" s="333"/>
      <c r="AA70" s="333"/>
      <c r="AB70" s="333"/>
      <c r="AC70" s="333"/>
      <c r="AD70" s="333"/>
      <c r="AE70" s="333"/>
      <c r="AF70" s="333"/>
      <c r="AG70" s="333"/>
      <c r="AH70" s="333"/>
      <c r="AI70" s="333"/>
      <c r="AJ70" s="333"/>
      <c r="AK70" s="333"/>
      <c r="AL70" s="333"/>
      <c r="AM70" s="333"/>
      <c r="AN70" s="333"/>
      <c r="AO70" s="333"/>
      <c r="AP70" s="333"/>
      <c r="AQ70" s="333"/>
      <c r="AR70" s="333"/>
      <c r="AS70" s="333"/>
      <c r="AT70" s="333"/>
      <c r="AU70" s="333"/>
      <c r="AV70" s="333"/>
      <c r="AW70" s="333"/>
      <c r="AX70" s="333"/>
      <c r="AY70" s="333"/>
      <c r="AZ70" s="333"/>
      <c r="BA70" s="333"/>
      <c r="BB70" s="333"/>
      <c r="BC70" s="333"/>
      <c r="BD70" s="333"/>
      <c r="BE70" s="333"/>
      <c r="BF70" s="333"/>
      <c r="BG70" s="333"/>
      <c r="BH70" s="333"/>
      <c r="BI70" s="333"/>
    </row>
    <row r="71" spans="1:61" ht="15" customHeight="1" thickBot="1" x14ac:dyDescent="0.25">
      <c r="A71" s="2342"/>
      <c r="B71" s="2338"/>
      <c r="C71" s="1132" t="str">
        <f>F!C77</f>
        <v xml:space="preserve">100% of the ponded water. </v>
      </c>
      <c r="D71" s="544">
        <f>F!D77</f>
        <v>0</v>
      </c>
      <c r="E71" s="355">
        <v>3</v>
      </c>
      <c r="F71" s="360">
        <f t="shared" si="2"/>
        <v>0</v>
      </c>
      <c r="G71" s="1142"/>
      <c r="H71" s="2276"/>
      <c r="I71" s="2136"/>
      <c r="J71" s="273"/>
      <c r="K71" s="333"/>
      <c r="L71" s="333"/>
      <c r="M71" s="333"/>
      <c r="N71" s="333"/>
      <c r="O71" s="333"/>
      <c r="P71" s="333"/>
      <c r="Q71" s="333"/>
      <c r="R71" s="333"/>
      <c r="S71" s="333"/>
      <c r="T71" s="333"/>
      <c r="U71" s="333"/>
      <c r="V71" s="333"/>
      <c r="W71" s="333"/>
      <c r="X71" s="333"/>
      <c r="Y71" s="333"/>
      <c r="Z71" s="333"/>
      <c r="AA71" s="333"/>
      <c r="AB71" s="333"/>
      <c r="AC71" s="333"/>
      <c r="AD71" s="333"/>
      <c r="AE71" s="333"/>
      <c r="AF71" s="333"/>
      <c r="AG71" s="333"/>
      <c r="AH71" s="333"/>
      <c r="AI71" s="333"/>
      <c r="AJ71" s="333"/>
      <c r="AK71" s="333"/>
      <c r="AL71" s="333"/>
      <c r="AM71" s="333"/>
      <c r="AN71" s="333"/>
      <c r="AO71" s="333"/>
      <c r="AP71" s="333"/>
      <c r="AQ71" s="333"/>
      <c r="AR71" s="333"/>
      <c r="AS71" s="333"/>
      <c r="AT71" s="333"/>
      <c r="AU71" s="333"/>
      <c r="AV71" s="333"/>
      <c r="AW71" s="333"/>
      <c r="AX71" s="333"/>
      <c r="AY71" s="333"/>
      <c r="AZ71" s="333"/>
      <c r="BA71" s="333"/>
      <c r="BB71" s="333"/>
      <c r="BC71" s="333"/>
      <c r="BD71" s="333"/>
      <c r="BE71" s="333"/>
      <c r="BF71" s="333"/>
      <c r="BG71" s="333"/>
      <c r="BH71" s="333"/>
      <c r="BI71" s="333"/>
    </row>
    <row r="72" spans="1:61" ht="30" customHeight="1" thickBot="1" x14ac:dyDescent="0.25">
      <c r="A72" s="2347" t="str">
        <f>F!A78</f>
        <v>F15</v>
      </c>
      <c r="B72" s="2349" t="str">
        <f>F!B78</f>
        <v>Flat Shoreline Extent</v>
      </c>
      <c r="C72" s="1115" t="str">
        <f>F!C78</f>
        <v>The length of the AA's shoreline (along its ponded open water) that is bordered by areas that are nearly flat (a slope less than about 5%) is:</v>
      </c>
      <c r="D72" s="1147"/>
      <c r="E72" s="1148"/>
      <c r="F72" s="350"/>
      <c r="G72" s="340" t="str">
        <f>IF((AllSat+AllSat&gt;0),"",IF((OpenW=0),"", IF((SmallAA=1),"", MAX(F73:F77)/MAX(E73:E77))))</f>
        <v/>
      </c>
      <c r="H72" s="2274" t="s">
        <v>176</v>
      </c>
      <c r="I72" s="2135" t="s">
        <v>1486</v>
      </c>
      <c r="J72" s="273"/>
      <c r="K72" s="333"/>
      <c r="L72" s="333"/>
      <c r="M72" s="333"/>
      <c r="N72" s="333"/>
      <c r="O72" s="333"/>
      <c r="P72" s="333"/>
      <c r="Q72" s="333"/>
      <c r="R72" s="333"/>
      <c r="S72" s="333"/>
      <c r="T72" s="333"/>
      <c r="U72" s="333"/>
      <c r="V72" s="333"/>
      <c r="W72" s="333"/>
      <c r="X72" s="333"/>
      <c r="Y72" s="333"/>
      <c r="Z72" s="333"/>
      <c r="AA72" s="333"/>
      <c r="AB72" s="333"/>
      <c r="AC72" s="333"/>
      <c r="AD72" s="333"/>
      <c r="AE72" s="333"/>
      <c r="AF72" s="333"/>
      <c r="AG72" s="333"/>
      <c r="AH72" s="333"/>
      <c r="AI72" s="333"/>
      <c r="AJ72" s="333"/>
      <c r="AK72" s="333"/>
      <c r="AL72" s="333"/>
      <c r="AM72" s="333"/>
      <c r="AN72" s="333"/>
      <c r="AO72" s="333"/>
      <c r="AP72" s="333"/>
      <c r="AQ72" s="333"/>
      <c r="AR72" s="333"/>
      <c r="AS72" s="333"/>
      <c r="AT72" s="333"/>
      <c r="AU72" s="333"/>
      <c r="AV72" s="333"/>
      <c r="AW72" s="333"/>
      <c r="AX72" s="333"/>
      <c r="AY72" s="333"/>
      <c r="AZ72" s="333"/>
      <c r="BA72" s="333"/>
      <c r="BB72" s="333"/>
      <c r="BC72" s="333"/>
      <c r="BD72" s="333"/>
      <c r="BE72" s="333"/>
      <c r="BF72" s="333"/>
      <c r="BG72" s="333"/>
      <c r="BH72" s="333"/>
      <c r="BI72" s="333"/>
    </row>
    <row r="73" spans="1:61" ht="15" customHeight="1" x14ac:dyDescent="0.2">
      <c r="A73" s="2341"/>
      <c r="B73" s="2338"/>
      <c r="C73" s="1131" t="str">
        <f>F!C79</f>
        <v>&lt;1%</v>
      </c>
      <c r="D73" s="1153">
        <f>F!D79</f>
        <v>0</v>
      </c>
      <c r="E73" s="1151">
        <v>0</v>
      </c>
      <c r="F73" s="1151">
        <f>D73*E73</f>
        <v>0</v>
      </c>
      <c r="G73" s="545"/>
      <c r="H73" s="2275"/>
      <c r="I73" s="2136"/>
      <c r="J73" s="273"/>
      <c r="K73" s="333"/>
      <c r="L73" s="333"/>
      <c r="M73" s="333"/>
      <c r="N73" s="333"/>
      <c r="O73" s="333"/>
      <c r="P73" s="333"/>
      <c r="Q73" s="333"/>
      <c r="R73" s="333"/>
      <c r="S73" s="333"/>
      <c r="T73" s="333"/>
      <c r="U73" s="333"/>
      <c r="V73" s="333"/>
      <c r="W73" s="333"/>
      <c r="X73" s="333"/>
      <c r="Y73" s="333"/>
      <c r="Z73" s="333"/>
      <c r="AA73" s="333"/>
      <c r="AB73" s="333"/>
      <c r="AC73" s="333"/>
      <c r="AD73" s="333"/>
      <c r="AE73" s="333"/>
      <c r="AF73" s="333"/>
      <c r="AG73" s="333"/>
      <c r="AH73" s="333"/>
      <c r="AI73" s="333"/>
      <c r="AJ73" s="333"/>
      <c r="AK73" s="333"/>
      <c r="AL73" s="333"/>
      <c r="AM73" s="333"/>
      <c r="AN73" s="333"/>
      <c r="AO73" s="333"/>
      <c r="AP73" s="333"/>
      <c r="AQ73" s="333"/>
      <c r="AR73" s="333"/>
      <c r="AS73" s="333"/>
      <c r="AT73" s="333"/>
      <c r="AU73" s="333"/>
      <c r="AV73" s="333"/>
      <c r="AW73" s="333"/>
      <c r="AX73" s="333"/>
      <c r="AY73" s="333"/>
      <c r="AZ73" s="333"/>
      <c r="BA73" s="333"/>
      <c r="BB73" s="333"/>
      <c r="BC73" s="333"/>
      <c r="BD73" s="333"/>
      <c r="BE73" s="333"/>
      <c r="BF73" s="333"/>
      <c r="BG73" s="333"/>
      <c r="BH73" s="333"/>
      <c r="BI73" s="333"/>
    </row>
    <row r="74" spans="1:61" ht="15" customHeight="1" x14ac:dyDescent="0.2">
      <c r="A74" s="2341"/>
      <c r="B74" s="2338"/>
      <c r="C74" s="1132" t="str">
        <f>F!C80</f>
        <v>1-25%</v>
      </c>
      <c r="D74" s="1153">
        <f>F!D80</f>
        <v>0</v>
      </c>
      <c r="E74" s="1151">
        <v>1</v>
      </c>
      <c r="F74" s="1151">
        <f>D74*E74</f>
        <v>0</v>
      </c>
      <c r="G74" s="546"/>
      <c r="H74" s="2275"/>
      <c r="I74" s="2136"/>
      <c r="J74" s="273"/>
      <c r="K74" s="333"/>
      <c r="L74" s="333"/>
      <c r="M74" s="333"/>
      <c r="N74" s="333"/>
      <c r="O74" s="333"/>
      <c r="P74" s="333"/>
      <c r="Q74" s="333"/>
      <c r="R74" s="333"/>
      <c r="S74" s="333"/>
      <c r="T74" s="333"/>
      <c r="U74" s="333"/>
      <c r="V74" s="333"/>
      <c r="W74" s="333"/>
      <c r="X74" s="333"/>
      <c r="Y74" s="333"/>
      <c r="Z74" s="333"/>
      <c r="AA74" s="333"/>
      <c r="AB74" s="333"/>
      <c r="AC74" s="333"/>
      <c r="AD74" s="333"/>
      <c r="AE74" s="333"/>
      <c r="AF74" s="333"/>
      <c r="AG74" s="333"/>
      <c r="AH74" s="333"/>
      <c r="AI74" s="333"/>
      <c r="AJ74" s="333"/>
      <c r="AK74" s="333"/>
      <c r="AL74" s="333"/>
      <c r="AM74" s="333"/>
      <c r="AN74" s="333"/>
      <c r="AO74" s="333"/>
      <c r="AP74" s="333"/>
      <c r="AQ74" s="333"/>
      <c r="AR74" s="333"/>
      <c r="AS74" s="333"/>
      <c r="AT74" s="333"/>
      <c r="AU74" s="333"/>
      <c r="AV74" s="333"/>
      <c r="AW74" s="333"/>
      <c r="AX74" s="333"/>
      <c r="AY74" s="333"/>
      <c r="AZ74" s="333"/>
      <c r="BA74" s="333"/>
      <c r="BB74" s="333"/>
      <c r="BC74" s="333"/>
      <c r="BD74" s="333"/>
      <c r="BE74" s="333"/>
      <c r="BF74" s="333"/>
      <c r="BG74" s="333"/>
      <c r="BH74" s="333"/>
      <c r="BI74" s="333"/>
    </row>
    <row r="75" spans="1:61" ht="15" customHeight="1" x14ac:dyDescent="0.2">
      <c r="A75" s="2341"/>
      <c r="B75" s="2338"/>
      <c r="C75" s="1132" t="str">
        <f>F!C81</f>
        <v>25-50%</v>
      </c>
      <c r="D75" s="1153">
        <f>F!D81</f>
        <v>0</v>
      </c>
      <c r="E75" s="1151">
        <v>2</v>
      </c>
      <c r="F75" s="1151">
        <f>D75*E75</f>
        <v>0</v>
      </c>
      <c r="G75" s="546"/>
      <c r="H75" s="2275"/>
      <c r="I75" s="2136"/>
      <c r="J75" s="273"/>
      <c r="K75" s="333"/>
      <c r="L75" s="333"/>
      <c r="M75" s="333"/>
      <c r="N75" s="333"/>
      <c r="O75" s="333"/>
      <c r="P75" s="333"/>
      <c r="Q75" s="333"/>
      <c r="R75" s="333"/>
      <c r="S75" s="333"/>
      <c r="T75" s="333"/>
      <c r="U75" s="333"/>
      <c r="V75" s="333"/>
      <c r="W75" s="333"/>
      <c r="X75" s="333"/>
      <c r="Y75" s="333"/>
      <c r="Z75" s="333"/>
      <c r="AA75" s="333"/>
      <c r="AB75" s="333"/>
      <c r="AC75" s="333"/>
      <c r="AD75" s="333"/>
      <c r="AE75" s="333"/>
      <c r="AF75" s="333"/>
      <c r="AG75" s="333"/>
      <c r="AH75" s="333"/>
      <c r="AI75" s="333"/>
      <c r="AJ75" s="333"/>
      <c r="AK75" s="333"/>
      <c r="AL75" s="333"/>
      <c r="AM75" s="333"/>
      <c r="AN75" s="333"/>
      <c r="AO75" s="333"/>
      <c r="AP75" s="333"/>
      <c r="AQ75" s="333"/>
      <c r="AR75" s="333"/>
      <c r="AS75" s="333"/>
      <c r="AT75" s="333"/>
      <c r="AU75" s="333"/>
      <c r="AV75" s="333"/>
      <c r="AW75" s="333"/>
      <c r="AX75" s="333"/>
      <c r="AY75" s="333"/>
      <c r="AZ75" s="333"/>
      <c r="BA75" s="333"/>
      <c r="BB75" s="333"/>
      <c r="BC75" s="333"/>
      <c r="BD75" s="333"/>
      <c r="BE75" s="333"/>
      <c r="BF75" s="333"/>
      <c r="BG75" s="333"/>
      <c r="BH75" s="333"/>
      <c r="BI75" s="333"/>
    </row>
    <row r="76" spans="1:61" ht="15" customHeight="1" x14ac:dyDescent="0.2">
      <c r="A76" s="2341"/>
      <c r="B76" s="2338"/>
      <c r="C76" s="1132" t="str">
        <f>F!C82</f>
        <v>50-75%</v>
      </c>
      <c r="D76" s="1153">
        <f>F!D82</f>
        <v>0</v>
      </c>
      <c r="E76" s="1151">
        <v>3</v>
      </c>
      <c r="F76" s="1151">
        <f>D76*E76</f>
        <v>0</v>
      </c>
      <c r="G76" s="546"/>
      <c r="H76" s="2275"/>
      <c r="I76" s="2136"/>
      <c r="J76" s="273"/>
      <c r="K76" s="333"/>
      <c r="L76" s="333"/>
      <c r="M76" s="333"/>
      <c r="N76" s="333"/>
      <c r="O76" s="333"/>
      <c r="P76" s="333"/>
      <c r="Q76" s="333"/>
      <c r="R76" s="333"/>
      <c r="S76" s="333"/>
      <c r="T76" s="333"/>
      <c r="U76" s="333"/>
      <c r="V76" s="333"/>
      <c r="W76" s="333"/>
      <c r="X76" s="333"/>
      <c r="Y76" s="333"/>
      <c r="Z76" s="333"/>
      <c r="AA76" s="333"/>
      <c r="AB76" s="333"/>
      <c r="AC76" s="333"/>
      <c r="AD76" s="333"/>
      <c r="AE76" s="333"/>
      <c r="AF76" s="333"/>
      <c r="AG76" s="333"/>
      <c r="AH76" s="333"/>
      <c r="AI76" s="333"/>
      <c r="AJ76" s="333"/>
      <c r="AK76" s="333"/>
      <c r="AL76" s="333"/>
      <c r="AM76" s="333"/>
      <c r="AN76" s="333"/>
      <c r="AO76" s="333"/>
      <c r="AP76" s="333"/>
      <c r="AQ76" s="333"/>
      <c r="AR76" s="333"/>
      <c r="AS76" s="333"/>
      <c r="AT76" s="333"/>
      <c r="AU76" s="333"/>
      <c r="AV76" s="333"/>
      <c r="AW76" s="333"/>
      <c r="AX76" s="333"/>
      <c r="AY76" s="333"/>
      <c r="AZ76" s="333"/>
      <c r="BA76" s="333"/>
      <c r="BB76" s="333"/>
      <c r="BC76" s="333"/>
      <c r="BD76" s="333"/>
      <c r="BE76" s="333"/>
      <c r="BF76" s="333"/>
      <c r="BG76" s="333"/>
      <c r="BH76" s="333"/>
      <c r="BI76" s="333"/>
    </row>
    <row r="77" spans="1:61" ht="15" customHeight="1" thickBot="1" x14ac:dyDescent="0.25">
      <c r="A77" s="2348"/>
      <c r="B77" s="2350"/>
      <c r="C77" s="1118" t="str">
        <f>F!C83</f>
        <v>&gt;75%</v>
      </c>
      <c r="D77" s="301">
        <f>F!D83</f>
        <v>0</v>
      </c>
      <c r="E77" s="353">
        <v>4</v>
      </c>
      <c r="F77" s="353">
        <f>D77*E77</f>
        <v>0</v>
      </c>
      <c r="G77" s="547"/>
      <c r="H77" s="2276"/>
      <c r="I77" s="2137"/>
      <c r="J77" s="273"/>
      <c r="K77" s="333"/>
      <c r="L77" s="333"/>
      <c r="M77" s="333"/>
      <c r="N77" s="333"/>
      <c r="O77" s="333"/>
      <c r="P77" s="333"/>
      <c r="Q77" s="333"/>
      <c r="R77" s="333"/>
      <c r="S77" s="333"/>
      <c r="T77" s="333"/>
      <c r="U77" s="333"/>
      <c r="V77" s="333"/>
      <c r="W77" s="333"/>
      <c r="X77" s="333"/>
      <c r="Y77" s="333"/>
      <c r="Z77" s="333"/>
      <c r="AA77" s="333"/>
      <c r="AB77" s="333"/>
      <c r="AC77" s="333"/>
      <c r="AD77" s="333"/>
      <c r="AE77" s="333"/>
      <c r="AF77" s="333"/>
      <c r="AG77" s="333"/>
      <c r="AH77" s="333"/>
      <c r="AI77" s="333"/>
      <c r="AJ77" s="333"/>
      <c r="AK77" s="333"/>
      <c r="AL77" s="333"/>
      <c r="AM77" s="333"/>
      <c r="AN77" s="333"/>
      <c r="AO77" s="333"/>
      <c r="AP77" s="333"/>
      <c r="AQ77" s="333"/>
      <c r="AR77" s="333"/>
      <c r="AS77" s="333"/>
      <c r="AT77" s="333"/>
      <c r="AU77" s="333"/>
      <c r="AV77" s="333"/>
      <c r="AW77" s="333"/>
      <c r="AX77" s="333"/>
      <c r="AY77" s="333"/>
      <c r="AZ77" s="333"/>
      <c r="BA77" s="333"/>
      <c r="BB77" s="333"/>
      <c r="BC77" s="333"/>
      <c r="BD77" s="333"/>
      <c r="BE77" s="333"/>
      <c r="BF77" s="333"/>
      <c r="BG77" s="333"/>
      <c r="BH77" s="333"/>
      <c r="BI77" s="333"/>
    </row>
    <row r="78" spans="1:61" ht="30" customHeight="1" thickBot="1" x14ac:dyDescent="0.25">
      <c r="A78" s="2347" t="str">
        <f>F!A84</f>
        <v>F16</v>
      </c>
      <c r="B78" s="2349" t="str">
        <f>F!B84</f>
        <v>Predominant Width of Vegetated Zone within Wetland</v>
      </c>
      <c r="C78" s="1115" t="str">
        <f>F!C84</f>
        <v>At the driest time of year (or lowest water level), the average width of vegetated area in the AA that separates adjoining uplands from open water within the AA is:</v>
      </c>
      <c r="D78" s="1147"/>
      <c r="E78" s="1148"/>
      <c r="F78" s="553"/>
      <c r="G78" s="340" t="str">
        <f>IF((AllSat+AllSat&gt;0),"",IF((OpenW=0),"", IF((SmallAA=1),"", MAX(F79:F83)/MAX(E79:E83))))</f>
        <v/>
      </c>
      <c r="H78" s="2274" t="s">
        <v>168</v>
      </c>
      <c r="I78" s="2135" t="s">
        <v>2105</v>
      </c>
      <c r="J78" s="273"/>
      <c r="K78" s="333"/>
      <c r="L78" s="333"/>
      <c r="M78" s="333"/>
      <c r="N78" s="333"/>
      <c r="O78" s="333"/>
      <c r="P78" s="333"/>
      <c r="Q78" s="333"/>
      <c r="R78" s="333"/>
      <c r="S78" s="333"/>
      <c r="T78" s="333"/>
      <c r="U78" s="333"/>
      <c r="V78" s="333"/>
      <c r="W78" s="333"/>
      <c r="X78" s="333"/>
      <c r="Y78" s="333"/>
      <c r="Z78" s="333"/>
      <c r="AA78" s="333"/>
      <c r="AB78" s="333"/>
      <c r="AC78" s="333"/>
      <c r="AD78" s="333"/>
      <c r="AE78" s="333"/>
      <c r="AF78" s="333"/>
      <c r="AG78" s="333"/>
      <c r="AH78" s="333"/>
      <c r="AI78" s="333"/>
      <c r="AJ78" s="333"/>
      <c r="AK78" s="333"/>
      <c r="AL78" s="333"/>
      <c r="AM78" s="333"/>
      <c r="AN78" s="333"/>
      <c r="AO78" s="333"/>
      <c r="AP78" s="333"/>
      <c r="AQ78" s="333"/>
      <c r="AR78" s="333"/>
      <c r="AS78" s="333"/>
      <c r="AT78" s="333"/>
      <c r="AU78" s="333"/>
      <c r="AV78" s="333"/>
      <c r="AW78" s="333"/>
      <c r="AX78" s="333"/>
      <c r="AY78" s="333"/>
      <c r="AZ78" s="333"/>
      <c r="BA78" s="333"/>
      <c r="BB78" s="333"/>
      <c r="BC78" s="333"/>
      <c r="BD78" s="333"/>
      <c r="BE78" s="333"/>
      <c r="BF78" s="333"/>
      <c r="BG78" s="333"/>
      <c r="BH78" s="333"/>
      <c r="BI78" s="333"/>
    </row>
    <row r="79" spans="1:61" ht="15" customHeight="1" x14ac:dyDescent="0.2">
      <c r="A79" s="2341"/>
      <c r="B79" s="2338"/>
      <c r="C79" s="1131" t="str">
        <f>F!C85</f>
        <v>&lt;1 m</v>
      </c>
      <c r="D79" s="1153">
        <f>F!D85</f>
        <v>0</v>
      </c>
      <c r="E79" s="1151">
        <v>0</v>
      </c>
      <c r="F79" s="1151">
        <f>D79*E79</f>
        <v>0</v>
      </c>
      <c r="G79" s="545"/>
      <c r="H79" s="2275"/>
      <c r="I79" s="2136"/>
      <c r="J79" s="273"/>
      <c r="K79" s="333"/>
      <c r="L79" s="333"/>
      <c r="M79" s="333"/>
      <c r="N79" s="333"/>
      <c r="O79" s="333"/>
      <c r="P79" s="333"/>
      <c r="Q79" s="333"/>
      <c r="R79" s="333"/>
      <c r="S79" s="333"/>
      <c r="T79" s="333"/>
      <c r="U79" s="333"/>
      <c r="V79" s="333"/>
      <c r="W79" s="333"/>
      <c r="X79" s="333"/>
      <c r="Y79" s="333"/>
      <c r="Z79" s="333"/>
      <c r="AA79" s="333"/>
      <c r="AB79" s="333"/>
      <c r="AC79" s="333"/>
      <c r="AD79" s="333"/>
      <c r="AE79" s="333"/>
      <c r="AF79" s="333"/>
      <c r="AG79" s="333"/>
      <c r="AH79" s="333"/>
      <c r="AI79" s="333"/>
      <c r="AJ79" s="333"/>
      <c r="AK79" s="333"/>
      <c r="AL79" s="333"/>
      <c r="AM79" s="333"/>
      <c r="AN79" s="333"/>
      <c r="AO79" s="333"/>
      <c r="AP79" s="333"/>
      <c r="AQ79" s="333"/>
      <c r="AR79" s="333"/>
      <c r="AS79" s="333"/>
      <c r="AT79" s="333"/>
      <c r="AU79" s="333"/>
      <c r="AV79" s="333"/>
      <c r="AW79" s="333"/>
      <c r="AX79" s="333"/>
      <c r="AY79" s="333"/>
      <c r="AZ79" s="333"/>
      <c r="BA79" s="333"/>
      <c r="BB79" s="333"/>
      <c r="BC79" s="333"/>
      <c r="BD79" s="333"/>
      <c r="BE79" s="333"/>
      <c r="BF79" s="333"/>
      <c r="BG79" s="333"/>
      <c r="BH79" s="333"/>
      <c r="BI79" s="333"/>
    </row>
    <row r="80" spans="1:61" ht="15" customHeight="1" x14ac:dyDescent="0.2">
      <c r="A80" s="2341"/>
      <c r="B80" s="2338"/>
      <c r="C80" s="1132" t="str">
        <f>F!C86</f>
        <v>1 - 9 m</v>
      </c>
      <c r="D80" s="1153">
        <f>F!D86</f>
        <v>0</v>
      </c>
      <c r="E80" s="1151">
        <v>1</v>
      </c>
      <c r="F80" s="1151">
        <f>D80*E80</f>
        <v>0</v>
      </c>
      <c r="G80" s="546"/>
      <c r="H80" s="2275"/>
      <c r="I80" s="2136"/>
      <c r="J80" s="273"/>
      <c r="K80" s="333"/>
      <c r="L80" s="333"/>
      <c r="M80" s="333"/>
      <c r="N80" s="333"/>
      <c r="O80" s="333"/>
      <c r="P80" s="333"/>
      <c r="Q80" s="333"/>
      <c r="R80" s="333"/>
      <c r="S80" s="333"/>
      <c r="T80" s="333"/>
      <c r="U80" s="333"/>
      <c r="V80" s="333"/>
      <c r="W80" s="333"/>
      <c r="X80" s="333"/>
      <c r="Y80" s="333"/>
      <c r="Z80" s="333"/>
      <c r="AA80" s="333"/>
      <c r="AB80" s="333"/>
      <c r="AC80" s="333"/>
      <c r="AD80" s="333"/>
      <c r="AE80" s="333"/>
      <c r="AF80" s="333"/>
      <c r="AG80" s="333"/>
      <c r="AH80" s="333"/>
      <c r="AI80" s="333"/>
      <c r="AJ80" s="333"/>
      <c r="AK80" s="333"/>
      <c r="AL80" s="333"/>
      <c r="AM80" s="333"/>
      <c r="AN80" s="333"/>
      <c r="AO80" s="333"/>
      <c r="AP80" s="333"/>
      <c r="AQ80" s="333"/>
      <c r="AR80" s="333"/>
      <c r="AS80" s="333"/>
      <c r="AT80" s="333"/>
      <c r="AU80" s="333"/>
      <c r="AV80" s="333"/>
      <c r="AW80" s="333"/>
      <c r="AX80" s="333"/>
      <c r="AY80" s="333"/>
      <c r="AZ80" s="333"/>
      <c r="BA80" s="333"/>
      <c r="BB80" s="333"/>
      <c r="BC80" s="333"/>
      <c r="BD80" s="333"/>
      <c r="BE80" s="333"/>
      <c r="BF80" s="333"/>
      <c r="BG80" s="333"/>
      <c r="BH80" s="333"/>
      <c r="BI80" s="333"/>
    </row>
    <row r="81" spans="1:61" ht="15" customHeight="1" x14ac:dyDescent="0.2">
      <c r="A81" s="2341"/>
      <c r="B81" s="2338"/>
      <c r="C81" s="1132" t="str">
        <f>F!C87</f>
        <v>10 - 29 m</v>
      </c>
      <c r="D81" s="1153">
        <f>F!D87</f>
        <v>0</v>
      </c>
      <c r="E81" s="1151">
        <v>2</v>
      </c>
      <c r="F81" s="1151">
        <f>D81*E81</f>
        <v>0</v>
      </c>
      <c r="G81" s="546"/>
      <c r="H81" s="2275"/>
      <c r="I81" s="2136"/>
      <c r="J81" s="273"/>
      <c r="K81" s="333"/>
      <c r="L81" s="333"/>
      <c r="M81" s="333"/>
      <c r="N81" s="333"/>
      <c r="O81" s="333"/>
      <c r="P81" s="333"/>
      <c r="Q81" s="333"/>
      <c r="R81" s="333"/>
      <c r="S81" s="333"/>
      <c r="T81" s="333"/>
      <c r="U81" s="333"/>
      <c r="V81" s="333"/>
      <c r="W81" s="333"/>
      <c r="X81" s="333"/>
      <c r="Y81" s="333"/>
      <c r="Z81" s="333"/>
      <c r="AA81" s="333"/>
      <c r="AB81" s="333"/>
      <c r="AC81" s="333"/>
      <c r="AD81" s="333"/>
      <c r="AE81" s="333"/>
      <c r="AF81" s="333"/>
      <c r="AG81" s="333"/>
      <c r="AH81" s="333"/>
      <c r="AI81" s="333"/>
      <c r="AJ81" s="333"/>
      <c r="AK81" s="333"/>
      <c r="AL81" s="333"/>
      <c r="AM81" s="333"/>
      <c r="AN81" s="333"/>
      <c r="AO81" s="333"/>
      <c r="AP81" s="333"/>
      <c r="AQ81" s="333"/>
      <c r="AR81" s="333"/>
      <c r="AS81" s="333"/>
      <c r="AT81" s="333"/>
      <c r="AU81" s="333"/>
      <c r="AV81" s="333"/>
      <c r="AW81" s="333"/>
      <c r="AX81" s="333"/>
      <c r="AY81" s="333"/>
      <c r="AZ81" s="333"/>
      <c r="BA81" s="333"/>
      <c r="BB81" s="333"/>
      <c r="BC81" s="333"/>
      <c r="BD81" s="333"/>
      <c r="BE81" s="333"/>
      <c r="BF81" s="333"/>
      <c r="BG81" s="333"/>
      <c r="BH81" s="333"/>
      <c r="BI81" s="333"/>
    </row>
    <row r="82" spans="1:61" ht="15" customHeight="1" x14ac:dyDescent="0.2">
      <c r="A82" s="2341"/>
      <c r="B82" s="2338"/>
      <c r="C82" s="1132" t="str">
        <f>F!C88</f>
        <v>30 - 49 m</v>
      </c>
      <c r="D82" s="1153">
        <f>F!D88</f>
        <v>0</v>
      </c>
      <c r="E82" s="1151">
        <v>3</v>
      </c>
      <c r="F82" s="1151">
        <f>D82*E82</f>
        <v>0</v>
      </c>
      <c r="G82" s="546"/>
      <c r="H82" s="2275"/>
      <c r="I82" s="2136"/>
      <c r="J82" s="273"/>
      <c r="K82" s="333"/>
      <c r="L82" s="333"/>
      <c r="M82" s="333"/>
      <c r="N82" s="333"/>
      <c r="O82" s="333"/>
      <c r="P82" s="333"/>
      <c r="Q82" s="333"/>
      <c r="R82" s="333"/>
      <c r="S82" s="333"/>
      <c r="T82" s="333"/>
      <c r="U82" s="333"/>
      <c r="V82" s="333"/>
      <c r="W82" s="333"/>
      <c r="X82" s="333"/>
      <c r="Y82" s="333"/>
      <c r="Z82" s="333"/>
      <c r="AA82" s="333"/>
      <c r="AB82" s="333"/>
      <c r="AC82" s="333"/>
      <c r="AD82" s="333"/>
      <c r="AE82" s="333"/>
      <c r="AF82" s="333"/>
      <c r="AG82" s="333"/>
      <c r="AH82" s="333"/>
      <c r="AI82" s="333"/>
      <c r="AJ82" s="333"/>
      <c r="AK82" s="333"/>
      <c r="AL82" s="333"/>
      <c r="AM82" s="333"/>
      <c r="AN82" s="333"/>
      <c r="AO82" s="333"/>
      <c r="AP82" s="333"/>
      <c r="AQ82" s="333"/>
      <c r="AR82" s="333"/>
      <c r="AS82" s="333"/>
      <c r="AT82" s="333"/>
      <c r="AU82" s="333"/>
      <c r="AV82" s="333"/>
      <c r="AW82" s="333"/>
      <c r="AX82" s="333"/>
      <c r="AY82" s="333"/>
      <c r="AZ82" s="333"/>
      <c r="BA82" s="333"/>
      <c r="BB82" s="333"/>
      <c r="BC82" s="333"/>
      <c r="BD82" s="333"/>
      <c r="BE82" s="333"/>
      <c r="BF82" s="333"/>
      <c r="BG82" s="333"/>
      <c r="BH82" s="333"/>
      <c r="BI82" s="333"/>
    </row>
    <row r="83" spans="1:61" ht="15" customHeight="1" thickBot="1" x14ac:dyDescent="0.25">
      <c r="A83" s="2348"/>
      <c r="B83" s="2350"/>
      <c r="C83" s="1118" t="str">
        <f>F!C90</f>
        <v>&gt; 100 m</v>
      </c>
      <c r="D83" s="301">
        <f>F!D90</f>
        <v>0</v>
      </c>
      <c r="E83" s="353">
        <v>4</v>
      </c>
      <c r="F83" s="353">
        <f>D83*E83</f>
        <v>0</v>
      </c>
      <c r="G83" s="547"/>
      <c r="H83" s="2276"/>
      <c r="I83" s="2137"/>
      <c r="J83" s="273"/>
      <c r="K83" s="333"/>
      <c r="L83" s="333"/>
      <c r="M83" s="333"/>
      <c r="N83" s="333"/>
      <c r="O83" s="333"/>
      <c r="P83" s="333"/>
      <c r="Q83" s="333"/>
      <c r="R83" s="333"/>
      <c r="S83" s="333"/>
      <c r="T83" s="333"/>
      <c r="U83" s="333"/>
      <c r="V83" s="333"/>
      <c r="W83" s="333"/>
      <c r="X83" s="333"/>
      <c r="Y83" s="333"/>
      <c r="Z83" s="333"/>
      <c r="AA83" s="333"/>
      <c r="AB83" s="333"/>
      <c r="AC83" s="333"/>
      <c r="AD83" s="333"/>
      <c r="AE83" s="333"/>
      <c r="AF83" s="333"/>
      <c r="AG83" s="333"/>
      <c r="AH83" s="333"/>
      <c r="AI83" s="333"/>
      <c r="AJ83" s="333"/>
      <c r="AK83" s="333"/>
      <c r="AL83" s="333"/>
      <c r="AM83" s="333"/>
      <c r="AN83" s="333"/>
      <c r="AO83" s="333"/>
      <c r="AP83" s="333"/>
      <c r="AQ83" s="333"/>
      <c r="AR83" s="333"/>
      <c r="AS83" s="333"/>
      <c r="AT83" s="333"/>
      <c r="AU83" s="333"/>
      <c r="AV83" s="333"/>
      <c r="AW83" s="333"/>
      <c r="AX83" s="333"/>
      <c r="AY83" s="333"/>
      <c r="AZ83" s="333"/>
      <c r="BA83" s="333"/>
      <c r="BB83" s="333"/>
      <c r="BC83" s="333"/>
      <c r="BD83" s="333"/>
      <c r="BE83" s="333"/>
      <c r="BF83" s="333"/>
      <c r="BG83" s="333"/>
      <c r="BH83" s="333"/>
      <c r="BI83" s="333"/>
    </row>
    <row r="84" spans="1:61" ht="30" customHeight="1" thickBot="1" x14ac:dyDescent="0.25">
      <c r="A84" s="2347" t="str">
        <f>F!A95</f>
        <v>F18</v>
      </c>
      <c r="B84" s="2349" t="str">
        <f>F!B95</f>
        <v>Interspersion of Robust Emergents &amp; Open Water</v>
      </c>
      <c r="C84" s="1115" t="str">
        <f>F!C95</f>
        <v>During most of the growing season, the spatial pattern of tall robust herbaceous vegetation (e.g., cattail, bulrush) that has surface water beneath it is mostly:</v>
      </c>
      <c r="D84" s="1173"/>
      <c r="E84" s="1148"/>
      <c r="F84" s="553"/>
      <c r="G84" s="550">
        <f>IF((AllSat+AllSat&gt;0),"",IF((NoPonded=1),"",IF((NoOpenPonded+NoOpenPonded1&gt;0),"",IF((AllOpenPond=1),"", IF((SmallAA=1),"", MAX(F85:F87)/MAX(E85:E87))))))</f>
        <v>0</v>
      </c>
      <c r="H84" s="2274" t="s">
        <v>167</v>
      </c>
      <c r="I84" s="2135" t="s">
        <v>2106</v>
      </c>
      <c r="J84" s="273"/>
      <c r="K84" s="333"/>
      <c r="L84" s="333"/>
      <c r="M84" s="333"/>
      <c r="N84" s="333"/>
      <c r="O84" s="333"/>
      <c r="P84" s="333"/>
      <c r="Q84" s="333"/>
      <c r="R84" s="333"/>
      <c r="S84" s="333"/>
      <c r="T84" s="333"/>
      <c r="U84" s="333"/>
      <c r="V84" s="333"/>
      <c r="W84" s="333"/>
      <c r="X84" s="333"/>
      <c r="Y84" s="333"/>
      <c r="Z84" s="333"/>
      <c r="AA84" s="333"/>
      <c r="AB84" s="333"/>
      <c r="AC84" s="333"/>
      <c r="AD84" s="333"/>
      <c r="AE84" s="333"/>
      <c r="AF84" s="333"/>
      <c r="AG84" s="333"/>
      <c r="AH84" s="333"/>
      <c r="AI84" s="333"/>
      <c r="AJ84" s="333"/>
      <c r="AK84" s="333"/>
      <c r="AL84" s="333"/>
      <c r="AM84" s="333"/>
      <c r="AN84" s="333"/>
      <c r="AO84" s="333"/>
      <c r="AP84" s="333"/>
      <c r="AQ84" s="333"/>
      <c r="AR84" s="333"/>
      <c r="AS84" s="333"/>
      <c r="AT84" s="333"/>
      <c r="AU84" s="333"/>
      <c r="AV84" s="333"/>
      <c r="AW84" s="333"/>
      <c r="AX84" s="333"/>
      <c r="AY84" s="333"/>
      <c r="AZ84" s="333"/>
      <c r="BA84" s="333"/>
      <c r="BB84" s="333"/>
      <c r="BC84" s="333"/>
      <c r="BD84" s="333"/>
      <c r="BE84" s="333"/>
      <c r="BF84" s="333"/>
      <c r="BG84" s="333"/>
      <c r="BH84" s="333"/>
      <c r="BI84" s="333"/>
    </row>
    <row r="85" spans="1:61" ht="15" customHeight="1" x14ac:dyDescent="0.2">
      <c r="A85" s="2341"/>
      <c r="B85" s="2338"/>
      <c r="C85" s="1116" t="str">
        <f>F!C96</f>
        <v>Scattered in small clumps, islands, or patches throughout the surface water area.</v>
      </c>
      <c r="D85" s="307">
        <f>F!D96</f>
        <v>0</v>
      </c>
      <c r="E85" s="1151">
        <v>3</v>
      </c>
      <c r="F85" s="793">
        <f>D85*E85</f>
        <v>0</v>
      </c>
      <c r="G85" s="551"/>
      <c r="H85" s="2275"/>
      <c r="I85" s="2136"/>
      <c r="J85" s="273"/>
      <c r="K85" s="333"/>
      <c r="L85" s="333"/>
      <c r="M85" s="333"/>
      <c r="N85" s="333"/>
      <c r="O85" s="333"/>
      <c r="P85" s="333"/>
      <c r="Q85" s="333"/>
      <c r="R85" s="333"/>
      <c r="S85" s="333"/>
      <c r="T85" s="333"/>
      <c r="U85" s="333"/>
      <c r="V85" s="333"/>
      <c r="W85" s="333"/>
      <c r="X85" s="333"/>
      <c r="Y85" s="333"/>
      <c r="Z85" s="333"/>
      <c r="AA85" s="333"/>
      <c r="AB85" s="333"/>
      <c r="AC85" s="333"/>
      <c r="AD85" s="333"/>
      <c r="AE85" s="333"/>
      <c r="AF85" s="333"/>
      <c r="AG85" s="333"/>
      <c r="AH85" s="333"/>
      <c r="AI85" s="333"/>
      <c r="AJ85" s="333"/>
      <c r="AK85" s="333"/>
      <c r="AL85" s="333"/>
      <c r="AM85" s="333"/>
      <c r="AN85" s="333"/>
      <c r="AO85" s="333"/>
      <c r="AP85" s="333"/>
      <c r="AQ85" s="333"/>
      <c r="AR85" s="333"/>
      <c r="AS85" s="333"/>
      <c r="AT85" s="333"/>
      <c r="AU85" s="333"/>
      <c r="AV85" s="333"/>
      <c r="AW85" s="333"/>
      <c r="AX85" s="333"/>
      <c r="AY85" s="333"/>
      <c r="AZ85" s="333"/>
      <c r="BA85" s="333"/>
      <c r="BB85" s="333"/>
      <c r="BC85" s="333"/>
      <c r="BD85" s="333"/>
      <c r="BE85" s="333"/>
      <c r="BF85" s="333"/>
      <c r="BG85" s="333"/>
      <c r="BH85" s="333"/>
      <c r="BI85" s="333"/>
    </row>
    <row r="86" spans="1:61" ht="15" customHeight="1" x14ac:dyDescent="0.2">
      <c r="A86" s="2341"/>
      <c r="B86" s="2338"/>
      <c r="C86" s="1117" t="str">
        <f>F!C97</f>
        <v>Intermediate</v>
      </c>
      <c r="D86" s="1159">
        <f>F!D97</f>
        <v>0</v>
      </c>
      <c r="E86" s="1151">
        <v>2</v>
      </c>
      <c r="F86" s="793">
        <f>D86*E86</f>
        <v>0</v>
      </c>
      <c r="G86" s="551"/>
      <c r="H86" s="2275"/>
      <c r="I86" s="2136"/>
      <c r="J86" s="273"/>
      <c r="K86" s="333"/>
      <c r="L86" s="333"/>
      <c r="M86" s="333"/>
      <c r="N86" s="333"/>
      <c r="O86" s="333"/>
      <c r="P86" s="333"/>
      <c r="Q86" s="333"/>
      <c r="R86" s="333"/>
      <c r="S86" s="333"/>
      <c r="T86" s="333"/>
      <c r="U86" s="333"/>
      <c r="V86" s="333"/>
      <c r="W86" s="333"/>
      <c r="X86" s="333"/>
      <c r="Y86" s="333"/>
      <c r="Z86" s="333"/>
      <c r="AA86" s="333"/>
      <c r="AB86" s="333"/>
      <c r="AC86" s="333"/>
      <c r="AD86" s="333"/>
      <c r="AE86" s="333"/>
      <c r="AF86" s="333"/>
      <c r="AG86" s="333"/>
      <c r="AH86" s="333"/>
      <c r="AI86" s="333"/>
      <c r="AJ86" s="333"/>
      <c r="AK86" s="333"/>
      <c r="AL86" s="333"/>
      <c r="AM86" s="333"/>
      <c r="AN86" s="333"/>
      <c r="AO86" s="333"/>
      <c r="AP86" s="333"/>
      <c r="AQ86" s="333"/>
      <c r="AR86" s="333"/>
      <c r="AS86" s="333"/>
      <c r="AT86" s="333"/>
      <c r="AU86" s="333"/>
      <c r="AV86" s="333"/>
      <c r="AW86" s="333"/>
      <c r="AX86" s="333"/>
      <c r="AY86" s="333"/>
      <c r="AZ86" s="333"/>
      <c r="BA86" s="333"/>
      <c r="BB86" s="333"/>
      <c r="BC86" s="333"/>
      <c r="BD86" s="333"/>
      <c r="BE86" s="333"/>
      <c r="BF86" s="333"/>
      <c r="BG86" s="333"/>
      <c r="BH86" s="333"/>
      <c r="BI86" s="333"/>
    </row>
    <row r="87" spans="1:61" ht="35.25" customHeight="1" thickBot="1" x14ac:dyDescent="0.25">
      <c r="A87" s="2348"/>
      <c r="B87" s="2350"/>
      <c r="C87" s="1118" t="str">
        <f>F!C98</f>
        <v>Clumped at one or a few sides of the surface water area, or mostly surrounds a central area of open water.  Or such vegetation is absent or covers &lt;9 sq m and &lt;1% of the AA.</v>
      </c>
      <c r="D87" s="141">
        <f>F!D98</f>
        <v>0</v>
      </c>
      <c r="E87" s="353">
        <v>1</v>
      </c>
      <c r="F87" s="383">
        <f>D87*E87</f>
        <v>0</v>
      </c>
      <c r="G87" s="554"/>
      <c r="H87" s="2276"/>
      <c r="I87" s="2137"/>
      <c r="J87" s="273"/>
      <c r="K87" s="333"/>
      <c r="L87" s="333"/>
      <c r="M87" s="333"/>
      <c r="N87" s="333"/>
      <c r="O87" s="333"/>
      <c r="P87" s="333"/>
      <c r="Q87" s="333"/>
      <c r="R87" s="333"/>
      <c r="S87" s="333"/>
      <c r="T87" s="333"/>
      <c r="U87" s="333"/>
      <c r="V87" s="333"/>
      <c r="W87" s="333"/>
      <c r="X87" s="333"/>
      <c r="Y87" s="333"/>
      <c r="Z87" s="333"/>
      <c r="AA87" s="333"/>
      <c r="AB87" s="333"/>
      <c r="AC87" s="333"/>
      <c r="AD87" s="333"/>
      <c r="AE87" s="333"/>
      <c r="AF87" s="333"/>
      <c r="AG87" s="333"/>
      <c r="AH87" s="333"/>
      <c r="AI87" s="333"/>
      <c r="AJ87" s="333"/>
      <c r="AK87" s="333"/>
      <c r="AL87" s="333"/>
      <c r="AM87" s="333"/>
      <c r="AN87" s="333"/>
      <c r="AO87" s="333"/>
      <c r="AP87" s="333"/>
      <c r="AQ87" s="333"/>
      <c r="AR87" s="333"/>
      <c r="AS87" s="333"/>
      <c r="AT87" s="333"/>
      <c r="AU87" s="333"/>
      <c r="AV87" s="333"/>
      <c r="AW87" s="333"/>
      <c r="AX87" s="333"/>
      <c r="AY87" s="333"/>
      <c r="AZ87" s="333"/>
      <c r="BA87" s="333"/>
      <c r="BB87" s="333"/>
      <c r="BC87" s="333"/>
      <c r="BD87" s="333"/>
      <c r="BE87" s="333"/>
      <c r="BF87" s="333"/>
      <c r="BG87" s="333"/>
      <c r="BH87" s="333"/>
      <c r="BI87" s="333"/>
    </row>
    <row r="88" spans="1:61" ht="55.5" customHeight="1" thickBot="1" x14ac:dyDescent="0.25">
      <c r="A88" s="898" t="str">
        <f>F!A99</f>
        <v>F19</v>
      </c>
      <c r="B88" s="1138" t="str">
        <f>F!B99</f>
        <v>Isolated Island</v>
      </c>
      <c r="C88" s="1134" t="str">
        <f>F!C99</f>
        <v>The AA contains (or is part of) an island or beaver lodge within a lake, pond, or river, and is isolated from the shore by water depths &gt;2 m on all sides during an average June.  The island may be solid, or it may be a floating vegetation mat suitable for nesting waterbirds.</v>
      </c>
      <c r="D88" s="332">
        <f>F!D99</f>
        <v>0</v>
      </c>
      <c r="E88" s="355"/>
      <c r="F88" s="555"/>
      <c r="G88" s="556" t="str">
        <f>IF((D88=0),"", IF((SmallAA=1),"", D88))</f>
        <v/>
      </c>
      <c r="H88" s="975" t="s">
        <v>652</v>
      </c>
      <c r="I88" s="883" t="s">
        <v>2107</v>
      </c>
      <c r="J88" s="273"/>
      <c r="K88" s="333"/>
      <c r="L88" s="333"/>
      <c r="M88" s="333"/>
      <c r="N88" s="333"/>
      <c r="O88" s="333"/>
      <c r="P88" s="333"/>
      <c r="Q88" s="333"/>
      <c r="R88" s="333"/>
      <c r="S88" s="333"/>
      <c r="T88" s="333"/>
      <c r="U88" s="333"/>
      <c r="V88" s="333"/>
      <c r="W88" s="333"/>
      <c r="X88" s="333"/>
      <c r="Y88" s="333"/>
      <c r="Z88" s="333"/>
      <c r="AA88" s="333"/>
      <c r="AB88" s="333"/>
      <c r="AC88" s="333"/>
      <c r="AD88" s="333"/>
      <c r="AE88" s="333"/>
      <c r="AF88" s="333"/>
      <c r="AG88" s="333"/>
      <c r="AH88" s="333"/>
      <c r="AI88" s="333"/>
      <c r="AJ88" s="333"/>
      <c r="AK88" s="333"/>
      <c r="AL88" s="333"/>
      <c r="AM88" s="333"/>
      <c r="AN88" s="333"/>
      <c r="AO88" s="333"/>
      <c r="AP88" s="333"/>
      <c r="AQ88" s="333"/>
      <c r="AR88" s="333"/>
      <c r="AS88" s="333"/>
      <c r="AT88" s="333"/>
      <c r="AU88" s="333"/>
      <c r="AV88" s="333"/>
      <c r="AW88" s="333"/>
      <c r="AX88" s="333"/>
      <c r="AY88" s="333"/>
      <c r="AZ88" s="333"/>
      <c r="BA88" s="333"/>
      <c r="BB88" s="333"/>
      <c r="BC88" s="333"/>
      <c r="BD88" s="333"/>
      <c r="BE88" s="333"/>
      <c r="BF88" s="333"/>
      <c r="BG88" s="333"/>
      <c r="BH88" s="333"/>
      <c r="BI88" s="333"/>
    </row>
    <row r="89" spans="1:61" ht="45" customHeight="1" thickBot="1" x14ac:dyDescent="0.25">
      <c r="A89" s="1114" t="str">
        <f>F!A101</f>
        <v>F21</v>
      </c>
      <c r="B89" s="1137" t="str">
        <f>F!B101</f>
        <v>Stained Surface Water</v>
      </c>
      <c r="C89" s="1179" t="str">
        <f>F!C101</f>
        <v xml:space="preserve">Most surface water is tea-colored (from tannins, not iron bacteria or silt), and/or its pH is usually &lt;5.5. Nearby vegetation is mostly moss and/or conifers. </v>
      </c>
      <c r="D89" s="1180">
        <f>F!D101</f>
        <v>0</v>
      </c>
      <c r="E89" s="549"/>
      <c r="F89" s="388"/>
      <c r="G89" s="550">
        <f>IF((AllSat+AllSat&gt;0),"", IF((SmallAA=1),"", 1-D89))</f>
        <v>1</v>
      </c>
      <c r="H89" s="1053" t="s">
        <v>177</v>
      </c>
      <c r="I89" s="768" t="s">
        <v>2108</v>
      </c>
      <c r="J89" s="273"/>
      <c r="K89" s="333"/>
      <c r="L89" s="333"/>
      <c r="M89" s="333"/>
      <c r="N89" s="333"/>
      <c r="O89" s="333"/>
      <c r="P89" s="333"/>
      <c r="Q89" s="333"/>
      <c r="R89" s="333"/>
      <c r="S89" s="333"/>
      <c r="T89" s="333"/>
      <c r="U89" s="333"/>
      <c r="V89" s="333"/>
      <c r="W89" s="333"/>
      <c r="X89" s="333"/>
      <c r="Y89" s="333"/>
      <c r="Z89" s="333"/>
      <c r="AA89" s="333"/>
      <c r="AB89" s="333"/>
      <c r="AC89" s="333"/>
      <c r="AD89" s="333"/>
      <c r="AE89" s="333"/>
      <c r="AF89" s="333"/>
      <c r="AG89" s="333"/>
      <c r="AH89" s="333"/>
      <c r="AI89" s="333"/>
      <c r="AJ89" s="333"/>
      <c r="AK89" s="333"/>
      <c r="AL89" s="333"/>
      <c r="AM89" s="333"/>
      <c r="AN89" s="333"/>
      <c r="AO89" s="333"/>
      <c r="AP89" s="333"/>
      <c r="AQ89" s="333"/>
      <c r="AR89" s="333"/>
      <c r="AS89" s="333"/>
      <c r="AT89" s="333"/>
      <c r="AU89" s="333"/>
      <c r="AV89" s="333"/>
      <c r="AW89" s="333"/>
      <c r="AX89" s="333"/>
      <c r="AY89" s="333"/>
      <c r="AZ89" s="333"/>
      <c r="BA89" s="333"/>
      <c r="BB89" s="333"/>
      <c r="BC89" s="333"/>
      <c r="BD89" s="333"/>
      <c r="BE89" s="333"/>
      <c r="BF89" s="333"/>
      <c r="BG89" s="333"/>
      <c r="BH89" s="333"/>
      <c r="BI89" s="333"/>
    </row>
    <row r="90" spans="1:61" ht="78.75" customHeight="1" thickBot="1" x14ac:dyDescent="0.25">
      <c r="A90" s="1114" t="str">
        <f>F!A102</f>
        <v>F22</v>
      </c>
      <c r="B90" s="1137" t="str">
        <f>F!B102</f>
        <v>Fish</v>
      </c>
      <c r="C90" s="1179" t="str">
        <f>F!C102</f>
        <v>Fish (native or stocked) are known to be present in the AA.  Or fish can access at least part of the AA during one or more days annually.  If uncertain, use answer from Form OF, item  OF15, or enter "0".</v>
      </c>
      <c r="D90" s="1181">
        <f>F!D102</f>
        <v>0</v>
      </c>
      <c r="E90" s="147"/>
      <c r="F90" s="388"/>
      <c r="G90" s="550" t="str">
        <f>IF((SmallAA=1),"", IF((D90=0),"", 1))</f>
        <v/>
      </c>
      <c r="H90" s="1053" t="s">
        <v>655</v>
      </c>
      <c r="I90" s="768" t="s">
        <v>2109</v>
      </c>
      <c r="J90" s="273"/>
      <c r="K90" s="333"/>
      <c r="L90" s="333"/>
      <c r="M90" s="333"/>
      <c r="N90" s="333"/>
      <c r="O90" s="333"/>
      <c r="P90" s="333"/>
      <c r="Q90" s="333"/>
      <c r="R90" s="333"/>
      <c r="S90" s="333"/>
      <c r="T90" s="333"/>
      <c r="U90" s="333"/>
      <c r="V90" s="333"/>
      <c r="W90" s="333"/>
      <c r="X90" s="333"/>
      <c r="Y90" s="333"/>
      <c r="Z90" s="333"/>
      <c r="AA90" s="333"/>
      <c r="AB90" s="333"/>
      <c r="AC90" s="333"/>
      <c r="AD90" s="333"/>
      <c r="AE90" s="333"/>
      <c r="AF90" s="333"/>
      <c r="AG90" s="333"/>
      <c r="AH90" s="333"/>
      <c r="AI90" s="333"/>
      <c r="AJ90" s="333"/>
      <c r="AK90" s="333"/>
      <c r="AL90" s="333"/>
      <c r="AM90" s="333"/>
      <c r="AN90" s="333"/>
      <c r="AO90" s="333"/>
      <c r="AP90" s="333"/>
      <c r="AQ90" s="333"/>
      <c r="AR90" s="333"/>
      <c r="AS90" s="333"/>
      <c r="AT90" s="333"/>
      <c r="AU90" s="333"/>
      <c r="AV90" s="333"/>
      <c r="AW90" s="333"/>
      <c r="AX90" s="333"/>
      <c r="AY90" s="333"/>
      <c r="AZ90" s="333"/>
      <c r="BA90" s="333"/>
      <c r="BB90" s="333"/>
      <c r="BC90" s="333"/>
      <c r="BD90" s="333"/>
      <c r="BE90" s="333"/>
      <c r="BF90" s="333"/>
      <c r="BG90" s="333"/>
      <c r="BH90" s="333"/>
      <c r="BI90" s="333"/>
    </row>
    <row r="91" spans="1:61" ht="21" customHeight="1" thickBot="1" x14ac:dyDescent="0.25">
      <c r="A91" s="2342" t="str">
        <f>F!A103</f>
        <v>F23</v>
      </c>
      <c r="B91" s="2338" t="str">
        <f>F!B103</f>
        <v>Beaver Probability</v>
      </c>
      <c r="C91" s="1133" t="str">
        <f>F!C103</f>
        <v>Use of the AA by beaver during the past 5 years is (select most applicable ONE):</v>
      </c>
      <c r="D91" s="357"/>
      <c r="E91" s="359"/>
      <c r="F91" s="359"/>
      <c r="G91" s="552">
        <f>IF((AllSat+AllSat&gt;0),"",MAX(F92:F95)/MAX(E92:E95))</f>
        <v>0</v>
      </c>
      <c r="H91" s="2274" t="s">
        <v>178</v>
      </c>
      <c r="I91" s="2136" t="s">
        <v>2110</v>
      </c>
      <c r="J91" s="273"/>
      <c r="K91" s="333"/>
      <c r="L91" s="333"/>
      <c r="M91" s="333"/>
      <c r="N91" s="333"/>
      <c r="O91" s="333"/>
      <c r="P91" s="333"/>
      <c r="Q91" s="333"/>
      <c r="R91" s="333"/>
      <c r="S91" s="333"/>
      <c r="T91" s="333"/>
      <c r="U91" s="333"/>
      <c r="V91" s="333"/>
      <c r="W91" s="333"/>
      <c r="X91" s="333"/>
      <c r="Y91" s="333"/>
      <c r="Z91" s="333"/>
      <c r="AA91" s="333"/>
      <c r="AB91" s="333"/>
      <c r="AC91" s="333"/>
      <c r="AD91" s="333"/>
      <c r="AE91" s="333"/>
      <c r="AF91" s="333"/>
      <c r="AG91" s="333"/>
      <c r="AH91" s="333"/>
      <c r="AI91" s="333"/>
      <c r="AJ91" s="333"/>
      <c r="AK91" s="333"/>
      <c r="AL91" s="333"/>
      <c r="AM91" s="333"/>
      <c r="AN91" s="333"/>
      <c r="AO91" s="333"/>
      <c r="AP91" s="333"/>
      <c r="AQ91" s="333"/>
      <c r="AR91" s="333"/>
      <c r="AS91" s="333"/>
      <c r="AT91" s="333"/>
      <c r="AU91" s="333"/>
      <c r="AV91" s="333"/>
      <c r="AW91" s="333"/>
      <c r="AX91" s="333"/>
      <c r="AY91" s="333"/>
      <c r="AZ91" s="333"/>
      <c r="BA91" s="333"/>
      <c r="BB91" s="333"/>
      <c r="BC91" s="333"/>
      <c r="BD91" s="333"/>
      <c r="BE91" s="333"/>
      <c r="BF91" s="333"/>
      <c r="BG91" s="333"/>
      <c r="BH91" s="333"/>
      <c r="BI91" s="333"/>
    </row>
    <row r="92" spans="1:61" ht="27" customHeight="1" x14ac:dyDescent="0.2">
      <c r="A92" s="2342"/>
      <c r="B92" s="2338"/>
      <c r="C92" s="1116" t="str">
        <f>F!C104</f>
        <v>evident from direct observation or presence of gnawed limbs, dams, tracks, dens, lodges, or extensive stands of water-killed trees (snags).</v>
      </c>
      <c r="D92" s="307">
        <f>F!D104</f>
        <v>0</v>
      </c>
      <c r="E92" s="351">
        <v>5</v>
      </c>
      <c r="F92" s="351">
        <f>D92*E92</f>
        <v>0</v>
      </c>
      <c r="G92" s="546"/>
      <c r="H92" s="2275"/>
      <c r="I92" s="2136"/>
      <c r="J92" s="273"/>
      <c r="K92" s="333"/>
      <c r="L92" s="333"/>
      <c r="M92" s="333"/>
      <c r="N92" s="333"/>
      <c r="O92" s="333"/>
      <c r="P92" s="333"/>
      <c r="Q92" s="333"/>
      <c r="R92" s="333"/>
      <c r="S92" s="333"/>
      <c r="T92" s="333"/>
      <c r="U92" s="333"/>
      <c r="V92" s="333"/>
      <c r="W92" s="333"/>
      <c r="X92" s="333"/>
      <c r="Y92" s="333"/>
      <c r="Z92" s="333"/>
      <c r="AA92" s="333"/>
      <c r="AB92" s="333"/>
      <c r="AC92" s="333"/>
      <c r="AD92" s="333"/>
      <c r="AE92" s="333"/>
      <c r="AF92" s="333"/>
      <c r="AG92" s="333"/>
      <c r="AH92" s="333"/>
      <c r="AI92" s="333"/>
      <c r="AJ92" s="333"/>
      <c r="AK92" s="333"/>
      <c r="AL92" s="333"/>
      <c r="AM92" s="333"/>
      <c r="AN92" s="333"/>
      <c r="AO92" s="333"/>
      <c r="AP92" s="333"/>
      <c r="AQ92" s="333"/>
      <c r="AR92" s="333"/>
      <c r="AS92" s="333"/>
      <c r="AT92" s="333"/>
      <c r="AU92" s="333"/>
      <c r="AV92" s="333"/>
      <c r="AW92" s="333"/>
      <c r="AX92" s="333"/>
      <c r="AY92" s="333"/>
      <c r="AZ92" s="333"/>
      <c r="BA92" s="333"/>
      <c r="BB92" s="333"/>
      <c r="BC92" s="333"/>
      <c r="BD92" s="333"/>
      <c r="BE92" s="333"/>
      <c r="BF92" s="333"/>
      <c r="BG92" s="333"/>
      <c r="BH92" s="333"/>
      <c r="BI92" s="333"/>
    </row>
    <row r="93" spans="1:61" ht="57" customHeight="1" x14ac:dyDescent="0.2">
      <c r="A93" s="2342"/>
      <c r="B93" s="2338"/>
      <c r="C93" s="1117" t="str">
        <f>F!C105</f>
        <v>likely based on known occurrence in the region and proximity to suitable habitat, which may include: (a) a persistent freshwater wetland, pond, or lake, or a perennial low or mid-gradient (&lt;10%) channel, and (b) a corridor or multiple stands of hardwood trees and shrubs in vegetated areas near surface water.</v>
      </c>
      <c r="D93" s="140">
        <f>F!D105</f>
        <v>0</v>
      </c>
      <c r="E93" s="351">
        <v>2</v>
      </c>
      <c r="F93" s="351">
        <f>D93*E93</f>
        <v>0</v>
      </c>
      <c r="G93" s="546"/>
      <c r="H93" s="2275"/>
      <c r="I93" s="2136"/>
      <c r="J93" s="273"/>
      <c r="K93" s="333"/>
      <c r="L93" s="333"/>
      <c r="M93" s="333"/>
      <c r="N93" s="333"/>
      <c r="O93" s="333"/>
      <c r="P93" s="333"/>
      <c r="Q93" s="333"/>
      <c r="R93" s="333"/>
      <c r="S93" s="333"/>
      <c r="T93" s="333"/>
      <c r="U93" s="333"/>
      <c r="V93" s="333"/>
      <c r="W93" s="333"/>
      <c r="X93" s="333"/>
      <c r="Y93" s="333"/>
      <c r="Z93" s="333"/>
      <c r="AA93" s="333"/>
      <c r="AB93" s="333"/>
      <c r="AC93" s="333"/>
      <c r="AD93" s="333"/>
      <c r="AE93" s="333"/>
      <c r="AF93" s="333"/>
      <c r="AG93" s="333"/>
      <c r="AH93" s="333"/>
      <c r="AI93" s="333"/>
      <c r="AJ93" s="333"/>
      <c r="AK93" s="333"/>
      <c r="AL93" s="333"/>
      <c r="AM93" s="333"/>
      <c r="AN93" s="333"/>
      <c r="AO93" s="333"/>
      <c r="AP93" s="333"/>
      <c r="AQ93" s="333"/>
      <c r="AR93" s="333"/>
      <c r="AS93" s="333"/>
      <c r="AT93" s="333"/>
      <c r="AU93" s="333"/>
      <c r="AV93" s="333"/>
      <c r="AW93" s="333"/>
      <c r="AX93" s="333"/>
      <c r="AY93" s="333"/>
      <c r="AZ93" s="333"/>
      <c r="BA93" s="333"/>
      <c r="BB93" s="333"/>
      <c r="BC93" s="333"/>
      <c r="BD93" s="333"/>
      <c r="BE93" s="333"/>
      <c r="BF93" s="333"/>
      <c r="BG93" s="333"/>
      <c r="BH93" s="333"/>
      <c r="BI93" s="333"/>
    </row>
    <row r="94" spans="1:61" ht="27" customHeight="1" x14ac:dyDescent="0.2">
      <c r="A94" s="2342"/>
      <c r="B94" s="2338"/>
      <c r="C94" s="1117" t="str">
        <f>F!C106</f>
        <v>unlikely because site characteristics above are deficient, and/or this is a settled area or other area where beaver are routinely removed.  But beaver occur in this part of the region (i.e., within 25 km).</v>
      </c>
      <c r="D94" s="140">
        <f>F!D106</f>
        <v>0</v>
      </c>
      <c r="E94" s="351">
        <v>1</v>
      </c>
      <c r="F94" s="351">
        <f>D94*E94</f>
        <v>0</v>
      </c>
      <c r="G94" s="546"/>
      <c r="H94" s="2275"/>
      <c r="I94" s="2136"/>
      <c r="J94" s="273"/>
      <c r="K94" s="333"/>
      <c r="L94" s="333"/>
      <c r="M94" s="333"/>
      <c r="N94" s="333"/>
      <c r="O94" s="333"/>
      <c r="P94" s="333"/>
      <c r="Q94" s="333"/>
      <c r="R94" s="333"/>
      <c r="S94" s="333"/>
      <c r="T94" s="333"/>
      <c r="U94" s="333"/>
      <c r="V94" s="333"/>
      <c r="W94" s="333"/>
      <c r="X94" s="333"/>
      <c r="Y94" s="333"/>
      <c r="Z94" s="333"/>
      <c r="AA94" s="333"/>
      <c r="AB94" s="333"/>
      <c r="AC94" s="333"/>
      <c r="AD94" s="333"/>
      <c r="AE94" s="333"/>
      <c r="AF94" s="333"/>
      <c r="AG94" s="333"/>
      <c r="AH94" s="333"/>
      <c r="AI94" s="333"/>
      <c r="AJ94" s="333"/>
      <c r="AK94" s="333"/>
      <c r="AL94" s="333"/>
      <c r="AM94" s="333"/>
      <c r="AN94" s="333"/>
      <c r="AO94" s="333"/>
      <c r="AP94" s="333"/>
      <c r="AQ94" s="333"/>
      <c r="AR94" s="333"/>
      <c r="AS94" s="333"/>
      <c r="AT94" s="333"/>
      <c r="AU94" s="333"/>
      <c r="AV94" s="333"/>
      <c r="AW94" s="333"/>
      <c r="AX94" s="333"/>
      <c r="AY94" s="333"/>
      <c r="AZ94" s="333"/>
      <c r="BA94" s="333"/>
      <c r="BB94" s="333"/>
      <c r="BC94" s="333"/>
      <c r="BD94" s="333"/>
      <c r="BE94" s="333"/>
      <c r="BF94" s="333"/>
      <c r="BG94" s="333"/>
      <c r="BH94" s="333"/>
      <c r="BI94" s="333"/>
    </row>
    <row r="95" spans="1:61" ht="15" customHeight="1" thickBot="1" x14ac:dyDescent="0.25">
      <c r="A95" s="2342"/>
      <c r="B95" s="2338"/>
      <c r="C95" s="1132" t="str">
        <f>F!C107</f>
        <v>none.  Beaver are absent from this part of the region.</v>
      </c>
      <c r="D95" s="544">
        <f>F!D107</f>
        <v>0</v>
      </c>
      <c r="E95" s="360">
        <v>0</v>
      </c>
      <c r="F95" s="360">
        <f>D95*E95</f>
        <v>0</v>
      </c>
      <c r="G95" s="1142"/>
      <c r="H95" s="2276"/>
      <c r="I95" s="2136"/>
      <c r="J95" s="273"/>
      <c r="K95" s="333"/>
      <c r="L95" s="333"/>
      <c r="M95" s="333"/>
      <c r="N95" s="333"/>
      <c r="O95" s="333"/>
      <c r="P95" s="333"/>
      <c r="Q95" s="333"/>
      <c r="R95" s="333"/>
      <c r="S95" s="333"/>
      <c r="T95" s="333"/>
      <c r="U95" s="333"/>
      <c r="V95" s="333"/>
      <c r="W95" s="333"/>
      <c r="X95" s="333"/>
      <c r="Y95" s="333"/>
      <c r="Z95" s="333"/>
      <c r="AA95" s="333"/>
      <c r="AB95" s="333"/>
      <c r="AC95" s="333"/>
      <c r="AD95" s="333"/>
      <c r="AE95" s="333"/>
      <c r="AF95" s="333"/>
      <c r="AG95" s="333"/>
      <c r="AH95" s="333"/>
      <c r="AI95" s="333"/>
      <c r="AJ95" s="333"/>
      <c r="AK95" s="333"/>
      <c r="AL95" s="333"/>
      <c r="AM95" s="333"/>
      <c r="AN95" s="333"/>
      <c r="AO95" s="333"/>
      <c r="AP95" s="333"/>
      <c r="AQ95" s="333"/>
      <c r="AR95" s="333"/>
      <c r="AS95" s="333"/>
      <c r="AT95" s="333"/>
      <c r="AU95" s="333"/>
      <c r="AV95" s="333"/>
      <c r="AW95" s="333"/>
      <c r="AX95" s="333"/>
      <c r="AY95" s="333"/>
      <c r="AZ95" s="333"/>
      <c r="BA95" s="333"/>
      <c r="BB95" s="333"/>
      <c r="BC95" s="333"/>
      <c r="BD95" s="333"/>
      <c r="BE95" s="333"/>
      <c r="BF95" s="333"/>
      <c r="BG95" s="333"/>
      <c r="BH95" s="333"/>
      <c r="BI95" s="333"/>
    </row>
    <row r="96" spans="1:61" ht="21" customHeight="1" thickBot="1" x14ac:dyDescent="0.25">
      <c r="A96" s="2336" t="str">
        <f>F!A129</f>
        <v>F29</v>
      </c>
      <c r="B96" s="2332" t="str">
        <f>F!B129</f>
        <v>Internal Gradient</v>
      </c>
      <c r="C96" s="1115" t="str">
        <f>F!C129</f>
        <v>The gradient along most of the flow path within the AA is:</v>
      </c>
      <c r="D96" s="1147"/>
      <c r="E96" s="1148"/>
      <c r="F96" s="553"/>
      <c r="G96" s="550">
        <f>MAX(F97:F100)/MAX(E97:E100)</f>
        <v>0</v>
      </c>
      <c r="H96" s="2274" t="s">
        <v>172</v>
      </c>
      <c r="I96" s="2366" t="s">
        <v>88</v>
      </c>
      <c r="J96" s="273"/>
      <c r="K96" s="333"/>
      <c r="L96" s="333"/>
      <c r="M96" s="333"/>
      <c r="N96" s="333"/>
      <c r="O96" s="333"/>
      <c r="P96" s="333"/>
      <c r="Q96" s="333"/>
      <c r="R96" s="333"/>
      <c r="S96" s="333"/>
      <c r="T96" s="333"/>
      <c r="U96" s="333"/>
      <c r="V96" s="333"/>
      <c r="W96" s="333"/>
      <c r="X96" s="333"/>
      <c r="Y96" s="333"/>
      <c r="Z96" s="333"/>
      <c r="AA96" s="333"/>
      <c r="AB96" s="333"/>
      <c r="AC96" s="333"/>
      <c r="AD96" s="333"/>
      <c r="AE96" s="333"/>
      <c r="AF96" s="333"/>
      <c r="AG96" s="333"/>
      <c r="AH96" s="333"/>
      <c r="AI96" s="333"/>
      <c r="AJ96" s="333"/>
      <c r="AK96" s="333"/>
      <c r="AL96" s="333"/>
      <c r="AM96" s="333"/>
      <c r="AN96" s="333"/>
      <c r="AO96" s="333"/>
      <c r="AP96" s="333"/>
      <c r="AQ96" s="333"/>
      <c r="AR96" s="333"/>
      <c r="AS96" s="333"/>
      <c r="AT96" s="333"/>
      <c r="AU96" s="333"/>
      <c r="AV96" s="333"/>
      <c r="AW96" s="333"/>
      <c r="AX96" s="333"/>
      <c r="AY96" s="333"/>
      <c r="AZ96" s="333"/>
      <c r="BA96" s="333"/>
      <c r="BB96" s="333"/>
      <c r="BC96" s="333"/>
      <c r="BD96" s="333"/>
      <c r="BE96" s="333"/>
      <c r="BF96" s="333"/>
      <c r="BG96" s="333"/>
      <c r="BH96" s="333"/>
      <c r="BI96" s="333"/>
    </row>
    <row r="97" spans="1:61" ht="27" customHeight="1" x14ac:dyDescent="0.2">
      <c r="A97" s="2344"/>
      <c r="B97" s="2352"/>
      <c r="C97" s="1116" t="str">
        <f>F!C130</f>
        <v>&lt;2%, or, no slope is ever apparent (i.e., flat). Or, the wetland is in a depression or pond with no inlet and no outlet.</v>
      </c>
      <c r="D97" s="307">
        <f>F!D130</f>
        <v>0</v>
      </c>
      <c r="E97" s="1151">
        <v>3</v>
      </c>
      <c r="F97" s="1151">
        <f>Steep13*E97</f>
        <v>0</v>
      </c>
      <c r="G97" s="545"/>
      <c r="H97" s="2275"/>
      <c r="I97" s="2367"/>
      <c r="J97" s="273"/>
      <c r="K97" s="333"/>
      <c r="L97" s="333"/>
      <c r="M97" s="333"/>
      <c r="N97" s="333"/>
      <c r="O97" s="333"/>
      <c r="P97" s="333"/>
      <c r="Q97" s="333"/>
      <c r="R97" s="333"/>
      <c r="S97" s="333"/>
      <c r="T97" s="333"/>
      <c r="U97" s="333"/>
      <c r="V97" s="333"/>
      <c r="W97" s="333"/>
      <c r="X97" s="333"/>
      <c r="Y97" s="333"/>
      <c r="Z97" s="333"/>
      <c r="AA97" s="333"/>
      <c r="AB97" s="333"/>
      <c r="AC97" s="333"/>
      <c r="AD97" s="333"/>
      <c r="AE97" s="333"/>
      <c r="AF97" s="333"/>
      <c r="AG97" s="333"/>
      <c r="AH97" s="333"/>
      <c r="AI97" s="333"/>
      <c r="AJ97" s="333"/>
      <c r="AK97" s="333"/>
      <c r="AL97" s="333"/>
      <c r="AM97" s="333"/>
      <c r="AN97" s="333"/>
      <c r="AO97" s="333"/>
      <c r="AP97" s="333"/>
      <c r="AQ97" s="333"/>
      <c r="AR97" s="333"/>
      <c r="AS97" s="333"/>
      <c r="AT97" s="333"/>
      <c r="AU97" s="333"/>
      <c r="AV97" s="333"/>
      <c r="AW97" s="333"/>
      <c r="AX97" s="333"/>
      <c r="AY97" s="333"/>
      <c r="AZ97" s="333"/>
      <c r="BA97" s="333"/>
      <c r="BB97" s="333"/>
      <c r="BC97" s="333"/>
      <c r="BD97" s="333"/>
      <c r="BE97" s="333"/>
      <c r="BF97" s="333"/>
      <c r="BG97" s="333"/>
      <c r="BH97" s="333"/>
      <c r="BI97" s="333"/>
    </row>
    <row r="98" spans="1:61" ht="15" customHeight="1" x14ac:dyDescent="0.2">
      <c r="A98" s="2344"/>
      <c r="B98" s="2352"/>
      <c r="C98" s="1117" t="str">
        <f>F!C131</f>
        <v>2-5%</v>
      </c>
      <c r="D98" s="1159">
        <f>F!D131</f>
        <v>0</v>
      </c>
      <c r="E98" s="1151">
        <v>2</v>
      </c>
      <c r="F98" s="1151">
        <f>D98*E98</f>
        <v>0</v>
      </c>
      <c r="G98" s="546"/>
      <c r="H98" s="2275"/>
      <c r="I98" s="2367"/>
      <c r="J98" s="273"/>
      <c r="K98" s="333"/>
      <c r="L98" s="333"/>
      <c r="M98" s="333"/>
      <c r="N98" s="333"/>
      <c r="O98" s="333"/>
      <c r="P98" s="333"/>
      <c r="Q98" s="333"/>
      <c r="R98" s="333"/>
      <c r="S98" s="333"/>
      <c r="T98" s="333"/>
      <c r="U98" s="333"/>
      <c r="V98" s="333"/>
      <c r="W98" s="333"/>
      <c r="X98" s="333"/>
      <c r="Y98" s="333"/>
      <c r="Z98" s="333"/>
      <c r="AA98" s="333"/>
      <c r="AB98" s="333"/>
      <c r="AC98" s="333"/>
      <c r="AD98" s="333"/>
      <c r="AE98" s="333"/>
      <c r="AF98" s="333"/>
      <c r="AG98" s="333"/>
      <c r="AH98" s="333"/>
      <c r="AI98" s="333"/>
      <c r="AJ98" s="333"/>
      <c r="AK98" s="333"/>
      <c r="AL98" s="333"/>
      <c r="AM98" s="333"/>
      <c r="AN98" s="333"/>
      <c r="AO98" s="333"/>
      <c r="AP98" s="333"/>
      <c r="AQ98" s="333"/>
      <c r="AR98" s="333"/>
      <c r="AS98" s="333"/>
      <c r="AT98" s="333"/>
      <c r="AU98" s="333"/>
      <c r="AV98" s="333"/>
      <c r="AW98" s="333"/>
      <c r="AX98" s="333"/>
      <c r="AY98" s="333"/>
      <c r="AZ98" s="333"/>
      <c r="BA98" s="333"/>
      <c r="BB98" s="333"/>
      <c r="BC98" s="333"/>
      <c r="BD98" s="333"/>
      <c r="BE98" s="333"/>
      <c r="BF98" s="333"/>
      <c r="BG98" s="333"/>
      <c r="BH98" s="333"/>
      <c r="BI98" s="333"/>
    </row>
    <row r="99" spans="1:61" ht="15" customHeight="1" thickBot="1" x14ac:dyDescent="0.25">
      <c r="A99" s="2344"/>
      <c r="B99" s="2352"/>
      <c r="C99" s="1117" t="str">
        <f>F!C132</f>
        <v>6-10%</v>
      </c>
      <c r="D99" s="1153">
        <f>F!D132</f>
        <v>0</v>
      </c>
      <c r="E99" s="1151">
        <v>1</v>
      </c>
      <c r="F99" s="1151">
        <f>D99*E99</f>
        <v>0</v>
      </c>
      <c r="G99" s="546"/>
      <c r="H99" s="2275"/>
      <c r="I99" s="2367"/>
      <c r="J99" s="273"/>
      <c r="K99" s="333"/>
      <c r="L99" s="333"/>
      <c r="M99" s="333"/>
      <c r="N99" s="333"/>
      <c r="O99" s="333"/>
      <c r="P99" s="333"/>
      <c r="Q99" s="333"/>
      <c r="R99" s="333"/>
      <c r="S99" s="333"/>
      <c r="T99" s="333"/>
      <c r="U99" s="333"/>
      <c r="V99" s="333"/>
      <c r="W99" s="333"/>
      <c r="X99" s="333"/>
      <c r="Y99" s="333"/>
      <c r="Z99" s="333"/>
      <c r="AA99" s="333"/>
      <c r="AB99" s="333"/>
      <c r="AC99" s="333"/>
      <c r="AD99" s="333"/>
      <c r="AE99" s="333"/>
      <c r="AF99" s="333"/>
      <c r="AG99" s="333"/>
      <c r="AH99" s="333"/>
      <c r="AI99" s="333"/>
      <c r="AJ99" s="333"/>
      <c r="AK99" s="333"/>
      <c r="AL99" s="333"/>
      <c r="AM99" s="333"/>
      <c r="AN99" s="333"/>
      <c r="AO99" s="333"/>
      <c r="AP99" s="333"/>
      <c r="AQ99" s="333"/>
      <c r="AR99" s="333"/>
      <c r="AS99" s="333"/>
      <c r="AT99" s="333"/>
      <c r="AU99" s="333"/>
      <c r="AV99" s="333"/>
      <c r="AW99" s="333"/>
      <c r="AX99" s="333"/>
      <c r="AY99" s="333"/>
      <c r="AZ99" s="333"/>
      <c r="BA99" s="333"/>
      <c r="BB99" s="333"/>
      <c r="BC99" s="333"/>
      <c r="BD99" s="333"/>
      <c r="BE99" s="333"/>
      <c r="BF99" s="333"/>
      <c r="BG99" s="333"/>
      <c r="BH99" s="333"/>
      <c r="BI99" s="333"/>
    </row>
    <row r="100" spans="1:61" ht="15" customHeight="1" thickBot="1" x14ac:dyDescent="0.25">
      <c r="A100" s="2345"/>
      <c r="B100" s="2353"/>
      <c r="C100" s="1160" t="str">
        <f>F!C133</f>
        <v>&gt;10%</v>
      </c>
      <c r="D100" s="1161">
        <f>F!D133</f>
        <v>0</v>
      </c>
      <c r="E100" s="374">
        <v>0</v>
      </c>
      <c r="F100" s="353">
        <f>D100*E100</f>
        <v>0</v>
      </c>
      <c r="G100" s="547"/>
      <c r="H100" s="2276"/>
      <c r="I100" s="2368"/>
      <c r="J100" s="273"/>
      <c r="K100" s="333"/>
      <c r="L100" s="333"/>
      <c r="M100" s="333"/>
      <c r="N100" s="333"/>
      <c r="O100" s="333"/>
      <c r="P100" s="333"/>
      <c r="Q100" s="333"/>
      <c r="R100" s="333"/>
      <c r="S100" s="333"/>
      <c r="T100" s="333"/>
      <c r="U100" s="333"/>
      <c r="V100" s="333"/>
      <c r="W100" s="333"/>
      <c r="X100" s="333"/>
      <c r="Y100" s="333"/>
      <c r="Z100" s="333"/>
      <c r="AA100" s="333"/>
      <c r="AB100" s="333"/>
      <c r="AC100" s="333"/>
      <c r="AD100" s="333"/>
      <c r="AE100" s="333"/>
      <c r="AF100" s="333"/>
      <c r="AG100" s="333"/>
      <c r="AH100" s="333"/>
      <c r="AI100" s="333"/>
      <c r="AJ100" s="333"/>
      <c r="AK100" s="333"/>
      <c r="AL100" s="333"/>
      <c r="AM100" s="333"/>
      <c r="AN100" s="333"/>
      <c r="AO100" s="333"/>
      <c r="AP100" s="333"/>
      <c r="AQ100" s="333"/>
      <c r="AR100" s="333"/>
      <c r="AS100" s="333"/>
      <c r="AT100" s="333"/>
      <c r="AU100" s="333"/>
      <c r="AV100" s="333"/>
      <c r="AW100" s="333"/>
      <c r="AX100" s="333"/>
      <c r="AY100" s="333"/>
      <c r="AZ100" s="333"/>
      <c r="BA100" s="333"/>
      <c r="BB100" s="333"/>
      <c r="BC100" s="333"/>
      <c r="BD100" s="333"/>
      <c r="BE100" s="333"/>
      <c r="BF100" s="333"/>
      <c r="BG100" s="333"/>
      <c r="BH100" s="333"/>
      <c r="BI100" s="333"/>
    </row>
    <row r="101" spans="1:61" ht="30" customHeight="1" thickBot="1" x14ac:dyDescent="0.25">
      <c r="A101" s="2340" t="str">
        <f>F!A134</f>
        <v>F30</v>
      </c>
      <c r="B101" s="2339" t="str">
        <f>F!B134</f>
        <v>Total Woody Cover -% of the Vegetated AA</v>
      </c>
      <c r="C101" s="1158" t="str">
        <f>F!C134</f>
        <v>Within the entire vegetated part of the AA, the percentage occupied by trees or shrubs taller than 1 m is:</v>
      </c>
      <c r="D101" s="1145"/>
      <c r="E101" s="359"/>
      <c r="F101" s="359"/>
      <c r="G101" s="552">
        <f>MAX(F102:F106)/MAX(E102:E106)</f>
        <v>0</v>
      </c>
      <c r="H101" s="2274" t="s">
        <v>648</v>
      </c>
      <c r="I101" s="2136" t="s">
        <v>1841</v>
      </c>
      <c r="J101" s="273"/>
      <c r="K101" s="333"/>
      <c r="L101" s="333"/>
      <c r="M101" s="333"/>
      <c r="N101" s="333"/>
      <c r="O101" s="333"/>
      <c r="P101" s="333"/>
      <c r="Q101" s="333"/>
      <c r="R101" s="333"/>
      <c r="S101" s="333"/>
      <c r="T101" s="333"/>
      <c r="U101" s="333"/>
      <c r="V101" s="333"/>
      <c r="W101" s="333"/>
      <c r="X101" s="333"/>
      <c r="Y101" s="333"/>
      <c r="Z101" s="333"/>
      <c r="AA101" s="333"/>
      <c r="AB101" s="333"/>
      <c r="AC101" s="333"/>
      <c r="AD101" s="333"/>
      <c r="AE101" s="333"/>
      <c r="AF101" s="333"/>
      <c r="AG101" s="333"/>
      <c r="AH101" s="333"/>
      <c r="AI101" s="333"/>
      <c r="AJ101" s="333"/>
      <c r="AK101" s="333"/>
      <c r="AL101" s="333"/>
      <c r="AM101" s="333"/>
      <c r="AN101" s="333"/>
      <c r="AO101" s="333"/>
      <c r="AP101" s="333"/>
      <c r="AQ101" s="333"/>
      <c r="AR101" s="333"/>
      <c r="AS101" s="333"/>
      <c r="AT101" s="333"/>
      <c r="AU101" s="333"/>
      <c r="AV101" s="333"/>
      <c r="AW101" s="333"/>
      <c r="AX101" s="333"/>
      <c r="AY101" s="333"/>
      <c r="AZ101" s="333"/>
      <c r="BA101" s="333"/>
      <c r="BB101" s="333"/>
      <c r="BC101" s="333"/>
      <c r="BD101" s="333"/>
      <c r="BE101" s="333"/>
      <c r="BF101" s="333"/>
      <c r="BG101" s="333"/>
      <c r="BH101" s="333"/>
      <c r="BI101" s="333"/>
    </row>
    <row r="102" spans="1:61" ht="15" customHeight="1" x14ac:dyDescent="0.2">
      <c r="A102" s="2340"/>
      <c r="B102" s="2339"/>
      <c r="C102" s="1015" t="str">
        <f>F!C135</f>
        <v>&lt;5% of the vegetated AA, or there is no woody vegetation in the AA.  SKIP to F38 (N Fixers)</v>
      </c>
      <c r="D102" s="308">
        <f>F!D135</f>
        <v>0</v>
      </c>
      <c r="E102" s="351">
        <v>4</v>
      </c>
      <c r="F102" s="360">
        <f>D102*E102</f>
        <v>0</v>
      </c>
      <c r="G102" s="546"/>
      <c r="H102" s="2275"/>
      <c r="I102" s="2136"/>
      <c r="J102" s="273"/>
      <c r="K102" s="333"/>
      <c r="L102" s="333"/>
      <c r="M102" s="333"/>
      <c r="N102" s="333"/>
      <c r="O102" s="333"/>
      <c r="P102" s="333"/>
      <c r="Q102" s="333"/>
      <c r="R102" s="333"/>
      <c r="S102" s="333"/>
      <c r="T102" s="333"/>
      <c r="U102" s="333"/>
      <c r="V102" s="333"/>
      <c r="W102" s="333"/>
      <c r="X102" s="333"/>
      <c r="Y102" s="333"/>
      <c r="Z102" s="333"/>
      <c r="AA102" s="333"/>
      <c r="AB102" s="333"/>
      <c r="AC102" s="333"/>
      <c r="AD102" s="333"/>
      <c r="AE102" s="333"/>
      <c r="AF102" s="333"/>
      <c r="AG102" s="333"/>
      <c r="AH102" s="333"/>
      <c r="AI102" s="333"/>
      <c r="AJ102" s="333"/>
      <c r="AK102" s="333"/>
      <c r="AL102" s="333"/>
      <c r="AM102" s="333"/>
      <c r="AN102" s="333"/>
      <c r="AO102" s="333"/>
      <c r="AP102" s="333"/>
      <c r="AQ102" s="333"/>
      <c r="AR102" s="333"/>
      <c r="AS102" s="333"/>
      <c r="AT102" s="333"/>
      <c r="AU102" s="333"/>
      <c r="AV102" s="333"/>
      <c r="AW102" s="333"/>
      <c r="AX102" s="333"/>
      <c r="AY102" s="333"/>
      <c r="AZ102" s="333"/>
      <c r="BA102" s="333"/>
      <c r="BB102" s="333"/>
      <c r="BC102" s="333"/>
      <c r="BD102" s="333"/>
      <c r="BE102" s="333"/>
      <c r="BF102" s="333"/>
      <c r="BG102" s="333"/>
      <c r="BH102" s="333"/>
      <c r="BI102" s="333"/>
    </row>
    <row r="103" spans="1:61" ht="15" customHeight="1" x14ac:dyDescent="0.2">
      <c r="A103" s="2340"/>
      <c r="B103" s="2339"/>
      <c r="C103" s="1013" t="str">
        <f>F!C136</f>
        <v xml:space="preserve">5-25%.  </v>
      </c>
      <c r="D103" s="123">
        <f>F!D136</f>
        <v>0</v>
      </c>
      <c r="E103" s="351">
        <v>3</v>
      </c>
      <c r="F103" s="360">
        <f>D103*E103</f>
        <v>0</v>
      </c>
      <c r="G103" s="546"/>
      <c r="H103" s="2275"/>
      <c r="I103" s="2136"/>
      <c r="J103" s="273"/>
      <c r="K103" s="333"/>
      <c r="L103" s="333"/>
      <c r="M103" s="333"/>
      <c r="N103" s="333"/>
      <c r="O103" s="333"/>
      <c r="P103" s="333"/>
      <c r="Q103" s="333"/>
      <c r="R103" s="333"/>
      <c r="S103" s="333"/>
      <c r="T103" s="333"/>
      <c r="U103" s="333"/>
      <c r="V103" s="333"/>
      <c r="W103" s="333"/>
      <c r="X103" s="333"/>
      <c r="Y103" s="333"/>
      <c r="Z103" s="333"/>
      <c r="AA103" s="333"/>
      <c r="AB103" s="333"/>
      <c r="AC103" s="333"/>
      <c r="AD103" s="333"/>
      <c r="AE103" s="333"/>
      <c r="AF103" s="333"/>
      <c r="AG103" s="333"/>
      <c r="AH103" s="333"/>
      <c r="AI103" s="333"/>
      <c r="AJ103" s="333"/>
      <c r="AK103" s="333"/>
      <c r="AL103" s="333"/>
      <c r="AM103" s="333"/>
      <c r="AN103" s="333"/>
      <c r="AO103" s="333"/>
      <c r="AP103" s="333"/>
      <c r="AQ103" s="333"/>
      <c r="AR103" s="333"/>
      <c r="AS103" s="333"/>
      <c r="AT103" s="333"/>
      <c r="AU103" s="333"/>
      <c r="AV103" s="333"/>
      <c r="AW103" s="333"/>
      <c r="AX103" s="333"/>
      <c r="AY103" s="333"/>
      <c r="AZ103" s="333"/>
      <c r="BA103" s="333"/>
      <c r="BB103" s="333"/>
      <c r="BC103" s="333"/>
      <c r="BD103" s="333"/>
      <c r="BE103" s="333"/>
      <c r="BF103" s="333"/>
      <c r="BG103" s="333"/>
      <c r="BH103" s="333"/>
      <c r="BI103" s="333"/>
    </row>
    <row r="104" spans="1:61" ht="15" customHeight="1" x14ac:dyDescent="0.2">
      <c r="A104" s="2340"/>
      <c r="B104" s="2339"/>
      <c r="C104" s="1013" t="str">
        <f>F!C137</f>
        <v>25-50%</v>
      </c>
      <c r="D104" s="123">
        <f>F!D137</f>
        <v>0</v>
      </c>
      <c r="E104" s="351">
        <v>2</v>
      </c>
      <c r="F104" s="360">
        <f>D104*E104</f>
        <v>0</v>
      </c>
      <c r="G104" s="546"/>
      <c r="H104" s="2275"/>
      <c r="I104" s="2136"/>
      <c r="J104" s="273"/>
      <c r="K104" s="333"/>
      <c r="L104" s="333"/>
      <c r="M104" s="333"/>
      <c r="N104" s="333"/>
      <c r="O104" s="333"/>
      <c r="P104" s="333"/>
      <c r="Q104" s="333"/>
      <c r="R104" s="333"/>
      <c r="S104" s="333"/>
      <c r="T104" s="333"/>
      <c r="U104" s="333"/>
      <c r="V104" s="333"/>
      <c r="W104" s="333"/>
      <c r="X104" s="333"/>
      <c r="Y104" s="333"/>
      <c r="Z104" s="333"/>
      <c r="AA104" s="333"/>
      <c r="AB104" s="333"/>
      <c r="AC104" s="333"/>
      <c r="AD104" s="333"/>
      <c r="AE104" s="333"/>
      <c r="AF104" s="333"/>
      <c r="AG104" s="333"/>
      <c r="AH104" s="333"/>
      <c r="AI104" s="333"/>
      <c r="AJ104" s="333"/>
      <c r="AK104" s="333"/>
      <c r="AL104" s="333"/>
      <c r="AM104" s="333"/>
      <c r="AN104" s="333"/>
      <c r="AO104" s="333"/>
      <c r="AP104" s="333"/>
      <c r="AQ104" s="333"/>
      <c r="AR104" s="333"/>
      <c r="AS104" s="333"/>
      <c r="AT104" s="333"/>
      <c r="AU104" s="333"/>
      <c r="AV104" s="333"/>
      <c r="AW104" s="333"/>
      <c r="AX104" s="333"/>
      <c r="AY104" s="333"/>
      <c r="AZ104" s="333"/>
      <c r="BA104" s="333"/>
      <c r="BB104" s="333"/>
      <c r="BC104" s="333"/>
      <c r="BD104" s="333"/>
      <c r="BE104" s="333"/>
      <c r="BF104" s="333"/>
      <c r="BG104" s="333"/>
      <c r="BH104" s="333"/>
      <c r="BI104" s="333"/>
    </row>
    <row r="105" spans="1:61" ht="15" customHeight="1" x14ac:dyDescent="0.2">
      <c r="A105" s="2340"/>
      <c r="B105" s="2339"/>
      <c r="C105" s="1013" t="str">
        <f>F!C138</f>
        <v>50-75%</v>
      </c>
      <c r="D105" s="123">
        <f>F!D138</f>
        <v>0</v>
      </c>
      <c r="E105" s="351">
        <v>1</v>
      </c>
      <c r="F105" s="360">
        <f>D105*E105</f>
        <v>0</v>
      </c>
      <c r="G105" s="546"/>
      <c r="H105" s="2275"/>
      <c r="I105" s="2136"/>
      <c r="J105" s="273"/>
      <c r="K105" s="333"/>
      <c r="L105" s="333"/>
      <c r="M105" s="333"/>
      <c r="N105" s="333"/>
      <c r="O105" s="333"/>
      <c r="P105" s="333"/>
      <c r="Q105" s="333"/>
      <c r="R105" s="333"/>
      <c r="S105" s="333"/>
      <c r="T105" s="333"/>
      <c r="U105" s="333"/>
      <c r="V105" s="333"/>
      <c r="W105" s="333"/>
      <c r="X105" s="333"/>
      <c r="Y105" s="333"/>
      <c r="Z105" s="333"/>
      <c r="AA105" s="333"/>
      <c r="AB105" s="333"/>
      <c r="AC105" s="333"/>
      <c r="AD105" s="333"/>
      <c r="AE105" s="333"/>
      <c r="AF105" s="333"/>
      <c r="AG105" s="333"/>
      <c r="AH105" s="333"/>
      <c r="AI105" s="333"/>
      <c r="AJ105" s="333"/>
      <c r="AK105" s="333"/>
      <c r="AL105" s="333"/>
      <c r="AM105" s="333"/>
      <c r="AN105" s="333"/>
      <c r="AO105" s="333"/>
      <c r="AP105" s="333"/>
      <c r="AQ105" s="333"/>
      <c r="AR105" s="333"/>
      <c r="AS105" s="333"/>
      <c r="AT105" s="333"/>
      <c r="AU105" s="333"/>
      <c r="AV105" s="333"/>
      <c r="AW105" s="333"/>
      <c r="AX105" s="333"/>
      <c r="AY105" s="333"/>
      <c r="AZ105" s="333"/>
      <c r="BA105" s="333"/>
      <c r="BB105" s="333"/>
      <c r="BC105" s="333"/>
      <c r="BD105" s="333"/>
      <c r="BE105" s="333"/>
      <c r="BF105" s="333"/>
      <c r="BG105" s="333"/>
      <c r="BH105" s="333"/>
      <c r="BI105" s="333"/>
    </row>
    <row r="106" spans="1:61" ht="15" customHeight="1" thickBot="1" x14ac:dyDescent="0.25">
      <c r="A106" s="2340"/>
      <c r="B106" s="2339"/>
      <c r="C106" s="1162" t="str">
        <f>F!C139</f>
        <v>&gt;75%</v>
      </c>
      <c r="D106" s="634">
        <f>F!D139</f>
        <v>0</v>
      </c>
      <c r="E106" s="636">
        <v>0</v>
      </c>
      <c r="F106" s="636">
        <f>D106*E106</f>
        <v>0</v>
      </c>
      <c r="G106" s="1142"/>
      <c r="H106" s="2276"/>
      <c r="I106" s="2136"/>
      <c r="J106" s="273"/>
      <c r="K106" s="333"/>
      <c r="L106" s="333"/>
      <c r="M106" s="333"/>
      <c r="N106" s="333"/>
      <c r="O106" s="333"/>
      <c r="P106" s="333"/>
      <c r="Q106" s="333"/>
      <c r="R106" s="333"/>
      <c r="S106" s="333"/>
      <c r="T106" s="333"/>
      <c r="U106" s="333"/>
      <c r="V106" s="333"/>
      <c r="W106" s="333"/>
      <c r="X106" s="333"/>
      <c r="Y106" s="333"/>
      <c r="Z106" s="333"/>
      <c r="AA106" s="333"/>
      <c r="AB106" s="333"/>
      <c r="AC106" s="333"/>
      <c r="AD106" s="333"/>
      <c r="AE106" s="333"/>
      <c r="AF106" s="333"/>
      <c r="AG106" s="333"/>
      <c r="AH106" s="333"/>
      <c r="AI106" s="333"/>
      <c r="AJ106" s="333"/>
      <c r="AK106" s="333"/>
      <c r="AL106" s="333"/>
      <c r="AM106" s="333"/>
      <c r="AN106" s="333"/>
      <c r="AO106" s="333"/>
      <c r="AP106" s="333"/>
      <c r="AQ106" s="333"/>
      <c r="AR106" s="333"/>
      <c r="AS106" s="333"/>
      <c r="AT106" s="333"/>
      <c r="AU106" s="333"/>
      <c r="AV106" s="333"/>
      <c r="AW106" s="333"/>
      <c r="AX106" s="333"/>
      <c r="AY106" s="333"/>
      <c r="AZ106" s="333"/>
      <c r="BA106" s="333"/>
      <c r="BB106" s="333"/>
      <c r="BC106" s="333"/>
      <c r="BD106" s="333"/>
      <c r="BE106" s="333"/>
      <c r="BF106" s="333"/>
      <c r="BG106" s="333"/>
      <c r="BH106" s="333"/>
      <c r="BI106" s="333"/>
    </row>
    <row r="107" spans="1:61" s="55" customFormat="1" ht="41.25" customHeight="1" thickBot="1" x14ac:dyDescent="0.25">
      <c r="A107" s="2336" t="str">
        <f>F!A151</f>
        <v>F33</v>
      </c>
      <c r="B107" s="2332" t="str">
        <f>F!B151</f>
        <v>Woody Diameter Classes</v>
      </c>
      <c r="C107" s="1129" t="str">
        <f>F!C151</f>
        <v>Mark all the classes of woody plants within the AA, but only IF they comprise more than 5% of the woody canopy within the AA.  Do not count trees that adjoin but are not within the AA.</v>
      </c>
      <c r="D107" s="1164"/>
      <c r="E107" s="1165"/>
      <c r="F107" s="553"/>
      <c r="G107" s="340">
        <f>IF((NoTrees=1),"", (MAX(F108:F115)/MAX(E108:E115)))</f>
        <v>0</v>
      </c>
      <c r="H107" s="2139" t="s">
        <v>171</v>
      </c>
      <c r="I107" s="2135" t="s">
        <v>2111</v>
      </c>
      <c r="J107" s="212"/>
      <c r="K107" s="396"/>
      <c r="L107" s="396"/>
      <c r="M107" s="396"/>
      <c r="N107" s="396"/>
      <c r="O107" s="396"/>
      <c r="P107" s="396"/>
      <c r="Q107" s="396"/>
      <c r="R107" s="396"/>
      <c r="S107" s="396"/>
      <c r="T107" s="396"/>
      <c r="U107" s="396"/>
      <c r="V107" s="396"/>
      <c r="W107" s="396"/>
      <c r="X107" s="396"/>
      <c r="Y107" s="396"/>
      <c r="Z107" s="396"/>
      <c r="AA107" s="396"/>
      <c r="AB107" s="396"/>
      <c r="AC107" s="396"/>
      <c r="AD107" s="396"/>
      <c r="AE107" s="396"/>
      <c r="AF107" s="396"/>
      <c r="AG107" s="396"/>
      <c r="AH107" s="396"/>
      <c r="AI107" s="396"/>
      <c r="AJ107" s="396"/>
      <c r="AK107" s="396"/>
      <c r="AL107" s="396"/>
      <c r="AM107" s="396"/>
      <c r="AN107" s="396"/>
      <c r="AO107" s="396"/>
      <c r="AP107" s="396"/>
      <c r="AQ107" s="396"/>
      <c r="AR107" s="396"/>
      <c r="AS107" s="396"/>
      <c r="AT107" s="396"/>
      <c r="AU107" s="396"/>
      <c r="AV107" s="396"/>
      <c r="AW107" s="396"/>
      <c r="AX107" s="396"/>
      <c r="AY107" s="396"/>
      <c r="AZ107" s="396"/>
      <c r="BA107" s="396"/>
      <c r="BB107" s="396"/>
      <c r="BC107" s="396"/>
      <c r="BD107" s="396"/>
      <c r="BE107" s="396"/>
      <c r="BF107" s="396"/>
      <c r="BG107" s="396"/>
      <c r="BH107" s="396"/>
      <c r="BI107" s="396"/>
    </row>
    <row r="108" spans="1:61" s="55" customFormat="1" ht="15" customHeight="1" x14ac:dyDescent="0.2">
      <c r="A108" s="2328"/>
      <c r="B108" s="2333"/>
      <c r="C108" s="1126" t="str">
        <f>F!C152</f>
        <v>coniferous, 1-9 cm diameter and &gt;1 m tall</v>
      </c>
      <c r="D108" s="1149">
        <f>F!D152</f>
        <v>0</v>
      </c>
      <c r="E108" s="1166">
        <v>0</v>
      </c>
      <c r="F108" s="1151">
        <f t="shared" ref="F108:F115" si="3">D108*E108</f>
        <v>0</v>
      </c>
      <c r="G108" s="545"/>
      <c r="H108" s="2140"/>
      <c r="I108" s="2136"/>
      <c r="J108" s="212"/>
      <c r="K108" s="396"/>
      <c r="L108" s="396"/>
      <c r="M108" s="396"/>
      <c r="N108" s="396"/>
      <c r="O108" s="396"/>
      <c r="P108" s="396"/>
      <c r="Q108" s="396"/>
      <c r="R108" s="396"/>
      <c r="S108" s="396"/>
      <c r="T108" s="396"/>
      <c r="U108" s="396"/>
      <c r="V108" s="396"/>
      <c r="W108" s="396"/>
      <c r="X108" s="396"/>
      <c r="Y108" s="396"/>
      <c r="Z108" s="396"/>
      <c r="AA108" s="396"/>
      <c r="AB108" s="396"/>
      <c r="AC108" s="396"/>
      <c r="AD108" s="396"/>
      <c r="AE108" s="396"/>
      <c r="AF108" s="396"/>
      <c r="AG108" s="396"/>
      <c r="AH108" s="396"/>
      <c r="AI108" s="396"/>
      <c r="AJ108" s="396"/>
      <c r="AK108" s="396"/>
      <c r="AL108" s="396"/>
      <c r="AM108" s="396"/>
      <c r="AN108" s="396"/>
      <c r="AO108" s="396"/>
      <c r="AP108" s="396"/>
      <c r="AQ108" s="396"/>
      <c r="AR108" s="396"/>
      <c r="AS108" s="396"/>
      <c r="AT108" s="396"/>
      <c r="AU108" s="396"/>
      <c r="AV108" s="396"/>
      <c r="AW108" s="396"/>
      <c r="AX108" s="396"/>
      <c r="AY108" s="396"/>
      <c r="AZ108" s="396"/>
      <c r="BA108" s="396"/>
      <c r="BB108" s="396"/>
      <c r="BC108" s="396"/>
      <c r="BD108" s="396"/>
      <c r="BE108" s="396"/>
      <c r="BF108" s="396"/>
      <c r="BG108" s="396"/>
      <c r="BH108" s="396"/>
      <c r="BI108" s="396"/>
    </row>
    <row r="109" spans="1:61" s="55" customFormat="1" ht="15" customHeight="1" x14ac:dyDescent="0.2">
      <c r="A109" s="2328"/>
      <c r="B109" s="2333"/>
      <c r="C109" s="1127" t="str">
        <f>F!C153</f>
        <v>broad-leaved deciduous 1-9 cm diameter and &gt;1 m tall</v>
      </c>
      <c r="D109" s="1149">
        <f>F!D153</f>
        <v>0</v>
      </c>
      <c r="E109" s="1166">
        <v>0</v>
      </c>
      <c r="F109" s="1151">
        <f t="shared" si="3"/>
        <v>0</v>
      </c>
      <c r="G109" s="546"/>
      <c r="H109" s="2140"/>
      <c r="I109" s="2136"/>
      <c r="J109" s="212"/>
      <c r="K109" s="396"/>
      <c r="L109" s="396"/>
      <c r="M109" s="396"/>
      <c r="N109" s="396"/>
      <c r="O109" s="396"/>
      <c r="P109" s="396"/>
      <c r="Q109" s="396"/>
      <c r="R109" s="396"/>
      <c r="S109" s="396"/>
      <c r="T109" s="396"/>
      <c r="U109" s="396"/>
      <c r="V109" s="396"/>
      <c r="W109" s="396"/>
      <c r="X109" s="396"/>
      <c r="Y109" s="396"/>
      <c r="Z109" s="396"/>
      <c r="AA109" s="396"/>
      <c r="AB109" s="396"/>
      <c r="AC109" s="396"/>
      <c r="AD109" s="396"/>
      <c r="AE109" s="396"/>
      <c r="AF109" s="396"/>
      <c r="AG109" s="396"/>
      <c r="AH109" s="396"/>
      <c r="AI109" s="396"/>
      <c r="AJ109" s="396"/>
      <c r="AK109" s="396"/>
      <c r="AL109" s="396"/>
      <c r="AM109" s="396"/>
      <c r="AN109" s="396"/>
      <c r="AO109" s="396"/>
      <c r="AP109" s="396"/>
      <c r="AQ109" s="396"/>
      <c r="AR109" s="396"/>
      <c r="AS109" s="396"/>
      <c r="AT109" s="396"/>
      <c r="AU109" s="396"/>
      <c r="AV109" s="396"/>
      <c r="AW109" s="396"/>
      <c r="AX109" s="396"/>
      <c r="AY109" s="396"/>
      <c r="AZ109" s="396"/>
      <c r="BA109" s="396"/>
      <c r="BB109" s="396"/>
      <c r="BC109" s="396"/>
      <c r="BD109" s="396"/>
      <c r="BE109" s="396"/>
      <c r="BF109" s="396"/>
      <c r="BG109" s="396"/>
      <c r="BH109" s="396"/>
      <c r="BI109" s="396"/>
    </row>
    <row r="110" spans="1:61" s="55" customFormat="1" ht="15" customHeight="1" x14ac:dyDescent="0.2">
      <c r="A110" s="2328"/>
      <c r="B110" s="2333"/>
      <c r="C110" s="1127" t="str">
        <f>F!C154</f>
        <v>coniferous, 10-19 cm diameter</v>
      </c>
      <c r="D110" s="1149">
        <f>F!D154</f>
        <v>0</v>
      </c>
      <c r="E110" s="1166">
        <v>0</v>
      </c>
      <c r="F110" s="1151">
        <f t="shared" si="3"/>
        <v>0</v>
      </c>
      <c r="G110" s="546"/>
      <c r="H110" s="2140"/>
      <c r="I110" s="2136"/>
      <c r="J110" s="212"/>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396"/>
      <c r="BC110" s="396"/>
      <c r="BD110" s="396"/>
      <c r="BE110" s="396"/>
      <c r="BF110" s="396"/>
      <c r="BG110" s="396"/>
      <c r="BH110" s="396"/>
      <c r="BI110" s="396"/>
    </row>
    <row r="111" spans="1:61" s="55" customFormat="1" ht="15" customHeight="1" x14ac:dyDescent="0.2">
      <c r="A111" s="2328"/>
      <c r="B111" s="2333"/>
      <c r="C111" s="1127" t="str">
        <f>F!C155</f>
        <v>broad-leaved deciduous 10-19 cm diameter</v>
      </c>
      <c r="D111" s="1149">
        <f>F!D155</f>
        <v>0</v>
      </c>
      <c r="E111" s="1166">
        <v>0</v>
      </c>
      <c r="F111" s="1151">
        <f t="shared" si="3"/>
        <v>0</v>
      </c>
      <c r="G111" s="546"/>
      <c r="H111" s="2140"/>
      <c r="I111" s="2136"/>
      <c r="J111" s="212"/>
      <c r="K111" s="396"/>
      <c r="L111" s="396"/>
      <c r="M111" s="396"/>
      <c r="N111" s="396"/>
      <c r="O111" s="396"/>
      <c r="P111" s="396"/>
      <c r="Q111" s="396"/>
      <c r="R111" s="396"/>
      <c r="S111" s="396"/>
      <c r="T111" s="396"/>
      <c r="U111" s="396"/>
      <c r="V111" s="396"/>
      <c r="W111" s="396"/>
      <c r="X111" s="396"/>
      <c r="Y111" s="396"/>
      <c r="Z111" s="396"/>
      <c r="AA111" s="396"/>
      <c r="AB111" s="396"/>
      <c r="AC111" s="396"/>
      <c r="AD111" s="396"/>
      <c r="AE111" s="396"/>
      <c r="AF111" s="396"/>
      <c r="AG111" s="396"/>
      <c r="AH111" s="396"/>
      <c r="AI111" s="396"/>
      <c r="AJ111" s="396"/>
      <c r="AK111" s="396"/>
      <c r="AL111" s="396"/>
      <c r="AM111" s="396"/>
      <c r="AN111" s="396"/>
      <c r="AO111" s="396"/>
      <c r="AP111" s="396"/>
      <c r="AQ111" s="396"/>
      <c r="AR111" s="396"/>
      <c r="AS111" s="396"/>
      <c r="AT111" s="396"/>
      <c r="AU111" s="396"/>
      <c r="AV111" s="396"/>
      <c r="AW111" s="396"/>
      <c r="AX111" s="396"/>
      <c r="AY111" s="396"/>
      <c r="AZ111" s="396"/>
      <c r="BA111" s="396"/>
      <c r="BB111" s="396"/>
      <c r="BC111" s="396"/>
      <c r="BD111" s="396"/>
      <c r="BE111" s="396"/>
      <c r="BF111" s="396"/>
      <c r="BG111" s="396"/>
      <c r="BH111" s="396"/>
      <c r="BI111" s="396"/>
    </row>
    <row r="112" spans="1:61" s="55" customFormat="1" ht="15" customHeight="1" x14ac:dyDescent="0.2">
      <c r="A112" s="2328"/>
      <c r="B112" s="2333"/>
      <c r="C112" s="1127" t="str">
        <f>F!C156</f>
        <v>coniferous, 20-40 cm diameter</v>
      </c>
      <c r="D112" s="1149">
        <f>F!D156</f>
        <v>0</v>
      </c>
      <c r="E112" s="1166">
        <v>2</v>
      </c>
      <c r="F112" s="1151">
        <f t="shared" si="3"/>
        <v>0</v>
      </c>
      <c r="G112" s="546"/>
      <c r="H112" s="2140"/>
      <c r="I112" s="2136"/>
      <c r="J112" s="212"/>
      <c r="K112" s="396"/>
      <c r="L112" s="396"/>
      <c r="M112" s="396"/>
      <c r="N112" s="396"/>
      <c r="O112" s="396"/>
      <c r="P112" s="396"/>
      <c r="Q112" s="396"/>
      <c r="R112" s="396"/>
      <c r="S112" s="396"/>
      <c r="T112" s="396"/>
      <c r="U112" s="396"/>
      <c r="V112" s="396"/>
      <c r="W112" s="396"/>
      <c r="X112" s="396"/>
      <c r="Y112" s="396"/>
      <c r="Z112" s="396"/>
      <c r="AA112" s="396"/>
      <c r="AB112" s="396"/>
      <c r="AC112" s="396"/>
      <c r="AD112" s="396"/>
      <c r="AE112" s="396"/>
      <c r="AF112" s="396"/>
      <c r="AG112" s="396"/>
      <c r="AH112" s="396"/>
      <c r="AI112" s="396"/>
      <c r="AJ112" s="396"/>
      <c r="AK112" s="396"/>
      <c r="AL112" s="396"/>
      <c r="AM112" s="396"/>
      <c r="AN112" s="396"/>
      <c r="AO112" s="396"/>
      <c r="AP112" s="396"/>
      <c r="AQ112" s="396"/>
      <c r="AR112" s="396"/>
      <c r="AS112" s="396"/>
      <c r="AT112" s="396"/>
      <c r="AU112" s="396"/>
      <c r="AV112" s="396"/>
      <c r="AW112" s="396"/>
      <c r="AX112" s="396"/>
      <c r="AY112" s="396"/>
      <c r="AZ112" s="396"/>
      <c r="BA112" s="396"/>
      <c r="BB112" s="396"/>
      <c r="BC112" s="396"/>
      <c r="BD112" s="396"/>
      <c r="BE112" s="396"/>
      <c r="BF112" s="396"/>
      <c r="BG112" s="396"/>
      <c r="BH112" s="396"/>
      <c r="BI112" s="396"/>
    </row>
    <row r="113" spans="1:61" s="55" customFormat="1" ht="15" customHeight="1" x14ac:dyDescent="0.2">
      <c r="A113" s="2328"/>
      <c r="B113" s="2333"/>
      <c r="C113" s="1127" t="str">
        <f>F!C157</f>
        <v>broad-leaved deciduous 20-40 cm diameter</v>
      </c>
      <c r="D113" s="1149">
        <f>F!D157</f>
        <v>0</v>
      </c>
      <c r="E113" s="1166">
        <v>2</v>
      </c>
      <c r="F113" s="1151">
        <f t="shared" si="3"/>
        <v>0</v>
      </c>
      <c r="G113" s="546"/>
      <c r="H113" s="2140"/>
      <c r="I113" s="2136"/>
      <c r="J113" s="212"/>
      <c r="K113" s="396"/>
      <c r="L113" s="396"/>
      <c r="M113" s="396"/>
      <c r="N113" s="396"/>
      <c r="O113" s="396"/>
      <c r="P113" s="396"/>
      <c r="Q113" s="396"/>
      <c r="R113" s="396"/>
      <c r="S113" s="396"/>
      <c r="T113" s="396"/>
      <c r="U113" s="396"/>
      <c r="V113" s="396"/>
      <c r="W113" s="396"/>
      <c r="X113" s="396"/>
      <c r="Y113" s="396"/>
      <c r="Z113" s="396"/>
      <c r="AA113" s="396"/>
      <c r="AB113" s="396"/>
      <c r="AC113" s="396"/>
      <c r="AD113" s="396"/>
      <c r="AE113" s="396"/>
      <c r="AF113" s="396"/>
      <c r="AG113" s="396"/>
      <c r="AH113" s="396"/>
      <c r="AI113" s="396"/>
      <c r="AJ113" s="396"/>
      <c r="AK113" s="396"/>
      <c r="AL113" s="396"/>
      <c r="AM113" s="396"/>
      <c r="AN113" s="396"/>
      <c r="AO113" s="396"/>
      <c r="AP113" s="396"/>
      <c r="AQ113" s="396"/>
      <c r="AR113" s="396"/>
      <c r="AS113" s="396"/>
      <c r="AT113" s="396"/>
      <c r="AU113" s="396"/>
      <c r="AV113" s="396"/>
      <c r="AW113" s="396"/>
      <c r="AX113" s="396"/>
      <c r="AY113" s="396"/>
      <c r="AZ113" s="396"/>
      <c r="BA113" s="396"/>
      <c r="BB113" s="396"/>
      <c r="BC113" s="396"/>
      <c r="BD113" s="396"/>
      <c r="BE113" s="396"/>
      <c r="BF113" s="396"/>
      <c r="BG113" s="396"/>
      <c r="BH113" s="396"/>
      <c r="BI113" s="396"/>
    </row>
    <row r="114" spans="1:61" s="55" customFormat="1" ht="15" customHeight="1" x14ac:dyDescent="0.2">
      <c r="A114" s="2328"/>
      <c r="B114" s="2333"/>
      <c r="C114" s="1127" t="str">
        <f>F!C158</f>
        <v>coniferous, &gt;40 cm diameter</v>
      </c>
      <c r="D114" s="1149">
        <f>F!D158</f>
        <v>0</v>
      </c>
      <c r="E114" s="1166">
        <v>3</v>
      </c>
      <c r="F114" s="1151">
        <f t="shared" si="3"/>
        <v>0</v>
      </c>
      <c r="G114" s="546"/>
      <c r="H114" s="2140"/>
      <c r="I114" s="2136"/>
      <c r="J114" s="212"/>
      <c r="K114" s="396"/>
      <c r="L114" s="396"/>
      <c r="M114" s="396"/>
      <c r="N114" s="396"/>
      <c r="O114" s="396"/>
      <c r="P114" s="396"/>
      <c r="Q114" s="396"/>
      <c r="R114" s="396"/>
      <c r="S114" s="396"/>
      <c r="T114" s="396"/>
      <c r="U114" s="396"/>
      <c r="V114" s="396"/>
      <c r="W114" s="396"/>
      <c r="X114" s="396"/>
      <c r="Y114" s="396"/>
      <c r="Z114" s="396"/>
      <c r="AA114" s="396"/>
      <c r="AB114" s="396"/>
      <c r="AC114" s="396"/>
      <c r="AD114" s="396"/>
      <c r="AE114" s="396"/>
      <c r="AF114" s="396"/>
      <c r="AG114" s="396"/>
      <c r="AH114" s="396"/>
      <c r="AI114" s="396"/>
      <c r="AJ114" s="396"/>
      <c r="AK114" s="396"/>
      <c r="AL114" s="396"/>
      <c r="AM114" s="396"/>
      <c r="AN114" s="396"/>
      <c r="AO114" s="396"/>
      <c r="AP114" s="396"/>
      <c r="AQ114" s="396"/>
      <c r="AR114" s="396"/>
      <c r="AS114" s="396"/>
      <c r="AT114" s="396"/>
      <c r="AU114" s="396"/>
      <c r="AV114" s="396"/>
      <c r="AW114" s="396"/>
      <c r="AX114" s="396"/>
      <c r="AY114" s="396"/>
      <c r="AZ114" s="396"/>
      <c r="BA114" s="396"/>
      <c r="BB114" s="396"/>
      <c r="BC114" s="396"/>
      <c r="BD114" s="396"/>
      <c r="BE114" s="396"/>
      <c r="BF114" s="396"/>
      <c r="BG114" s="396"/>
      <c r="BH114" s="396"/>
      <c r="BI114" s="396"/>
    </row>
    <row r="115" spans="1:61" s="55" customFormat="1" ht="15" customHeight="1" thickBot="1" x14ac:dyDescent="0.25">
      <c r="A115" s="2337"/>
      <c r="B115" s="2334"/>
      <c r="C115" s="1130" t="str">
        <f>F!C159</f>
        <v>broad-leaved deciduous &gt;40 cm diameter</v>
      </c>
      <c r="D115" s="305">
        <f>F!D159</f>
        <v>0</v>
      </c>
      <c r="E115" s="560">
        <v>3</v>
      </c>
      <c r="F115" s="1167">
        <f t="shared" si="3"/>
        <v>0</v>
      </c>
      <c r="G115" s="547"/>
      <c r="H115" s="2141"/>
      <c r="I115" s="2137"/>
      <c r="J115" s="212"/>
      <c r="K115" s="396"/>
      <c r="L115" s="396"/>
      <c r="M115" s="396"/>
      <c r="N115" s="396"/>
      <c r="O115" s="396"/>
      <c r="P115" s="396"/>
      <c r="Q115" s="396"/>
      <c r="R115" s="396"/>
      <c r="S115" s="396"/>
      <c r="T115" s="396"/>
      <c r="U115" s="396"/>
      <c r="V115" s="396"/>
      <c r="W115" s="396"/>
      <c r="X115" s="396"/>
      <c r="Y115" s="396"/>
      <c r="Z115" s="396"/>
      <c r="AA115" s="396"/>
      <c r="AB115" s="396"/>
      <c r="AC115" s="396"/>
      <c r="AD115" s="396"/>
      <c r="AE115" s="396"/>
      <c r="AF115" s="396"/>
      <c r="AG115" s="396"/>
      <c r="AH115" s="396"/>
      <c r="AI115" s="396"/>
      <c r="AJ115" s="396"/>
      <c r="AK115" s="396"/>
      <c r="AL115" s="396"/>
      <c r="AM115" s="396"/>
      <c r="AN115" s="396"/>
      <c r="AO115" s="396"/>
      <c r="AP115" s="396"/>
      <c r="AQ115" s="396"/>
      <c r="AR115" s="396"/>
      <c r="AS115" s="396"/>
      <c r="AT115" s="396"/>
      <c r="AU115" s="396"/>
      <c r="AV115" s="396"/>
      <c r="AW115" s="396"/>
      <c r="AX115" s="396"/>
      <c r="AY115" s="396"/>
      <c r="AZ115" s="396"/>
      <c r="BA115" s="396"/>
      <c r="BB115" s="396"/>
      <c r="BC115" s="396"/>
      <c r="BD115" s="396"/>
      <c r="BE115" s="396"/>
      <c r="BF115" s="396"/>
      <c r="BG115" s="396"/>
      <c r="BH115" s="396"/>
      <c r="BI115" s="396"/>
    </row>
    <row r="116" spans="1:61" s="55" customFormat="1" ht="30" customHeight="1" thickBot="1" x14ac:dyDescent="0.25">
      <c r="A116" s="2341" t="str">
        <f>F!A184</f>
        <v>F39</v>
      </c>
      <c r="B116" s="2338" t="str">
        <f>F!B184</f>
        <v>Snags</v>
      </c>
      <c r="C116" s="1133" t="str">
        <f>F!C184</f>
        <v>The number of large snags (diameter &gt;20 cm) in the AA plus the upland area within 10 m of the wetland edge is:</v>
      </c>
      <c r="D116" s="1163"/>
      <c r="E116" s="557"/>
      <c r="F116" s="381"/>
      <c r="G116" s="552">
        <f>IF((NoTrees=1),"",MAX(F117:F119)/MAX(E117:E119))</f>
        <v>0</v>
      </c>
      <c r="H116" s="2139" t="s">
        <v>170</v>
      </c>
      <c r="I116" s="2136" t="s">
        <v>339</v>
      </c>
      <c r="J116" s="212"/>
      <c r="K116" s="396"/>
      <c r="L116" s="396"/>
      <c r="M116" s="396"/>
      <c r="N116" s="396"/>
      <c r="O116" s="396"/>
      <c r="P116" s="396"/>
      <c r="Q116" s="396"/>
      <c r="R116" s="396"/>
      <c r="S116" s="396"/>
      <c r="T116" s="396"/>
      <c r="U116" s="396"/>
      <c r="V116" s="396"/>
      <c r="W116" s="396"/>
      <c r="X116" s="396"/>
      <c r="Y116" s="396"/>
      <c r="Z116" s="396"/>
      <c r="AA116" s="396"/>
      <c r="AB116" s="396"/>
      <c r="AC116" s="396"/>
      <c r="AD116" s="396"/>
      <c r="AE116" s="396"/>
      <c r="AF116" s="396"/>
      <c r="AG116" s="396"/>
      <c r="AH116" s="396"/>
      <c r="AI116" s="396"/>
      <c r="AJ116" s="396"/>
      <c r="AK116" s="396"/>
      <c r="AL116" s="396"/>
      <c r="AM116" s="396"/>
      <c r="AN116" s="396"/>
      <c r="AO116" s="396"/>
      <c r="AP116" s="396"/>
      <c r="AQ116" s="396"/>
      <c r="AR116" s="396"/>
      <c r="AS116" s="396"/>
      <c r="AT116" s="396"/>
      <c r="AU116" s="396"/>
      <c r="AV116" s="396"/>
      <c r="AW116" s="396"/>
      <c r="AX116" s="396"/>
      <c r="AY116" s="396"/>
      <c r="AZ116" s="396"/>
      <c r="BA116" s="396"/>
      <c r="BB116" s="396"/>
      <c r="BC116" s="396"/>
      <c r="BD116" s="396"/>
      <c r="BE116" s="396"/>
      <c r="BF116" s="396"/>
      <c r="BG116" s="396"/>
      <c r="BH116" s="396"/>
      <c r="BI116" s="396"/>
    </row>
    <row r="117" spans="1:61" s="55" customFormat="1" ht="27.75" customHeight="1" x14ac:dyDescent="0.2">
      <c r="A117" s="2341"/>
      <c r="B117" s="2338"/>
      <c r="C117" s="1116" t="str">
        <f>F!C185</f>
        <v>Several ( &gt;2/hectare) and a pond, lake, or slow-flowing water wider than 10 m is within 1 km.</v>
      </c>
      <c r="D117" s="307">
        <f>F!D185</f>
        <v>0</v>
      </c>
      <c r="E117" s="558">
        <v>4</v>
      </c>
      <c r="F117" s="351">
        <f>D117*E117</f>
        <v>0</v>
      </c>
      <c r="G117" s="545"/>
      <c r="H117" s="2140"/>
      <c r="I117" s="2136"/>
      <c r="J117" s="212"/>
      <c r="K117" s="396"/>
      <c r="L117" s="396"/>
      <c r="M117" s="396"/>
      <c r="N117" s="396"/>
      <c r="O117" s="396"/>
      <c r="P117" s="396"/>
      <c r="Q117" s="396"/>
      <c r="R117" s="396"/>
      <c r="S117" s="396"/>
      <c r="T117" s="396"/>
      <c r="U117" s="396"/>
      <c r="V117" s="396"/>
      <c r="W117" s="396"/>
      <c r="X117" s="396"/>
      <c r="Y117" s="396"/>
      <c r="Z117" s="396"/>
      <c r="AA117" s="396"/>
      <c r="AB117" s="396"/>
      <c r="AC117" s="396"/>
      <c r="AD117" s="396"/>
      <c r="AE117" s="396"/>
      <c r="AF117" s="396"/>
      <c r="AG117" s="396"/>
      <c r="AH117" s="396"/>
      <c r="AI117" s="396"/>
      <c r="AJ117" s="396"/>
      <c r="AK117" s="396"/>
      <c r="AL117" s="396"/>
      <c r="AM117" s="396"/>
      <c r="AN117" s="396"/>
      <c r="AO117" s="396"/>
      <c r="AP117" s="396"/>
      <c r="AQ117" s="396"/>
      <c r="AR117" s="396"/>
      <c r="AS117" s="396"/>
      <c r="AT117" s="396"/>
      <c r="AU117" s="396"/>
      <c r="AV117" s="396"/>
      <c r="AW117" s="396"/>
      <c r="AX117" s="396"/>
      <c r="AY117" s="396"/>
      <c r="AZ117" s="396"/>
      <c r="BA117" s="396"/>
      <c r="BB117" s="396"/>
      <c r="BC117" s="396"/>
      <c r="BD117" s="396"/>
      <c r="BE117" s="396"/>
      <c r="BF117" s="396"/>
      <c r="BG117" s="396"/>
      <c r="BH117" s="396"/>
      <c r="BI117" s="396"/>
    </row>
    <row r="118" spans="1:61" s="55" customFormat="1" ht="15" customHeight="1" x14ac:dyDescent="0.2">
      <c r="A118" s="2341"/>
      <c r="B118" s="2338"/>
      <c r="C118" s="1117" t="str">
        <f>F!C186</f>
        <v>Several ( &gt;2/hectare) but above not true.</v>
      </c>
      <c r="D118" s="140">
        <f>F!D186</f>
        <v>0</v>
      </c>
      <c r="E118" s="558">
        <v>1</v>
      </c>
      <c r="F118" s="351">
        <f>D118*E118</f>
        <v>0</v>
      </c>
      <c r="G118" s="545"/>
      <c r="H118" s="2140"/>
      <c r="I118" s="2136"/>
      <c r="J118" s="212"/>
      <c r="K118" s="396"/>
      <c r="L118" s="396"/>
      <c r="M118" s="396"/>
      <c r="N118" s="396"/>
      <c r="O118" s="396"/>
      <c r="P118" s="396"/>
      <c r="Q118" s="396"/>
      <c r="R118" s="396"/>
      <c r="S118" s="396"/>
      <c r="T118" s="396"/>
      <c r="U118" s="396"/>
      <c r="V118" s="396"/>
      <c r="W118" s="396"/>
      <c r="X118" s="396"/>
      <c r="Y118" s="396"/>
      <c r="Z118" s="396"/>
      <c r="AA118" s="396"/>
      <c r="AB118" s="396"/>
      <c r="AC118" s="396"/>
      <c r="AD118" s="396"/>
      <c r="AE118" s="396"/>
      <c r="AF118" s="396"/>
      <c r="AG118" s="396"/>
      <c r="AH118" s="396"/>
      <c r="AI118" s="396"/>
      <c r="AJ118" s="396"/>
      <c r="AK118" s="396"/>
      <c r="AL118" s="396"/>
      <c r="AM118" s="396"/>
      <c r="AN118" s="396"/>
      <c r="AO118" s="396"/>
      <c r="AP118" s="396"/>
      <c r="AQ118" s="396"/>
      <c r="AR118" s="396"/>
      <c r="AS118" s="396"/>
      <c r="AT118" s="396"/>
      <c r="AU118" s="396"/>
      <c r="AV118" s="396"/>
      <c r="AW118" s="396"/>
      <c r="AX118" s="396"/>
      <c r="AY118" s="396"/>
      <c r="AZ118" s="396"/>
      <c r="BA118" s="396"/>
      <c r="BB118" s="396"/>
      <c r="BC118" s="396"/>
      <c r="BD118" s="396"/>
      <c r="BE118" s="396"/>
      <c r="BF118" s="396"/>
      <c r="BG118" s="396"/>
      <c r="BH118" s="396"/>
      <c r="BI118" s="396"/>
    </row>
    <row r="119" spans="1:61" s="55" customFormat="1" ht="15" customHeight="1" thickBot="1" x14ac:dyDescent="0.25">
      <c r="A119" s="2341"/>
      <c r="B119" s="2338"/>
      <c r="C119" s="1132" t="str">
        <f>F!C187</f>
        <v xml:space="preserve">Few or none </v>
      </c>
      <c r="D119" s="544">
        <f>F!D187</f>
        <v>0</v>
      </c>
      <c r="E119" s="559">
        <v>0</v>
      </c>
      <c r="F119" s="360">
        <f>D119*E119</f>
        <v>0</v>
      </c>
      <c r="G119" s="1142"/>
      <c r="H119" s="2141"/>
      <c r="I119" s="2136"/>
      <c r="J119" s="212"/>
      <c r="K119" s="396"/>
      <c r="L119" s="396"/>
      <c r="M119" s="396"/>
      <c r="N119" s="396"/>
      <c r="O119" s="396"/>
      <c r="P119" s="396"/>
      <c r="Q119" s="396"/>
      <c r="R119" s="396"/>
      <c r="S119" s="396"/>
      <c r="T119" s="396"/>
      <c r="U119" s="396"/>
      <c r="V119" s="396"/>
      <c r="W119" s="396"/>
      <c r="X119" s="396"/>
      <c r="Y119" s="396"/>
      <c r="Z119" s="396"/>
      <c r="AA119" s="396"/>
      <c r="AB119" s="396"/>
      <c r="AC119" s="396"/>
      <c r="AD119" s="396"/>
      <c r="AE119" s="396"/>
      <c r="AF119" s="396"/>
      <c r="AG119" s="396"/>
      <c r="AH119" s="396"/>
      <c r="AI119" s="396"/>
      <c r="AJ119" s="396"/>
      <c r="AK119" s="396"/>
      <c r="AL119" s="396"/>
      <c r="AM119" s="396"/>
      <c r="AN119" s="396"/>
      <c r="AO119" s="396"/>
      <c r="AP119" s="396"/>
      <c r="AQ119" s="396"/>
      <c r="AR119" s="396"/>
      <c r="AS119" s="396"/>
      <c r="AT119" s="396"/>
      <c r="AU119" s="396"/>
      <c r="AV119" s="396"/>
      <c r="AW119" s="396"/>
      <c r="AX119" s="396"/>
      <c r="AY119" s="396"/>
      <c r="AZ119" s="396"/>
      <c r="BA119" s="396"/>
      <c r="BB119" s="396"/>
      <c r="BC119" s="396"/>
      <c r="BD119" s="396"/>
      <c r="BE119" s="396"/>
      <c r="BF119" s="396"/>
      <c r="BG119" s="396"/>
      <c r="BH119" s="396"/>
      <c r="BI119" s="396"/>
    </row>
    <row r="120" spans="1:61" s="55" customFormat="1" ht="45" customHeight="1" thickBot="1" x14ac:dyDescent="0.25">
      <c r="A120" s="2347" t="str">
        <f>F!A213</f>
        <v>F45</v>
      </c>
      <c r="B120" s="2349" t="str">
        <f>F!B213</f>
        <v>Shorebird Feeding Habitats</v>
      </c>
      <c r="C120" s="1176" t="str">
        <f>F!C213</f>
        <v>During any 2 consecutive weeks of the growing season, the extent of mudflats, bare unshaded saturated areas not covered by thatch, and unshaded non-acidic waters shallower than 6 cm (see definition in column E) is:</v>
      </c>
      <c r="D120" s="1164"/>
      <c r="E120" s="1165"/>
      <c r="F120" s="1148"/>
      <c r="G120" s="340">
        <f>MAX(F121:F124)/MAX(E121:E124)</f>
        <v>0</v>
      </c>
      <c r="H120" s="2139" t="s">
        <v>1163</v>
      </c>
      <c r="I120" s="2135" t="s">
        <v>1624</v>
      </c>
      <c r="J120" s="212"/>
      <c r="K120" s="396"/>
      <c r="L120" s="396"/>
      <c r="M120" s="396"/>
      <c r="N120" s="396"/>
      <c r="O120" s="396"/>
      <c r="P120" s="396"/>
      <c r="Q120" s="396"/>
      <c r="R120" s="396"/>
      <c r="S120" s="396"/>
      <c r="T120" s="396"/>
      <c r="U120" s="396"/>
      <c r="V120" s="396"/>
      <c r="W120" s="396"/>
      <c r="X120" s="396"/>
      <c r="Y120" s="396"/>
      <c r="Z120" s="396"/>
      <c r="AA120" s="396"/>
      <c r="AB120" s="396"/>
      <c r="AC120" s="396"/>
      <c r="AD120" s="396"/>
      <c r="AE120" s="396"/>
      <c r="AF120" s="396"/>
      <c r="AG120" s="396"/>
      <c r="AH120" s="396"/>
      <c r="AI120" s="396"/>
      <c r="AJ120" s="396"/>
      <c r="AK120" s="396"/>
      <c r="AL120" s="396"/>
      <c r="AM120" s="396"/>
      <c r="AN120" s="396"/>
      <c r="AO120" s="396"/>
      <c r="AP120" s="396"/>
      <c r="AQ120" s="396"/>
      <c r="AR120" s="396"/>
      <c r="AS120" s="396"/>
      <c r="AT120" s="396"/>
      <c r="AU120" s="396"/>
      <c r="AV120" s="396"/>
      <c r="AW120" s="396"/>
      <c r="AX120" s="396"/>
      <c r="AY120" s="396"/>
      <c r="AZ120" s="396"/>
      <c r="BA120" s="396"/>
      <c r="BB120" s="396"/>
      <c r="BC120" s="396"/>
      <c r="BD120" s="396"/>
      <c r="BE120" s="396"/>
      <c r="BF120" s="396"/>
      <c r="BG120" s="396"/>
      <c r="BH120" s="396"/>
      <c r="BI120" s="396"/>
    </row>
    <row r="121" spans="1:61" s="55" customFormat="1" ht="15" customHeight="1" x14ac:dyDescent="0.2">
      <c r="A121" s="2341"/>
      <c r="B121" s="2338"/>
      <c r="C121" s="1175" t="str">
        <f>F!C214</f>
        <v>none, or &lt;100 sq. m within the AA.</v>
      </c>
      <c r="D121" s="1159">
        <f>F!D214</f>
        <v>0</v>
      </c>
      <c r="E121" s="1166">
        <v>0</v>
      </c>
      <c r="F121" s="636">
        <f>D121*E121</f>
        <v>0</v>
      </c>
      <c r="G121" s="546"/>
      <c r="H121" s="2140"/>
      <c r="I121" s="2136"/>
      <c r="J121" s="212"/>
      <c r="K121" s="396"/>
      <c r="L121" s="396"/>
      <c r="M121" s="396"/>
      <c r="N121" s="396"/>
      <c r="O121" s="396"/>
      <c r="P121" s="396"/>
      <c r="Q121" s="396"/>
      <c r="R121" s="396"/>
      <c r="S121" s="396"/>
      <c r="T121" s="396"/>
      <c r="U121" s="396"/>
      <c r="V121" s="396"/>
      <c r="W121" s="396"/>
      <c r="X121" s="396"/>
      <c r="Y121" s="396"/>
      <c r="Z121" s="396"/>
      <c r="AA121" s="396"/>
      <c r="AB121" s="396"/>
      <c r="AC121" s="396"/>
      <c r="AD121" s="396"/>
      <c r="AE121" s="396"/>
      <c r="AF121" s="396"/>
      <c r="AG121" s="396"/>
      <c r="AH121" s="396"/>
      <c r="AI121" s="396"/>
      <c r="AJ121" s="396"/>
      <c r="AK121" s="396"/>
      <c r="AL121" s="396"/>
      <c r="AM121" s="396"/>
      <c r="AN121" s="396"/>
      <c r="AO121" s="396"/>
      <c r="AP121" s="396"/>
      <c r="AQ121" s="396"/>
      <c r="AR121" s="396"/>
      <c r="AS121" s="396"/>
      <c r="AT121" s="396"/>
      <c r="AU121" s="396"/>
      <c r="AV121" s="396"/>
      <c r="AW121" s="396"/>
      <c r="AX121" s="396"/>
      <c r="AY121" s="396"/>
      <c r="AZ121" s="396"/>
      <c r="BA121" s="396"/>
      <c r="BB121" s="396"/>
      <c r="BC121" s="396"/>
      <c r="BD121" s="396"/>
      <c r="BE121" s="396"/>
      <c r="BF121" s="396"/>
      <c r="BG121" s="396"/>
      <c r="BH121" s="396"/>
      <c r="BI121" s="396"/>
    </row>
    <row r="122" spans="1:61" s="55" customFormat="1" ht="15" customHeight="1" x14ac:dyDescent="0.2">
      <c r="A122" s="2341"/>
      <c r="B122" s="2338"/>
      <c r="C122" s="1135" t="str">
        <f>F!C215</f>
        <v>100-1000 sq. m within the AA.</v>
      </c>
      <c r="D122" s="1159">
        <f>F!D215</f>
        <v>0</v>
      </c>
      <c r="E122" s="1166">
        <v>1</v>
      </c>
      <c r="F122" s="636">
        <f>D122*E122</f>
        <v>0</v>
      </c>
      <c r="G122" s="546"/>
      <c r="H122" s="2140"/>
      <c r="I122" s="2136"/>
      <c r="J122" s="212"/>
      <c r="K122" s="396"/>
      <c r="L122" s="396"/>
      <c r="M122" s="396"/>
      <c r="N122" s="396"/>
      <c r="O122" s="396"/>
      <c r="P122" s="396"/>
      <c r="Q122" s="396"/>
      <c r="R122" s="396"/>
      <c r="S122" s="396"/>
      <c r="T122" s="396"/>
      <c r="U122" s="396"/>
      <c r="V122" s="396"/>
      <c r="W122" s="396"/>
      <c r="X122" s="396"/>
      <c r="Y122" s="396"/>
      <c r="Z122" s="396"/>
      <c r="AA122" s="396"/>
      <c r="AB122" s="396"/>
      <c r="AC122" s="396"/>
      <c r="AD122" s="396"/>
      <c r="AE122" s="396"/>
      <c r="AF122" s="396"/>
      <c r="AG122" s="396"/>
      <c r="AH122" s="396"/>
      <c r="AI122" s="396"/>
      <c r="AJ122" s="396"/>
      <c r="AK122" s="396"/>
      <c r="AL122" s="396"/>
      <c r="AM122" s="396"/>
      <c r="AN122" s="396"/>
      <c r="AO122" s="396"/>
      <c r="AP122" s="396"/>
      <c r="AQ122" s="396"/>
      <c r="AR122" s="396"/>
      <c r="AS122" s="396"/>
      <c r="AT122" s="396"/>
      <c r="AU122" s="396"/>
      <c r="AV122" s="396"/>
      <c r="AW122" s="396"/>
      <c r="AX122" s="396"/>
      <c r="AY122" s="396"/>
      <c r="AZ122" s="396"/>
      <c r="BA122" s="396"/>
      <c r="BB122" s="396"/>
      <c r="BC122" s="396"/>
      <c r="BD122" s="396"/>
      <c r="BE122" s="396"/>
      <c r="BF122" s="396"/>
      <c r="BG122" s="396"/>
      <c r="BH122" s="396"/>
      <c r="BI122" s="396"/>
    </row>
    <row r="123" spans="1:61" s="55" customFormat="1" ht="15" customHeight="1" x14ac:dyDescent="0.2">
      <c r="A123" s="2341"/>
      <c r="B123" s="2338"/>
      <c r="C123" s="1135" t="str">
        <f>F!C216</f>
        <v>1000 – 10,000 sq. m within the AA.</v>
      </c>
      <c r="D123" s="1159">
        <f>F!D216</f>
        <v>0</v>
      </c>
      <c r="E123" s="1166">
        <v>2</v>
      </c>
      <c r="F123" s="636">
        <f>D123*E123</f>
        <v>0</v>
      </c>
      <c r="G123" s="546"/>
      <c r="H123" s="2140"/>
      <c r="I123" s="2136"/>
      <c r="J123" s="212"/>
      <c r="K123" s="396"/>
      <c r="L123" s="396"/>
      <c r="M123" s="396"/>
      <c r="N123" s="396"/>
      <c r="O123" s="396"/>
      <c r="P123" s="396"/>
      <c r="Q123" s="396"/>
      <c r="R123" s="396"/>
      <c r="S123" s="396"/>
      <c r="T123" s="396"/>
      <c r="U123" s="396"/>
      <c r="V123" s="396"/>
      <c r="W123" s="396"/>
      <c r="X123" s="396"/>
      <c r="Y123" s="396"/>
      <c r="Z123" s="396"/>
      <c r="AA123" s="396"/>
      <c r="AB123" s="396"/>
      <c r="AC123" s="396"/>
      <c r="AD123" s="396"/>
      <c r="AE123" s="396"/>
      <c r="AF123" s="396"/>
      <c r="AG123" s="396"/>
      <c r="AH123" s="396"/>
      <c r="AI123" s="396"/>
      <c r="AJ123" s="396"/>
      <c r="AK123" s="396"/>
      <c r="AL123" s="396"/>
      <c r="AM123" s="396"/>
      <c r="AN123" s="396"/>
      <c r="AO123" s="396"/>
      <c r="AP123" s="396"/>
      <c r="AQ123" s="396"/>
      <c r="AR123" s="396"/>
      <c r="AS123" s="396"/>
      <c r="AT123" s="396"/>
      <c r="AU123" s="396"/>
      <c r="AV123" s="396"/>
      <c r="AW123" s="396"/>
      <c r="AX123" s="396"/>
      <c r="AY123" s="396"/>
      <c r="AZ123" s="396"/>
      <c r="BA123" s="396"/>
      <c r="BB123" s="396"/>
      <c r="BC123" s="396"/>
      <c r="BD123" s="396"/>
      <c r="BE123" s="396"/>
      <c r="BF123" s="396"/>
      <c r="BG123" s="396"/>
      <c r="BH123" s="396"/>
      <c r="BI123" s="396"/>
    </row>
    <row r="124" spans="1:61" s="55" customFormat="1" ht="15" customHeight="1" thickBot="1" x14ac:dyDescent="0.25">
      <c r="A124" s="2348"/>
      <c r="B124" s="2350"/>
      <c r="C124" s="1136" t="str">
        <f>F!C217</f>
        <v>&gt;10,000 sq. m within the AA.</v>
      </c>
      <c r="D124" s="301">
        <f>F!D217</f>
        <v>0</v>
      </c>
      <c r="E124" s="560">
        <v>3</v>
      </c>
      <c r="F124" s="353">
        <f>D124*E124</f>
        <v>0</v>
      </c>
      <c r="G124" s="547"/>
      <c r="H124" s="2141"/>
      <c r="I124" s="2137"/>
      <c r="J124" s="212"/>
      <c r="K124" s="396"/>
      <c r="L124" s="396"/>
      <c r="M124" s="396"/>
      <c r="N124" s="396"/>
      <c r="O124" s="396"/>
      <c r="P124" s="396"/>
      <c r="Q124" s="396"/>
      <c r="R124" s="396"/>
      <c r="S124" s="396"/>
      <c r="T124" s="396"/>
      <c r="U124" s="396"/>
      <c r="V124" s="396"/>
      <c r="W124" s="396"/>
      <c r="X124" s="396"/>
      <c r="Y124" s="396"/>
      <c r="Z124" s="396"/>
      <c r="AA124" s="396"/>
      <c r="AB124" s="396"/>
      <c r="AC124" s="396"/>
      <c r="AD124" s="396"/>
      <c r="AE124" s="396"/>
      <c r="AF124" s="396"/>
      <c r="AG124" s="396"/>
      <c r="AH124" s="396"/>
      <c r="AI124" s="396"/>
      <c r="AJ124" s="396"/>
      <c r="AK124" s="396"/>
      <c r="AL124" s="396"/>
      <c r="AM124" s="396"/>
      <c r="AN124" s="396"/>
      <c r="AO124" s="396"/>
      <c r="AP124" s="396"/>
      <c r="AQ124" s="396"/>
      <c r="AR124" s="396"/>
      <c r="AS124" s="396"/>
      <c r="AT124" s="396"/>
      <c r="AU124" s="396"/>
      <c r="AV124" s="396"/>
      <c r="AW124" s="396"/>
      <c r="AX124" s="396"/>
      <c r="AY124" s="396"/>
      <c r="AZ124" s="396"/>
      <c r="BA124" s="396"/>
      <c r="BB124" s="396"/>
      <c r="BC124" s="396"/>
      <c r="BD124" s="396"/>
      <c r="BE124" s="396"/>
      <c r="BF124" s="396"/>
      <c r="BG124" s="396"/>
      <c r="BH124" s="396"/>
      <c r="BI124" s="396"/>
    </row>
    <row r="125" spans="1:61" s="37" customFormat="1" ht="30" customHeight="1" thickBot="1" x14ac:dyDescent="0.25">
      <c r="A125" s="2346" t="str">
        <f>F!A218</f>
        <v>F46</v>
      </c>
      <c r="B125" s="2333" t="str">
        <f>F!B218</f>
        <v>Herbaceous - Percent of Vegetated Wetland</v>
      </c>
      <c r="C125" s="1119" t="str">
        <f>F!C218</f>
        <v>In aerial ("ducks eye") view, the maximum annual cover of dense herbaceous vegetation (graminoids + forbs, but not mosses and submerged and floating aquatics) is:</v>
      </c>
      <c r="D125" s="357"/>
      <c r="E125" s="359"/>
      <c r="F125" s="551"/>
      <c r="G125" s="339">
        <f>MAX(F126:F130)/MAX(E126:E130)</f>
        <v>0</v>
      </c>
      <c r="H125" s="2274" t="s">
        <v>169</v>
      </c>
      <c r="I125" s="2136" t="s">
        <v>340</v>
      </c>
      <c r="J125" s="205"/>
      <c r="K125" s="397"/>
      <c r="L125" s="397"/>
      <c r="M125" s="397"/>
      <c r="N125" s="397"/>
      <c r="O125" s="397"/>
      <c r="P125" s="397"/>
      <c r="Q125" s="397"/>
      <c r="R125" s="397"/>
      <c r="S125" s="397"/>
      <c r="T125" s="397"/>
      <c r="U125" s="397"/>
      <c r="V125" s="397"/>
      <c r="W125" s="397"/>
      <c r="X125" s="397"/>
      <c r="Y125" s="397"/>
      <c r="Z125" s="397"/>
      <c r="AA125" s="397"/>
      <c r="AB125" s="397"/>
      <c r="AC125" s="397"/>
      <c r="AD125" s="397"/>
      <c r="AE125" s="397"/>
      <c r="AF125" s="397"/>
      <c r="AG125" s="397"/>
      <c r="AH125" s="397"/>
      <c r="AI125" s="397"/>
      <c r="AJ125" s="397"/>
      <c r="AK125" s="397"/>
      <c r="AL125" s="397"/>
      <c r="AM125" s="397"/>
      <c r="AN125" s="397"/>
      <c r="AO125" s="397"/>
      <c r="AP125" s="397"/>
      <c r="AQ125" s="397"/>
      <c r="AR125" s="397"/>
      <c r="AS125" s="397"/>
      <c r="AT125" s="397"/>
      <c r="AU125" s="397"/>
      <c r="AV125" s="397"/>
      <c r="AW125" s="397"/>
      <c r="AX125" s="397"/>
      <c r="AY125" s="397"/>
      <c r="AZ125" s="397"/>
      <c r="BA125" s="397"/>
      <c r="BB125" s="397"/>
      <c r="BC125" s="397"/>
      <c r="BD125" s="397"/>
      <c r="BE125" s="397"/>
      <c r="BF125" s="397"/>
      <c r="BG125" s="397"/>
      <c r="BH125" s="397"/>
      <c r="BI125" s="397"/>
    </row>
    <row r="126" spans="1:61" s="37" customFormat="1" ht="39" customHeight="1" x14ac:dyDescent="0.2">
      <c r="A126" s="2346"/>
      <c r="B126" s="2333"/>
      <c r="C126" s="1126" t="str">
        <f>F!C219</f>
        <v>&lt;5% of the vegetated part of the AA (excluding parts that are moss-covered or beneath shrubs or trees), or &lt;0.01 hectare (whichever is less).  Mark "1" here and SKIP to F50 (Invasive Plant Cover).</v>
      </c>
      <c r="D126" s="123">
        <f>F!D219</f>
        <v>0</v>
      </c>
      <c r="E126" s="450">
        <v>0</v>
      </c>
      <c r="F126" s="351">
        <f>D126*E126</f>
        <v>0</v>
      </c>
      <c r="G126" s="545"/>
      <c r="H126" s="2275"/>
      <c r="I126" s="2369"/>
      <c r="J126" s="205"/>
      <c r="K126" s="397"/>
      <c r="L126" s="397"/>
      <c r="M126" s="397"/>
      <c r="N126" s="397"/>
      <c r="O126" s="397"/>
      <c r="P126" s="397"/>
      <c r="Q126" s="397"/>
      <c r="R126" s="397"/>
      <c r="S126" s="397"/>
      <c r="T126" s="397"/>
      <c r="U126" s="397"/>
      <c r="V126" s="397"/>
      <c r="W126" s="397"/>
      <c r="X126" s="397"/>
      <c r="Y126" s="397"/>
      <c r="Z126" s="397"/>
      <c r="AA126" s="397"/>
      <c r="AB126" s="397"/>
      <c r="AC126" s="397"/>
      <c r="AD126" s="397"/>
      <c r="AE126" s="397"/>
      <c r="AF126" s="397"/>
      <c r="AG126" s="397"/>
      <c r="AH126" s="397"/>
      <c r="AI126" s="397"/>
      <c r="AJ126" s="397"/>
      <c r="AK126" s="397"/>
      <c r="AL126" s="397"/>
      <c r="AM126" s="397"/>
      <c r="AN126" s="397"/>
      <c r="AO126" s="397"/>
      <c r="AP126" s="397"/>
      <c r="AQ126" s="397"/>
      <c r="AR126" s="397"/>
      <c r="AS126" s="397"/>
      <c r="AT126" s="397"/>
      <c r="AU126" s="397"/>
      <c r="AV126" s="397"/>
      <c r="AW126" s="397"/>
      <c r="AX126" s="397"/>
      <c r="AY126" s="397"/>
      <c r="AZ126" s="397"/>
      <c r="BA126" s="397"/>
      <c r="BB126" s="397"/>
      <c r="BC126" s="397"/>
      <c r="BD126" s="397"/>
      <c r="BE126" s="397"/>
      <c r="BF126" s="397"/>
      <c r="BG126" s="397"/>
      <c r="BH126" s="397"/>
      <c r="BI126" s="397"/>
    </row>
    <row r="127" spans="1:61" s="37" customFormat="1" ht="15" customHeight="1" x14ac:dyDescent="0.2">
      <c r="A127" s="2346"/>
      <c r="B127" s="2333"/>
      <c r="C127" s="1127" t="str">
        <f>F!C220</f>
        <v>5-25% of the vegetated AA.</v>
      </c>
      <c r="D127" s="123">
        <f>F!D220</f>
        <v>0</v>
      </c>
      <c r="E127" s="450">
        <v>2</v>
      </c>
      <c r="F127" s="351">
        <f>D127*E127</f>
        <v>0</v>
      </c>
      <c r="G127" s="546"/>
      <c r="H127" s="2275"/>
      <c r="I127" s="2369"/>
      <c r="J127" s="205"/>
      <c r="K127" s="397"/>
      <c r="L127" s="397"/>
      <c r="M127" s="397"/>
      <c r="N127" s="397"/>
      <c r="O127" s="397"/>
      <c r="P127" s="397"/>
      <c r="Q127" s="397"/>
      <c r="R127" s="397"/>
      <c r="S127" s="397"/>
      <c r="T127" s="397"/>
      <c r="U127" s="397"/>
      <c r="V127" s="397"/>
      <c r="W127" s="397"/>
      <c r="X127" s="397"/>
      <c r="Y127" s="397"/>
      <c r="Z127" s="397"/>
      <c r="AA127" s="397"/>
      <c r="AB127" s="397"/>
      <c r="AC127" s="397"/>
      <c r="AD127" s="397"/>
      <c r="AE127" s="397"/>
      <c r="AF127" s="397"/>
      <c r="AG127" s="397"/>
      <c r="AH127" s="397"/>
      <c r="AI127" s="397"/>
      <c r="AJ127" s="397"/>
      <c r="AK127" s="397"/>
      <c r="AL127" s="397"/>
      <c r="AM127" s="397"/>
      <c r="AN127" s="397"/>
      <c r="AO127" s="397"/>
      <c r="AP127" s="397"/>
      <c r="AQ127" s="397"/>
      <c r="AR127" s="397"/>
      <c r="AS127" s="397"/>
      <c r="AT127" s="397"/>
      <c r="AU127" s="397"/>
      <c r="AV127" s="397"/>
      <c r="AW127" s="397"/>
      <c r="AX127" s="397"/>
      <c r="AY127" s="397"/>
      <c r="AZ127" s="397"/>
      <c r="BA127" s="397"/>
      <c r="BB127" s="397"/>
      <c r="BC127" s="397"/>
      <c r="BD127" s="397"/>
      <c r="BE127" s="397"/>
      <c r="BF127" s="397"/>
      <c r="BG127" s="397"/>
      <c r="BH127" s="397"/>
      <c r="BI127" s="397"/>
    </row>
    <row r="128" spans="1:61" s="37" customFormat="1" ht="15" customHeight="1" x14ac:dyDescent="0.2">
      <c r="A128" s="2346"/>
      <c r="B128" s="2333"/>
      <c r="C128" s="1127" t="str">
        <f>F!C221</f>
        <v>25-50% of the vegetated AA.</v>
      </c>
      <c r="D128" s="123">
        <f>F!D221</f>
        <v>0</v>
      </c>
      <c r="E128" s="450">
        <v>3</v>
      </c>
      <c r="F128" s="351">
        <f>D128*E128</f>
        <v>0</v>
      </c>
      <c r="G128" s="546"/>
      <c r="H128" s="2275"/>
      <c r="I128" s="2369"/>
      <c r="J128" s="205"/>
      <c r="K128" s="397"/>
      <c r="L128" s="397"/>
      <c r="M128" s="397"/>
      <c r="N128" s="397"/>
      <c r="O128" s="397"/>
      <c r="P128" s="397"/>
      <c r="Q128" s="397"/>
      <c r="R128" s="397"/>
      <c r="S128" s="397"/>
      <c r="T128" s="397"/>
      <c r="U128" s="397"/>
      <c r="V128" s="397"/>
      <c r="W128" s="397"/>
      <c r="X128" s="397"/>
      <c r="Y128" s="397"/>
      <c r="Z128" s="397"/>
      <c r="AA128" s="397"/>
      <c r="AB128" s="397"/>
      <c r="AC128" s="397"/>
      <c r="AD128" s="397"/>
      <c r="AE128" s="397"/>
      <c r="AF128" s="397"/>
      <c r="AG128" s="397"/>
      <c r="AH128" s="397"/>
      <c r="AI128" s="397"/>
      <c r="AJ128" s="397"/>
      <c r="AK128" s="397"/>
      <c r="AL128" s="397"/>
      <c r="AM128" s="397"/>
      <c r="AN128" s="397"/>
      <c r="AO128" s="397"/>
      <c r="AP128" s="397"/>
      <c r="AQ128" s="397"/>
      <c r="AR128" s="397"/>
      <c r="AS128" s="397"/>
      <c r="AT128" s="397"/>
      <c r="AU128" s="397"/>
      <c r="AV128" s="397"/>
      <c r="AW128" s="397"/>
      <c r="AX128" s="397"/>
      <c r="AY128" s="397"/>
      <c r="AZ128" s="397"/>
      <c r="BA128" s="397"/>
      <c r="BB128" s="397"/>
      <c r="BC128" s="397"/>
      <c r="BD128" s="397"/>
      <c r="BE128" s="397"/>
      <c r="BF128" s="397"/>
      <c r="BG128" s="397"/>
      <c r="BH128" s="397"/>
      <c r="BI128" s="397"/>
    </row>
    <row r="129" spans="1:61" s="37" customFormat="1" ht="15" customHeight="1" x14ac:dyDescent="0.2">
      <c r="A129" s="2346"/>
      <c r="B129" s="2333"/>
      <c r="C129" s="1127" t="str">
        <f>F!C222</f>
        <v>50-95% of the vegetated AA.</v>
      </c>
      <c r="D129" s="123">
        <f>F!D222</f>
        <v>0</v>
      </c>
      <c r="E129" s="450">
        <v>4</v>
      </c>
      <c r="F129" s="351">
        <f>D129*E129</f>
        <v>0</v>
      </c>
      <c r="G129" s="546"/>
      <c r="H129" s="2275"/>
      <c r="I129" s="2369"/>
      <c r="J129" s="205"/>
      <c r="K129" s="397"/>
      <c r="L129" s="397"/>
      <c r="M129" s="397"/>
      <c r="N129" s="397"/>
      <c r="O129" s="397"/>
      <c r="P129" s="397"/>
      <c r="Q129" s="397"/>
      <c r="R129" s="397"/>
      <c r="S129" s="397"/>
      <c r="T129" s="397"/>
      <c r="U129" s="397"/>
      <c r="V129" s="397"/>
      <c r="W129" s="397"/>
      <c r="X129" s="397"/>
      <c r="Y129" s="397"/>
      <c r="Z129" s="397"/>
      <c r="AA129" s="397"/>
      <c r="AB129" s="397"/>
      <c r="AC129" s="397"/>
      <c r="AD129" s="397"/>
      <c r="AE129" s="397"/>
      <c r="AF129" s="397"/>
      <c r="AG129" s="397"/>
      <c r="AH129" s="397"/>
      <c r="AI129" s="397"/>
      <c r="AJ129" s="397"/>
      <c r="AK129" s="397"/>
      <c r="AL129" s="397"/>
      <c r="AM129" s="397"/>
      <c r="AN129" s="397"/>
      <c r="AO129" s="397"/>
      <c r="AP129" s="397"/>
      <c r="AQ129" s="397"/>
      <c r="AR129" s="397"/>
      <c r="AS129" s="397"/>
      <c r="AT129" s="397"/>
      <c r="AU129" s="397"/>
      <c r="AV129" s="397"/>
      <c r="AW129" s="397"/>
      <c r="AX129" s="397"/>
      <c r="AY129" s="397"/>
      <c r="AZ129" s="397"/>
      <c r="BA129" s="397"/>
      <c r="BB129" s="397"/>
      <c r="BC129" s="397"/>
      <c r="BD129" s="397"/>
      <c r="BE129" s="397"/>
      <c r="BF129" s="397"/>
      <c r="BG129" s="397"/>
      <c r="BH129" s="397"/>
      <c r="BI129" s="397"/>
    </row>
    <row r="130" spans="1:61" s="37" customFormat="1" ht="15" customHeight="1" thickBot="1" x14ac:dyDescent="0.25">
      <c r="A130" s="2346"/>
      <c r="B130" s="2333"/>
      <c r="C130" s="1128" t="str">
        <f>F!C223</f>
        <v>&gt;95% of the vegetated AA.</v>
      </c>
      <c r="D130" s="309">
        <f>F!D223</f>
        <v>0</v>
      </c>
      <c r="E130" s="451">
        <v>5</v>
      </c>
      <c r="F130" s="360">
        <f>D130*E130</f>
        <v>0</v>
      </c>
      <c r="G130" s="1142"/>
      <c r="H130" s="2276"/>
      <c r="I130" s="2369"/>
      <c r="J130" s="205"/>
      <c r="K130" s="397"/>
      <c r="L130" s="397"/>
      <c r="M130" s="397"/>
      <c r="N130" s="397"/>
      <c r="O130" s="397"/>
      <c r="P130" s="397"/>
      <c r="Q130" s="397"/>
      <c r="R130" s="397"/>
      <c r="S130" s="397"/>
      <c r="T130" s="397"/>
      <c r="U130" s="397"/>
      <c r="V130" s="397"/>
      <c r="W130" s="397"/>
      <c r="X130" s="397"/>
      <c r="Y130" s="397"/>
      <c r="Z130" s="397"/>
      <c r="AA130" s="397"/>
      <c r="AB130" s="397"/>
      <c r="AC130" s="397"/>
      <c r="AD130" s="397"/>
      <c r="AE130" s="397"/>
      <c r="AF130" s="397"/>
      <c r="AG130" s="397"/>
      <c r="AH130" s="397"/>
      <c r="AI130" s="397"/>
      <c r="AJ130" s="397"/>
      <c r="AK130" s="397"/>
      <c r="AL130" s="397"/>
      <c r="AM130" s="397"/>
      <c r="AN130" s="397"/>
      <c r="AO130" s="397"/>
      <c r="AP130" s="397"/>
      <c r="AQ130" s="397"/>
      <c r="AR130" s="397"/>
      <c r="AS130" s="397"/>
      <c r="AT130" s="397"/>
      <c r="AU130" s="397"/>
      <c r="AV130" s="397"/>
      <c r="AW130" s="397"/>
      <c r="AX130" s="397"/>
      <c r="AY130" s="397"/>
      <c r="AZ130" s="397"/>
      <c r="BA130" s="397"/>
      <c r="BB130" s="397"/>
      <c r="BC130" s="397"/>
      <c r="BD130" s="397"/>
      <c r="BE130" s="397"/>
      <c r="BF130" s="397"/>
      <c r="BG130" s="397"/>
      <c r="BH130" s="397"/>
      <c r="BI130" s="397"/>
    </row>
    <row r="131" spans="1:61" s="55" customFormat="1" ht="42.75" customHeight="1" thickBot="1" x14ac:dyDescent="0.25">
      <c r="A131" s="2343" t="str">
        <f>F!A249</f>
        <v>F52</v>
      </c>
      <c r="B131" s="2351" t="str">
        <f>F!B249</f>
        <v>Natural Cover in Buffer</v>
      </c>
      <c r="C131" s="1129" t="str">
        <f>F!C249</f>
        <v>Along the wetland-upland edge and extending 30 m upslope, the percentage of the upland that contains natural (not necessarily native -- see column E) land cover taller than 10 cm is:</v>
      </c>
      <c r="D131" s="1147"/>
      <c r="E131" s="1148"/>
      <c r="F131" s="350"/>
      <c r="G131" s="340">
        <f>MAX(F132:F136)/MAX(E132:E136)</f>
        <v>0</v>
      </c>
      <c r="H131" s="2139" t="s">
        <v>175</v>
      </c>
      <c r="I131" s="2135" t="s">
        <v>1843</v>
      </c>
      <c r="J131" s="212"/>
      <c r="K131" s="396"/>
      <c r="L131" s="396"/>
      <c r="M131" s="396"/>
      <c r="N131" s="396"/>
      <c r="O131" s="396"/>
      <c r="P131" s="396"/>
      <c r="Q131" s="396"/>
      <c r="R131" s="396"/>
      <c r="S131" s="396"/>
      <c r="T131" s="396"/>
      <c r="U131" s="396"/>
      <c r="V131" s="396"/>
      <c r="W131" s="396"/>
      <c r="X131" s="396"/>
      <c r="Y131" s="396"/>
      <c r="Z131" s="396"/>
      <c r="AA131" s="396"/>
      <c r="AB131" s="396"/>
      <c r="AC131" s="396"/>
      <c r="AD131" s="396"/>
      <c r="AE131" s="396"/>
      <c r="AF131" s="396"/>
      <c r="AG131" s="396"/>
      <c r="AH131" s="396"/>
      <c r="AI131" s="396"/>
      <c r="AJ131" s="396"/>
      <c r="AK131" s="396"/>
      <c r="AL131" s="396"/>
      <c r="AM131" s="396"/>
      <c r="AN131" s="396"/>
      <c r="AO131" s="396"/>
      <c r="AP131" s="396"/>
      <c r="AQ131" s="396"/>
      <c r="AR131" s="396"/>
      <c r="AS131" s="396"/>
      <c r="AT131" s="396"/>
      <c r="AU131" s="396"/>
      <c r="AV131" s="396"/>
      <c r="AW131" s="396"/>
      <c r="AX131" s="396"/>
      <c r="AY131" s="396"/>
      <c r="AZ131" s="396"/>
      <c r="BA131" s="396"/>
      <c r="BB131" s="396"/>
      <c r="BC131" s="396"/>
      <c r="BD131" s="396"/>
      <c r="BE131" s="396"/>
      <c r="BF131" s="396"/>
      <c r="BG131" s="396"/>
      <c r="BH131" s="396"/>
      <c r="BI131" s="396"/>
    </row>
    <row r="132" spans="1:61" s="55" customFormat="1" ht="15" customHeight="1" x14ac:dyDescent="0.2">
      <c r="A132" s="2344"/>
      <c r="B132" s="2352"/>
      <c r="C132" s="1126" t="str">
        <f>F!C250</f>
        <v xml:space="preserve">&lt;5% </v>
      </c>
      <c r="D132" s="1149">
        <f>F!D254</f>
        <v>0</v>
      </c>
      <c r="E132" s="1151">
        <v>0</v>
      </c>
      <c r="F132" s="1151">
        <f>D132*E132</f>
        <v>0</v>
      </c>
      <c r="G132" s="545"/>
      <c r="H132" s="2140"/>
      <c r="I132" s="2136"/>
      <c r="J132" s="212"/>
      <c r="K132" s="396"/>
      <c r="L132" s="396"/>
      <c r="M132" s="396"/>
      <c r="N132" s="396"/>
      <c r="O132" s="396"/>
      <c r="P132" s="396"/>
      <c r="Q132" s="396"/>
      <c r="R132" s="396"/>
      <c r="S132" s="396"/>
      <c r="T132" s="396"/>
      <c r="U132" s="396"/>
      <c r="V132" s="396"/>
      <c r="W132" s="396"/>
      <c r="X132" s="396"/>
      <c r="Y132" s="396"/>
      <c r="Z132" s="396"/>
      <c r="AA132" s="396"/>
      <c r="AB132" s="396"/>
      <c r="AC132" s="396"/>
      <c r="AD132" s="396"/>
      <c r="AE132" s="396"/>
      <c r="AF132" s="396"/>
      <c r="AG132" s="396"/>
      <c r="AH132" s="396"/>
      <c r="AI132" s="396"/>
      <c r="AJ132" s="396"/>
      <c r="AK132" s="396"/>
      <c r="AL132" s="396"/>
      <c r="AM132" s="396"/>
      <c r="AN132" s="396"/>
      <c r="AO132" s="396"/>
      <c r="AP132" s="396"/>
      <c r="AQ132" s="396"/>
      <c r="AR132" s="396"/>
      <c r="AS132" s="396"/>
      <c r="AT132" s="396"/>
      <c r="AU132" s="396"/>
      <c r="AV132" s="396"/>
      <c r="AW132" s="396"/>
      <c r="AX132" s="396"/>
      <c r="AY132" s="396"/>
      <c r="AZ132" s="396"/>
      <c r="BA132" s="396"/>
      <c r="BB132" s="396"/>
      <c r="BC132" s="396"/>
      <c r="BD132" s="396"/>
      <c r="BE132" s="396"/>
      <c r="BF132" s="396"/>
      <c r="BG132" s="396"/>
      <c r="BH132" s="396"/>
      <c r="BI132" s="396"/>
    </row>
    <row r="133" spans="1:61" s="55" customFormat="1" ht="15" customHeight="1" x14ac:dyDescent="0.2">
      <c r="A133" s="2344"/>
      <c r="B133" s="2352"/>
      <c r="C133" s="1127" t="str">
        <f>F!C251</f>
        <v>5 to 30%</v>
      </c>
      <c r="D133" s="1149">
        <f>F!D253</f>
        <v>0</v>
      </c>
      <c r="E133" s="1151">
        <v>2</v>
      </c>
      <c r="F133" s="1151">
        <f>D133*E133</f>
        <v>0</v>
      </c>
      <c r="G133" s="546"/>
      <c r="H133" s="2140"/>
      <c r="I133" s="2136"/>
      <c r="J133" s="212"/>
      <c r="K133" s="396"/>
      <c r="L133" s="396"/>
      <c r="M133" s="396"/>
      <c r="N133" s="396"/>
      <c r="O133" s="396"/>
      <c r="P133" s="396"/>
      <c r="Q133" s="396"/>
      <c r="R133" s="396"/>
      <c r="S133" s="396"/>
      <c r="T133" s="396"/>
      <c r="U133" s="396"/>
      <c r="V133" s="396"/>
      <c r="W133" s="396"/>
      <c r="X133" s="396"/>
      <c r="Y133" s="396"/>
      <c r="Z133" s="396"/>
      <c r="AA133" s="396"/>
      <c r="AB133" s="396"/>
      <c r="AC133" s="396"/>
      <c r="AD133" s="396"/>
      <c r="AE133" s="396"/>
      <c r="AF133" s="396"/>
      <c r="AG133" s="396"/>
      <c r="AH133" s="396"/>
      <c r="AI133" s="396"/>
      <c r="AJ133" s="396"/>
      <c r="AK133" s="396"/>
      <c r="AL133" s="396"/>
      <c r="AM133" s="396"/>
      <c r="AN133" s="396"/>
      <c r="AO133" s="396"/>
      <c r="AP133" s="396"/>
      <c r="AQ133" s="396"/>
      <c r="AR133" s="396"/>
      <c r="AS133" s="396"/>
      <c r="AT133" s="396"/>
      <c r="AU133" s="396"/>
      <c r="AV133" s="396"/>
      <c r="AW133" s="396"/>
      <c r="AX133" s="396"/>
      <c r="AY133" s="396"/>
      <c r="AZ133" s="396"/>
      <c r="BA133" s="396"/>
      <c r="BB133" s="396"/>
      <c r="BC133" s="396"/>
      <c r="BD133" s="396"/>
      <c r="BE133" s="396"/>
      <c r="BF133" s="396"/>
      <c r="BG133" s="396"/>
      <c r="BH133" s="396"/>
      <c r="BI133" s="396"/>
    </row>
    <row r="134" spans="1:61" s="55" customFormat="1" ht="15" customHeight="1" x14ac:dyDescent="0.2">
      <c r="A134" s="2344"/>
      <c r="B134" s="2352"/>
      <c r="C134" s="1127" t="str">
        <f>F!C252</f>
        <v>30 to 60%</v>
      </c>
      <c r="D134" s="1149">
        <f>F!D252</f>
        <v>0</v>
      </c>
      <c r="E134" s="1151">
        <v>3</v>
      </c>
      <c r="F134" s="1151">
        <f>D134*E134</f>
        <v>0</v>
      </c>
      <c r="G134" s="546"/>
      <c r="H134" s="2140"/>
      <c r="I134" s="2136"/>
      <c r="J134" s="212"/>
      <c r="K134" s="396"/>
      <c r="L134" s="396"/>
      <c r="M134" s="396"/>
      <c r="N134" s="396"/>
      <c r="O134" s="396"/>
      <c r="P134" s="396"/>
      <c r="Q134" s="396"/>
      <c r="R134" s="396"/>
      <c r="S134" s="396"/>
      <c r="T134" s="396"/>
      <c r="U134" s="396"/>
      <c r="V134" s="396"/>
      <c r="W134" s="396"/>
      <c r="X134" s="396"/>
      <c r="Y134" s="396"/>
      <c r="Z134" s="396"/>
      <c r="AA134" s="396"/>
      <c r="AB134" s="396"/>
      <c r="AC134" s="396"/>
      <c r="AD134" s="396"/>
      <c r="AE134" s="396"/>
      <c r="AF134" s="396"/>
      <c r="AG134" s="396"/>
      <c r="AH134" s="396"/>
      <c r="AI134" s="396"/>
      <c r="AJ134" s="396"/>
      <c r="AK134" s="396"/>
      <c r="AL134" s="396"/>
      <c r="AM134" s="396"/>
      <c r="AN134" s="396"/>
      <c r="AO134" s="396"/>
      <c r="AP134" s="396"/>
      <c r="AQ134" s="396"/>
      <c r="AR134" s="396"/>
      <c r="AS134" s="396"/>
      <c r="AT134" s="396"/>
      <c r="AU134" s="396"/>
      <c r="AV134" s="396"/>
      <c r="AW134" s="396"/>
      <c r="AX134" s="396"/>
      <c r="AY134" s="396"/>
      <c r="AZ134" s="396"/>
      <c r="BA134" s="396"/>
      <c r="BB134" s="396"/>
      <c r="BC134" s="396"/>
      <c r="BD134" s="396"/>
      <c r="BE134" s="396"/>
      <c r="BF134" s="396"/>
      <c r="BG134" s="396"/>
      <c r="BH134" s="396"/>
      <c r="BI134" s="396"/>
    </row>
    <row r="135" spans="1:61" s="55" customFormat="1" ht="15" customHeight="1" x14ac:dyDescent="0.2">
      <c r="A135" s="2344"/>
      <c r="B135" s="2352"/>
      <c r="C135" s="1127" t="str">
        <f>F!C253</f>
        <v>60 to 90%</v>
      </c>
      <c r="D135" s="1149">
        <f>F!D251</f>
        <v>0</v>
      </c>
      <c r="E135" s="1151">
        <v>4</v>
      </c>
      <c r="F135" s="1151">
        <f>D135*E135</f>
        <v>0</v>
      </c>
      <c r="G135" s="546"/>
      <c r="H135" s="2140"/>
      <c r="I135" s="2136"/>
      <c r="J135" s="212"/>
      <c r="K135" s="396"/>
      <c r="L135" s="396"/>
      <c r="M135" s="396"/>
      <c r="N135" s="396"/>
      <c r="O135" s="396"/>
      <c r="P135" s="396"/>
      <c r="Q135" s="396"/>
      <c r="R135" s="396"/>
      <c r="S135" s="396"/>
      <c r="T135" s="396"/>
      <c r="U135" s="396"/>
      <c r="V135" s="396"/>
      <c r="W135" s="396"/>
      <c r="X135" s="396"/>
      <c r="Y135" s="396"/>
      <c r="Z135" s="396"/>
      <c r="AA135" s="396"/>
      <c r="AB135" s="396"/>
      <c r="AC135" s="396"/>
      <c r="AD135" s="396"/>
      <c r="AE135" s="396"/>
      <c r="AF135" s="396"/>
      <c r="AG135" s="396"/>
      <c r="AH135" s="396"/>
      <c r="AI135" s="396"/>
      <c r="AJ135" s="396"/>
      <c r="AK135" s="396"/>
      <c r="AL135" s="396"/>
      <c r="AM135" s="396"/>
      <c r="AN135" s="396"/>
      <c r="AO135" s="396"/>
      <c r="AP135" s="396"/>
      <c r="AQ135" s="396"/>
      <c r="AR135" s="396"/>
      <c r="AS135" s="396"/>
      <c r="AT135" s="396"/>
      <c r="AU135" s="396"/>
      <c r="AV135" s="396"/>
      <c r="AW135" s="396"/>
      <c r="AX135" s="396"/>
      <c r="AY135" s="396"/>
      <c r="AZ135" s="396"/>
      <c r="BA135" s="396"/>
      <c r="BB135" s="396"/>
      <c r="BC135" s="396"/>
      <c r="BD135" s="396"/>
      <c r="BE135" s="396"/>
      <c r="BF135" s="396"/>
      <c r="BG135" s="396"/>
      <c r="BH135" s="396"/>
      <c r="BI135" s="396"/>
    </row>
    <row r="136" spans="1:61" s="55" customFormat="1" ht="15" customHeight="1" thickBot="1" x14ac:dyDescent="0.25">
      <c r="A136" s="2345"/>
      <c r="B136" s="2353"/>
      <c r="C136" s="1130" t="str">
        <f>F!C254</f>
        <v>&gt;90%.  SKIP to F54 (Cliffs).</v>
      </c>
      <c r="D136" s="305">
        <f>F!D254</f>
        <v>0</v>
      </c>
      <c r="E136" s="353">
        <v>6</v>
      </c>
      <c r="F136" s="353">
        <f>D136*E136</f>
        <v>0</v>
      </c>
      <c r="G136" s="547"/>
      <c r="H136" s="2141"/>
      <c r="I136" s="2137"/>
      <c r="J136" s="212"/>
      <c r="K136" s="396"/>
      <c r="L136" s="396"/>
      <c r="M136" s="396"/>
      <c r="N136" s="396"/>
      <c r="O136" s="396"/>
      <c r="P136" s="396"/>
      <c r="Q136" s="396"/>
      <c r="R136" s="396"/>
      <c r="S136" s="396"/>
      <c r="T136" s="396"/>
      <c r="U136" s="396"/>
      <c r="V136" s="396"/>
      <c r="W136" s="396"/>
      <c r="X136" s="396"/>
      <c r="Y136" s="396"/>
      <c r="Z136" s="396"/>
      <c r="AA136" s="396"/>
      <c r="AB136" s="396"/>
      <c r="AC136" s="396"/>
      <c r="AD136" s="396"/>
      <c r="AE136" s="396"/>
      <c r="AF136" s="396"/>
      <c r="AG136" s="396"/>
      <c r="AH136" s="396"/>
      <c r="AI136" s="396"/>
      <c r="AJ136" s="396"/>
      <c r="AK136" s="396"/>
      <c r="AL136" s="396"/>
      <c r="AM136" s="396"/>
      <c r="AN136" s="396"/>
      <c r="AO136" s="396"/>
      <c r="AP136" s="396"/>
      <c r="AQ136" s="396"/>
      <c r="AR136" s="396"/>
      <c r="AS136" s="396"/>
      <c r="AT136" s="396"/>
      <c r="AU136" s="396"/>
      <c r="AV136" s="396"/>
      <c r="AW136" s="396"/>
      <c r="AX136" s="396"/>
      <c r="AY136" s="396"/>
      <c r="AZ136" s="396"/>
      <c r="BA136" s="396"/>
      <c r="BB136" s="396"/>
      <c r="BC136" s="396"/>
      <c r="BD136" s="396"/>
      <c r="BE136" s="396"/>
      <c r="BF136" s="396"/>
      <c r="BG136" s="396"/>
      <c r="BH136" s="396"/>
      <c r="BI136" s="396"/>
    </row>
    <row r="137" spans="1:61" ht="69.75" customHeight="1" thickBot="1" x14ac:dyDescent="0.25">
      <c r="A137" s="2328" t="str">
        <f>F!A280</f>
        <v>F59</v>
      </c>
      <c r="B137" s="2333" t="str">
        <f>F!B280</f>
        <v xml:space="preserve">Unvisited Core Area </v>
      </c>
      <c r="C137" s="1119" t="str">
        <f>F!C280</f>
        <v>The percentage of the AA almost never visited by humans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37" s="1163"/>
      <c r="E137" s="557"/>
      <c r="F137" s="551"/>
      <c r="G137" s="552">
        <f>MAX(F138:F143)/MAX(E138:E143)</f>
        <v>0</v>
      </c>
      <c r="H137" s="2274" t="s">
        <v>173</v>
      </c>
      <c r="I137" s="2136" t="s">
        <v>75</v>
      </c>
      <c r="J137" s="273"/>
      <c r="K137" s="333"/>
      <c r="L137" s="333"/>
      <c r="M137" s="333"/>
      <c r="N137" s="333"/>
      <c r="O137" s="333"/>
      <c r="P137" s="333"/>
      <c r="Q137" s="333"/>
      <c r="R137" s="333"/>
      <c r="S137" s="333"/>
      <c r="T137" s="333"/>
      <c r="U137" s="333"/>
      <c r="V137" s="333"/>
      <c r="W137" s="333"/>
      <c r="X137" s="333"/>
      <c r="Y137" s="333"/>
      <c r="Z137" s="333"/>
      <c r="AA137" s="333"/>
      <c r="AB137" s="333"/>
      <c r="AC137" s="333"/>
      <c r="AD137" s="333"/>
      <c r="AE137" s="333"/>
      <c r="AF137" s="333"/>
      <c r="AG137" s="333"/>
      <c r="AH137" s="333"/>
      <c r="AI137" s="333"/>
      <c r="AJ137" s="333"/>
      <c r="AK137" s="333"/>
      <c r="AL137" s="333"/>
      <c r="AM137" s="333"/>
      <c r="AN137" s="333"/>
      <c r="AO137" s="333"/>
      <c r="AP137" s="333"/>
      <c r="AQ137" s="333"/>
      <c r="AR137" s="333"/>
      <c r="AS137" s="333"/>
      <c r="AT137" s="333"/>
      <c r="AU137" s="333"/>
      <c r="AV137" s="333"/>
      <c r="AW137" s="333"/>
      <c r="AX137" s="333"/>
      <c r="AY137" s="333"/>
      <c r="AZ137" s="333"/>
      <c r="BA137" s="333"/>
      <c r="BB137" s="333"/>
      <c r="BC137" s="333"/>
      <c r="BD137" s="333"/>
      <c r="BE137" s="333"/>
      <c r="BF137" s="333"/>
      <c r="BG137" s="333"/>
      <c r="BH137" s="333"/>
      <c r="BI137" s="333"/>
    </row>
    <row r="138" spans="1:61" ht="15" customHeight="1" x14ac:dyDescent="0.2">
      <c r="A138" s="2328"/>
      <c r="B138" s="2333"/>
      <c r="C138" s="1126" t="str">
        <f>F!C281</f>
        <v>&lt;5% and no inhabited building is within 100 m of the AA</v>
      </c>
      <c r="D138" s="123">
        <f>F!D281</f>
        <v>0</v>
      </c>
      <c r="E138" s="382">
        <v>1</v>
      </c>
      <c r="F138" s="351">
        <f t="shared" ref="F138:F143" si="4">D138*E138</f>
        <v>0</v>
      </c>
      <c r="G138" s="545"/>
      <c r="H138" s="2275"/>
      <c r="I138" s="2136"/>
      <c r="J138" s="273"/>
      <c r="K138" s="333"/>
      <c r="L138" s="333"/>
      <c r="M138" s="333"/>
      <c r="N138" s="333"/>
      <c r="O138" s="333"/>
      <c r="P138" s="333"/>
      <c r="Q138" s="333"/>
      <c r="R138" s="333"/>
      <c r="S138" s="333"/>
      <c r="T138" s="333"/>
      <c r="U138" s="333"/>
      <c r="V138" s="333"/>
      <c r="W138" s="333"/>
      <c r="X138" s="333"/>
      <c r="Y138" s="333"/>
      <c r="Z138" s="333"/>
      <c r="AA138" s="333"/>
      <c r="AB138" s="333"/>
      <c r="AC138" s="333"/>
      <c r="AD138" s="333"/>
      <c r="AE138" s="333"/>
      <c r="AF138" s="333"/>
      <c r="AG138" s="333"/>
      <c r="AH138" s="333"/>
      <c r="AI138" s="333"/>
      <c r="AJ138" s="333"/>
      <c r="AK138" s="333"/>
      <c r="AL138" s="333"/>
      <c r="AM138" s="333"/>
      <c r="AN138" s="333"/>
      <c r="AO138" s="333"/>
      <c r="AP138" s="333"/>
      <c r="AQ138" s="333"/>
      <c r="AR138" s="333"/>
      <c r="AS138" s="333"/>
      <c r="AT138" s="333"/>
      <c r="AU138" s="333"/>
      <c r="AV138" s="333"/>
      <c r="AW138" s="333"/>
      <c r="AX138" s="333"/>
      <c r="AY138" s="333"/>
      <c r="AZ138" s="333"/>
      <c r="BA138" s="333"/>
      <c r="BB138" s="333"/>
      <c r="BC138" s="333"/>
      <c r="BD138" s="333"/>
      <c r="BE138" s="333"/>
      <c r="BF138" s="333"/>
      <c r="BG138" s="333"/>
      <c r="BH138" s="333"/>
      <c r="BI138" s="333"/>
    </row>
    <row r="139" spans="1:61" ht="15" customHeight="1" x14ac:dyDescent="0.2">
      <c r="A139" s="2328"/>
      <c r="B139" s="2333"/>
      <c r="C139" s="1127" t="str">
        <f>F!C282</f>
        <v>&lt;5% and inhabited building is within 100 m of the AA</v>
      </c>
      <c r="D139" s="123">
        <f>F!D282</f>
        <v>0</v>
      </c>
      <c r="E139" s="382">
        <v>0</v>
      </c>
      <c r="F139" s="351">
        <f t="shared" si="4"/>
        <v>0</v>
      </c>
      <c r="G139" s="546"/>
      <c r="H139" s="2275"/>
      <c r="I139" s="2136"/>
      <c r="J139" s="273"/>
      <c r="K139" s="333"/>
      <c r="L139" s="333"/>
      <c r="M139" s="333"/>
      <c r="N139" s="333"/>
      <c r="O139" s="333"/>
      <c r="P139" s="333"/>
      <c r="Q139" s="333"/>
      <c r="R139" s="333"/>
      <c r="S139" s="333"/>
      <c r="T139" s="333"/>
      <c r="U139" s="333"/>
      <c r="V139" s="333"/>
      <c r="W139" s="333"/>
      <c r="X139" s="333"/>
      <c r="Y139" s="333"/>
      <c r="Z139" s="333"/>
      <c r="AA139" s="333"/>
      <c r="AB139" s="333"/>
      <c r="AC139" s="333"/>
      <c r="AD139" s="333"/>
      <c r="AE139" s="333"/>
      <c r="AF139" s="333"/>
      <c r="AG139" s="333"/>
      <c r="AH139" s="333"/>
      <c r="AI139" s="333"/>
      <c r="AJ139" s="333"/>
      <c r="AK139" s="333"/>
      <c r="AL139" s="333"/>
      <c r="AM139" s="333"/>
      <c r="AN139" s="333"/>
      <c r="AO139" s="333"/>
      <c r="AP139" s="333"/>
      <c r="AQ139" s="333"/>
      <c r="AR139" s="333"/>
      <c r="AS139" s="333"/>
      <c r="AT139" s="333"/>
      <c r="AU139" s="333"/>
      <c r="AV139" s="333"/>
      <c r="AW139" s="333"/>
      <c r="AX139" s="333"/>
      <c r="AY139" s="333"/>
      <c r="AZ139" s="333"/>
      <c r="BA139" s="333"/>
      <c r="BB139" s="333"/>
      <c r="BC139" s="333"/>
      <c r="BD139" s="333"/>
      <c r="BE139" s="333"/>
      <c r="BF139" s="333"/>
      <c r="BG139" s="333"/>
      <c r="BH139" s="333"/>
      <c r="BI139" s="333"/>
    </row>
    <row r="140" spans="1:61" ht="15" customHeight="1" x14ac:dyDescent="0.2">
      <c r="A140" s="2328"/>
      <c r="B140" s="2333"/>
      <c r="C140" s="1127" t="str">
        <f>F!C283</f>
        <v>5-50% and no inhabited building is within 100 m of the AA</v>
      </c>
      <c r="D140" s="123">
        <f>F!D283</f>
        <v>0</v>
      </c>
      <c r="E140" s="382">
        <v>3</v>
      </c>
      <c r="F140" s="351">
        <f t="shared" si="4"/>
        <v>0</v>
      </c>
      <c r="G140" s="546"/>
      <c r="H140" s="2275"/>
      <c r="I140" s="2136"/>
      <c r="J140" s="273"/>
      <c r="K140" s="333"/>
      <c r="L140" s="333"/>
      <c r="M140" s="333"/>
      <c r="N140" s="333"/>
      <c r="O140" s="333"/>
      <c r="P140" s="333"/>
      <c r="Q140" s="333"/>
      <c r="R140" s="333"/>
      <c r="S140" s="333"/>
      <c r="T140" s="333"/>
      <c r="U140" s="333"/>
      <c r="V140" s="333"/>
      <c r="W140" s="333"/>
      <c r="X140" s="333"/>
      <c r="Y140" s="333"/>
      <c r="Z140" s="333"/>
      <c r="AA140" s="333"/>
      <c r="AB140" s="333"/>
      <c r="AC140" s="333"/>
      <c r="AD140" s="333"/>
      <c r="AE140" s="333"/>
      <c r="AF140" s="333"/>
      <c r="AG140" s="333"/>
      <c r="AH140" s="333"/>
      <c r="AI140" s="333"/>
      <c r="AJ140" s="333"/>
      <c r="AK140" s="333"/>
      <c r="AL140" s="333"/>
      <c r="AM140" s="333"/>
      <c r="AN140" s="333"/>
      <c r="AO140" s="333"/>
      <c r="AP140" s="333"/>
      <c r="AQ140" s="333"/>
      <c r="AR140" s="333"/>
      <c r="AS140" s="333"/>
      <c r="AT140" s="333"/>
      <c r="AU140" s="333"/>
      <c r="AV140" s="333"/>
      <c r="AW140" s="333"/>
      <c r="AX140" s="333"/>
      <c r="AY140" s="333"/>
      <c r="AZ140" s="333"/>
      <c r="BA140" s="333"/>
      <c r="BB140" s="333"/>
      <c r="BC140" s="333"/>
      <c r="BD140" s="333"/>
      <c r="BE140" s="333"/>
      <c r="BF140" s="333"/>
      <c r="BG140" s="333"/>
      <c r="BH140" s="333"/>
      <c r="BI140" s="333"/>
    </row>
    <row r="141" spans="1:61" ht="15" customHeight="1" x14ac:dyDescent="0.2">
      <c r="A141" s="2328"/>
      <c r="B141" s="2333"/>
      <c r="C141" s="1127" t="str">
        <f>F!C284</f>
        <v>5-50% and inhabited building is within 100 m of the AA</v>
      </c>
      <c r="D141" s="123">
        <f>F!D284</f>
        <v>0</v>
      </c>
      <c r="E141" s="382">
        <v>2</v>
      </c>
      <c r="F141" s="351">
        <f t="shared" si="4"/>
        <v>0</v>
      </c>
      <c r="G141" s="1142"/>
      <c r="H141" s="2275"/>
      <c r="I141" s="2136"/>
      <c r="J141" s="273"/>
      <c r="K141" s="333"/>
      <c r="L141" s="333"/>
      <c r="M141" s="333"/>
      <c r="N141" s="333"/>
      <c r="O141" s="333"/>
      <c r="P141" s="333"/>
      <c r="Q141" s="333"/>
      <c r="R141" s="333"/>
      <c r="S141" s="333"/>
      <c r="T141" s="333"/>
      <c r="U141" s="333"/>
      <c r="V141" s="333"/>
      <c r="W141" s="333"/>
      <c r="X141" s="333"/>
      <c r="Y141" s="333"/>
      <c r="Z141" s="333"/>
      <c r="AA141" s="333"/>
      <c r="AB141" s="333"/>
      <c r="AC141" s="333"/>
      <c r="AD141" s="333"/>
      <c r="AE141" s="333"/>
      <c r="AF141" s="333"/>
      <c r="AG141" s="333"/>
      <c r="AH141" s="333"/>
      <c r="AI141" s="333"/>
      <c r="AJ141" s="333"/>
      <c r="AK141" s="333"/>
      <c r="AL141" s="333"/>
      <c r="AM141" s="333"/>
      <c r="AN141" s="333"/>
      <c r="AO141" s="333"/>
      <c r="AP141" s="333"/>
      <c r="AQ141" s="333"/>
      <c r="AR141" s="333"/>
      <c r="AS141" s="333"/>
      <c r="AT141" s="333"/>
      <c r="AU141" s="333"/>
      <c r="AV141" s="333"/>
      <c r="AW141" s="333"/>
      <c r="AX141" s="333"/>
      <c r="AY141" s="333"/>
      <c r="AZ141" s="333"/>
      <c r="BA141" s="333"/>
      <c r="BB141" s="333"/>
      <c r="BC141" s="333"/>
      <c r="BD141" s="333"/>
      <c r="BE141" s="333"/>
      <c r="BF141" s="333"/>
      <c r="BG141" s="333"/>
      <c r="BH141" s="333"/>
      <c r="BI141" s="333"/>
    </row>
    <row r="142" spans="1:61" ht="15" customHeight="1" x14ac:dyDescent="0.2">
      <c r="A142" s="2328"/>
      <c r="B142" s="2333"/>
      <c r="C142" s="1127" t="str">
        <f>F!C285</f>
        <v>50-95%</v>
      </c>
      <c r="D142" s="123">
        <f>F!D285</f>
        <v>0</v>
      </c>
      <c r="E142" s="382">
        <v>4</v>
      </c>
      <c r="F142" s="351">
        <f t="shared" si="4"/>
        <v>0</v>
      </c>
      <c r="G142" s="1142"/>
      <c r="H142" s="2275"/>
      <c r="I142" s="2136"/>
      <c r="J142" s="273"/>
      <c r="K142" s="333"/>
      <c r="L142" s="333"/>
      <c r="M142" s="333"/>
      <c r="N142" s="333"/>
      <c r="O142" s="333"/>
      <c r="P142" s="333"/>
      <c r="Q142" s="333"/>
      <c r="R142" s="333"/>
      <c r="S142" s="333"/>
      <c r="T142" s="333"/>
      <c r="U142" s="333"/>
      <c r="V142" s="333"/>
      <c r="W142" s="333"/>
      <c r="X142" s="333"/>
      <c r="Y142" s="333"/>
      <c r="Z142" s="333"/>
      <c r="AA142" s="333"/>
      <c r="AB142" s="333"/>
      <c r="AC142" s="333"/>
      <c r="AD142" s="333"/>
      <c r="AE142" s="333"/>
      <c r="AF142" s="333"/>
      <c r="AG142" s="333"/>
      <c r="AH142" s="333"/>
      <c r="AI142" s="333"/>
      <c r="AJ142" s="333"/>
      <c r="AK142" s="333"/>
      <c r="AL142" s="333"/>
      <c r="AM142" s="333"/>
      <c r="AN142" s="333"/>
      <c r="AO142" s="333"/>
      <c r="AP142" s="333"/>
      <c r="AQ142" s="333"/>
      <c r="AR142" s="333"/>
      <c r="AS142" s="333"/>
      <c r="AT142" s="333"/>
      <c r="AU142" s="333"/>
      <c r="AV142" s="333"/>
      <c r="AW142" s="333"/>
      <c r="AX142" s="333"/>
      <c r="AY142" s="333"/>
      <c r="AZ142" s="333"/>
      <c r="BA142" s="333"/>
      <c r="BB142" s="333"/>
      <c r="BC142" s="333"/>
      <c r="BD142" s="333"/>
      <c r="BE142" s="333"/>
      <c r="BF142" s="333"/>
      <c r="BG142" s="333"/>
      <c r="BH142" s="333"/>
      <c r="BI142" s="333"/>
    </row>
    <row r="143" spans="1:61" ht="15" customHeight="1" thickBot="1" x14ac:dyDescent="0.25">
      <c r="A143" s="2328"/>
      <c r="B143" s="2333"/>
      <c r="C143" s="1128" t="str">
        <f>F!C286</f>
        <v>&gt;95% of the AA</v>
      </c>
      <c r="D143" s="1157">
        <f>F!D286</f>
        <v>0</v>
      </c>
      <c r="E143" s="635">
        <v>5</v>
      </c>
      <c r="F143" s="636">
        <f t="shared" si="4"/>
        <v>0</v>
      </c>
      <c r="G143" s="1142"/>
      <c r="H143" s="2276"/>
      <c r="I143" s="2136"/>
      <c r="J143" s="273"/>
      <c r="K143" s="333"/>
      <c r="L143" s="333"/>
      <c r="M143" s="333"/>
      <c r="N143" s="333"/>
      <c r="O143" s="333"/>
      <c r="P143" s="333"/>
      <c r="Q143" s="333"/>
      <c r="R143" s="333"/>
      <c r="S143" s="333"/>
      <c r="T143" s="333"/>
      <c r="U143" s="333"/>
      <c r="V143" s="333"/>
      <c r="W143" s="333"/>
      <c r="X143" s="333"/>
      <c r="Y143" s="333"/>
      <c r="Z143" s="333"/>
      <c r="AA143" s="333"/>
      <c r="AB143" s="333"/>
      <c r="AC143" s="333"/>
      <c r="AD143" s="333"/>
      <c r="AE143" s="333"/>
      <c r="AF143" s="333"/>
      <c r="AG143" s="333"/>
      <c r="AH143" s="333"/>
      <c r="AI143" s="333"/>
      <c r="AJ143" s="333"/>
      <c r="AK143" s="333"/>
      <c r="AL143" s="333"/>
      <c r="AM143" s="333"/>
      <c r="AN143" s="333"/>
      <c r="AO143" s="333"/>
      <c r="AP143" s="333"/>
      <c r="AQ143" s="333"/>
      <c r="AR143" s="333"/>
      <c r="AS143" s="333"/>
      <c r="AT143" s="333"/>
      <c r="AU143" s="333"/>
      <c r="AV143" s="333"/>
      <c r="AW143" s="333"/>
      <c r="AX143" s="333"/>
      <c r="AY143" s="333"/>
      <c r="AZ143" s="333"/>
      <c r="BA143" s="333"/>
      <c r="BB143" s="333"/>
      <c r="BC143" s="333"/>
      <c r="BD143" s="333"/>
      <c r="BE143" s="333"/>
      <c r="BF143" s="333"/>
      <c r="BG143" s="333"/>
      <c r="BH143" s="333"/>
      <c r="BI143" s="333"/>
    </row>
    <row r="144" spans="1:61" ht="75" customHeight="1" thickBot="1" x14ac:dyDescent="0.25">
      <c r="A144" s="2336" t="str">
        <f>F!A287</f>
        <v>F60</v>
      </c>
      <c r="B144" s="2332" t="str">
        <f>F!B287</f>
        <v>Frequently Visited Area</v>
      </c>
      <c r="C144" s="1129" t="str">
        <f>F!C287</f>
        <v>The percentage of the AA visited by humans almost daily for several weeks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44" s="1164"/>
      <c r="E144" s="792"/>
      <c r="F144" s="553"/>
      <c r="G144" s="550">
        <f>MAX(F145:F148)/MAX(E145:E148)</f>
        <v>0</v>
      </c>
      <c r="H144" s="2274" t="s">
        <v>174</v>
      </c>
      <c r="I144" s="2135" t="s">
        <v>107</v>
      </c>
      <c r="J144" s="273"/>
      <c r="K144" s="333"/>
      <c r="L144" s="333"/>
      <c r="M144" s="333"/>
      <c r="N144" s="333"/>
      <c r="O144" s="333"/>
      <c r="P144" s="333"/>
      <c r="Q144" s="333"/>
      <c r="R144" s="333"/>
      <c r="S144" s="333"/>
      <c r="T144" s="333"/>
      <c r="U144" s="333"/>
      <c r="V144" s="333"/>
      <c r="W144" s="333"/>
      <c r="X144" s="333"/>
      <c r="Y144" s="333"/>
      <c r="Z144" s="333"/>
      <c r="AA144" s="333"/>
      <c r="AB144" s="333"/>
      <c r="AC144" s="333"/>
      <c r="AD144" s="333"/>
      <c r="AE144" s="333"/>
      <c r="AF144" s="333"/>
      <c r="AG144" s="333"/>
      <c r="AH144" s="333"/>
      <c r="AI144" s="333"/>
      <c r="AJ144" s="333"/>
      <c r="AK144" s="333"/>
      <c r="AL144" s="333"/>
      <c r="AM144" s="333"/>
      <c r="AN144" s="333"/>
      <c r="AO144" s="333"/>
      <c r="AP144" s="333"/>
      <c r="AQ144" s="333"/>
      <c r="AR144" s="333"/>
      <c r="AS144" s="333"/>
      <c r="AT144" s="333"/>
      <c r="AU144" s="333"/>
      <c r="AV144" s="333"/>
      <c r="AW144" s="333"/>
      <c r="AX144" s="333"/>
      <c r="AY144" s="333"/>
      <c r="AZ144" s="333"/>
      <c r="BA144" s="333"/>
      <c r="BB144" s="333"/>
      <c r="BC144" s="333"/>
      <c r="BD144" s="333"/>
      <c r="BE144" s="333"/>
      <c r="BF144" s="333"/>
      <c r="BG144" s="333"/>
      <c r="BH144" s="333"/>
      <c r="BI144" s="333"/>
    </row>
    <row r="145" spans="1:61" ht="15" customHeight="1" x14ac:dyDescent="0.2">
      <c r="A145" s="2328"/>
      <c r="B145" s="2333"/>
      <c r="C145" s="1126" t="str">
        <f>F!C288</f>
        <v>&lt;5%.  If F59 was answered "&gt;95%", SKIP to F63 (Consumptive Uses).</v>
      </c>
      <c r="D145" s="308">
        <f>F!D288</f>
        <v>0</v>
      </c>
      <c r="E145" s="793">
        <v>3</v>
      </c>
      <c r="F145" s="1151">
        <f>D145*E145</f>
        <v>0</v>
      </c>
      <c r="G145" s="545"/>
      <c r="H145" s="2275"/>
      <c r="I145" s="2136"/>
      <c r="J145" s="273"/>
      <c r="K145" s="333"/>
      <c r="L145" s="333"/>
      <c r="M145" s="333"/>
      <c r="N145" s="333"/>
      <c r="O145" s="333"/>
      <c r="P145" s="333"/>
      <c r="Q145" s="333"/>
      <c r="R145" s="333"/>
      <c r="S145" s="333"/>
      <c r="T145" s="333"/>
      <c r="U145" s="333"/>
      <c r="V145" s="333"/>
      <c r="W145" s="333"/>
      <c r="X145" s="333"/>
      <c r="Y145" s="333"/>
      <c r="Z145" s="333"/>
      <c r="AA145" s="333"/>
      <c r="AB145" s="333"/>
      <c r="AC145" s="333"/>
      <c r="AD145" s="333"/>
      <c r="AE145" s="333"/>
      <c r="AF145" s="333"/>
      <c r="AG145" s="333"/>
      <c r="AH145" s="333"/>
      <c r="AI145" s="333"/>
      <c r="AJ145" s="333"/>
      <c r="AK145" s="333"/>
      <c r="AL145" s="333"/>
      <c r="AM145" s="333"/>
      <c r="AN145" s="333"/>
      <c r="AO145" s="333"/>
      <c r="AP145" s="333"/>
      <c r="AQ145" s="333"/>
      <c r="AR145" s="333"/>
      <c r="AS145" s="333"/>
      <c r="AT145" s="333"/>
      <c r="AU145" s="333"/>
      <c r="AV145" s="333"/>
      <c r="AW145" s="333"/>
      <c r="AX145" s="333"/>
      <c r="AY145" s="333"/>
      <c r="AZ145" s="333"/>
      <c r="BA145" s="333"/>
      <c r="BB145" s="333"/>
      <c r="BC145" s="333"/>
      <c r="BD145" s="333"/>
      <c r="BE145" s="333"/>
      <c r="BF145" s="333"/>
      <c r="BG145" s="333"/>
      <c r="BH145" s="333"/>
      <c r="BI145" s="333"/>
    </row>
    <row r="146" spans="1:61" ht="15" customHeight="1" x14ac:dyDescent="0.2">
      <c r="A146" s="2328"/>
      <c r="B146" s="2333"/>
      <c r="C146" s="1127" t="str">
        <f>F!C289</f>
        <v>5-50%</v>
      </c>
      <c r="D146" s="1149">
        <f>F!D289</f>
        <v>0</v>
      </c>
      <c r="E146" s="793">
        <v>2</v>
      </c>
      <c r="F146" s="1151">
        <f>D146*E146</f>
        <v>0</v>
      </c>
      <c r="G146" s="546"/>
      <c r="H146" s="2275"/>
      <c r="I146" s="2136"/>
      <c r="J146" s="273"/>
      <c r="K146" s="333"/>
      <c r="L146" s="333"/>
      <c r="M146" s="333"/>
      <c r="N146" s="333"/>
      <c r="O146" s="333"/>
      <c r="P146" s="333"/>
      <c r="Q146" s="333"/>
      <c r="R146" s="333"/>
      <c r="S146" s="333"/>
      <c r="T146" s="333"/>
      <c r="U146" s="333"/>
      <c r="V146" s="333"/>
      <c r="W146" s="333"/>
      <c r="X146" s="333"/>
      <c r="Y146" s="333"/>
      <c r="Z146" s="333"/>
      <c r="AA146" s="333"/>
      <c r="AB146" s="333"/>
      <c r="AC146" s="333"/>
      <c r="AD146" s="333"/>
      <c r="AE146" s="333"/>
      <c r="AF146" s="333"/>
      <c r="AG146" s="333"/>
      <c r="AH146" s="333"/>
      <c r="AI146" s="333"/>
      <c r="AJ146" s="333"/>
      <c r="AK146" s="333"/>
      <c r="AL146" s="333"/>
      <c r="AM146" s="333"/>
      <c r="AN146" s="333"/>
      <c r="AO146" s="333"/>
      <c r="AP146" s="333"/>
      <c r="AQ146" s="333"/>
      <c r="AR146" s="333"/>
      <c r="AS146" s="333"/>
      <c r="AT146" s="333"/>
      <c r="AU146" s="333"/>
      <c r="AV146" s="333"/>
      <c r="AW146" s="333"/>
      <c r="AX146" s="333"/>
      <c r="AY146" s="333"/>
      <c r="AZ146" s="333"/>
      <c r="BA146" s="333"/>
      <c r="BB146" s="333"/>
      <c r="BC146" s="333"/>
      <c r="BD146" s="333"/>
      <c r="BE146" s="333"/>
      <c r="BF146" s="333"/>
      <c r="BG146" s="333"/>
      <c r="BH146" s="333"/>
      <c r="BI146" s="333"/>
    </row>
    <row r="147" spans="1:61" ht="15" customHeight="1" x14ac:dyDescent="0.2">
      <c r="A147" s="2328"/>
      <c r="B147" s="2333"/>
      <c r="C147" s="1127" t="str">
        <f>F!C290</f>
        <v>50-95%</v>
      </c>
      <c r="D147" s="1149">
        <f>F!D290</f>
        <v>0</v>
      </c>
      <c r="E147" s="793">
        <v>1</v>
      </c>
      <c r="F147" s="1151">
        <f>D147*E147</f>
        <v>0</v>
      </c>
      <c r="G147" s="546"/>
      <c r="H147" s="2275"/>
      <c r="I147" s="2136"/>
      <c r="J147" s="273"/>
      <c r="K147" s="333"/>
      <c r="L147" s="333"/>
      <c r="M147" s="333"/>
      <c r="N147" s="333"/>
      <c r="O147" s="333"/>
      <c r="P147" s="333"/>
      <c r="Q147" s="333"/>
      <c r="R147" s="333"/>
      <c r="S147" s="333"/>
      <c r="T147" s="333"/>
      <c r="U147" s="333"/>
      <c r="V147" s="333"/>
      <c r="W147" s="333"/>
      <c r="X147" s="333"/>
      <c r="Y147" s="333"/>
      <c r="Z147" s="333"/>
      <c r="AA147" s="333"/>
      <c r="AB147" s="333"/>
      <c r="AC147" s="333"/>
      <c r="AD147" s="333"/>
      <c r="AE147" s="333"/>
      <c r="AF147" s="333"/>
      <c r="AG147" s="333"/>
      <c r="AH147" s="333"/>
      <c r="AI147" s="333"/>
      <c r="AJ147" s="333"/>
      <c r="AK147" s="333"/>
      <c r="AL147" s="333"/>
      <c r="AM147" s="333"/>
      <c r="AN147" s="333"/>
      <c r="AO147" s="333"/>
      <c r="AP147" s="333"/>
      <c r="AQ147" s="333"/>
      <c r="AR147" s="333"/>
      <c r="AS147" s="333"/>
      <c r="AT147" s="333"/>
      <c r="AU147" s="333"/>
      <c r="AV147" s="333"/>
      <c r="AW147" s="333"/>
      <c r="AX147" s="333"/>
      <c r="AY147" s="333"/>
      <c r="AZ147" s="333"/>
      <c r="BA147" s="333"/>
      <c r="BB147" s="333"/>
      <c r="BC147" s="333"/>
      <c r="BD147" s="333"/>
      <c r="BE147" s="333"/>
      <c r="BF147" s="333"/>
      <c r="BG147" s="333"/>
      <c r="BH147" s="333"/>
      <c r="BI147" s="333"/>
    </row>
    <row r="148" spans="1:61" ht="15" customHeight="1" thickBot="1" x14ac:dyDescent="0.25">
      <c r="A148" s="2337"/>
      <c r="B148" s="2334"/>
      <c r="C148" s="1130" t="str">
        <f>F!C291</f>
        <v>&gt;95% of the AA</v>
      </c>
      <c r="D148" s="125">
        <f>F!D291</f>
        <v>0</v>
      </c>
      <c r="E148" s="383">
        <v>0</v>
      </c>
      <c r="F148" s="353">
        <f>D148*E148</f>
        <v>0</v>
      </c>
      <c r="G148" s="547"/>
      <c r="H148" s="2276"/>
      <c r="I148" s="2137"/>
      <c r="J148" s="273"/>
      <c r="K148" s="333"/>
      <c r="L148" s="333"/>
      <c r="M148" s="333"/>
      <c r="N148" s="333"/>
      <c r="O148" s="333"/>
      <c r="P148" s="333"/>
      <c r="Q148" s="333"/>
      <c r="R148" s="333"/>
      <c r="S148" s="333"/>
      <c r="T148" s="333"/>
      <c r="U148" s="333"/>
      <c r="V148" s="333"/>
      <c r="W148" s="333"/>
      <c r="X148" s="333"/>
      <c r="Y148" s="333"/>
      <c r="Z148" s="333"/>
      <c r="AA148" s="333"/>
      <c r="AB148" s="333"/>
      <c r="AC148" s="333"/>
      <c r="AD148" s="333"/>
      <c r="AE148" s="333"/>
      <c r="AF148" s="333"/>
      <c r="AG148" s="333"/>
      <c r="AH148" s="333"/>
      <c r="AI148" s="333"/>
      <c r="AJ148" s="333"/>
      <c r="AK148" s="333"/>
      <c r="AL148" s="333"/>
      <c r="AM148" s="333"/>
      <c r="AN148" s="333"/>
      <c r="AO148" s="333"/>
      <c r="AP148" s="333"/>
      <c r="AQ148" s="333"/>
      <c r="AR148" s="333"/>
      <c r="AS148" s="333"/>
      <c r="AT148" s="333"/>
      <c r="AU148" s="333"/>
      <c r="AV148" s="333"/>
      <c r="AW148" s="333"/>
      <c r="AX148" s="333"/>
      <c r="AY148" s="333"/>
      <c r="AZ148" s="333"/>
      <c r="BA148" s="333"/>
      <c r="BB148" s="333"/>
      <c r="BC148" s="333"/>
      <c r="BD148" s="333"/>
      <c r="BE148" s="333"/>
      <c r="BF148" s="333"/>
      <c r="BG148" s="333"/>
      <c r="BH148" s="333"/>
      <c r="BI148" s="333"/>
    </row>
    <row r="149" spans="1:61" ht="93" customHeight="1" thickBot="1" x14ac:dyDescent="0.25">
      <c r="A149" s="196" t="str">
        <f>F!A293</f>
        <v>F62</v>
      </c>
      <c r="B149" s="1139" t="str">
        <f>F!B293</f>
        <v>BMP - Wildlife Protection</v>
      </c>
      <c r="C149" s="1129" t="str">
        <f>F!C293</f>
        <v xml:space="preserve">Fences, observation blinds, platforms, paved trails, exclusion periods, and/or well-enforced prohibitions on motorized boats, off-leash pets, and off road vehicles appear to effectively exclude or divert visitors and their pets from the AA at critical times in order to minimize disturbance of wildlife (except during hunting seasons).  Enter "1" if true. </v>
      </c>
      <c r="D149" s="310">
        <f>F!D293</f>
        <v>0</v>
      </c>
      <c r="E149" s="386"/>
      <c r="F149" s="147"/>
      <c r="G149" s="550">
        <f>IF((D143+D145&gt;1),"",D149)</f>
        <v>0</v>
      </c>
      <c r="H149" s="1053" t="s">
        <v>1324</v>
      </c>
      <c r="I149" s="768" t="s">
        <v>2112</v>
      </c>
      <c r="J149" s="273"/>
      <c r="K149" s="333"/>
      <c r="L149" s="333"/>
      <c r="M149" s="333"/>
      <c r="N149" s="333"/>
      <c r="O149" s="333"/>
      <c r="P149" s="333"/>
      <c r="Q149" s="333"/>
      <c r="R149" s="333"/>
      <c r="S149" s="333"/>
      <c r="T149" s="333"/>
      <c r="U149" s="333"/>
      <c r="V149" s="333"/>
      <c r="W149" s="333"/>
      <c r="X149" s="333"/>
      <c r="Y149" s="333"/>
      <c r="Z149" s="333"/>
      <c r="AA149" s="333"/>
      <c r="AB149" s="333"/>
      <c r="AC149" s="333"/>
      <c r="AD149" s="333"/>
      <c r="AE149" s="333"/>
      <c r="AF149" s="333"/>
      <c r="AG149" s="333"/>
      <c r="AH149" s="333"/>
      <c r="AI149" s="333"/>
      <c r="AJ149" s="333"/>
      <c r="AK149" s="333"/>
      <c r="AL149" s="333"/>
      <c r="AM149" s="333"/>
      <c r="AN149" s="333"/>
      <c r="AO149" s="333"/>
      <c r="AP149" s="333"/>
      <c r="AQ149" s="333"/>
      <c r="AR149" s="333"/>
      <c r="AS149" s="333"/>
      <c r="AT149" s="333"/>
      <c r="AU149" s="333"/>
      <c r="AV149" s="333"/>
      <c r="AW149" s="333"/>
      <c r="AX149" s="333"/>
      <c r="AY149" s="333"/>
      <c r="AZ149" s="333"/>
      <c r="BA149" s="333"/>
      <c r="BB149" s="333"/>
      <c r="BC149" s="333"/>
      <c r="BD149" s="333"/>
      <c r="BE149" s="333"/>
      <c r="BF149" s="333"/>
      <c r="BG149" s="333"/>
      <c r="BH149" s="333"/>
      <c r="BI149" s="333"/>
    </row>
    <row r="150" spans="1:61" ht="30" customHeight="1" thickBot="1" x14ac:dyDescent="0.25">
      <c r="A150" s="2329" t="str">
        <f>F!A307</f>
        <v>F65</v>
      </c>
      <c r="B150" s="2326" t="str">
        <f>F!B307</f>
        <v xml:space="preserve">Salinity, Alkalinity, Conductance </v>
      </c>
      <c r="C150" s="1129" t="str">
        <f>F!C307</f>
        <v>Based on measurement from a surface water area larger than .01 hectare, the AA's surface water is mostly:</v>
      </c>
      <c r="D150" s="804"/>
      <c r="E150" s="792"/>
      <c r="F150" s="1148"/>
      <c r="G150" s="550" t="str">
        <f>IF((D154=1),"",IF((D151=1),0, ""))</f>
        <v/>
      </c>
      <c r="H150" s="2274" t="s">
        <v>1162</v>
      </c>
      <c r="I150" s="2135" t="s">
        <v>2113</v>
      </c>
      <c r="J150" s="273"/>
      <c r="K150" s="333"/>
      <c r="L150" s="333"/>
      <c r="M150" s="333"/>
      <c r="N150" s="333"/>
      <c r="O150" s="333"/>
      <c r="P150" s="333"/>
      <c r="Q150" s="333"/>
      <c r="R150" s="333"/>
      <c r="S150" s="333"/>
      <c r="T150" s="333"/>
      <c r="U150" s="333"/>
      <c r="V150" s="333"/>
      <c r="W150" s="333"/>
      <c r="X150" s="333"/>
      <c r="Y150" s="333"/>
      <c r="Z150" s="333"/>
      <c r="AA150" s="333"/>
      <c r="AB150" s="333"/>
      <c r="AC150" s="333"/>
      <c r="AD150" s="333"/>
      <c r="AE150" s="333"/>
      <c r="AF150" s="333"/>
      <c r="AG150" s="333"/>
      <c r="AH150" s="333"/>
      <c r="AI150" s="333"/>
      <c r="AJ150" s="333"/>
      <c r="AK150" s="333"/>
      <c r="AL150" s="333"/>
      <c r="AM150" s="333"/>
      <c r="AN150" s="333"/>
      <c r="AO150" s="333"/>
      <c r="AP150" s="333"/>
      <c r="AQ150" s="333"/>
      <c r="AR150" s="333"/>
      <c r="AS150" s="333"/>
      <c r="AT150" s="333"/>
      <c r="AU150" s="333"/>
      <c r="AV150" s="333"/>
      <c r="AW150" s="333"/>
      <c r="AX150" s="333"/>
      <c r="AY150" s="333"/>
      <c r="AZ150" s="333"/>
      <c r="BA150" s="333"/>
      <c r="BB150" s="333"/>
      <c r="BC150" s="333"/>
      <c r="BD150" s="333"/>
      <c r="BE150" s="333"/>
      <c r="BF150" s="333"/>
      <c r="BG150" s="333"/>
      <c r="BH150" s="333"/>
      <c r="BI150" s="333"/>
    </row>
    <row r="151" spans="1:61" ht="42" customHeight="1" x14ac:dyDescent="0.2">
      <c r="A151" s="2330"/>
      <c r="B151" s="2335"/>
      <c r="C151" s="1126" t="str">
        <f>F!C308</f>
        <v>Brackish or saline (conductance of &gt;25 mS/cm, or &gt;5000 ppm TDS). Or plants that indicate saline conditions comprise &gt;20% of ground cover.  Trees and shrubs mostly absent.  Salt crust obvious around the perimeter and on flats.</v>
      </c>
      <c r="D151" s="1149">
        <f>F!D308</f>
        <v>0</v>
      </c>
      <c r="E151" s="793">
        <v>0</v>
      </c>
      <c r="F151" s="1151">
        <f>D151*E151</f>
        <v>0</v>
      </c>
      <c r="G151" s="561"/>
      <c r="H151" s="2275"/>
      <c r="I151" s="2136"/>
      <c r="J151" s="273"/>
      <c r="K151" s="333"/>
      <c r="L151" s="333"/>
      <c r="M151" s="333"/>
      <c r="N151" s="333"/>
      <c r="O151" s="333"/>
      <c r="P151" s="333"/>
      <c r="Q151" s="333"/>
      <c r="R151" s="333"/>
      <c r="S151" s="333"/>
      <c r="T151" s="333"/>
      <c r="U151" s="333"/>
      <c r="V151" s="333"/>
      <c r="W151" s="333"/>
      <c r="X151" s="333"/>
      <c r="Y151" s="333"/>
      <c r="Z151" s="333"/>
      <c r="AA151" s="333"/>
      <c r="AB151" s="333"/>
      <c r="AC151" s="333"/>
      <c r="AD151" s="333"/>
      <c r="AE151" s="333"/>
      <c r="AF151" s="333"/>
      <c r="AG151" s="333"/>
      <c r="AH151" s="333"/>
      <c r="AI151" s="333"/>
      <c r="AJ151" s="333"/>
      <c r="AK151" s="333"/>
      <c r="AL151" s="333"/>
      <c r="AM151" s="333"/>
      <c r="AN151" s="333"/>
      <c r="AO151" s="333"/>
      <c r="AP151" s="333"/>
      <c r="AQ151" s="333"/>
      <c r="AR151" s="333"/>
      <c r="AS151" s="333"/>
      <c r="AT151" s="333"/>
      <c r="AU151" s="333"/>
      <c r="AV151" s="333"/>
      <c r="AW151" s="333"/>
      <c r="AX151" s="333"/>
      <c r="AY151" s="333"/>
      <c r="AZ151" s="333"/>
      <c r="BA151" s="333"/>
      <c r="BB151" s="333"/>
      <c r="BC151" s="333"/>
      <c r="BD151" s="333"/>
      <c r="BE151" s="333"/>
      <c r="BF151" s="333"/>
      <c r="BG151" s="333"/>
      <c r="BH151" s="333"/>
      <c r="BI151" s="333"/>
    </row>
    <row r="152" spans="1:61" ht="42" customHeight="1" x14ac:dyDescent="0.2">
      <c r="A152" s="2330"/>
      <c r="B152" s="2335"/>
      <c r="C152" s="1127" t="str">
        <f>F!C309</f>
        <v>Slightly brackish (conductance of 2.5- 25 mS/cm, or 500 - 5000 ppm TDS).  Or plants that indicate saline conditions comprise 1-20% of ground cover.  Salt crust may or may not be present along perimeter.</v>
      </c>
      <c r="D152" s="1149">
        <f>F!D309</f>
        <v>0</v>
      </c>
      <c r="E152" s="793">
        <v>1</v>
      </c>
      <c r="F152" s="1151">
        <f>D152*E152</f>
        <v>0</v>
      </c>
      <c r="G152" s="561"/>
      <c r="H152" s="2275"/>
      <c r="I152" s="2136"/>
      <c r="J152" s="273"/>
      <c r="K152" s="333"/>
      <c r="L152" s="333"/>
      <c r="M152" s="333"/>
      <c r="N152" s="333"/>
      <c r="O152" s="333"/>
      <c r="P152" s="333"/>
      <c r="Q152" s="333"/>
      <c r="R152" s="333"/>
      <c r="S152" s="333"/>
      <c r="T152" s="333"/>
      <c r="U152" s="333"/>
      <c r="V152" s="333"/>
      <c r="W152" s="333"/>
      <c r="X152" s="333"/>
      <c r="Y152" s="333"/>
      <c r="Z152" s="333"/>
      <c r="AA152" s="333"/>
      <c r="AB152" s="333"/>
      <c r="AC152" s="333"/>
      <c r="AD152" s="333"/>
      <c r="AE152" s="333"/>
      <c r="AF152" s="333"/>
      <c r="AG152" s="333"/>
      <c r="AH152" s="333"/>
      <c r="AI152" s="333"/>
      <c r="AJ152" s="333"/>
      <c r="AK152" s="333"/>
      <c r="AL152" s="333"/>
      <c r="AM152" s="333"/>
      <c r="AN152" s="333"/>
      <c r="AO152" s="333"/>
      <c r="AP152" s="333"/>
      <c r="AQ152" s="333"/>
      <c r="AR152" s="333"/>
      <c r="AS152" s="333"/>
      <c r="AT152" s="333"/>
      <c r="AU152" s="333"/>
      <c r="AV152" s="333"/>
      <c r="AW152" s="333"/>
      <c r="AX152" s="333"/>
      <c r="AY152" s="333"/>
      <c r="AZ152" s="333"/>
      <c r="BA152" s="333"/>
      <c r="BB152" s="333"/>
      <c r="BC152" s="333"/>
      <c r="BD152" s="333"/>
      <c r="BE152" s="333"/>
      <c r="BF152" s="333"/>
      <c r="BG152" s="333"/>
      <c r="BH152" s="333"/>
      <c r="BI152" s="333"/>
    </row>
    <row r="153" spans="1:61" ht="27" customHeight="1" x14ac:dyDescent="0.2">
      <c r="A153" s="2330"/>
      <c r="B153" s="2335"/>
      <c r="C153" s="1127" t="str">
        <f>F!C310</f>
        <v>Fresh (conductance of &lt; 2.5 mS/cm, or &lt;500 ppm TDS). Plants that indicate saline conditions are sparse or absent. No salt crust along perimeter.</v>
      </c>
      <c r="D153" s="1156">
        <f>F!D310</f>
        <v>0</v>
      </c>
      <c r="E153" s="793">
        <v>1</v>
      </c>
      <c r="F153" s="1151">
        <f>D153*E153</f>
        <v>0</v>
      </c>
      <c r="G153" s="561"/>
      <c r="H153" s="2275"/>
      <c r="I153" s="2136"/>
      <c r="J153" s="273"/>
      <c r="K153" s="333"/>
      <c r="L153" s="333"/>
      <c r="M153" s="333"/>
      <c r="N153" s="333"/>
      <c r="O153" s="333"/>
      <c r="P153" s="333"/>
      <c r="Q153" s="333"/>
      <c r="R153" s="333"/>
      <c r="S153" s="333"/>
      <c r="T153" s="333"/>
      <c r="U153" s="333"/>
      <c r="V153" s="333"/>
      <c r="W153" s="333"/>
      <c r="X153" s="333"/>
      <c r="Y153" s="333"/>
      <c r="Z153" s="333"/>
      <c r="AA153" s="333"/>
      <c r="AB153" s="333"/>
      <c r="AC153" s="333"/>
      <c r="AD153" s="333"/>
      <c r="AE153" s="333"/>
      <c r="AF153" s="333"/>
      <c r="AG153" s="333"/>
      <c r="AH153" s="333"/>
      <c r="AI153" s="333"/>
      <c r="AJ153" s="333"/>
      <c r="AK153" s="333"/>
      <c r="AL153" s="333"/>
      <c r="AM153" s="333"/>
      <c r="AN153" s="333"/>
      <c r="AO153" s="333"/>
      <c r="AP153" s="333"/>
      <c r="AQ153" s="333"/>
      <c r="AR153" s="333"/>
      <c r="AS153" s="333"/>
      <c r="AT153" s="333"/>
      <c r="AU153" s="333"/>
      <c r="AV153" s="333"/>
      <c r="AW153" s="333"/>
      <c r="AX153" s="333"/>
      <c r="AY153" s="333"/>
      <c r="AZ153" s="333"/>
      <c r="BA153" s="333"/>
      <c r="BB153" s="333"/>
      <c r="BC153" s="333"/>
      <c r="BD153" s="333"/>
      <c r="BE153" s="333"/>
      <c r="BF153" s="333"/>
      <c r="BG153" s="333"/>
      <c r="BH153" s="333"/>
      <c r="BI153" s="333"/>
    </row>
    <row r="154" spans="1:61" ht="27" customHeight="1" thickBot="1" x14ac:dyDescent="0.25">
      <c r="A154" s="2331"/>
      <c r="B154" s="2327"/>
      <c r="C154" s="1130" t="str">
        <f>F!C311</f>
        <v xml:space="preserve">Unknown condition (was not measured because surface water absent or insufficient, or measurement conflicted with plant indicators). </v>
      </c>
      <c r="D154" s="125">
        <f>F!D311</f>
        <v>0</v>
      </c>
      <c r="E154" s="383"/>
      <c r="F154" s="353"/>
      <c r="G154" s="1168"/>
      <c r="H154" s="2276"/>
      <c r="I154" s="2137"/>
      <c r="J154" s="273"/>
      <c r="K154" s="333"/>
      <c r="L154" s="333"/>
      <c r="M154" s="333"/>
      <c r="N154" s="333"/>
      <c r="O154" s="333"/>
      <c r="P154" s="333"/>
      <c r="Q154" s="333"/>
      <c r="R154" s="333"/>
      <c r="S154" s="333"/>
      <c r="T154" s="333"/>
      <c r="U154" s="333"/>
      <c r="V154" s="333"/>
      <c r="W154" s="333"/>
      <c r="X154" s="333"/>
      <c r="Y154" s="333"/>
      <c r="Z154" s="333"/>
      <c r="AA154" s="333"/>
      <c r="AB154" s="333"/>
      <c r="AC154" s="333"/>
      <c r="AD154" s="333"/>
      <c r="AE154" s="333"/>
      <c r="AF154" s="333"/>
      <c r="AG154" s="333"/>
      <c r="AH154" s="333"/>
      <c r="AI154" s="333"/>
      <c r="AJ154" s="333"/>
      <c r="AK154" s="333"/>
      <c r="AL154" s="333"/>
      <c r="AM154" s="333"/>
      <c r="AN154" s="333"/>
      <c r="AO154" s="333"/>
      <c r="AP154" s="333"/>
      <c r="AQ154" s="333"/>
      <c r="AR154" s="333"/>
      <c r="AS154" s="333"/>
      <c r="AT154" s="333"/>
      <c r="AU154" s="333"/>
      <c r="AV154" s="333"/>
      <c r="AW154" s="333"/>
      <c r="AX154" s="333"/>
      <c r="AY154" s="333"/>
      <c r="AZ154" s="333"/>
      <c r="BA154" s="333"/>
      <c r="BB154" s="333"/>
      <c r="BC154" s="333"/>
      <c r="BD154" s="333"/>
      <c r="BE154" s="333"/>
      <c r="BF154" s="333"/>
      <c r="BG154" s="333"/>
      <c r="BH154" s="333"/>
      <c r="BI154" s="333"/>
    </row>
    <row r="155" spans="1:61" ht="84" customHeight="1" thickBot="1" x14ac:dyDescent="0.25">
      <c r="A155" s="2326" t="str">
        <f>F!A328</f>
        <v>F69</v>
      </c>
      <c r="B155" s="2326" t="str">
        <f>F!B328</f>
        <v>Plants or Animals of Conservation Concern</v>
      </c>
      <c r="C155" s="1178" t="str">
        <f>F!C328</f>
        <v xml:space="preserve">If required, survey the AA for plant or animal species believed to be of conservation concern in Alberta (see list on Form F in Appendix A of Manual).  Do so at appropriate times of the year, especially if the data review conducted during the office phase of this assessment indicated their past presence in the general vicinity.  If you do detect these species or have reliable knowledge of their recent (within ~5 years) occurrence within the AA, indicate that below.  </v>
      </c>
      <c r="D155" s="804"/>
      <c r="E155" s="792"/>
      <c r="F155" s="1148"/>
      <c r="G155" s="443"/>
      <c r="H155" s="2086" t="s">
        <v>2238</v>
      </c>
      <c r="I155" s="2087" t="s">
        <v>2244</v>
      </c>
      <c r="J155" s="273"/>
      <c r="K155" s="333"/>
      <c r="L155" s="333"/>
      <c r="M155" s="333"/>
      <c r="N155" s="333"/>
      <c r="O155" s="333"/>
      <c r="P155" s="333"/>
      <c r="Q155" s="333"/>
      <c r="R155" s="333"/>
      <c r="S155" s="333"/>
      <c r="T155" s="333"/>
      <c r="U155" s="333"/>
      <c r="V155" s="333"/>
      <c r="W155" s="333"/>
      <c r="X155" s="333"/>
      <c r="Y155" s="333"/>
      <c r="Z155" s="333"/>
      <c r="AA155" s="333"/>
      <c r="AB155" s="333"/>
      <c r="AC155" s="333"/>
      <c r="AD155" s="333"/>
      <c r="AE155" s="333"/>
      <c r="AF155" s="333"/>
      <c r="AG155" s="333"/>
      <c r="AH155" s="333"/>
      <c r="AI155" s="333"/>
      <c r="AJ155" s="333"/>
      <c r="AK155" s="333"/>
      <c r="AL155" s="333"/>
      <c r="AM155" s="333"/>
      <c r="AN155" s="333"/>
      <c r="AO155" s="333"/>
      <c r="AP155" s="333"/>
      <c r="AQ155" s="333"/>
      <c r="AR155" s="333"/>
      <c r="AS155" s="333"/>
      <c r="AT155" s="333"/>
      <c r="AU155" s="333"/>
      <c r="AV155" s="333"/>
      <c r="AW155" s="333"/>
      <c r="AX155" s="333"/>
      <c r="AY155" s="333"/>
      <c r="AZ155" s="333"/>
      <c r="BA155" s="333"/>
      <c r="BB155" s="333"/>
      <c r="BC155" s="333"/>
      <c r="BD155" s="333"/>
      <c r="BE155" s="333"/>
      <c r="BF155" s="333"/>
      <c r="BG155" s="333"/>
      <c r="BH155" s="333"/>
      <c r="BI155" s="333"/>
    </row>
    <row r="156" spans="1:61" ht="15" customHeight="1" thickBot="1" x14ac:dyDescent="0.25">
      <c r="A156" s="2327"/>
      <c r="B156" s="2327"/>
      <c r="C156" s="1177" t="str">
        <f>F!C332</f>
        <v>One or more of the rare waterbird species was detected within the AA.</v>
      </c>
      <c r="D156" s="637">
        <f>F!D332</f>
        <v>0</v>
      </c>
      <c r="E156" s="383"/>
      <c r="F156" s="383"/>
      <c r="G156" s="638" t="str">
        <f>IF((D156=0),"",1)</f>
        <v/>
      </c>
      <c r="H156" s="2085"/>
      <c r="I156" s="2088"/>
      <c r="J156" s="273"/>
      <c r="K156" s="333"/>
      <c r="L156" s="333"/>
      <c r="M156" s="333"/>
      <c r="N156" s="333"/>
      <c r="O156" s="333"/>
      <c r="P156" s="333"/>
      <c r="Q156" s="333"/>
      <c r="R156" s="333"/>
      <c r="S156" s="333"/>
      <c r="T156" s="333"/>
      <c r="U156" s="333"/>
      <c r="V156" s="333"/>
      <c r="W156" s="333"/>
      <c r="X156" s="333"/>
      <c r="Y156" s="333"/>
      <c r="Z156" s="333"/>
      <c r="AA156" s="333"/>
      <c r="AB156" s="333"/>
      <c r="AC156" s="333"/>
      <c r="AD156" s="333"/>
      <c r="AE156" s="333"/>
      <c r="AF156" s="333"/>
      <c r="AG156" s="333"/>
      <c r="AH156" s="333"/>
      <c r="AI156" s="333"/>
      <c r="AJ156" s="333"/>
      <c r="AK156" s="333"/>
      <c r="AL156" s="333"/>
      <c r="AM156" s="333"/>
      <c r="AN156" s="333"/>
      <c r="AO156" s="333"/>
      <c r="AP156" s="333"/>
      <c r="AQ156" s="333"/>
      <c r="AR156" s="333"/>
      <c r="AS156" s="333"/>
      <c r="AT156" s="333"/>
      <c r="AU156" s="333"/>
      <c r="AV156" s="333"/>
      <c r="AW156" s="333"/>
      <c r="AX156" s="333"/>
      <c r="AY156" s="333"/>
      <c r="AZ156" s="333"/>
      <c r="BA156" s="333"/>
      <c r="BB156" s="333"/>
      <c r="BC156" s="333"/>
      <c r="BD156" s="333"/>
      <c r="BE156" s="333"/>
      <c r="BF156" s="333"/>
      <c r="BG156" s="333"/>
      <c r="BH156" s="333"/>
      <c r="BI156" s="333"/>
    </row>
    <row r="157" spans="1:61" ht="21" customHeight="1" thickBot="1" x14ac:dyDescent="0.25">
      <c r="A157" s="1433"/>
      <c r="B157" s="1433"/>
      <c r="D157" s="1434"/>
      <c r="E157" s="1434"/>
      <c r="F157" s="1434"/>
      <c r="G157" s="1434"/>
      <c r="H157" s="836"/>
      <c r="I157" s="836"/>
      <c r="J157" s="273"/>
      <c r="K157" s="333"/>
      <c r="L157" s="333"/>
      <c r="M157" s="333"/>
      <c r="N157" s="333"/>
      <c r="O157" s="333"/>
      <c r="P157" s="333"/>
      <c r="Q157" s="333"/>
      <c r="R157" s="333"/>
      <c r="S157" s="333"/>
      <c r="T157" s="333"/>
      <c r="U157" s="333"/>
      <c r="V157" s="333"/>
      <c r="W157" s="333"/>
      <c r="X157" s="333"/>
      <c r="Y157" s="333"/>
      <c r="Z157" s="333"/>
      <c r="AA157" s="333"/>
      <c r="AB157" s="333"/>
      <c r="AC157" s="333"/>
      <c r="AD157" s="333"/>
      <c r="AE157" s="333"/>
      <c r="AF157" s="333"/>
      <c r="AG157" s="333"/>
      <c r="AH157" s="333"/>
      <c r="AI157" s="333"/>
      <c r="AJ157" s="333"/>
      <c r="AK157" s="333"/>
      <c r="AL157" s="333"/>
      <c r="AM157" s="333"/>
      <c r="AN157" s="333"/>
      <c r="AO157" s="333"/>
      <c r="AP157" s="333"/>
      <c r="AQ157" s="333"/>
      <c r="AR157" s="333"/>
      <c r="AS157" s="333"/>
      <c r="AT157" s="333"/>
      <c r="AU157" s="333"/>
      <c r="AV157" s="333"/>
      <c r="AW157" s="333"/>
      <c r="AX157" s="333"/>
      <c r="AY157" s="333"/>
      <c r="AZ157" s="333"/>
      <c r="BA157" s="333"/>
      <c r="BB157" s="333"/>
      <c r="BC157" s="333"/>
      <c r="BD157" s="333"/>
      <c r="BE157" s="333"/>
      <c r="BF157" s="333"/>
      <c r="BG157" s="333"/>
      <c r="BH157" s="333"/>
      <c r="BI157" s="333"/>
    </row>
    <row r="158" spans="1:61" s="39" customFormat="1" ht="21" customHeight="1" thickBot="1" x14ac:dyDescent="0.25">
      <c r="A158" s="56"/>
      <c r="B158" s="56"/>
      <c r="C158" s="833" t="s">
        <v>1170</v>
      </c>
      <c r="D158" s="1435"/>
      <c r="E158" s="1435"/>
      <c r="F158" s="1435"/>
      <c r="G158" s="1435"/>
      <c r="H158" s="8"/>
      <c r="I158" s="8"/>
      <c r="J158" s="274"/>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c r="AQ158" s="7"/>
      <c r="AR158" s="7"/>
      <c r="AS158" s="7"/>
      <c r="AT158" s="7"/>
      <c r="AU158" s="7"/>
      <c r="AV158" s="7"/>
      <c r="AW158" s="7"/>
      <c r="AX158" s="7"/>
      <c r="AY158" s="7"/>
      <c r="AZ158" s="7"/>
      <c r="BA158" s="7"/>
      <c r="BB158" s="7"/>
      <c r="BC158" s="7"/>
      <c r="BD158" s="7"/>
      <c r="BE158" s="7"/>
      <c r="BF158" s="7"/>
      <c r="BG158" s="7"/>
      <c r="BH158" s="7"/>
      <c r="BI158" s="7"/>
    </row>
    <row r="159" spans="1:61" s="39" customFormat="1" ht="30" customHeight="1" thickBot="1" x14ac:dyDescent="0.25">
      <c r="A159" s="1436"/>
      <c r="B159" s="1363" t="s">
        <v>1115</v>
      </c>
      <c r="C159" s="902" t="s">
        <v>1982</v>
      </c>
      <c r="D159" s="325"/>
      <c r="E159" s="325"/>
      <c r="F159" s="325"/>
      <c r="G159" s="530">
        <f>IF((GT10HA=1),G160, IFERROR(AVERAGE(WetVegArea,WatProb, ISOdry13, OWpct13, Interspers13, EmPct13, DepthEven13, SBhab13, ShoreSlope13, TreeForm13, SnagB13, Island13, VwidthAbs13),""))</f>
        <v>0</v>
      </c>
      <c r="H159" s="8"/>
      <c r="I159" s="8"/>
      <c r="J159" s="214"/>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c r="AQ159" s="7"/>
      <c r="AR159" s="7"/>
      <c r="AS159" s="7"/>
      <c r="AT159" s="7"/>
      <c r="AU159" s="7"/>
      <c r="AV159" s="7"/>
      <c r="AW159" s="7"/>
      <c r="AX159" s="7"/>
      <c r="AY159" s="7"/>
      <c r="AZ159" s="7"/>
      <c r="BA159" s="7"/>
      <c r="BB159" s="7"/>
      <c r="BC159" s="7"/>
      <c r="BD159" s="7"/>
      <c r="BE159" s="7"/>
      <c r="BF159" s="7"/>
      <c r="BG159" s="7"/>
      <c r="BH159" s="7"/>
      <c r="BI159" s="7"/>
    </row>
    <row r="160" spans="1:61" s="39" customFormat="1" ht="28.5" customHeight="1" thickBot="1" x14ac:dyDescent="0.25">
      <c r="A160" s="1436"/>
      <c r="B160" s="1365" t="s">
        <v>1116</v>
      </c>
      <c r="C160" s="193" t="s">
        <v>1981</v>
      </c>
      <c r="D160" s="327"/>
      <c r="E160" s="327"/>
      <c r="F160" s="327"/>
      <c r="G160" s="781">
        <f>IFERROR(AVERAGE(WetVegArea,WatProb, ISOdry13, OWpct_WB, MixWaterVeg, EmPct13, DepthEven13, SBhab13, ShoreSlope13, TreeForm13, SnagB13,  Island13, VwidthAbs13),"")</f>
        <v>0</v>
      </c>
      <c r="H160" s="8"/>
      <c r="I160" s="8"/>
      <c r="J160" s="214"/>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c r="AQ160" s="7"/>
      <c r="AR160" s="7"/>
      <c r="AS160" s="7"/>
      <c r="AT160" s="7"/>
      <c r="AU160" s="7"/>
      <c r="AV160" s="7"/>
      <c r="AW160" s="7"/>
      <c r="AX160" s="7"/>
      <c r="AY160" s="7"/>
      <c r="AZ160" s="7"/>
      <c r="BA160" s="7"/>
      <c r="BB160" s="7"/>
      <c r="BC160" s="7"/>
      <c r="BD160" s="7"/>
      <c r="BE160" s="7"/>
      <c r="BF160" s="7"/>
      <c r="BG160" s="7"/>
      <c r="BH160" s="7"/>
      <c r="BI160" s="7"/>
    </row>
    <row r="161" spans="1:61" s="39" customFormat="1" ht="21" customHeight="1" thickBot="1" x14ac:dyDescent="0.25">
      <c r="A161" s="191"/>
      <c r="B161" s="191"/>
      <c r="D161" s="1437"/>
      <c r="E161" s="1437"/>
      <c r="F161" s="1437"/>
      <c r="G161" s="1437"/>
      <c r="H161" s="8"/>
      <c r="I161" s="8"/>
      <c r="J161" s="274"/>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row>
    <row r="162" spans="1:61" s="39" customFormat="1" ht="21" customHeight="1" thickBot="1" x14ac:dyDescent="0.25">
      <c r="A162" s="191"/>
      <c r="B162" s="191"/>
      <c r="C162" s="833" t="s">
        <v>1171</v>
      </c>
      <c r="D162" s="734"/>
      <c r="E162" s="734"/>
      <c r="F162" s="734"/>
      <c r="G162" s="734"/>
      <c r="H162" s="8"/>
      <c r="I162" s="8"/>
      <c r="J162" s="274"/>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row>
    <row r="163" spans="1:61" s="39" customFormat="1" ht="30" customHeight="1" thickBot="1" x14ac:dyDescent="0.25">
      <c r="A163" s="1429"/>
      <c r="B163" s="1403"/>
      <c r="C163" s="75" t="s">
        <v>1983</v>
      </c>
      <c r="D163" s="1430"/>
      <c r="E163" s="420"/>
      <c r="F163" s="420"/>
      <c r="G163" s="530">
        <f>IFERROR(AVERAGE(Gradient13, Wettype13, AVERAGE(GrowDD, RipFloodpl, Lake13, Fish13, Acidic13, Woody13, Beaver13,  Salin13, SatPct13, Fluctu13)),"")</f>
        <v>0.08</v>
      </c>
      <c r="H163" s="8"/>
      <c r="I163" s="8"/>
      <c r="J163" s="274"/>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row>
    <row r="164" spans="1:61" s="39" customFormat="1" ht="21" customHeight="1" thickBot="1" x14ac:dyDescent="0.25">
      <c r="A164" s="1429"/>
      <c r="B164" s="1429"/>
      <c r="D164" s="1437"/>
      <c r="E164" s="1437"/>
      <c r="F164" s="1437"/>
      <c r="G164" s="1437"/>
      <c r="H164" s="8"/>
      <c r="I164" s="8"/>
      <c r="J164" s="274"/>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c r="AQ164" s="7"/>
      <c r="AR164" s="7"/>
      <c r="AS164" s="7"/>
      <c r="AT164" s="7"/>
      <c r="AU164" s="7"/>
      <c r="AV164" s="7"/>
      <c r="AW164" s="7"/>
      <c r="AX164" s="7"/>
      <c r="AY164" s="7"/>
      <c r="AZ164" s="7"/>
      <c r="BA164" s="7"/>
      <c r="BB164" s="7"/>
      <c r="BC164" s="7"/>
      <c r="BD164" s="7"/>
      <c r="BE164" s="7"/>
      <c r="BF164" s="7"/>
      <c r="BG164" s="7"/>
      <c r="BH164" s="7"/>
      <c r="BI164" s="7"/>
    </row>
    <row r="165" spans="1:61" s="39" customFormat="1" ht="21" customHeight="1" thickBot="1" x14ac:dyDescent="0.25">
      <c r="A165" s="1429"/>
      <c r="B165" s="1429"/>
      <c r="C165" s="834" t="s">
        <v>1172</v>
      </c>
      <c r="D165" s="734"/>
      <c r="E165" s="734"/>
      <c r="F165" s="734"/>
      <c r="G165" s="734"/>
      <c r="H165" s="8"/>
      <c r="I165" s="8"/>
      <c r="J165" s="274"/>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c r="AQ165" s="7"/>
      <c r="AR165" s="7"/>
      <c r="AS165" s="7"/>
      <c r="AT165" s="7"/>
      <c r="AU165" s="7"/>
      <c r="AV165" s="7"/>
      <c r="AW165" s="7"/>
      <c r="AX165" s="7"/>
      <c r="AY165" s="7"/>
      <c r="AZ165" s="7"/>
      <c r="BA165" s="7"/>
      <c r="BB165" s="7"/>
      <c r="BC165" s="7"/>
      <c r="BD165" s="7"/>
      <c r="BE165" s="7"/>
      <c r="BF165" s="7"/>
      <c r="BG165" s="7"/>
      <c r="BH165" s="7"/>
      <c r="BI165" s="7"/>
    </row>
    <row r="166" spans="1:61" s="39" customFormat="1" ht="21" customHeight="1" thickBot="1" x14ac:dyDescent="0.25">
      <c r="A166" s="1429"/>
      <c r="B166" s="1403"/>
      <c r="C166" s="75" t="s">
        <v>1985</v>
      </c>
      <c r="D166" s="1430"/>
      <c r="E166" s="420"/>
      <c r="F166" s="420"/>
      <c r="G166" s="530" t="str">
        <f>IFERROR(AVERAGE(WetDens1k, DuckDens, PerimNatCov, UndevOpenL1k, VegCon1k),"")</f>
        <v/>
      </c>
      <c r="H166" s="8"/>
      <c r="I166" s="8"/>
      <c r="J166" s="274"/>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c r="AQ166" s="7"/>
      <c r="AR166" s="7"/>
      <c r="AS166" s="7"/>
      <c r="AT166" s="7"/>
      <c r="AU166" s="7"/>
      <c r="AV166" s="7"/>
      <c r="AW166" s="7"/>
      <c r="AX166" s="7"/>
      <c r="AY166" s="7"/>
      <c r="AZ166" s="7"/>
      <c r="BA166" s="7"/>
      <c r="BB166" s="7"/>
      <c r="BC166" s="7"/>
      <c r="BD166" s="7"/>
      <c r="BE166" s="7"/>
      <c r="BF166" s="7"/>
      <c r="BG166" s="7"/>
      <c r="BH166" s="7"/>
      <c r="BI166" s="7"/>
    </row>
    <row r="167" spans="1:61" s="44" customFormat="1" ht="21" customHeight="1" thickBot="1" x14ac:dyDescent="0.25">
      <c r="A167" s="1438"/>
      <c r="B167" s="1438"/>
      <c r="C167" s="154"/>
      <c r="D167" s="1439"/>
      <c r="E167" s="1439"/>
      <c r="F167" s="1439"/>
      <c r="G167" s="1439"/>
      <c r="H167" s="8"/>
      <c r="I167" s="8"/>
      <c r="J167" s="20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c r="BC167" s="8"/>
      <c r="BD167" s="8"/>
      <c r="BE167" s="8"/>
      <c r="BF167" s="8"/>
      <c r="BG167" s="8"/>
      <c r="BH167" s="8"/>
      <c r="BI167" s="8"/>
    </row>
    <row r="168" spans="1:61" s="39" customFormat="1" ht="21" customHeight="1" thickBot="1" x14ac:dyDescent="0.25">
      <c r="A168" s="1438"/>
      <c r="B168" s="1438"/>
      <c r="C168" s="833" t="s">
        <v>1319</v>
      </c>
      <c r="D168" s="1440"/>
      <c r="E168" s="1440"/>
      <c r="F168" s="1440"/>
      <c r="G168" s="1440"/>
      <c r="H168" s="8"/>
      <c r="I168" s="8"/>
      <c r="J168" s="274"/>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c r="AQ168" s="7"/>
      <c r="AR168" s="7"/>
      <c r="AS168" s="7"/>
      <c r="AT168" s="7"/>
      <c r="AU168" s="7"/>
      <c r="AV168" s="7"/>
      <c r="AW168" s="7"/>
      <c r="AX168" s="7"/>
      <c r="AY168" s="7"/>
      <c r="AZ168" s="7"/>
      <c r="BA168" s="7"/>
      <c r="BB168" s="7"/>
      <c r="BC168" s="7"/>
      <c r="BD168" s="7"/>
      <c r="BE168" s="7"/>
      <c r="BF168" s="7"/>
      <c r="BG168" s="7"/>
      <c r="BH168" s="7"/>
      <c r="BI168" s="7"/>
    </row>
    <row r="169" spans="1:61" s="39" customFormat="1" ht="21" customHeight="1" thickBot="1" x14ac:dyDescent="0.25">
      <c r="A169" s="1429"/>
      <c r="B169" s="1403"/>
      <c r="C169" s="75" t="s">
        <v>1984</v>
      </c>
      <c r="D169" s="1430"/>
      <c r="E169" s="420"/>
      <c r="F169" s="420"/>
      <c r="G169" s="1431">
        <f>IFERROR(AVERAGE(Dist2DevCrop, BuffNatPct13, Core1_13, Core2_13, BMP_13),"")</f>
        <v>0</v>
      </c>
      <c r="H169" s="8"/>
      <c r="I169" s="8"/>
      <c r="J169" s="274"/>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c r="AQ169" s="7"/>
      <c r="AR169" s="7"/>
      <c r="AS169" s="7"/>
      <c r="AT169" s="7"/>
      <c r="AU169" s="7"/>
      <c r="AV169" s="7"/>
      <c r="AW169" s="7"/>
      <c r="AX169" s="7"/>
      <c r="AY169" s="7"/>
      <c r="AZ169" s="7"/>
      <c r="BA169" s="7"/>
      <c r="BB169" s="7"/>
      <c r="BC169" s="7"/>
      <c r="BD169" s="7"/>
      <c r="BE169" s="7"/>
      <c r="BF169" s="7"/>
      <c r="BG169" s="7"/>
      <c r="BH169" s="7"/>
      <c r="BI169" s="7"/>
    </row>
    <row r="170" spans="1:61" s="39" customFormat="1" ht="21" customHeight="1" thickBot="1" x14ac:dyDescent="0.25">
      <c r="A170" s="191"/>
      <c r="B170" s="191"/>
      <c r="D170" s="1437"/>
      <c r="E170" s="1437"/>
      <c r="F170" s="1437"/>
      <c r="G170" s="1437"/>
      <c r="H170" s="8"/>
      <c r="I170" s="8"/>
      <c r="J170" s="274"/>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c r="AQ170" s="7"/>
      <c r="AR170" s="7"/>
      <c r="AS170" s="7"/>
      <c r="AT170" s="7"/>
      <c r="AU170" s="7"/>
      <c r="AV170" s="7"/>
      <c r="AW170" s="7"/>
      <c r="AX170" s="7"/>
      <c r="AY170" s="7"/>
      <c r="AZ170" s="7"/>
      <c r="BA170" s="7"/>
      <c r="BB170" s="7"/>
      <c r="BC170" s="7"/>
      <c r="BD170" s="7"/>
      <c r="BE170" s="7"/>
      <c r="BF170" s="7"/>
      <c r="BG170" s="7"/>
      <c r="BH170" s="7"/>
      <c r="BI170" s="7"/>
    </row>
    <row r="171" spans="1:61" s="39" customFormat="1" ht="21" customHeight="1" thickBot="1" x14ac:dyDescent="0.25">
      <c r="A171" s="191"/>
      <c r="B171" s="191"/>
      <c r="C171" s="1635" t="s">
        <v>1339</v>
      </c>
      <c r="H171" s="8"/>
      <c r="I171" s="8"/>
      <c r="J171" s="274"/>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c r="AQ171" s="7"/>
      <c r="AR171" s="7"/>
      <c r="AS171" s="7"/>
      <c r="AT171" s="7"/>
      <c r="AU171" s="7"/>
      <c r="AV171" s="7"/>
      <c r="AW171" s="7"/>
      <c r="AX171" s="7"/>
      <c r="AY171" s="7"/>
      <c r="AZ171" s="7"/>
      <c r="BA171" s="7"/>
      <c r="BB171" s="7"/>
      <c r="BC171" s="7"/>
      <c r="BD171" s="7"/>
      <c r="BE171" s="7"/>
      <c r="BF171" s="7"/>
      <c r="BG171" s="7"/>
      <c r="BH171" s="7"/>
      <c r="BI171" s="7"/>
    </row>
    <row r="172" spans="1:61" s="39" customFormat="1" ht="21" customHeight="1" thickBot="1" x14ac:dyDescent="0.25">
      <c r="A172" s="191"/>
      <c r="B172" s="191"/>
      <c r="C172" s="903" t="s">
        <v>921</v>
      </c>
      <c r="D172" s="734"/>
      <c r="E172" s="734"/>
      <c r="F172" s="734"/>
      <c r="G172" s="734"/>
      <c r="H172" s="8"/>
      <c r="I172" s="8"/>
      <c r="J172" s="274"/>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c r="AQ172" s="7"/>
      <c r="AR172" s="7"/>
      <c r="AS172" s="7"/>
      <c r="AT172" s="7"/>
      <c r="AU172" s="7"/>
      <c r="AV172" s="7"/>
      <c r="AW172" s="7"/>
      <c r="AX172" s="7"/>
      <c r="AY172" s="7"/>
      <c r="AZ172" s="7"/>
      <c r="BA172" s="7"/>
      <c r="BB172" s="7"/>
      <c r="BC172" s="7"/>
      <c r="BD172" s="7"/>
      <c r="BE172" s="7"/>
      <c r="BF172" s="7"/>
      <c r="BG172" s="7"/>
      <c r="BH172" s="7"/>
      <c r="BI172" s="7"/>
    </row>
    <row r="173" spans="1:61" s="39" customFormat="1" ht="30" customHeight="1" thickBot="1" x14ac:dyDescent="0.25">
      <c r="A173" s="191"/>
      <c r="B173" s="191"/>
      <c r="C173" s="107" t="s">
        <v>2211</v>
      </c>
      <c r="D173" s="420"/>
      <c r="E173" s="420"/>
      <c r="F173" s="420"/>
      <c r="G173" s="1415">
        <f>IF((MAX(RareWB13,IBirdArea,TrumSwan, RareBirdUse, SBstaging, WBstaging)&gt;0),10, 10*AVERAGE(DuckDens, MarshPct, UniqFenMarsh, HabStrucW1a, CfixW1a, LscapeW1a, StressW1a))</f>
        <v>0.26666666666666666</v>
      </c>
      <c r="H173" s="8"/>
      <c r="I173" s="8"/>
      <c r="J173" s="274"/>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c r="AQ173" s="7"/>
      <c r="AR173" s="7"/>
      <c r="AS173" s="7"/>
      <c r="AT173" s="7"/>
      <c r="AU173" s="7"/>
      <c r="AV173" s="7"/>
      <c r="AW173" s="7"/>
      <c r="AX173" s="7"/>
      <c r="AY173" s="7"/>
      <c r="AZ173" s="7"/>
      <c r="BA173" s="7"/>
      <c r="BB173" s="7"/>
      <c r="BC173" s="7"/>
      <c r="BD173" s="7"/>
      <c r="BE173" s="7"/>
      <c r="BF173" s="7"/>
      <c r="BG173" s="7"/>
      <c r="BH173" s="7"/>
      <c r="BI173" s="7"/>
    </row>
    <row r="174" spans="1:61" s="5" customFormat="1" ht="21" customHeight="1" thickBot="1" x14ac:dyDescent="0.25">
      <c r="A174" s="191"/>
      <c r="B174" s="191"/>
      <c r="C174" s="1403"/>
      <c r="D174" s="1397"/>
      <c r="E174" s="1077"/>
      <c r="F174" s="1077"/>
      <c r="G174" s="1077"/>
      <c r="H174" s="1441"/>
      <c r="I174" s="100" t="s">
        <v>357</v>
      </c>
      <c r="J174" s="215"/>
      <c r="K174" s="154"/>
      <c r="L174" s="154"/>
      <c r="M174" s="154"/>
    </row>
    <row r="175" spans="1:61" s="5" customFormat="1" ht="42" customHeight="1" x14ac:dyDescent="0.2">
      <c r="A175" s="1544"/>
      <c r="B175" s="1544"/>
      <c r="C175" s="1524" t="s">
        <v>1336</v>
      </c>
      <c r="D175" s="1586"/>
      <c r="E175" s="1077"/>
      <c r="F175" s="1077"/>
      <c r="G175" s="1077"/>
      <c r="H175" s="1441"/>
      <c r="I175" s="110" t="s">
        <v>694</v>
      </c>
      <c r="J175" s="215"/>
      <c r="K175" s="154"/>
      <c r="L175" s="154"/>
      <c r="M175" s="154"/>
    </row>
    <row r="176" spans="1:61" s="176" customFormat="1" ht="42" customHeight="1" x14ac:dyDescent="0.2">
      <c r="A176" s="1526"/>
      <c r="B176" s="1533">
        <v>1</v>
      </c>
      <c r="C176" s="1526" t="s">
        <v>1343</v>
      </c>
      <c r="D176" s="1527" t="str">
        <f>IFERROR(IF((MAX(IBirdArea, RareBirdUse, TrumSwan, SBstaging, WBstaging)&gt;0), 10, ""),"")</f>
        <v/>
      </c>
      <c r="E176" s="1077"/>
      <c r="F176" s="1077"/>
      <c r="G176" s="1077"/>
      <c r="H176" s="1441"/>
      <c r="I176" s="174" t="s">
        <v>1826</v>
      </c>
      <c r="J176" s="214"/>
      <c r="K176" s="168"/>
      <c r="L176" s="168"/>
      <c r="M176" s="168"/>
    </row>
    <row r="177" spans="1:13" s="176" customFormat="1" ht="42" customHeight="1" x14ac:dyDescent="0.2">
      <c r="A177" s="1526"/>
      <c r="B177" s="1562">
        <v>2</v>
      </c>
      <c r="C177" s="1526" t="s">
        <v>1213</v>
      </c>
      <c r="D177" s="1527"/>
      <c r="E177" s="1077"/>
      <c r="F177" s="1077"/>
      <c r="G177" s="1077"/>
      <c r="H177" s="1441"/>
      <c r="I177" s="1391" t="s">
        <v>1827</v>
      </c>
      <c r="J177" s="214"/>
      <c r="K177" s="168"/>
      <c r="L177" s="168"/>
      <c r="M177" s="168"/>
    </row>
    <row r="178" spans="1:13" s="176" customFormat="1" ht="42" customHeight="1" x14ac:dyDescent="0.2">
      <c r="A178" s="1526"/>
      <c r="B178" s="1533" t="s">
        <v>1227</v>
      </c>
      <c r="C178" s="1526" t="s">
        <v>2398</v>
      </c>
      <c r="D178" s="1527" t="str">
        <f>IFERROR(AVERAGE(WetVegArea, RipFloodpl),"")</f>
        <v/>
      </c>
      <c r="E178" s="1077"/>
      <c r="F178" s="1077"/>
      <c r="G178" s="1077"/>
      <c r="H178" s="1441"/>
      <c r="I178" s="612" t="s">
        <v>1828</v>
      </c>
      <c r="J178" s="214"/>
      <c r="K178" s="168"/>
      <c r="L178" s="168"/>
      <c r="M178" s="168"/>
    </row>
    <row r="179" spans="1:13" s="176" customFormat="1" ht="39" customHeight="1" x14ac:dyDescent="0.2">
      <c r="A179" s="1526"/>
      <c r="B179" s="1533" t="s">
        <v>1228</v>
      </c>
      <c r="C179" s="1526" t="s">
        <v>1239</v>
      </c>
      <c r="D179" s="1527" t="str">
        <f>IFERROR(AVERAGE(MixWaterVeg, OWpct_WB),"")</f>
        <v/>
      </c>
      <c r="E179" s="1077"/>
      <c r="F179" s="1077"/>
      <c r="G179" s="1077"/>
      <c r="H179" s="1441"/>
      <c r="I179" s="612" t="s">
        <v>1829</v>
      </c>
      <c r="J179" s="214"/>
      <c r="K179" s="168"/>
      <c r="L179" s="168"/>
      <c r="M179" s="168"/>
    </row>
    <row r="180" spans="1:13" s="176" customFormat="1" ht="42" customHeight="1" x14ac:dyDescent="0.2">
      <c r="A180" s="1526"/>
      <c r="B180" s="1533" t="s">
        <v>1229</v>
      </c>
      <c r="C180" s="1526" t="s">
        <v>2399</v>
      </c>
      <c r="D180" s="1527" t="str">
        <f>IFERROR(AVERAGE(WetDens1k_OW, DuckDens),"")</f>
        <v/>
      </c>
      <c r="E180" s="1077"/>
      <c r="F180" s="1077"/>
      <c r="G180" s="1077"/>
      <c r="H180" s="1441"/>
      <c r="I180" s="612" t="s">
        <v>1830</v>
      </c>
      <c r="J180" s="214"/>
      <c r="K180" s="168"/>
      <c r="L180" s="168"/>
      <c r="M180" s="168"/>
    </row>
    <row r="181" spans="1:13" s="176" customFormat="1" ht="42" customHeight="1" x14ac:dyDescent="0.2">
      <c r="A181" s="1526"/>
      <c r="B181" s="1533" t="s">
        <v>1234</v>
      </c>
      <c r="C181" s="1526" t="s">
        <v>2400</v>
      </c>
      <c r="D181" s="1527" t="str">
        <f>IFERROR(AVERAGE(Dist2DevCrop, PerimNatCov, UndevOpenL1k, VegCon1k),"")</f>
        <v/>
      </c>
      <c r="E181" s="1077"/>
      <c r="F181" s="1077"/>
      <c r="G181" s="1077"/>
      <c r="H181" s="1441"/>
      <c r="I181" s="612" t="s">
        <v>1831</v>
      </c>
      <c r="J181" s="214"/>
      <c r="K181" s="168"/>
      <c r="L181" s="168"/>
      <c r="M181" s="168"/>
    </row>
    <row r="182" spans="1:13" s="176" customFormat="1" ht="27" customHeight="1" x14ac:dyDescent="0.2">
      <c r="A182" s="1526"/>
      <c r="B182" s="1562">
        <v>3</v>
      </c>
      <c r="C182" s="1526" t="s">
        <v>1295</v>
      </c>
      <c r="D182" s="1527" t="str">
        <f>IFERROR(IF((D176=10),10, 10*AVERAGE(MarshPct, UniqFenMarsh,D178:D181)),"")</f>
        <v/>
      </c>
      <c r="E182" s="1077"/>
      <c r="F182" s="1077"/>
      <c r="G182" s="1077"/>
      <c r="H182" s="1441"/>
      <c r="I182" s="1364" t="s">
        <v>452</v>
      </c>
      <c r="J182" s="214"/>
      <c r="K182" s="168"/>
      <c r="L182" s="168"/>
      <c r="M182" s="168"/>
    </row>
    <row r="183" spans="1:13" s="5" customFormat="1" ht="27" customHeight="1" thickBot="1" x14ac:dyDescent="0.25">
      <c r="A183" s="1526"/>
      <c r="B183" s="1585"/>
      <c r="C183" s="1537"/>
      <c r="D183" s="1568"/>
      <c r="E183" s="1077"/>
      <c r="F183" s="1077"/>
      <c r="G183" s="1077"/>
      <c r="H183" s="1441"/>
      <c r="I183" s="1365" t="s">
        <v>627</v>
      </c>
      <c r="J183" s="215"/>
      <c r="K183" s="154"/>
      <c r="L183" s="154"/>
      <c r="M183" s="154"/>
    </row>
    <row r="184" spans="1:13" s="5" customFormat="1" ht="27" customHeight="1" x14ac:dyDescent="0.2">
      <c r="A184" s="1526"/>
      <c r="B184" s="1585"/>
      <c r="C184" s="1524" t="s">
        <v>1329</v>
      </c>
      <c r="D184" s="1568"/>
      <c r="E184" s="1077"/>
      <c r="F184" s="1077"/>
      <c r="G184" s="1077"/>
      <c r="H184" s="1441"/>
      <c r="I184" s="110" t="s">
        <v>1832</v>
      </c>
      <c r="J184" s="215"/>
      <c r="K184" s="154"/>
      <c r="L184" s="154"/>
      <c r="M184" s="154"/>
    </row>
    <row r="185" spans="1:13" s="5" customFormat="1" ht="42" customHeight="1" x14ac:dyDescent="0.2">
      <c r="A185" s="1526"/>
      <c r="B185" s="1533">
        <v>1</v>
      </c>
      <c r="C185" s="1526" t="s">
        <v>1344</v>
      </c>
      <c r="D185" s="1527" t="str">
        <f>IFERROR(IF((MAX(IBirdArea, RareBirdUse, TrumSwan, SBstaging, WBstaging)&gt;0), 10, ""),"")</f>
        <v/>
      </c>
      <c r="E185" s="1077"/>
      <c r="F185" s="1077"/>
      <c r="G185" s="1077"/>
      <c r="H185" s="1441"/>
      <c r="I185" s="1368" t="s">
        <v>453</v>
      </c>
      <c r="J185" s="215"/>
      <c r="K185" s="154"/>
      <c r="L185" s="154"/>
      <c r="M185" s="154"/>
    </row>
    <row r="186" spans="1:13" s="5" customFormat="1" ht="41.25" customHeight="1" x14ac:dyDescent="0.2">
      <c r="A186" s="1526"/>
      <c r="B186" s="1562">
        <v>2</v>
      </c>
      <c r="C186" s="1526" t="s">
        <v>1213</v>
      </c>
      <c r="D186" s="1527"/>
      <c r="E186" s="1077"/>
      <c r="F186" s="1077"/>
      <c r="G186" s="1077"/>
      <c r="H186" s="1441"/>
      <c r="I186" s="612" t="s">
        <v>1833</v>
      </c>
      <c r="J186" s="215"/>
      <c r="K186" s="154"/>
      <c r="L186" s="154"/>
      <c r="M186" s="154"/>
    </row>
    <row r="187" spans="1:13" s="5" customFormat="1" ht="39" customHeight="1" x14ac:dyDescent="0.2">
      <c r="A187" s="1526"/>
      <c r="B187" s="1533" t="s">
        <v>1227</v>
      </c>
      <c r="C187" s="1526" t="s">
        <v>2398</v>
      </c>
      <c r="D187" s="1527" t="str">
        <f>IFERROR(AVERAGE(WetVegArea, RipFloodpl),"")</f>
        <v/>
      </c>
      <c r="E187" s="1077"/>
      <c r="F187" s="1077"/>
      <c r="G187" s="1077"/>
      <c r="H187" s="1441"/>
      <c r="I187" s="1368" t="s">
        <v>632</v>
      </c>
      <c r="J187" s="215"/>
      <c r="K187" s="154"/>
      <c r="L187" s="154"/>
      <c r="M187" s="154"/>
    </row>
    <row r="188" spans="1:13" s="5" customFormat="1" ht="42" customHeight="1" x14ac:dyDescent="0.2">
      <c r="A188" s="1526"/>
      <c r="B188" s="1533" t="s">
        <v>1228</v>
      </c>
      <c r="C188" s="1526" t="s">
        <v>2212</v>
      </c>
      <c r="D188" s="1527">
        <f>IFERROR(AVERAGE(Interspers13, OWpct13),"")</f>
        <v>0</v>
      </c>
      <c r="E188" s="1077"/>
      <c r="F188" s="1077"/>
      <c r="G188" s="1077"/>
      <c r="H188" s="1441"/>
      <c r="I188" s="612" t="s">
        <v>1834</v>
      </c>
      <c r="J188" s="215"/>
      <c r="K188" s="154"/>
      <c r="L188" s="154"/>
      <c r="M188" s="154"/>
    </row>
    <row r="189" spans="1:13" s="5" customFormat="1" ht="27" customHeight="1" x14ac:dyDescent="0.2">
      <c r="A189" s="1526"/>
      <c r="B189" s="1533" t="s">
        <v>1229</v>
      </c>
      <c r="C189" s="1526" t="s">
        <v>2399</v>
      </c>
      <c r="D189" s="1527" t="str">
        <f>IFERROR(AVERAGE(WetDens1k_OW, DuckDens),"")</f>
        <v/>
      </c>
      <c r="E189" s="1077"/>
      <c r="F189" s="1077"/>
      <c r="G189" s="1077"/>
      <c r="H189" s="1441"/>
      <c r="I189" s="1391" t="s">
        <v>1835</v>
      </c>
      <c r="J189" s="215"/>
      <c r="K189" s="154"/>
      <c r="L189" s="154"/>
      <c r="M189" s="154"/>
    </row>
    <row r="190" spans="1:13" s="5" customFormat="1" ht="27" customHeight="1" x14ac:dyDescent="0.2">
      <c r="A190" s="1526"/>
      <c r="B190" s="1533" t="s">
        <v>1234</v>
      </c>
      <c r="C190" s="1526" t="s">
        <v>2401</v>
      </c>
      <c r="D190" s="1527" t="str">
        <f>IFERROR(AVERAGE(Dist2DevCrop, PerimNatCov, UndevOpenL1k, VegCon1k),"")</f>
        <v/>
      </c>
      <c r="E190" s="1077"/>
      <c r="F190" s="1077"/>
      <c r="G190" s="1077"/>
      <c r="H190" s="1441"/>
      <c r="I190" s="1364" t="s">
        <v>454</v>
      </c>
      <c r="J190" s="215"/>
      <c r="K190" s="154"/>
      <c r="L190" s="154"/>
      <c r="M190" s="154"/>
    </row>
    <row r="191" spans="1:13" s="5" customFormat="1" ht="27" customHeight="1" x14ac:dyDescent="0.2">
      <c r="A191" s="1526"/>
      <c r="B191" s="1562">
        <v>3</v>
      </c>
      <c r="C191" s="1526" t="s">
        <v>1295</v>
      </c>
      <c r="D191" s="1527">
        <f>IF((D185=10),10, 10*AVERAGE(MarshPct, UniqFenMarsh,D187:D190))</f>
        <v>0</v>
      </c>
      <c r="E191" s="1077"/>
      <c r="F191" s="1077"/>
      <c r="G191" s="1077"/>
      <c r="H191" s="1441"/>
      <c r="I191" s="1391" t="s">
        <v>697</v>
      </c>
      <c r="J191" s="215"/>
      <c r="K191" s="154"/>
      <c r="L191" s="154"/>
      <c r="M191" s="154"/>
    </row>
    <row r="192" spans="1:13" s="5" customFormat="1" ht="42" customHeight="1" x14ac:dyDescent="0.2">
      <c r="A192" s="154"/>
      <c r="B192" s="154"/>
      <c r="C192" s="154"/>
      <c r="D192" s="154"/>
      <c r="E192" s="154"/>
      <c r="F192" s="154"/>
      <c r="G192" s="154"/>
      <c r="H192" s="1521"/>
      <c r="I192" s="900" t="s">
        <v>1839</v>
      </c>
      <c r="J192" s="215"/>
      <c r="K192" s="154"/>
      <c r="L192" s="154"/>
      <c r="M192" s="154"/>
    </row>
    <row r="193" spans="1:61" s="5" customFormat="1" ht="42" customHeight="1" x14ac:dyDescent="0.2">
      <c r="A193" s="154"/>
      <c r="B193" s="154"/>
      <c r="C193" s="154"/>
      <c r="D193" s="154"/>
      <c r="E193" s="154"/>
      <c r="F193" s="154"/>
      <c r="G193" s="154"/>
      <c r="H193" s="1521"/>
      <c r="I193" s="612" t="s">
        <v>1836</v>
      </c>
      <c r="J193" s="215"/>
      <c r="K193" s="154"/>
      <c r="L193" s="154"/>
      <c r="M193" s="154"/>
    </row>
    <row r="194" spans="1:61" ht="27" customHeight="1" x14ac:dyDescent="0.2">
      <c r="A194" s="154"/>
      <c r="B194" s="154"/>
      <c r="C194" s="154"/>
      <c r="D194" s="154"/>
      <c r="E194" s="154"/>
      <c r="F194" s="154"/>
      <c r="G194" s="154"/>
      <c r="H194" s="1521"/>
      <c r="I194" s="174" t="s">
        <v>1837</v>
      </c>
      <c r="J194" s="273"/>
      <c r="K194" s="333"/>
      <c r="L194" s="333"/>
      <c r="M194" s="333"/>
      <c r="N194" s="333"/>
      <c r="O194" s="333"/>
      <c r="P194" s="333"/>
      <c r="Q194" s="333"/>
      <c r="R194" s="333"/>
      <c r="S194" s="333"/>
      <c r="T194" s="333"/>
      <c r="U194" s="333"/>
      <c r="V194" s="333"/>
      <c r="W194" s="333"/>
      <c r="X194" s="333"/>
      <c r="Y194" s="333"/>
      <c r="Z194" s="333"/>
      <c r="AA194" s="333"/>
      <c r="AB194" s="333"/>
      <c r="AC194" s="333"/>
      <c r="AD194" s="333"/>
      <c r="AE194" s="333"/>
      <c r="AF194" s="333"/>
      <c r="AG194" s="333"/>
      <c r="AH194" s="333"/>
      <c r="AI194" s="333"/>
      <c r="AJ194" s="333"/>
      <c r="AK194" s="333"/>
      <c r="AL194" s="333"/>
      <c r="AM194" s="333"/>
      <c r="AN194" s="333"/>
      <c r="AO194" s="333"/>
      <c r="AP194" s="333"/>
      <c r="AQ194" s="333"/>
      <c r="AR194" s="333"/>
      <c r="AS194" s="333"/>
      <c r="AT194" s="333"/>
      <c r="AU194" s="333"/>
      <c r="AV194" s="333"/>
      <c r="AW194" s="333"/>
      <c r="AX194" s="333"/>
      <c r="AY194" s="333"/>
      <c r="AZ194" s="333"/>
      <c r="BA194" s="333"/>
      <c r="BB194" s="333"/>
      <c r="BC194" s="333"/>
      <c r="BD194" s="333"/>
      <c r="BE194" s="333"/>
      <c r="BF194" s="333"/>
      <c r="BG194" s="333"/>
      <c r="BH194" s="333"/>
      <c r="BI194" s="333"/>
    </row>
    <row r="195" spans="1:61" ht="27" customHeight="1" x14ac:dyDescent="0.2">
      <c r="A195" s="154"/>
      <c r="B195" s="154"/>
      <c r="C195" s="154"/>
      <c r="D195" s="154"/>
      <c r="E195" s="154"/>
      <c r="F195" s="154"/>
      <c r="G195" s="154"/>
      <c r="H195" s="1521"/>
      <c r="I195" s="174" t="s">
        <v>695</v>
      </c>
      <c r="J195" s="273"/>
      <c r="K195" s="333"/>
      <c r="L195" s="333"/>
      <c r="M195" s="333"/>
      <c r="N195" s="333"/>
      <c r="O195" s="333"/>
      <c r="P195" s="333"/>
      <c r="Q195" s="333"/>
      <c r="R195" s="333"/>
      <c r="S195" s="333"/>
      <c r="T195" s="333"/>
      <c r="U195" s="333"/>
      <c r="V195" s="333"/>
      <c r="W195" s="333"/>
      <c r="X195" s="333"/>
      <c r="Y195" s="333"/>
      <c r="Z195" s="333"/>
      <c r="AA195" s="333"/>
      <c r="AB195" s="333"/>
      <c r="AC195" s="333"/>
      <c r="AD195" s="333"/>
      <c r="AE195" s="333"/>
      <c r="AF195" s="333"/>
      <c r="AG195" s="333"/>
      <c r="AH195" s="333"/>
      <c r="AI195" s="333"/>
      <c r="AJ195" s="333"/>
      <c r="AK195" s="333"/>
      <c r="AL195" s="333"/>
      <c r="AM195" s="333"/>
      <c r="AN195" s="333"/>
      <c r="AO195" s="333"/>
      <c r="AP195" s="333"/>
      <c r="AQ195" s="333"/>
      <c r="AR195" s="333"/>
      <c r="AS195" s="333"/>
      <c r="AT195" s="333"/>
      <c r="AU195" s="333"/>
      <c r="AV195" s="333"/>
      <c r="AW195" s="333"/>
      <c r="AX195" s="333"/>
      <c r="AY195" s="333"/>
      <c r="AZ195" s="333"/>
      <c r="BA195" s="333"/>
      <c r="BB195" s="333"/>
      <c r="BC195" s="333"/>
      <c r="BD195" s="333"/>
      <c r="BE195" s="333"/>
      <c r="BF195" s="333"/>
      <c r="BG195" s="333"/>
      <c r="BH195" s="333"/>
      <c r="BI195" s="333"/>
    </row>
    <row r="196" spans="1:61" ht="42" customHeight="1" x14ac:dyDescent="0.2">
      <c r="A196" s="154"/>
      <c r="B196" s="154"/>
      <c r="C196" s="154"/>
      <c r="D196" s="154"/>
      <c r="E196" s="154"/>
      <c r="F196" s="154"/>
      <c r="G196" s="154"/>
      <c r="H196" s="1521"/>
      <c r="I196" s="174" t="s">
        <v>696</v>
      </c>
      <c r="J196" s="273"/>
      <c r="K196" s="333"/>
      <c r="L196" s="333"/>
      <c r="M196" s="333"/>
      <c r="N196" s="333"/>
      <c r="O196" s="333"/>
      <c r="P196" s="333"/>
      <c r="Q196" s="333"/>
      <c r="R196" s="333"/>
      <c r="S196" s="333"/>
      <c r="T196" s="333"/>
      <c r="U196" s="333"/>
      <c r="V196" s="333"/>
      <c r="W196" s="333"/>
      <c r="X196" s="333"/>
      <c r="Y196" s="333"/>
      <c r="Z196" s="333"/>
      <c r="AA196" s="333"/>
      <c r="AB196" s="333"/>
      <c r="AC196" s="333"/>
      <c r="AD196" s="333"/>
      <c r="AE196" s="333"/>
      <c r="AF196" s="333"/>
      <c r="AG196" s="333"/>
      <c r="AH196" s="333"/>
      <c r="AI196" s="333"/>
      <c r="AJ196" s="333"/>
      <c r="AK196" s="333"/>
      <c r="AL196" s="333"/>
      <c r="AM196" s="333"/>
      <c r="AN196" s="333"/>
      <c r="AO196" s="333"/>
      <c r="AP196" s="333"/>
      <c r="AQ196" s="333"/>
      <c r="AR196" s="333"/>
      <c r="AS196" s="333"/>
      <c r="AT196" s="333"/>
      <c r="AU196" s="333"/>
      <c r="AV196" s="333"/>
      <c r="AW196" s="333"/>
      <c r="AX196" s="333"/>
      <c r="AY196" s="333"/>
      <c r="AZ196" s="333"/>
      <c r="BA196" s="333"/>
      <c r="BB196" s="333"/>
      <c r="BC196" s="333"/>
      <c r="BD196" s="333"/>
      <c r="BE196" s="333"/>
      <c r="BF196" s="333"/>
      <c r="BG196" s="333"/>
      <c r="BH196" s="333"/>
      <c r="BI196" s="333"/>
    </row>
    <row r="197" spans="1:61" ht="42" customHeight="1" x14ac:dyDescent="0.2">
      <c r="A197" s="154"/>
      <c r="B197" s="154"/>
      <c r="C197" s="154"/>
      <c r="D197" s="154"/>
      <c r="E197" s="154"/>
      <c r="F197" s="154"/>
      <c r="G197" s="154"/>
      <c r="H197" s="1521"/>
      <c r="I197" s="612" t="s">
        <v>1840</v>
      </c>
      <c r="J197" s="273"/>
      <c r="K197" s="333"/>
      <c r="L197" s="333"/>
      <c r="M197" s="333"/>
      <c r="N197" s="333"/>
      <c r="O197" s="333"/>
      <c r="P197" s="333"/>
      <c r="Q197" s="333"/>
      <c r="R197" s="333"/>
      <c r="S197" s="333"/>
      <c r="T197" s="333"/>
      <c r="U197" s="333"/>
      <c r="V197" s="333"/>
      <c r="W197" s="333"/>
      <c r="X197" s="333"/>
      <c r="Y197" s="333"/>
      <c r="Z197" s="333"/>
      <c r="AA197" s="333"/>
      <c r="AB197" s="333"/>
      <c r="AC197" s="333"/>
      <c r="AD197" s="333"/>
      <c r="AE197" s="333"/>
      <c r="AF197" s="333"/>
      <c r="AG197" s="333"/>
      <c r="AH197" s="333"/>
      <c r="AI197" s="333"/>
      <c r="AJ197" s="333"/>
      <c r="AK197" s="333"/>
      <c r="AL197" s="333"/>
      <c r="AM197" s="333"/>
      <c r="AN197" s="333"/>
      <c r="AO197" s="333"/>
      <c r="AP197" s="333"/>
      <c r="AQ197" s="333"/>
      <c r="AR197" s="333"/>
      <c r="AS197" s="333"/>
      <c r="AT197" s="333"/>
      <c r="AU197" s="333"/>
      <c r="AV197" s="333"/>
      <c r="AW197" s="333"/>
      <c r="AX197" s="333"/>
      <c r="AY197" s="333"/>
      <c r="AZ197" s="333"/>
      <c r="BA197" s="333"/>
      <c r="BB197" s="333"/>
      <c r="BC197" s="333"/>
      <c r="BD197" s="333"/>
      <c r="BE197" s="333"/>
      <c r="BF197" s="333"/>
      <c r="BG197" s="333"/>
      <c r="BH197" s="333"/>
      <c r="BI197" s="333"/>
    </row>
    <row r="198" spans="1:61" ht="40.5" customHeight="1" thickBot="1" x14ac:dyDescent="0.25">
      <c r="A198" s="154"/>
      <c r="B198" s="154"/>
      <c r="C198" s="154"/>
      <c r="D198" s="154"/>
      <c r="E198" s="154"/>
      <c r="F198" s="154"/>
      <c r="G198" s="154"/>
      <c r="H198" s="1521"/>
      <c r="I198" s="1174" t="s">
        <v>1838</v>
      </c>
      <c r="J198" s="273"/>
      <c r="K198" s="333"/>
      <c r="L198" s="333"/>
      <c r="M198" s="333"/>
      <c r="N198" s="333"/>
      <c r="O198" s="333"/>
      <c r="P198" s="333"/>
      <c r="Q198" s="333"/>
      <c r="R198" s="333"/>
      <c r="S198" s="333"/>
      <c r="T198" s="333"/>
      <c r="U198" s="333"/>
      <c r="V198" s="333"/>
      <c r="W198" s="333"/>
      <c r="X198" s="333"/>
      <c r="Y198" s="333"/>
      <c r="Z198" s="333"/>
      <c r="AA198" s="333"/>
      <c r="AB198" s="333"/>
      <c r="AC198" s="333"/>
      <c r="AD198" s="333"/>
      <c r="AE198" s="333"/>
      <c r="AF198" s="333"/>
      <c r="AG198" s="333"/>
      <c r="AH198" s="333"/>
      <c r="AI198" s="333"/>
      <c r="AJ198" s="333"/>
      <c r="AK198" s="333"/>
      <c r="AL198" s="333"/>
      <c r="AM198" s="333"/>
      <c r="AN198" s="333"/>
      <c r="AO198" s="333"/>
      <c r="AP198" s="333"/>
      <c r="AQ198" s="333"/>
      <c r="AR198" s="333"/>
      <c r="AS198" s="333"/>
      <c r="AT198" s="333"/>
      <c r="AU198" s="333"/>
      <c r="AV198" s="333"/>
      <c r="AW198" s="333"/>
      <c r="AX198" s="333"/>
      <c r="AY198" s="333"/>
      <c r="AZ198" s="333"/>
      <c r="BA198" s="333"/>
      <c r="BB198" s="333"/>
      <c r="BC198" s="333"/>
      <c r="BD198" s="333"/>
      <c r="BE198" s="333"/>
      <c r="BF198" s="333"/>
      <c r="BG198" s="333"/>
      <c r="BH198" s="333"/>
      <c r="BI198" s="333"/>
    </row>
    <row r="199" spans="1:61" x14ac:dyDescent="0.2">
      <c r="C199" s="38"/>
      <c r="J199" s="273"/>
      <c r="K199" s="333"/>
      <c r="L199" s="333"/>
      <c r="M199" s="333"/>
      <c r="N199" s="333"/>
      <c r="O199" s="333"/>
      <c r="P199" s="333"/>
      <c r="Q199" s="333"/>
      <c r="R199" s="333"/>
      <c r="S199" s="333"/>
      <c r="T199" s="333"/>
      <c r="U199" s="333"/>
      <c r="V199" s="333"/>
      <c r="W199" s="333"/>
      <c r="X199" s="333"/>
      <c r="Y199" s="333"/>
      <c r="Z199" s="333"/>
      <c r="AA199" s="333"/>
      <c r="AB199" s="333"/>
      <c r="AC199" s="333"/>
      <c r="AD199" s="333"/>
      <c r="AE199" s="333"/>
      <c r="AF199" s="333"/>
      <c r="AG199" s="333"/>
      <c r="AH199" s="333"/>
      <c r="AI199" s="333"/>
      <c r="AJ199" s="333"/>
      <c r="AK199" s="333"/>
      <c r="AL199" s="333"/>
      <c r="AM199" s="333"/>
      <c r="AN199" s="333"/>
      <c r="AO199" s="333"/>
      <c r="AP199" s="333"/>
      <c r="AQ199" s="333"/>
      <c r="AR199" s="333"/>
      <c r="AS199" s="333"/>
      <c r="AT199" s="333"/>
      <c r="AU199" s="333"/>
      <c r="AV199" s="333"/>
      <c r="AW199" s="333"/>
      <c r="AX199" s="333"/>
      <c r="AY199" s="333"/>
      <c r="AZ199" s="333"/>
      <c r="BA199" s="333"/>
      <c r="BB199" s="333"/>
      <c r="BC199" s="333"/>
      <c r="BD199" s="333"/>
      <c r="BE199" s="333"/>
      <c r="BF199" s="333"/>
      <c r="BG199" s="333"/>
      <c r="BH199" s="333"/>
      <c r="BI199" s="333"/>
    </row>
    <row r="200" spans="1:61" x14ac:dyDescent="0.2">
      <c r="C200" s="38"/>
      <c r="J200" s="273"/>
      <c r="K200" s="333"/>
      <c r="L200" s="333"/>
      <c r="M200" s="333"/>
      <c r="N200" s="333"/>
      <c r="O200" s="333"/>
      <c r="P200" s="333"/>
      <c r="Q200" s="333"/>
      <c r="R200" s="333"/>
      <c r="S200" s="333"/>
      <c r="T200" s="333"/>
      <c r="U200" s="333"/>
      <c r="V200" s="333"/>
      <c r="W200" s="333"/>
      <c r="X200" s="333"/>
      <c r="Y200" s="333"/>
      <c r="Z200" s="333"/>
      <c r="AA200" s="333"/>
      <c r="AB200" s="333"/>
      <c r="AC200" s="333"/>
      <c r="AD200" s="333"/>
      <c r="AE200" s="333"/>
      <c r="AF200" s="333"/>
      <c r="AG200" s="333"/>
      <c r="AH200" s="333"/>
      <c r="AI200" s="333"/>
      <c r="AJ200" s="333"/>
      <c r="AK200" s="333"/>
      <c r="AL200" s="333"/>
      <c r="AM200" s="333"/>
      <c r="AN200" s="333"/>
      <c r="AO200" s="333"/>
      <c r="AP200" s="333"/>
      <c r="AQ200" s="333"/>
      <c r="AR200" s="333"/>
      <c r="AS200" s="333"/>
      <c r="AT200" s="333"/>
      <c r="AU200" s="333"/>
      <c r="AV200" s="333"/>
      <c r="AW200" s="333"/>
      <c r="AX200" s="333"/>
      <c r="AY200" s="333"/>
      <c r="AZ200" s="333"/>
      <c r="BA200" s="333"/>
      <c r="BB200" s="333"/>
      <c r="BC200" s="333"/>
      <c r="BD200" s="333"/>
      <c r="BE200" s="333"/>
      <c r="BF200" s="333"/>
      <c r="BG200" s="333"/>
      <c r="BH200" s="333"/>
      <c r="BI200" s="333"/>
    </row>
    <row r="201" spans="1:61" x14ac:dyDescent="0.2">
      <c r="C201" s="38"/>
      <c r="J201" s="273"/>
      <c r="K201" s="333"/>
      <c r="L201" s="333"/>
      <c r="M201" s="333"/>
      <c r="N201" s="333"/>
      <c r="O201" s="333"/>
      <c r="P201" s="333"/>
      <c r="Q201" s="333"/>
      <c r="R201" s="333"/>
      <c r="S201" s="333"/>
      <c r="T201" s="333"/>
      <c r="U201" s="333"/>
      <c r="V201" s="333"/>
      <c r="W201" s="333"/>
      <c r="X201" s="333"/>
      <c r="Y201" s="333"/>
      <c r="Z201" s="333"/>
      <c r="AA201" s="333"/>
      <c r="AB201" s="333"/>
      <c r="AC201" s="333"/>
      <c r="AD201" s="333"/>
      <c r="AE201" s="333"/>
      <c r="AF201" s="333"/>
      <c r="AG201" s="333"/>
      <c r="AH201" s="333"/>
      <c r="AI201" s="333"/>
      <c r="AJ201" s="333"/>
      <c r="AK201" s="333"/>
      <c r="AL201" s="333"/>
      <c r="AM201" s="333"/>
      <c r="AN201" s="333"/>
      <c r="AO201" s="333"/>
      <c r="AP201" s="333"/>
      <c r="AQ201" s="333"/>
      <c r="AR201" s="333"/>
      <c r="AS201" s="333"/>
      <c r="AT201" s="333"/>
      <c r="AU201" s="333"/>
      <c r="AV201" s="333"/>
      <c r="AW201" s="333"/>
      <c r="AX201" s="333"/>
      <c r="AY201" s="333"/>
      <c r="AZ201" s="333"/>
      <c r="BA201" s="333"/>
      <c r="BB201" s="333"/>
      <c r="BC201" s="333"/>
      <c r="BD201" s="333"/>
      <c r="BE201" s="333"/>
      <c r="BF201" s="333"/>
      <c r="BG201" s="333"/>
      <c r="BH201" s="333"/>
      <c r="BI201" s="333"/>
    </row>
    <row r="202" spans="1:61" x14ac:dyDescent="0.2">
      <c r="C202" s="38"/>
      <c r="J202" s="273"/>
      <c r="K202" s="333"/>
      <c r="L202" s="333"/>
      <c r="M202" s="333"/>
      <c r="N202" s="333"/>
      <c r="O202" s="333"/>
      <c r="P202" s="333"/>
      <c r="Q202" s="333"/>
      <c r="R202" s="333"/>
      <c r="S202" s="333"/>
      <c r="T202" s="333"/>
      <c r="U202" s="333"/>
      <c r="V202" s="333"/>
      <c r="W202" s="333"/>
      <c r="X202" s="333"/>
      <c r="Y202" s="333"/>
      <c r="Z202" s="333"/>
      <c r="AA202" s="333"/>
      <c r="AB202" s="333"/>
      <c r="AC202" s="333"/>
      <c r="AD202" s="333"/>
      <c r="AE202" s="333"/>
      <c r="AF202" s="333"/>
      <c r="AG202" s="333"/>
      <c r="AH202" s="333"/>
      <c r="AI202" s="333"/>
      <c r="AJ202" s="333"/>
      <c r="AK202" s="333"/>
      <c r="AL202" s="333"/>
      <c r="AM202" s="333"/>
      <c r="AN202" s="333"/>
      <c r="AO202" s="333"/>
      <c r="AP202" s="333"/>
      <c r="AQ202" s="333"/>
      <c r="AR202" s="333"/>
      <c r="AS202" s="333"/>
      <c r="AT202" s="333"/>
      <c r="AU202" s="333"/>
      <c r="AV202" s="333"/>
      <c r="AW202" s="333"/>
      <c r="AX202" s="333"/>
      <c r="AY202" s="333"/>
      <c r="AZ202" s="333"/>
      <c r="BA202" s="333"/>
      <c r="BB202" s="333"/>
      <c r="BC202" s="333"/>
      <c r="BD202" s="333"/>
      <c r="BE202" s="333"/>
      <c r="BF202" s="333"/>
      <c r="BG202" s="333"/>
      <c r="BH202" s="333"/>
      <c r="BI202" s="333"/>
    </row>
    <row r="203" spans="1:61" x14ac:dyDescent="0.2">
      <c r="C203" s="38"/>
      <c r="J203" s="273"/>
      <c r="K203" s="333"/>
      <c r="L203" s="333"/>
      <c r="M203" s="333"/>
      <c r="N203" s="333"/>
      <c r="O203" s="333"/>
      <c r="P203" s="333"/>
      <c r="Q203" s="333"/>
      <c r="R203" s="333"/>
      <c r="S203" s="333"/>
      <c r="T203" s="333"/>
      <c r="U203" s="333"/>
      <c r="V203" s="333"/>
      <c r="W203" s="333"/>
      <c r="X203" s="333"/>
      <c r="Y203" s="333"/>
      <c r="Z203" s="333"/>
      <c r="AA203" s="333"/>
      <c r="AB203" s="333"/>
      <c r="AC203" s="333"/>
      <c r="AD203" s="333"/>
      <c r="AE203" s="333"/>
      <c r="AF203" s="333"/>
      <c r="AG203" s="333"/>
      <c r="AH203" s="333"/>
      <c r="AI203" s="333"/>
      <c r="AJ203" s="333"/>
      <c r="AK203" s="333"/>
      <c r="AL203" s="333"/>
      <c r="AM203" s="333"/>
      <c r="AN203" s="333"/>
      <c r="AO203" s="333"/>
      <c r="AP203" s="333"/>
      <c r="AQ203" s="333"/>
      <c r="AR203" s="333"/>
      <c r="AS203" s="333"/>
      <c r="AT203" s="333"/>
      <c r="AU203" s="333"/>
      <c r="AV203" s="333"/>
      <c r="AW203" s="333"/>
      <c r="AX203" s="333"/>
      <c r="AY203" s="333"/>
      <c r="AZ203" s="333"/>
      <c r="BA203" s="333"/>
      <c r="BB203" s="333"/>
      <c r="BC203" s="333"/>
      <c r="BD203" s="333"/>
      <c r="BE203" s="333"/>
      <c r="BF203" s="333"/>
      <c r="BG203" s="333"/>
      <c r="BH203" s="333"/>
      <c r="BI203" s="333"/>
    </row>
    <row r="204" spans="1:61" x14ac:dyDescent="0.2">
      <c r="C204" s="38"/>
      <c r="J204" s="273"/>
      <c r="K204" s="333"/>
      <c r="L204" s="333"/>
      <c r="M204" s="333"/>
      <c r="N204" s="333"/>
      <c r="O204" s="333"/>
      <c r="P204" s="333"/>
      <c r="Q204" s="333"/>
      <c r="R204" s="333"/>
      <c r="S204" s="333"/>
      <c r="T204" s="333"/>
      <c r="U204" s="333"/>
      <c r="V204" s="333"/>
      <c r="W204" s="333"/>
      <c r="X204" s="333"/>
      <c r="Y204" s="333"/>
      <c r="Z204" s="333"/>
      <c r="AA204" s="333"/>
      <c r="AB204" s="333"/>
      <c r="AC204" s="333"/>
      <c r="AD204" s="333"/>
      <c r="AE204" s="333"/>
      <c r="AF204" s="333"/>
      <c r="AG204" s="333"/>
      <c r="AH204" s="333"/>
      <c r="AI204" s="333"/>
      <c r="AJ204" s="333"/>
      <c r="AK204" s="333"/>
      <c r="AL204" s="333"/>
      <c r="AM204" s="333"/>
      <c r="AN204" s="333"/>
      <c r="AO204" s="333"/>
      <c r="AP204" s="333"/>
      <c r="AQ204" s="333"/>
      <c r="AR204" s="333"/>
      <c r="AS204" s="333"/>
      <c r="AT204" s="333"/>
      <c r="AU204" s="333"/>
      <c r="AV204" s="333"/>
      <c r="AW204" s="333"/>
      <c r="AX204" s="333"/>
      <c r="AY204" s="333"/>
      <c r="AZ204" s="333"/>
      <c r="BA204" s="333"/>
      <c r="BB204" s="333"/>
      <c r="BC204" s="333"/>
      <c r="BD204" s="333"/>
      <c r="BE204" s="333"/>
      <c r="BF204" s="333"/>
      <c r="BG204" s="333"/>
      <c r="BH204" s="333"/>
      <c r="BI204" s="333"/>
    </row>
    <row r="205" spans="1:61" s="37" customFormat="1" x14ac:dyDescent="0.2">
      <c r="A205" s="57"/>
      <c r="B205" s="57"/>
      <c r="D205" s="564"/>
      <c r="E205" s="564"/>
      <c r="F205" s="564"/>
      <c r="G205" s="565"/>
      <c r="H205" s="20"/>
      <c r="J205" s="205"/>
      <c r="K205" s="397"/>
      <c r="L205" s="397"/>
      <c r="M205" s="397"/>
      <c r="N205" s="397"/>
      <c r="O205" s="397"/>
      <c r="P205" s="397"/>
      <c r="Q205" s="397"/>
      <c r="R205" s="397"/>
      <c r="S205" s="397"/>
      <c r="T205" s="397"/>
      <c r="U205" s="397"/>
      <c r="V205" s="397"/>
      <c r="W205" s="397"/>
      <c r="X205" s="397"/>
      <c r="Y205" s="397"/>
      <c r="Z205" s="397"/>
      <c r="AA205" s="397"/>
      <c r="AB205" s="397"/>
      <c r="AC205" s="397"/>
      <c r="AD205" s="397"/>
      <c r="AE205" s="397"/>
      <c r="AF205" s="397"/>
      <c r="AG205" s="397"/>
      <c r="AH205" s="397"/>
      <c r="AI205" s="397"/>
      <c r="AJ205" s="397"/>
      <c r="AK205" s="397"/>
      <c r="AL205" s="397"/>
      <c r="AM205" s="397"/>
      <c r="AN205" s="397"/>
      <c r="AO205" s="397"/>
      <c r="AP205" s="397"/>
      <c r="AQ205" s="397"/>
      <c r="AR205" s="397"/>
      <c r="AS205" s="397"/>
      <c r="AT205" s="397"/>
      <c r="AU205" s="397"/>
      <c r="AV205" s="397"/>
      <c r="AW205" s="397"/>
      <c r="AX205" s="397"/>
      <c r="AY205" s="397"/>
      <c r="AZ205" s="397"/>
      <c r="BA205" s="397"/>
      <c r="BB205" s="397"/>
      <c r="BC205" s="397"/>
      <c r="BD205" s="397"/>
      <c r="BE205" s="397"/>
      <c r="BF205" s="397"/>
      <c r="BG205" s="397"/>
      <c r="BH205" s="397"/>
      <c r="BI205" s="397"/>
    </row>
    <row r="206" spans="1:61" s="37" customFormat="1" x14ac:dyDescent="0.2">
      <c r="A206" s="57"/>
      <c r="B206" s="57"/>
      <c r="D206" s="564"/>
      <c r="E206" s="564"/>
      <c r="F206" s="564"/>
      <c r="G206" s="565"/>
      <c r="H206" s="20"/>
      <c r="J206" s="205"/>
      <c r="K206" s="397"/>
      <c r="L206" s="397"/>
      <c r="M206" s="397"/>
      <c r="N206" s="397"/>
      <c r="O206" s="397"/>
      <c r="P206" s="397"/>
      <c r="Q206" s="397"/>
      <c r="R206" s="397"/>
      <c r="S206" s="397"/>
      <c r="T206" s="397"/>
      <c r="U206" s="397"/>
      <c r="V206" s="397"/>
      <c r="W206" s="397"/>
      <c r="X206" s="397"/>
      <c r="Y206" s="397"/>
      <c r="Z206" s="397"/>
      <c r="AA206" s="397"/>
      <c r="AB206" s="397"/>
      <c r="AC206" s="397"/>
      <c r="AD206" s="397"/>
      <c r="AE206" s="397"/>
      <c r="AF206" s="397"/>
      <c r="AG206" s="397"/>
      <c r="AH206" s="397"/>
      <c r="AI206" s="397"/>
      <c r="AJ206" s="397"/>
      <c r="AK206" s="397"/>
      <c r="AL206" s="397"/>
      <c r="AM206" s="397"/>
      <c r="AN206" s="397"/>
      <c r="AO206" s="397"/>
      <c r="AP206" s="397"/>
      <c r="AQ206" s="397"/>
      <c r="AR206" s="397"/>
      <c r="AS206" s="397"/>
      <c r="AT206" s="397"/>
      <c r="AU206" s="397"/>
      <c r="AV206" s="397"/>
      <c r="AW206" s="397"/>
      <c r="AX206" s="397"/>
      <c r="AY206" s="397"/>
      <c r="AZ206" s="397"/>
      <c r="BA206" s="397"/>
      <c r="BB206" s="397"/>
      <c r="BC206" s="397"/>
      <c r="BD206" s="397"/>
      <c r="BE206" s="397"/>
      <c r="BF206" s="397"/>
      <c r="BG206" s="397"/>
      <c r="BH206" s="397"/>
      <c r="BI206" s="397"/>
    </row>
    <row r="207" spans="1:61" s="37" customFormat="1" x14ac:dyDescent="0.2">
      <c r="A207" s="57"/>
      <c r="B207" s="57"/>
      <c r="D207" s="564"/>
      <c r="E207" s="564"/>
      <c r="F207" s="564"/>
      <c r="G207" s="565"/>
      <c r="H207" s="20"/>
      <c r="J207" s="205"/>
      <c r="K207" s="397"/>
      <c r="L207" s="397"/>
      <c r="M207" s="397"/>
      <c r="N207" s="397"/>
      <c r="O207" s="397"/>
      <c r="P207" s="397"/>
      <c r="Q207" s="397"/>
      <c r="R207" s="397"/>
      <c r="S207" s="397"/>
      <c r="T207" s="397"/>
      <c r="U207" s="397"/>
      <c r="V207" s="397"/>
      <c r="W207" s="397"/>
      <c r="X207" s="397"/>
      <c r="Y207" s="397"/>
      <c r="Z207" s="397"/>
      <c r="AA207" s="397"/>
      <c r="AB207" s="397"/>
      <c r="AC207" s="397"/>
      <c r="AD207" s="397"/>
      <c r="AE207" s="397"/>
      <c r="AF207" s="397"/>
      <c r="AG207" s="397"/>
      <c r="AH207" s="397"/>
      <c r="AI207" s="397"/>
      <c r="AJ207" s="397"/>
      <c r="AK207" s="397"/>
      <c r="AL207" s="397"/>
      <c r="AM207" s="397"/>
      <c r="AN207" s="397"/>
      <c r="AO207" s="397"/>
      <c r="AP207" s="397"/>
      <c r="AQ207" s="397"/>
      <c r="AR207" s="397"/>
      <c r="AS207" s="397"/>
      <c r="AT207" s="397"/>
      <c r="AU207" s="397"/>
      <c r="AV207" s="397"/>
      <c r="AW207" s="397"/>
      <c r="AX207" s="397"/>
      <c r="AY207" s="397"/>
      <c r="AZ207" s="397"/>
      <c r="BA207" s="397"/>
      <c r="BB207" s="397"/>
      <c r="BC207" s="397"/>
      <c r="BD207" s="397"/>
      <c r="BE207" s="397"/>
      <c r="BF207" s="397"/>
      <c r="BG207" s="397"/>
      <c r="BH207" s="397"/>
      <c r="BI207" s="397"/>
    </row>
    <row r="208" spans="1:61" s="37" customFormat="1" x14ac:dyDescent="0.2">
      <c r="A208" s="57"/>
      <c r="B208" s="57"/>
      <c r="D208" s="564"/>
      <c r="E208" s="564"/>
      <c r="F208" s="564"/>
      <c r="G208" s="565"/>
      <c r="H208" s="20"/>
      <c r="J208" s="205"/>
      <c r="K208" s="397"/>
      <c r="L208" s="397"/>
      <c r="M208" s="397"/>
      <c r="N208" s="397"/>
      <c r="O208" s="397"/>
      <c r="P208" s="397"/>
      <c r="Q208" s="397"/>
      <c r="R208" s="397"/>
      <c r="S208" s="397"/>
      <c r="T208" s="397"/>
      <c r="U208" s="397"/>
      <c r="V208" s="397"/>
      <c r="W208" s="397"/>
      <c r="X208" s="397"/>
      <c r="Y208" s="397"/>
      <c r="Z208" s="397"/>
      <c r="AA208" s="397"/>
      <c r="AB208" s="397"/>
      <c r="AC208" s="397"/>
      <c r="AD208" s="397"/>
      <c r="AE208" s="397"/>
      <c r="AF208" s="397"/>
      <c r="AG208" s="397"/>
      <c r="AH208" s="397"/>
      <c r="AI208" s="397"/>
      <c r="AJ208" s="397"/>
      <c r="AK208" s="397"/>
      <c r="AL208" s="397"/>
      <c r="AM208" s="397"/>
      <c r="AN208" s="397"/>
      <c r="AO208" s="397"/>
      <c r="AP208" s="397"/>
      <c r="AQ208" s="397"/>
      <c r="AR208" s="397"/>
      <c r="AS208" s="397"/>
      <c r="AT208" s="397"/>
      <c r="AU208" s="397"/>
      <c r="AV208" s="397"/>
      <c r="AW208" s="397"/>
      <c r="AX208" s="397"/>
      <c r="AY208" s="397"/>
      <c r="AZ208" s="397"/>
      <c r="BA208" s="397"/>
      <c r="BB208" s="397"/>
      <c r="BC208" s="397"/>
      <c r="BD208" s="397"/>
      <c r="BE208" s="397"/>
      <c r="BF208" s="397"/>
      <c r="BG208" s="397"/>
      <c r="BH208" s="397"/>
      <c r="BI208" s="397"/>
    </row>
    <row r="209" spans="1:61" s="37" customFormat="1" x14ac:dyDescent="0.2">
      <c r="A209" s="57"/>
      <c r="B209" s="57"/>
      <c r="D209" s="564"/>
      <c r="E209" s="564"/>
      <c r="F209" s="564"/>
      <c r="G209" s="565"/>
      <c r="H209" s="20"/>
      <c r="J209" s="205"/>
      <c r="K209" s="397"/>
      <c r="L209" s="397"/>
      <c r="M209" s="397"/>
      <c r="N209" s="397"/>
      <c r="O209" s="397"/>
      <c r="P209" s="397"/>
      <c r="Q209" s="397"/>
      <c r="R209" s="397"/>
      <c r="S209" s="397"/>
      <c r="T209" s="397"/>
      <c r="U209" s="397"/>
      <c r="V209" s="397"/>
      <c r="W209" s="397"/>
      <c r="X209" s="397"/>
      <c r="Y209" s="397"/>
      <c r="Z209" s="397"/>
      <c r="AA209" s="397"/>
      <c r="AB209" s="397"/>
      <c r="AC209" s="397"/>
      <c r="AD209" s="397"/>
      <c r="AE209" s="397"/>
      <c r="AF209" s="397"/>
      <c r="AG209" s="397"/>
      <c r="AH209" s="397"/>
      <c r="AI209" s="397"/>
      <c r="AJ209" s="397"/>
      <c r="AK209" s="397"/>
      <c r="AL209" s="397"/>
      <c r="AM209" s="397"/>
      <c r="AN209" s="397"/>
      <c r="AO209" s="397"/>
      <c r="AP209" s="397"/>
      <c r="AQ209" s="397"/>
      <c r="AR209" s="397"/>
      <c r="AS209" s="397"/>
      <c r="AT209" s="397"/>
      <c r="AU209" s="397"/>
      <c r="AV209" s="397"/>
      <c r="AW209" s="397"/>
      <c r="AX209" s="397"/>
      <c r="AY209" s="397"/>
      <c r="AZ209" s="397"/>
      <c r="BA209" s="397"/>
      <c r="BB209" s="397"/>
      <c r="BC209" s="397"/>
      <c r="BD209" s="397"/>
      <c r="BE209" s="397"/>
      <c r="BF209" s="397"/>
      <c r="BG209" s="397"/>
      <c r="BH209" s="397"/>
      <c r="BI209" s="397"/>
    </row>
    <row r="210" spans="1:61" s="37" customFormat="1" x14ac:dyDescent="0.2">
      <c r="A210" s="57"/>
      <c r="B210" s="57"/>
      <c r="D210" s="564"/>
      <c r="E210" s="564"/>
      <c r="F210" s="564"/>
      <c r="G210" s="565"/>
      <c r="H210" s="20"/>
      <c r="I210" s="16"/>
      <c r="J210" s="205"/>
      <c r="K210" s="397"/>
      <c r="L210" s="397"/>
      <c r="M210" s="397"/>
      <c r="N210" s="397"/>
      <c r="O210" s="397"/>
      <c r="P210" s="397"/>
      <c r="Q210" s="397"/>
      <c r="R210" s="397"/>
      <c r="S210" s="397"/>
      <c r="T210" s="397"/>
      <c r="U210" s="397"/>
      <c r="V210" s="397"/>
      <c r="W210" s="397"/>
      <c r="X210" s="397"/>
      <c r="Y210" s="397"/>
      <c r="Z210" s="397"/>
      <c r="AA210" s="397"/>
      <c r="AB210" s="397"/>
      <c r="AC210" s="397"/>
      <c r="AD210" s="397"/>
      <c r="AE210" s="397"/>
      <c r="AF210" s="397"/>
      <c r="AG210" s="397"/>
      <c r="AH210" s="397"/>
      <c r="AI210" s="397"/>
      <c r="AJ210" s="397"/>
      <c r="AK210" s="397"/>
      <c r="AL210" s="397"/>
      <c r="AM210" s="397"/>
      <c r="AN210" s="397"/>
      <c r="AO210" s="397"/>
      <c r="AP210" s="397"/>
      <c r="AQ210" s="397"/>
      <c r="AR210" s="397"/>
      <c r="AS210" s="397"/>
      <c r="AT210" s="397"/>
      <c r="AU210" s="397"/>
      <c r="AV210" s="397"/>
      <c r="AW210" s="397"/>
      <c r="AX210" s="397"/>
      <c r="AY210" s="397"/>
      <c r="AZ210" s="397"/>
      <c r="BA210" s="397"/>
      <c r="BB210" s="397"/>
      <c r="BC210" s="397"/>
      <c r="BD210" s="397"/>
      <c r="BE210" s="397"/>
      <c r="BF210" s="397"/>
      <c r="BG210" s="397"/>
      <c r="BH210" s="397"/>
      <c r="BI210" s="397"/>
    </row>
    <row r="211" spans="1:61" s="37" customFormat="1" x14ac:dyDescent="0.2">
      <c r="A211" s="57"/>
      <c r="B211" s="57"/>
      <c r="D211" s="564"/>
      <c r="E211" s="564"/>
      <c r="F211" s="564"/>
      <c r="G211" s="565"/>
      <c r="H211" s="20"/>
      <c r="I211" s="16"/>
      <c r="J211" s="205"/>
      <c r="K211" s="397"/>
      <c r="L211" s="397"/>
      <c r="M211" s="397"/>
      <c r="N211" s="397"/>
      <c r="O211" s="397"/>
      <c r="P211" s="397"/>
      <c r="Q211" s="397"/>
      <c r="R211" s="397"/>
      <c r="S211" s="397"/>
      <c r="T211" s="397"/>
      <c r="U211" s="397"/>
      <c r="V211" s="397"/>
      <c r="W211" s="397"/>
      <c r="X211" s="397"/>
      <c r="Y211" s="397"/>
      <c r="Z211" s="397"/>
      <c r="AA211" s="397"/>
      <c r="AB211" s="397"/>
      <c r="AC211" s="397"/>
      <c r="AD211" s="397"/>
      <c r="AE211" s="397"/>
      <c r="AF211" s="397"/>
      <c r="AG211" s="397"/>
      <c r="AH211" s="397"/>
      <c r="AI211" s="397"/>
      <c r="AJ211" s="397"/>
      <c r="AK211" s="397"/>
      <c r="AL211" s="397"/>
      <c r="AM211" s="397"/>
      <c r="AN211" s="397"/>
      <c r="AO211" s="397"/>
      <c r="AP211" s="397"/>
      <c r="AQ211" s="397"/>
      <c r="AR211" s="397"/>
      <c r="AS211" s="397"/>
      <c r="AT211" s="397"/>
      <c r="AU211" s="397"/>
      <c r="AV211" s="397"/>
      <c r="AW211" s="397"/>
      <c r="AX211" s="397"/>
      <c r="AY211" s="397"/>
      <c r="AZ211" s="397"/>
      <c r="BA211" s="397"/>
      <c r="BB211" s="397"/>
      <c r="BC211" s="397"/>
      <c r="BD211" s="397"/>
      <c r="BE211" s="397"/>
      <c r="BF211" s="397"/>
      <c r="BG211" s="397"/>
      <c r="BH211" s="397"/>
      <c r="BI211" s="397"/>
    </row>
    <row r="212" spans="1:61" s="37" customFormat="1" x14ac:dyDescent="0.2">
      <c r="A212" s="57"/>
      <c r="B212" s="57"/>
      <c r="D212" s="564"/>
      <c r="E212" s="564"/>
      <c r="F212" s="564"/>
      <c r="G212" s="565"/>
      <c r="H212" s="20"/>
      <c r="I212" s="16"/>
      <c r="J212" s="205"/>
      <c r="K212" s="397"/>
      <c r="L212" s="397"/>
      <c r="M212" s="397"/>
      <c r="N212" s="397"/>
      <c r="O212" s="397"/>
      <c r="P212" s="397"/>
      <c r="Q212" s="397"/>
      <c r="R212" s="397"/>
      <c r="S212" s="397"/>
      <c r="T212" s="397"/>
      <c r="U212" s="397"/>
      <c r="V212" s="397"/>
      <c r="W212" s="397"/>
      <c r="X212" s="397"/>
      <c r="Y212" s="397"/>
      <c r="Z212" s="397"/>
      <c r="AA212" s="397"/>
      <c r="AB212" s="397"/>
      <c r="AC212" s="397"/>
      <c r="AD212" s="397"/>
      <c r="AE212" s="397"/>
      <c r="AF212" s="397"/>
      <c r="AG212" s="397"/>
      <c r="AH212" s="397"/>
      <c r="AI212" s="397"/>
      <c r="AJ212" s="397"/>
      <c r="AK212" s="397"/>
      <c r="AL212" s="397"/>
      <c r="AM212" s="397"/>
      <c r="AN212" s="397"/>
      <c r="AO212" s="397"/>
      <c r="AP212" s="397"/>
      <c r="AQ212" s="397"/>
      <c r="AR212" s="397"/>
      <c r="AS212" s="397"/>
      <c r="AT212" s="397"/>
      <c r="AU212" s="397"/>
      <c r="AV212" s="397"/>
      <c r="AW212" s="397"/>
      <c r="AX212" s="397"/>
      <c r="AY212" s="397"/>
      <c r="AZ212" s="397"/>
      <c r="BA212" s="397"/>
      <c r="BB212" s="397"/>
      <c r="BC212" s="397"/>
      <c r="BD212" s="397"/>
      <c r="BE212" s="397"/>
      <c r="BF212" s="397"/>
      <c r="BG212" s="397"/>
      <c r="BH212" s="397"/>
      <c r="BI212" s="397"/>
    </row>
    <row r="213" spans="1:61" x14ac:dyDescent="0.2">
      <c r="C213" s="38"/>
      <c r="I213" s="12"/>
      <c r="J213" s="273"/>
      <c r="K213" s="333"/>
      <c r="L213" s="333"/>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3"/>
      <c r="AW213" s="333"/>
      <c r="AX213" s="333"/>
      <c r="AY213" s="333"/>
      <c r="AZ213" s="333"/>
      <c r="BA213" s="333"/>
      <c r="BB213" s="333"/>
      <c r="BC213" s="333"/>
      <c r="BD213" s="333"/>
      <c r="BE213" s="333"/>
      <c r="BF213" s="333"/>
      <c r="BG213" s="333"/>
      <c r="BH213" s="333"/>
      <c r="BI213" s="333"/>
    </row>
    <row r="214" spans="1:61" x14ac:dyDescent="0.2">
      <c r="C214" s="38"/>
      <c r="I214" s="12"/>
      <c r="J214" s="273"/>
      <c r="K214" s="333"/>
      <c r="L214" s="333"/>
      <c r="M214" s="333"/>
      <c r="N214" s="333"/>
      <c r="O214" s="333"/>
      <c r="P214" s="333"/>
      <c r="Q214" s="333"/>
      <c r="R214" s="333"/>
      <c r="S214" s="333"/>
      <c r="T214" s="333"/>
      <c r="U214" s="333"/>
      <c r="V214" s="333"/>
      <c r="W214" s="333"/>
      <c r="X214" s="333"/>
      <c r="Y214" s="333"/>
      <c r="Z214" s="333"/>
      <c r="AA214" s="333"/>
      <c r="AB214" s="333"/>
      <c r="AC214" s="333"/>
      <c r="AD214" s="333"/>
      <c r="AE214" s="333"/>
      <c r="AF214" s="333"/>
      <c r="AG214" s="333"/>
      <c r="AH214" s="333"/>
      <c r="AI214" s="333"/>
      <c r="AJ214" s="333"/>
      <c r="AK214" s="333"/>
      <c r="AL214" s="333"/>
      <c r="AM214" s="333"/>
      <c r="AN214" s="333"/>
      <c r="AO214" s="333"/>
      <c r="AP214" s="333"/>
      <c r="AQ214" s="333"/>
      <c r="AR214" s="333"/>
      <c r="AS214" s="333"/>
      <c r="AT214" s="333"/>
      <c r="AU214" s="333"/>
      <c r="AV214" s="333"/>
      <c r="AW214" s="333"/>
      <c r="AX214" s="333"/>
      <c r="AY214" s="333"/>
      <c r="AZ214" s="333"/>
      <c r="BA214" s="333"/>
      <c r="BB214" s="333"/>
      <c r="BC214" s="333"/>
      <c r="BD214" s="333"/>
      <c r="BE214" s="333"/>
      <c r="BF214" s="333"/>
      <c r="BG214" s="333"/>
      <c r="BH214" s="333"/>
      <c r="BI214" s="333"/>
    </row>
    <row r="215" spans="1:61" x14ac:dyDescent="0.2">
      <c r="C215" s="38"/>
      <c r="I215" s="12"/>
      <c r="J215" s="273"/>
      <c r="K215" s="333"/>
      <c r="L215" s="333"/>
      <c r="M215" s="333"/>
      <c r="N215" s="333"/>
      <c r="O215" s="333"/>
      <c r="P215" s="333"/>
      <c r="Q215" s="333"/>
      <c r="R215" s="333"/>
      <c r="S215" s="333"/>
      <c r="T215" s="333"/>
      <c r="U215" s="333"/>
      <c r="V215" s="333"/>
      <c r="W215" s="333"/>
      <c r="X215" s="333"/>
      <c r="Y215" s="333"/>
      <c r="Z215" s="333"/>
      <c r="AA215" s="333"/>
      <c r="AB215" s="333"/>
      <c r="AC215" s="333"/>
      <c r="AD215" s="333"/>
      <c r="AE215" s="333"/>
      <c r="AF215" s="333"/>
      <c r="AG215" s="333"/>
      <c r="AH215" s="333"/>
      <c r="AI215" s="333"/>
      <c r="AJ215" s="333"/>
      <c r="AK215" s="333"/>
      <c r="AL215" s="333"/>
      <c r="AM215" s="333"/>
      <c r="AN215" s="333"/>
      <c r="AO215" s="333"/>
      <c r="AP215" s="333"/>
      <c r="AQ215" s="333"/>
      <c r="AR215" s="333"/>
      <c r="AS215" s="333"/>
      <c r="AT215" s="333"/>
      <c r="AU215" s="333"/>
      <c r="AV215" s="333"/>
      <c r="AW215" s="333"/>
      <c r="AX215" s="333"/>
      <c r="AY215" s="333"/>
      <c r="AZ215" s="333"/>
      <c r="BA215" s="333"/>
      <c r="BB215" s="333"/>
      <c r="BC215" s="333"/>
      <c r="BD215" s="333"/>
      <c r="BE215" s="333"/>
      <c r="BF215" s="333"/>
      <c r="BG215" s="333"/>
      <c r="BH215" s="333"/>
      <c r="BI215" s="333"/>
    </row>
    <row r="216" spans="1:61" x14ac:dyDescent="0.2">
      <c r="C216" s="38"/>
      <c r="I216" s="12"/>
      <c r="J216" s="273"/>
      <c r="K216" s="333"/>
      <c r="L216" s="333"/>
      <c r="M216" s="333"/>
      <c r="N216" s="333"/>
      <c r="O216" s="333"/>
      <c r="P216" s="333"/>
      <c r="Q216" s="333"/>
      <c r="R216" s="333"/>
      <c r="S216" s="333"/>
      <c r="T216" s="333"/>
      <c r="U216" s="333"/>
      <c r="V216" s="333"/>
      <c r="W216" s="333"/>
      <c r="X216" s="333"/>
      <c r="Y216" s="333"/>
      <c r="Z216" s="333"/>
      <c r="AA216" s="333"/>
      <c r="AB216" s="333"/>
      <c r="AC216" s="333"/>
      <c r="AD216" s="333"/>
      <c r="AE216" s="333"/>
      <c r="AF216" s="333"/>
      <c r="AG216" s="333"/>
      <c r="AH216" s="333"/>
      <c r="AI216" s="333"/>
      <c r="AJ216" s="333"/>
      <c r="AK216" s="333"/>
      <c r="AL216" s="333"/>
      <c r="AM216" s="333"/>
      <c r="AN216" s="333"/>
      <c r="AO216" s="333"/>
      <c r="AP216" s="333"/>
      <c r="AQ216" s="333"/>
      <c r="AR216" s="333"/>
      <c r="AS216" s="333"/>
      <c r="AT216" s="333"/>
      <c r="AU216" s="333"/>
      <c r="AV216" s="333"/>
      <c r="AW216" s="333"/>
      <c r="AX216" s="333"/>
      <c r="AY216" s="333"/>
      <c r="AZ216" s="333"/>
      <c r="BA216" s="333"/>
      <c r="BB216" s="333"/>
      <c r="BC216" s="333"/>
      <c r="BD216" s="333"/>
      <c r="BE216" s="333"/>
      <c r="BF216" s="333"/>
      <c r="BG216" s="333"/>
      <c r="BH216" s="333"/>
      <c r="BI216" s="333"/>
    </row>
    <row r="217" spans="1:61" x14ac:dyDescent="0.2">
      <c r="C217" s="38"/>
      <c r="I217" s="12"/>
      <c r="J217" s="273"/>
      <c r="K217" s="333"/>
      <c r="L217" s="333"/>
      <c r="M217" s="333"/>
      <c r="N217" s="333"/>
      <c r="O217" s="333"/>
      <c r="P217" s="333"/>
      <c r="Q217" s="333"/>
      <c r="R217" s="333"/>
      <c r="S217" s="333"/>
      <c r="T217" s="333"/>
      <c r="U217" s="333"/>
      <c r="V217" s="333"/>
      <c r="W217" s="333"/>
      <c r="X217" s="333"/>
      <c r="Y217" s="333"/>
      <c r="Z217" s="333"/>
      <c r="AA217" s="333"/>
      <c r="AB217" s="333"/>
      <c r="AC217" s="333"/>
      <c r="AD217" s="333"/>
      <c r="AE217" s="333"/>
      <c r="AF217" s="333"/>
      <c r="AG217" s="333"/>
      <c r="AH217" s="333"/>
      <c r="AI217" s="333"/>
      <c r="AJ217" s="333"/>
      <c r="AK217" s="333"/>
      <c r="AL217" s="333"/>
      <c r="AM217" s="333"/>
      <c r="AN217" s="333"/>
      <c r="AO217" s="333"/>
      <c r="AP217" s="333"/>
      <c r="AQ217" s="333"/>
      <c r="AR217" s="333"/>
      <c r="AS217" s="333"/>
      <c r="AT217" s="333"/>
      <c r="AU217" s="333"/>
      <c r="AV217" s="333"/>
      <c r="AW217" s="333"/>
      <c r="AX217" s="333"/>
      <c r="AY217" s="333"/>
      <c r="AZ217" s="333"/>
      <c r="BA217" s="333"/>
      <c r="BB217" s="333"/>
      <c r="BC217" s="333"/>
      <c r="BD217" s="333"/>
      <c r="BE217" s="333"/>
      <c r="BF217" s="333"/>
      <c r="BG217" s="333"/>
      <c r="BH217" s="333"/>
      <c r="BI217" s="333"/>
    </row>
    <row r="218" spans="1:61" x14ac:dyDescent="0.2">
      <c r="C218" s="38"/>
      <c r="I218" s="12"/>
      <c r="J218" s="273"/>
      <c r="K218" s="333"/>
      <c r="L218" s="333"/>
      <c r="M218" s="333"/>
      <c r="N218" s="333"/>
      <c r="O218" s="333"/>
      <c r="P218" s="333"/>
      <c r="Q218" s="333"/>
      <c r="R218" s="333"/>
      <c r="S218" s="333"/>
      <c r="T218" s="333"/>
      <c r="U218" s="333"/>
      <c r="V218" s="333"/>
      <c r="W218" s="333"/>
      <c r="X218" s="333"/>
      <c r="Y218" s="333"/>
      <c r="Z218" s="333"/>
      <c r="AA218" s="333"/>
      <c r="AB218" s="333"/>
      <c r="AC218" s="333"/>
      <c r="AD218" s="333"/>
      <c r="AE218" s="333"/>
      <c r="AF218" s="333"/>
      <c r="AG218" s="333"/>
      <c r="AH218" s="333"/>
      <c r="AI218" s="333"/>
      <c r="AJ218" s="333"/>
      <c r="AK218" s="333"/>
      <c r="AL218" s="333"/>
      <c r="AM218" s="333"/>
      <c r="AN218" s="333"/>
      <c r="AO218" s="333"/>
      <c r="AP218" s="333"/>
      <c r="AQ218" s="333"/>
      <c r="AR218" s="333"/>
      <c r="AS218" s="333"/>
      <c r="AT218" s="333"/>
      <c r="AU218" s="333"/>
      <c r="AV218" s="333"/>
      <c r="AW218" s="333"/>
      <c r="AX218" s="333"/>
      <c r="AY218" s="333"/>
      <c r="AZ218" s="333"/>
      <c r="BA218" s="333"/>
      <c r="BB218" s="333"/>
      <c r="BC218" s="333"/>
      <c r="BD218" s="333"/>
      <c r="BE218" s="333"/>
      <c r="BF218" s="333"/>
      <c r="BG218" s="333"/>
      <c r="BH218" s="333"/>
      <c r="BI218" s="333"/>
    </row>
    <row r="219" spans="1:61" x14ac:dyDescent="0.2">
      <c r="I219" s="12"/>
      <c r="J219" s="273"/>
      <c r="K219" s="333"/>
      <c r="L219" s="333"/>
      <c r="M219" s="333"/>
      <c r="N219" s="333"/>
      <c r="O219" s="333"/>
      <c r="P219" s="333"/>
      <c r="Q219" s="333"/>
      <c r="R219" s="333"/>
      <c r="S219" s="333"/>
      <c r="T219" s="333"/>
      <c r="U219" s="333"/>
      <c r="V219" s="333"/>
      <c r="W219" s="333"/>
      <c r="X219" s="333"/>
      <c r="Y219" s="333"/>
      <c r="Z219" s="333"/>
      <c r="AA219" s="333"/>
      <c r="AB219" s="333"/>
      <c r="AC219" s="333"/>
      <c r="AD219" s="333"/>
      <c r="AE219" s="333"/>
      <c r="AF219" s="333"/>
      <c r="AG219" s="333"/>
      <c r="AH219" s="333"/>
      <c r="AI219" s="333"/>
      <c r="AJ219" s="333"/>
      <c r="AK219" s="333"/>
      <c r="AL219" s="333"/>
      <c r="AM219" s="333"/>
      <c r="AN219" s="333"/>
      <c r="AO219" s="333"/>
      <c r="AP219" s="333"/>
      <c r="AQ219" s="333"/>
      <c r="AR219" s="333"/>
      <c r="AS219" s="333"/>
      <c r="AT219" s="333"/>
      <c r="AU219" s="333"/>
      <c r="AV219" s="333"/>
      <c r="AW219" s="333"/>
      <c r="AX219" s="333"/>
      <c r="AY219" s="333"/>
      <c r="AZ219" s="333"/>
      <c r="BA219" s="333"/>
      <c r="BB219" s="333"/>
      <c r="BC219" s="333"/>
      <c r="BD219" s="333"/>
      <c r="BE219" s="333"/>
      <c r="BF219" s="333"/>
      <c r="BG219" s="333"/>
      <c r="BH219" s="333"/>
      <c r="BI219" s="333"/>
    </row>
    <row r="220" spans="1:61" x14ac:dyDescent="0.2">
      <c r="I220" s="12"/>
      <c r="J220" s="273"/>
      <c r="K220" s="333"/>
      <c r="L220" s="333"/>
      <c r="M220" s="333"/>
      <c r="N220" s="333"/>
      <c r="O220" s="333"/>
      <c r="P220" s="333"/>
      <c r="Q220" s="333"/>
      <c r="R220" s="333"/>
      <c r="S220" s="333"/>
      <c r="T220" s="333"/>
      <c r="U220" s="333"/>
      <c r="V220" s="333"/>
      <c r="W220" s="333"/>
      <c r="X220" s="333"/>
      <c r="Y220" s="333"/>
      <c r="Z220" s="333"/>
      <c r="AA220" s="333"/>
      <c r="AB220" s="333"/>
      <c r="AC220" s="333"/>
      <c r="AD220" s="333"/>
      <c r="AE220" s="333"/>
      <c r="AF220" s="333"/>
      <c r="AG220" s="333"/>
      <c r="AH220" s="333"/>
      <c r="AI220" s="333"/>
      <c r="AJ220" s="333"/>
      <c r="AK220" s="333"/>
      <c r="AL220" s="333"/>
      <c r="AM220" s="333"/>
      <c r="AN220" s="333"/>
      <c r="AO220" s="333"/>
      <c r="AP220" s="333"/>
      <c r="AQ220" s="333"/>
      <c r="AR220" s="333"/>
      <c r="AS220" s="333"/>
      <c r="AT220" s="333"/>
      <c r="AU220" s="333"/>
      <c r="AV220" s="333"/>
      <c r="AW220" s="333"/>
      <c r="AX220" s="333"/>
      <c r="AY220" s="333"/>
      <c r="AZ220" s="333"/>
      <c r="BA220" s="333"/>
      <c r="BB220" s="333"/>
      <c r="BC220" s="333"/>
      <c r="BD220" s="333"/>
      <c r="BE220" s="333"/>
      <c r="BF220" s="333"/>
      <c r="BG220" s="333"/>
      <c r="BH220" s="333"/>
      <c r="BI220" s="333"/>
    </row>
    <row r="221" spans="1:61" x14ac:dyDescent="0.2">
      <c r="I221" s="12"/>
      <c r="J221" s="273"/>
      <c r="K221" s="333"/>
      <c r="L221" s="333"/>
      <c r="M221" s="333"/>
      <c r="N221" s="333"/>
      <c r="O221" s="333"/>
      <c r="P221" s="333"/>
      <c r="Q221" s="333"/>
      <c r="R221" s="333"/>
      <c r="S221" s="333"/>
      <c r="T221" s="333"/>
      <c r="U221" s="333"/>
      <c r="V221" s="333"/>
      <c r="W221" s="333"/>
      <c r="X221" s="333"/>
      <c r="Y221" s="333"/>
      <c r="Z221" s="333"/>
      <c r="AA221" s="333"/>
      <c r="AB221" s="333"/>
      <c r="AC221" s="333"/>
      <c r="AD221" s="333"/>
      <c r="AE221" s="333"/>
      <c r="AF221" s="333"/>
      <c r="AG221" s="333"/>
      <c r="AH221" s="333"/>
      <c r="AI221" s="333"/>
      <c r="AJ221" s="333"/>
      <c r="AK221" s="333"/>
      <c r="AL221" s="333"/>
      <c r="AM221" s="333"/>
      <c r="AN221" s="333"/>
      <c r="AO221" s="333"/>
      <c r="AP221" s="333"/>
      <c r="AQ221" s="333"/>
      <c r="AR221" s="333"/>
      <c r="AS221" s="333"/>
      <c r="AT221" s="333"/>
      <c r="AU221" s="333"/>
      <c r="AV221" s="333"/>
      <c r="AW221" s="333"/>
      <c r="AX221" s="333"/>
      <c r="AY221" s="333"/>
      <c r="AZ221" s="333"/>
      <c r="BA221" s="333"/>
      <c r="BB221" s="333"/>
      <c r="BC221" s="333"/>
      <c r="BD221" s="333"/>
      <c r="BE221" s="333"/>
      <c r="BF221" s="333"/>
      <c r="BG221" s="333"/>
      <c r="BH221" s="333"/>
      <c r="BI221" s="333"/>
    </row>
    <row r="222" spans="1:61" x14ac:dyDescent="0.2">
      <c r="I222" s="12"/>
      <c r="J222" s="273"/>
      <c r="K222" s="333"/>
      <c r="L222" s="333"/>
      <c r="M222" s="333"/>
      <c r="N222" s="333"/>
      <c r="O222" s="333"/>
      <c r="P222" s="333"/>
      <c r="Q222" s="333"/>
      <c r="R222" s="333"/>
      <c r="S222" s="333"/>
      <c r="T222" s="333"/>
      <c r="U222" s="333"/>
      <c r="V222" s="333"/>
      <c r="W222" s="333"/>
      <c r="X222" s="333"/>
      <c r="Y222" s="333"/>
      <c r="Z222" s="333"/>
      <c r="AA222" s="333"/>
      <c r="AB222" s="333"/>
      <c r="AC222" s="333"/>
      <c r="AD222" s="333"/>
      <c r="AE222" s="333"/>
      <c r="AF222" s="333"/>
      <c r="AG222" s="333"/>
      <c r="AH222" s="333"/>
      <c r="AI222" s="333"/>
      <c r="AJ222" s="333"/>
      <c r="AK222" s="333"/>
      <c r="AL222" s="333"/>
      <c r="AM222" s="333"/>
      <c r="AN222" s="333"/>
      <c r="AO222" s="333"/>
      <c r="AP222" s="333"/>
      <c r="AQ222" s="333"/>
      <c r="AR222" s="333"/>
      <c r="AS222" s="333"/>
      <c r="AT222" s="333"/>
      <c r="AU222" s="333"/>
      <c r="AV222" s="333"/>
      <c r="AW222" s="333"/>
      <c r="AX222" s="333"/>
      <c r="AY222" s="333"/>
      <c r="AZ222" s="333"/>
      <c r="BA222" s="333"/>
      <c r="BB222" s="333"/>
      <c r="BC222" s="333"/>
      <c r="BD222" s="333"/>
      <c r="BE222" s="333"/>
      <c r="BF222" s="333"/>
      <c r="BG222" s="333"/>
      <c r="BH222" s="333"/>
      <c r="BI222" s="333"/>
    </row>
    <row r="223" spans="1:61" x14ac:dyDescent="0.2">
      <c r="I223" s="12"/>
      <c r="J223" s="273"/>
      <c r="K223" s="333"/>
      <c r="L223" s="333"/>
      <c r="M223" s="333"/>
      <c r="N223" s="333"/>
      <c r="O223" s="333"/>
      <c r="P223" s="333"/>
      <c r="Q223" s="333"/>
      <c r="R223" s="333"/>
      <c r="S223" s="333"/>
      <c r="T223" s="333"/>
      <c r="U223" s="333"/>
      <c r="V223" s="333"/>
      <c r="W223" s="333"/>
      <c r="X223" s="333"/>
      <c r="Y223" s="333"/>
      <c r="Z223" s="333"/>
      <c r="AA223" s="333"/>
      <c r="AB223" s="333"/>
      <c r="AC223" s="333"/>
      <c r="AD223" s="333"/>
      <c r="AE223" s="333"/>
      <c r="AF223" s="333"/>
      <c r="AG223" s="333"/>
      <c r="AH223" s="333"/>
      <c r="AI223" s="333"/>
      <c r="AJ223" s="333"/>
      <c r="AK223" s="333"/>
      <c r="AL223" s="333"/>
      <c r="AM223" s="333"/>
      <c r="AN223" s="333"/>
      <c r="AO223" s="333"/>
      <c r="AP223" s="333"/>
      <c r="AQ223" s="333"/>
      <c r="AR223" s="333"/>
      <c r="AS223" s="333"/>
      <c r="AT223" s="333"/>
      <c r="AU223" s="333"/>
      <c r="AV223" s="333"/>
      <c r="AW223" s="333"/>
      <c r="AX223" s="333"/>
      <c r="AY223" s="333"/>
      <c r="AZ223" s="333"/>
      <c r="BA223" s="333"/>
      <c r="BB223" s="333"/>
      <c r="BC223" s="333"/>
      <c r="BD223" s="333"/>
      <c r="BE223" s="333"/>
      <c r="BF223" s="333"/>
      <c r="BG223" s="333"/>
      <c r="BH223" s="333"/>
      <c r="BI223" s="333"/>
    </row>
    <row r="224" spans="1:61" x14ac:dyDescent="0.2">
      <c r="I224" s="12"/>
      <c r="J224" s="273"/>
      <c r="K224" s="333"/>
      <c r="L224" s="333"/>
      <c r="M224" s="333"/>
      <c r="N224" s="333"/>
      <c r="O224" s="333"/>
      <c r="P224" s="333"/>
      <c r="Q224" s="333"/>
      <c r="R224" s="333"/>
      <c r="S224" s="333"/>
      <c r="T224" s="333"/>
      <c r="U224" s="333"/>
      <c r="V224" s="333"/>
      <c r="W224" s="333"/>
      <c r="X224" s="333"/>
      <c r="Y224" s="333"/>
      <c r="Z224" s="333"/>
      <c r="AA224" s="333"/>
      <c r="AB224" s="333"/>
      <c r="AC224" s="333"/>
      <c r="AD224" s="333"/>
      <c r="AE224" s="333"/>
      <c r="AF224" s="333"/>
      <c r="AG224" s="333"/>
      <c r="AH224" s="333"/>
      <c r="AI224" s="333"/>
      <c r="AJ224" s="333"/>
      <c r="AK224" s="333"/>
      <c r="AL224" s="333"/>
      <c r="AM224" s="333"/>
      <c r="AN224" s="333"/>
      <c r="AO224" s="333"/>
      <c r="AP224" s="333"/>
      <c r="AQ224" s="333"/>
      <c r="AR224" s="333"/>
      <c r="AS224" s="333"/>
      <c r="AT224" s="333"/>
      <c r="AU224" s="333"/>
      <c r="AV224" s="333"/>
      <c r="AW224" s="333"/>
      <c r="AX224" s="333"/>
      <c r="AY224" s="333"/>
      <c r="AZ224" s="333"/>
      <c r="BA224" s="333"/>
      <c r="BB224" s="333"/>
      <c r="BC224" s="333"/>
      <c r="BD224" s="333"/>
      <c r="BE224" s="333"/>
      <c r="BF224" s="333"/>
      <c r="BG224" s="333"/>
      <c r="BH224" s="333"/>
      <c r="BI224" s="333"/>
    </row>
    <row r="225" spans="9:61" x14ac:dyDescent="0.2">
      <c r="I225" s="12"/>
      <c r="J225" s="273"/>
      <c r="K225" s="333"/>
      <c r="L225" s="333"/>
      <c r="M225" s="333"/>
      <c r="N225" s="333"/>
      <c r="O225" s="333"/>
      <c r="P225" s="333"/>
      <c r="Q225" s="333"/>
      <c r="R225" s="333"/>
      <c r="S225" s="333"/>
      <c r="T225" s="333"/>
      <c r="U225" s="333"/>
      <c r="V225" s="333"/>
      <c r="W225" s="333"/>
      <c r="X225" s="333"/>
      <c r="Y225" s="333"/>
      <c r="Z225" s="333"/>
      <c r="AA225" s="333"/>
      <c r="AB225" s="333"/>
      <c r="AC225" s="333"/>
      <c r="AD225" s="333"/>
      <c r="AE225" s="333"/>
      <c r="AF225" s="333"/>
      <c r="AG225" s="333"/>
      <c r="AH225" s="333"/>
      <c r="AI225" s="333"/>
      <c r="AJ225" s="333"/>
      <c r="AK225" s="333"/>
      <c r="AL225" s="333"/>
      <c r="AM225" s="333"/>
      <c r="AN225" s="333"/>
      <c r="AO225" s="333"/>
      <c r="AP225" s="333"/>
      <c r="AQ225" s="333"/>
      <c r="AR225" s="333"/>
      <c r="AS225" s="333"/>
      <c r="AT225" s="333"/>
      <c r="AU225" s="333"/>
      <c r="AV225" s="333"/>
      <c r="AW225" s="333"/>
      <c r="AX225" s="333"/>
      <c r="AY225" s="333"/>
      <c r="AZ225" s="333"/>
      <c r="BA225" s="333"/>
      <c r="BB225" s="333"/>
      <c r="BC225" s="333"/>
      <c r="BD225" s="333"/>
      <c r="BE225" s="333"/>
      <c r="BF225" s="333"/>
      <c r="BG225" s="333"/>
      <c r="BH225" s="333"/>
      <c r="BI225" s="333"/>
    </row>
    <row r="226" spans="9:61" x14ac:dyDescent="0.2">
      <c r="I226" s="12"/>
      <c r="J226" s="273"/>
      <c r="K226" s="333"/>
      <c r="L226" s="333"/>
      <c r="M226" s="333"/>
      <c r="N226" s="333"/>
      <c r="O226" s="333"/>
      <c r="P226" s="333"/>
      <c r="Q226" s="333"/>
      <c r="R226" s="333"/>
      <c r="S226" s="333"/>
      <c r="T226" s="333"/>
      <c r="U226" s="333"/>
      <c r="V226" s="333"/>
      <c r="W226" s="333"/>
      <c r="X226" s="333"/>
      <c r="Y226" s="333"/>
      <c r="Z226" s="333"/>
      <c r="AA226" s="333"/>
      <c r="AB226" s="333"/>
      <c r="AC226" s="333"/>
      <c r="AD226" s="333"/>
      <c r="AE226" s="333"/>
      <c r="AF226" s="333"/>
      <c r="AG226" s="333"/>
      <c r="AH226" s="333"/>
      <c r="AI226" s="333"/>
      <c r="AJ226" s="333"/>
      <c r="AK226" s="333"/>
      <c r="AL226" s="333"/>
      <c r="AM226" s="333"/>
      <c r="AN226" s="333"/>
      <c r="AO226" s="333"/>
      <c r="AP226" s="333"/>
      <c r="AQ226" s="333"/>
      <c r="AR226" s="333"/>
      <c r="AS226" s="333"/>
      <c r="AT226" s="333"/>
      <c r="AU226" s="333"/>
      <c r="AV226" s="333"/>
      <c r="AW226" s="333"/>
      <c r="AX226" s="333"/>
      <c r="AY226" s="333"/>
      <c r="AZ226" s="333"/>
      <c r="BA226" s="333"/>
      <c r="BB226" s="333"/>
      <c r="BC226" s="333"/>
      <c r="BD226" s="333"/>
      <c r="BE226" s="333"/>
      <c r="BF226" s="333"/>
      <c r="BG226" s="333"/>
      <c r="BH226" s="333"/>
      <c r="BI226" s="333"/>
    </row>
    <row r="227" spans="9:61" x14ac:dyDescent="0.2">
      <c r="I227" s="12"/>
      <c r="J227" s="273"/>
      <c r="K227" s="333"/>
      <c r="L227" s="333"/>
      <c r="M227" s="333"/>
      <c r="N227" s="333"/>
      <c r="O227" s="333"/>
      <c r="P227" s="333"/>
      <c r="Q227" s="333"/>
      <c r="R227" s="333"/>
      <c r="S227" s="333"/>
      <c r="T227" s="333"/>
      <c r="U227" s="333"/>
      <c r="V227" s="333"/>
      <c r="W227" s="333"/>
      <c r="X227" s="333"/>
      <c r="Y227" s="333"/>
      <c r="Z227" s="333"/>
      <c r="AA227" s="333"/>
      <c r="AB227" s="333"/>
      <c r="AC227" s="333"/>
      <c r="AD227" s="333"/>
      <c r="AE227" s="333"/>
      <c r="AF227" s="333"/>
      <c r="AG227" s="333"/>
      <c r="AH227" s="333"/>
      <c r="AI227" s="333"/>
      <c r="AJ227" s="333"/>
      <c r="AK227" s="333"/>
      <c r="AL227" s="333"/>
      <c r="AM227" s="333"/>
      <c r="AN227" s="333"/>
      <c r="AO227" s="333"/>
      <c r="AP227" s="333"/>
      <c r="AQ227" s="333"/>
      <c r="AR227" s="333"/>
      <c r="AS227" s="333"/>
      <c r="AT227" s="333"/>
      <c r="AU227" s="333"/>
      <c r="AV227" s="333"/>
      <c r="AW227" s="333"/>
      <c r="AX227" s="333"/>
      <c r="AY227" s="333"/>
      <c r="AZ227" s="333"/>
      <c r="BA227" s="333"/>
      <c r="BB227" s="333"/>
      <c r="BC227" s="333"/>
      <c r="BD227" s="333"/>
      <c r="BE227" s="333"/>
      <c r="BF227" s="333"/>
      <c r="BG227" s="333"/>
      <c r="BH227" s="333"/>
      <c r="BI227" s="333"/>
    </row>
    <row r="228" spans="9:61" x14ac:dyDescent="0.2">
      <c r="I228" s="12"/>
      <c r="J228" s="273"/>
      <c r="K228" s="333"/>
      <c r="L228" s="333"/>
      <c r="M228" s="333"/>
      <c r="N228" s="333"/>
      <c r="O228" s="333"/>
      <c r="P228" s="333"/>
      <c r="Q228" s="333"/>
      <c r="R228" s="333"/>
      <c r="S228" s="333"/>
      <c r="T228" s="333"/>
      <c r="U228" s="333"/>
      <c r="V228" s="333"/>
      <c r="W228" s="333"/>
      <c r="X228" s="333"/>
      <c r="Y228" s="333"/>
      <c r="Z228" s="333"/>
      <c r="AA228" s="333"/>
      <c r="AB228" s="333"/>
      <c r="AC228" s="333"/>
      <c r="AD228" s="333"/>
      <c r="AE228" s="333"/>
      <c r="AF228" s="333"/>
      <c r="AG228" s="333"/>
      <c r="AH228" s="333"/>
      <c r="AI228" s="333"/>
      <c r="AJ228" s="333"/>
      <c r="AK228" s="333"/>
      <c r="AL228" s="333"/>
      <c r="AM228" s="333"/>
      <c r="AN228" s="333"/>
      <c r="AO228" s="333"/>
      <c r="AP228" s="333"/>
      <c r="AQ228" s="333"/>
      <c r="AR228" s="333"/>
      <c r="AS228" s="333"/>
      <c r="AT228" s="333"/>
      <c r="AU228" s="333"/>
      <c r="AV228" s="333"/>
      <c r="AW228" s="333"/>
      <c r="AX228" s="333"/>
      <c r="AY228" s="333"/>
      <c r="AZ228" s="333"/>
      <c r="BA228" s="333"/>
      <c r="BB228" s="333"/>
      <c r="BC228" s="333"/>
      <c r="BD228" s="333"/>
      <c r="BE228" s="333"/>
      <c r="BF228" s="333"/>
      <c r="BG228" s="333"/>
      <c r="BH228" s="333"/>
      <c r="BI228" s="333"/>
    </row>
    <row r="229" spans="9:61" x14ac:dyDescent="0.2">
      <c r="I229" s="12"/>
      <c r="J229" s="273"/>
      <c r="K229" s="333"/>
      <c r="L229" s="333"/>
      <c r="M229" s="333"/>
      <c r="N229" s="333"/>
      <c r="O229" s="333"/>
      <c r="P229" s="333"/>
      <c r="Q229" s="333"/>
      <c r="R229" s="333"/>
      <c r="S229" s="333"/>
      <c r="T229" s="333"/>
      <c r="U229" s="333"/>
      <c r="V229" s="333"/>
      <c r="W229" s="333"/>
      <c r="X229" s="333"/>
      <c r="Y229" s="333"/>
      <c r="Z229" s="333"/>
      <c r="AA229" s="333"/>
      <c r="AB229" s="333"/>
      <c r="AC229" s="333"/>
      <c r="AD229" s="333"/>
      <c r="AE229" s="333"/>
      <c r="AF229" s="333"/>
      <c r="AG229" s="333"/>
      <c r="AH229" s="333"/>
      <c r="AI229" s="333"/>
      <c r="AJ229" s="333"/>
      <c r="AK229" s="333"/>
      <c r="AL229" s="333"/>
      <c r="AM229" s="333"/>
      <c r="AN229" s="333"/>
      <c r="AO229" s="333"/>
      <c r="AP229" s="333"/>
      <c r="AQ229" s="333"/>
      <c r="AR229" s="333"/>
      <c r="AS229" s="333"/>
      <c r="AT229" s="333"/>
      <c r="AU229" s="333"/>
      <c r="AV229" s="333"/>
      <c r="AW229" s="333"/>
      <c r="AX229" s="333"/>
      <c r="AY229" s="333"/>
      <c r="AZ229" s="333"/>
      <c r="BA229" s="333"/>
      <c r="BB229" s="333"/>
      <c r="BC229" s="333"/>
      <c r="BD229" s="333"/>
      <c r="BE229" s="333"/>
      <c r="BF229" s="333"/>
      <c r="BG229" s="333"/>
      <c r="BH229" s="333"/>
      <c r="BI229" s="333"/>
    </row>
    <row r="230" spans="9:61" x14ac:dyDescent="0.2">
      <c r="I230" s="12"/>
      <c r="J230" s="273"/>
      <c r="K230" s="333"/>
      <c r="L230" s="333"/>
      <c r="M230" s="333"/>
      <c r="N230" s="333"/>
      <c r="O230" s="333"/>
      <c r="P230" s="333"/>
      <c r="Q230" s="333"/>
      <c r="R230" s="333"/>
      <c r="S230" s="333"/>
      <c r="T230" s="333"/>
      <c r="U230" s="333"/>
      <c r="V230" s="333"/>
      <c r="W230" s="333"/>
      <c r="X230" s="333"/>
      <c r="Y230" s="333"/>
      <c r="Z230" s="333"/>
      <c r="AA230" s="333"/>
      <c r="AB230" s="333"/>
      <c r="AC230" s="333"/>
      <c r="AD230" s="333"/>
      <c r="AE230" s="333"/>
      <c r="AF230" s="333"/>
      <c r="AG230" s="333"/>
      <c r="AH230" s="333"/>
      <c r="AI230" s="333"/>
      <c r="AJ230" s="333"/>
      <c r="AK230" s="333"/>
      <c r="AL230" s="333"/>
      <c r="AM230" s="333"/>
      <c r="AN230" s="333"/>
      <c r="AO230" s="333"/>
      <c r="AP230" s="333"/>
      <c r="AQ230" s="333"/>
      <c r="AR230" s="333"/>
      <c r="AS230" s="333"/>
      <c r="AT230" s="333"/>
      <c r="AU230" s="333"/>
      <c r="AV230" s="333"/>
      <c r="AW230" s="333"/>
      <c r="AX230" s="333"/>
      <c r="AY230" s="333"/>
      <c r="AZ230" s="333"/>
      <c r="BA230" s="333"/>
      <c r="BB230" s="333"/>
      <c r="BC230" s="333"/>
      <c r="BD230" s="333"/>
      <c r="BE230" s="333"/>
      <c r="BF230" s="333"/>
      <c r="BG230" s="333"/>
      <c r="BH230" s="333"/>
      <c r="BI230" s="333"/>
    </row>
  </sheetData>
  <sheetProtection password="C4B9" sheet="1" objects="1" scenarios="1"/>
  <sortState ref="C206:C227">
    <sortCondition ref="C227"/>
  </sortState>
  <customSheetViews>
    <customSheetView guid="{B8E02330-2419-4DE6-AD01-7ACC7A5D18DD}" scale="75" topLeftCell="A204">
      <selection activeCell="A2" sqref="A2:H226"/>
      <pageMargins left="0.75" right="0.75" top="1" bottom="1" header="0.5" footer="0.5"/>
      <pageSetup orientation="portrait" r:id="rId1"/>
      <headerFooter alignWithMargins="0"/>
    </customSheetView>
  </customSheetViews>
  <mergeCells count="93">
    <mergeCell ref="A57:A64"/>
    <mergeCell ref="B57:B64"/>
    <mergeCell ref="A72:A77"/>
    <mergeCell ref="B65:B71"/>
    <mergeCell ref="A65:A71"/>
    <mergeCell ref="A84:A87"/>
    <mergeCell ref="H84:H87"/>
    <mergeCell ref="B84:B87"/>
    <mergeCell ref="B78:B83"/>
    <mergeCell ref="B72:B77"/>
    <mergeCell ref="A78:A83"/>
    <mergeCell ref="I131:I136"/>
    <mergeCell ref="I120:I124"/>
    <mergeCell ref="I125:I130"/>
    <mergeCell ref="I116:I119"/>
    <mergeCell ref="I107:I115"/>
    <mergeCell ref="H125:H130"/>
    <mergeCell ref="H131:H136"/>
    <mergeCell ref="H137:H143"/>
    <mergeCell ref="H35:H40"/>
    <mergeCell ref="H42:H47"/>
    <mergeCell ref="H48:H52"/>
    <mergeCell ref="H91:H95"/>
    <mergeCell ref="H96:H100"/>
    <mergeCell ref="H101:H106"/>
    <mergeCell ref="H107:H115"/>
    <mergeCell ref="H116:H119"/>
    <mergeCell ref="H72:H77"/>
    <mergeCell ref="H57:H64"/>
    <mergeCell ref="H65:H71"/>
    <mergeCell ref="H78:H83"/>
    <mergeCell ref="I91:I95"/>
    <mergeCell ref="I65:I71"/>
    <mergeCell ref="I84:I87"/>
    <mergeCell ref="I53:I56"/>
    <mergeCell ref="H120:H124"/>
    <mergeCell ref="I78:I83"/>
    <mergeCell ref="I96:I100"/>
    <mergeCell ref="I101:I106"/>
    <mergeCell ref="I48:I52"/>
    <mergeCell ref="H53:H56"/>
    <mergeCell ref="I72:I77"/>
    <mergeCell ref="I35:I40"/>
    <mergeCell ref="I42:I47"/>
    <mergeCell ref="I57:I64"/>
    <mergeCell ref="A42:A47"/>
    <mergeCell ref="A35:A40"/>
    <mergeCell ref="B42:B47"/>
    <mergeCell ref="A48:A52"/>
    <mergeCell ref="A53:A56"/>
    <mergeCell ref="B53:B56"/>
    <mergeCell ref="B48:B52"/>
    <mergeCell ref="B35:B40"/>
    <mergeCell ref="A1:B1"/>
    <mergeCell ref="B28:B34"/>
    <mergeCell ref="A28:A34"/>
    <mergeCell ref="I28:I34"/>
    <mergeCell ref="B23:B27"/>
    <mergeCell ref="H23:H27"/>
    <mergeCell ref="E1:I1"/>
    <mergeCell ref="H28:H34"/>
    <mergeCell ref="I23:I27"/>
    <mergeCell ref="A131:A136"/>
    <mergeCell ref="A125:A130"/>
    <mergeCell ref="A120:A124"/>
    <mergeCell ref="B120:B124"/>
    <mergeCell ref="A96:A100"/>
    <mergeCell ref="B131:B136"/>
    <mergeCell ref="B116:B119"/>
    <mergeCell ref="B96:B100"/>
    <mergeCell ref="B91:B95"/>
    <mergeCell ref="B101:B106"/>
    <mergeCell ref="A101:A106"/>
    <mergeCell ref="A116:A119"/>
    <mergeCell ref="B125:B130"/>
    <mergeCell ref="A107:A115"/>
    <mergeCell ref="B107:B115"/>
    <mergeCell ref="A91:A95"/>
    <mergeCell ref="B155:B156"/>
    <mergeCell ref="A155:A156"/>
    <mergeCell ref="I155:I156"/>
    <mergeCell ref="A137:A143"/>
    <mergeCell ref="A150:A154"/>
    <mergeCell ref="B144:B148"/>
    <mergeCell ref="I150:I154"/>
    <mergeCell ref="I144:I148"/>
    <mergeCell ref="B150:B154"/>
    <mergeCell ref="B137:B143"/>
    <mergeCell ref="H144:H148"/>
    <mergeCell ref="H150:H154"/>
    <mergeCell ref="H155:H156"/>
    <mergeCell ref="A144:A148"/>
    <mergeCell ref="I137:I143"/>
  </mergeCells>
  <phoneticPr fontId="5" type="noConversion"/>
  <pageMargins left="0.75" right="0.75" top="1" bottom="1" header="0.5" footer="0.5"/>
  <pageSetup orientation="portrait" r:id="rId2"/>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CR289"/>
  <sheetViews>
    <sheetView zoomScaleNormal="100" workbookViewId="0">
      <selection activeCell="I8" sqref="I8"/>
    </sheetView>
  </sheetViews>
  <sheetFormatPr defaultColWidth="9.33203125" defaultRowHeight="12.75" x14ac:dyDescent="0.2"/>
  <cols>
    <col min="1" max="1" width="5.83203125" style="1227" customWidth="1"/>
    <col min="2" max="2" width="18.83203125" style="29" customWidth="1"/>
    <col min="3" max="3" width="69.83203125" style="1246" customWidth="1"/>
    <col min="4" max="4" width="6.83203125" style="347" customWidth="1"/>
    <col min="5" max="5" width="7.6640625" style="347" customWidth="1"/>
    <col min="6" max="6" width="8.33203125" style="347" customWidth="1"/>
    <col min="7" max="7" width="11.33203125" style="592" customWidth="1"/>
    <col min="8" max="8" width="12.33203125" style="162" customWidth="1"/>
    <col min="9" max="9" width="69.83203125" style="25" customWidth="1"/>
    <col min="10" max="10" width="6" style="232" customWidth="1"/>
    <col min="11" max="16384" width="9.33203125" style="27"/>
  </cols>
  <sheetData>
    <row r="1" spans="1:96" ht="84" customHeight="1" thickBot="1" x14ac:dyDescent="0.25">
      <c r="A1" s="2113" t="s">
        <v>2114</v>
      </c>
      <c r="B1" s="2385"/>
      <c r="C1" s="1234" t="s">
        <v>679</v>
      </c>
      <c r="D1" s="92" t="s">
        <v>671</v>
      </c>
      <c r="E1" s="2370"/>
      <c r="F1" s="2371"/>
      <c r="G1" s="2371"/>
      <c r="H1" s="2371"/>
      <c r="I1" s="2372"/>
    </row>
    <row r="2" spans="1:96" s="708" customFormat="1" ht="42" customHeight="1" thickBot="1" x14ac:dyDescent="0.25">
      <c r="A2" s="1605" t="s">
        <v>110</v>
      </c>
      <c r="B2" s="1606" t="s">
        <v>1096</v>
      </c>
      <c r="C2" s="1607" t="s">
        <v>1395</v>
      </c>
      <c r="D2" s="1605"/>
      <c r="E2" s="1608"/>
      <c r="F2" s="1609"/>
      <c r="G2" s="1610" t="s">
        <v>1111</v>
      </c>
      <c r="H2" s="1651" t="s">
        <v>1108</v>
      </c>
      <c r="I2" s="1606" t="s">
        <v>304</v>
      </c>
    </row>
    <row r="3" spans="1:96" s="155" customFormat="1" ht="45" customHeight="1" thickBot="1" x14ac:dyDescent="0.25">
      <c r="A3" s="1653" t="str">
        <f>OF!A4</f>
        <v>OF3</v>
      </c>
      <c r="B3" s="1654" t="str">
        <f>OF!C4</f>
        <v>Key Wildlife Biodiversity Zone</v>
      </c>
      <c r="C3" s="1007" t="s">
        <v>1610</v>
      </c>
      <c r="D3" s="1655"/>
      <c r="E3" s="1656"/>
      <c r="F3" s="1656"/>
      <c r="G3" s="1657" t="str">
        <f>IF((BioDivZone=""),"",IF((BioDivZone=1),1,""))</f>
        <v/>
      </c>
      <c r="H3" s="1219" t="s">
        <v>1067</v>
      </c>
      <c r="I3" s="1522" t="s">
        <v>1595</v>
      </c>
      <c r="J3" s="221"/>
    </row>
    <row r="4" spans="1:96" s="155" customFormat="1" ht="30" customHeight="1" thickBot="1" x14ac:dyDescent="0.25">
      <c r="A4" s="709" t="str">
        <f>OF!A6</f>
        <v>OF5</v>
      </c>
      <c r="B4" s="1231" t="str">
        <f>OF!C6</f>
        <v>Wetland Class Richness Within 1km</v>
      </c>
      <c r="C4" s="1061" t="s">
        <v>507</v>
      </c>
      <c r="D4" s="712"/>
      <c r="E4" s="713"/>
      <c r="F4" s="713"/>
      <c r="G4" s="1101" t="str">
        <f>IF((ClassRich1k=""),"",ClassRich1k)</f>
        <v/>
      </c>
      <c r="H4" s="1220" t="s">
        <v>1261</v>
      </c>
      <c r="I4" s="858" t="s">
        <v>1596</v>
      </c>
      <c r="J4" s="231"/>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7"/>
    </row>
    <row r="5" spans="1:96" s="155" customFormat="1" ht="44.25" customHeight="1" thickBot="1" x14ac:dyDescent="0.25">
      <c r="A5" s="931" t="str">
        <f>OF!A7</f>
        <v>OF6</v>
      </c>
      <c r="B5" s="1230" t="str">
        <f>OF!C7</f>
        <v>Wetland Class Richness Within Wetland</v>
      </c>
      <c r="C5" s="1007" t="s">
        <v>507</v>
      </c>
      <c r="D5" s="716"/>
      <c r="E5" s="717"/>
      <c r="F5" s="717"/>
      <c r="G5" s="761" t="str">
        <f>IF((ClassRichIn=""),"",ClassRichIn)</f>
        <v/>
      </c>
      <c r="H5" s="1219" t="s">
        <v>1060</v>
      </c>
      <c r="I5" s="1084" t="s">
        <v>1502</v>
      </c>
      <c r="J5" s="215"/>
    </row>
    <row r="6" spans="1:96" s="155" customFormat="1" ht="45" customHeight="1" thickBot="1" x14ac:dyDescent="0.25">
      <c r="A6" s="709" t="str">
        <f>OF!A8</f>
        <v>OF7</v>
      </c>
      <c r="B6" s="1231" t="str">
        <f>OF!C8</f>
        <v>Distance to Nearest Annual Cropland or Developed Land</v>
      </c>
      <c r="C6" s="1061" t="s">
        <v>507</v>
      </c>
      <c r="D6" s="712"/>
      <c r="E6" s="713"/>
      <c r="F6" s="713"/>
      <c r="G6" s="759" t="str">
        <f>IF((Dist2DevCrop=""),"",Dist2DevCrop)</f>
        <v/>
      </c>
      <c r="H6" s="1221" t="s">
        <v>1257</v>
      </c>
      <c r="I6" s="1034" t="s">
        <v>1597</v>
      </c>
      <c r="J6" s="221"/>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row>
    <row r="7" spans="1:96" s="155" customFormat="1" ht="156" customHeight="1" thickBot="1" x14ac:dyDescent="0.25">
      <c r="A7" s="1207" t="str">
        <f>OF!A9</f>
        <v>OF8</v>
      </c>
      <c r="B7" s="1232" t="str">
        <f>OF!C9</f>
        <v>Distance to Nearest Road (from Wetland Edge)</v>
      </c>
      <c r="C7" s="1184" t="s">
        <v>507</v>
      </c>
      <c r="D7" s="1185"/>
      <c r="E7" s="1186"/>
      <c r="F7" s="1186"/>
      <c r="G7" s="1187" t="str">
        <f>IF((Dist2Road=""),"",Dist2Road)</f>
        <v/>
      </c>
      <c r="H7" s="254" t="s">
        <v>1270</v>
      </c>
      <c r="I7" s="1393" t="s">
        <v>2253</v>
      </c>
      <c r="J7" s="221"/>
      <c r="BO7" s="7"/>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row>
    <row r="8" spans="1:96" s="155" customFormat="1" ht="114" customHeight="1" thickBot="1" x14ac:dyDescent="0.25">
      <c r="A8" s="931" t="str">
        <f>OF!A10</f>
        <v>OF9</v>
      </c>
      <c r="B8" s="1230" t="str">
        <f>OF!C10</f>
        <v>Distance to Nearest Well-settled Area</v>
      </c>
      <c r="C8" s="1007" t="s">
        <v>507</v>
      </c>
      <c r="D8" s="716"/>
      <c r="E8" s="717"/>
      <c r="F8" s="717"/>
      <c r="G8" s="761" t="str">
        <f>IF((DistPop=""),"",DistPop)</f>
        <v/>
      </c>
      <c r="H8" s="1219" t="s">
        <v>1041</v>
      </c>
      <c r="I8" s="1084" t="s">
        <v>927</v>
      </c>
      <c r="J8" s="221"/>
    </row>
    <row r="9" spans="1:96" s="155" customFormat="1" ht="30" customHeight="1" thickBot="1" x14ac:dyDescent="0.25">
      <c r="A9" s="709" t="str">
        <f>OF!A18</f>
        <v>OF17</v>
      </c>
      <c r="B9" s="1231" t="str">
        <f>OF!C18</f>
        <v>Growing Degree Days</v>
      </c>
      <c r="C9" s="1061" t="s">
        <v>507</v>
      </c>
      <c r="D9" s="712"/>
      <c r="E9" s="713"/>
      <c r="F9" s="713"/>
      <c r="G9" s="740" t="str">
        <f>IF((GrowDD=""),"",GrowDD)</f>
        <v/>
      </c>
      <c r="H9" s="1221" t="s">
        <v>1078</v>
      </c>
      <c r="I9" s="1034" t="s">
        <v>1598</v>
      </c>
      <c r="J9" s="221"/>
    </row>
    <row r="10" spans="1:96" s="155" customFormat="1" ht="57" customHeight="1" thickBot="1" x14ac:dyDescent="0.25">
      <c r="A10" s="931" t="str">
        <f>OF!A27</f>
        <v>OF26</v>
      </c>
      <c r="B10" s="1230" t="str">
        <f>OF!C27</f>
        <v>Interspersion Index for Internal Herbaceous &amp; Woody Vegetation (macroscale)</v>
      </c>
      <c r="C10" s="1007" t="s">
        <v>507</v>
      </c>
      <c r="D10" s="716"/>
      <c r="E10" s="717"/>
      <c r="F10" s="717"/>
      <c r="G10" s="761" t="str">
        <f>IF((MixHerbWood=""),"",MixHerbWood)</f>
        <v/>
      </c>
      <c r="H10" s="1219" t="s">
        <v>1061</v>
      </c>
      <c r="I10" s="1084" t="s">
        <v>1599</v>
      </c>
      <c r="J10" s="221"/>
    </row>
    <row r="11" spans="1:96" s="155" customFormat="1" ht="55.5" customHeight="1" thickBot="1" x14ac:dyDescent="0.25">
      <c r="A11" s="709" t="str">
        <f>OF!A28</f>
        <v>OF27</v>
      </c>
      <c r="B11" s="1231" t="str">
        <f>OF!C28</f>
        <v>Interspersion Index for Internal Water &amp; Vegetation (macroscale)</v>
      </c>
      <c r="C11" s="1061" t="s">
        <v>507</v>
      </c>
      <c r="D11" s="712"/>
      <c r="E11" s="713"/>
      <c r="F11" s="713"/>
      <c r="G11" s="740" t="str">
        <f>IF((MixWaterVeg=""),"",MixWaterVeg)</f>
        <v/>
      </c>
      <c r="H11" s="1221" t="s">
        <v>1032</v>
      </c>
      <c r="I11" s="1034" t="s">
        <v>1600</v>
      </c>
      <c r="J11" s="221"/>
    </row>
    <row r="12" spans="1:96" s="155" customFormat="1" ht="348" customHeight="1" thickBot="1" x14ac:dyDescent="0.25">
      <c r="A12" s="931" t="str">
        <f>OF!A29</f>
        <v>OF28</v>
      </c>
      <c r="B12" s="1230" t="str">
        <f>OF!C29</f>
        <v>% Natural Cover within 1km</v>
      </c>
      <c r="C12" s="1007" t="s">
        <v>507</v>
      </c>
      <c r="D12" s="716"/>
      <c r="E12" s="717"/>
      <c r="F12" s="717"/>
      <c r="G12" s="1171" t="str">
        <f>IF((NatCov1k=""),"",NatCov1k)</f>
        <v/>
      </c>
      <c r="H12" s="1222" t="s">
        <v>1063</v>
      </c>
      <c r="I12" s="1390" t="s">
        <v>2252</v>
      </c>
      <c r="J12" s="231"/>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7"/>
    </row>
    <row r="13" spans="1:96" s="155" customFormat="1" ht="30" customHeight="1" thickBot="1" x14ac:dyDescent="0.25">
      <c r="A13" s="709" t="str">
        <f>OF!A31</f>
        <v>OF30</v>
      </c>
      <c r="B13" s="1231" t="str">
        <f>OF!C31</f>
        <v>% of AA that is Open Water (macro scale)</v>
      </c>
      <c r="C13" s="1061" t="s">
        <v>1396</v>
      </c>
      <c r="D13" s="712"/>
      <c r="E13" s="713"/>
      <c r="F13" s="713"/>
      <c r="G13" s="740" t="str">
        <f>IF((OWpct=""),"",1-OWpct)</f>
        <v/>
      </c>
      <c r="H13" s="1223" t="s">
        <v>1205</v>
      </c>
      <c r="I13" s="1034" t="s">
        <v>1601</v>
      </c>
      <c r="J13" s="221"/>
    </row>
    <row r="14" spans="1:96" s="155" customFormat="1" ht="57" customHeight="1" thickBot="1" x14ac:dyDescent="0.25">
      <c r="A14" s="709" t="str">
        <f>OF!A35</f>
        <v>OF34</v>
      </c>
      <c r="B14" s="1231" t="str">
        <f>OF!C35</f>
        <v>% of Wetland Perimeter Adjoined by Natural Cover</v>
      </c>
      <c r="C14" s="1061" t="s">
        <v>507</v>
      </c>
      <c r="D14" s="712"/>
      <c r="E14" s="713"/>
      <c r="F14" s="713"/>
      <c r="G14" s="740" t="str">
        <f>IF((PerimNatCov=""),"",PerimNatCov)</f>
        <v/>
      </c>
      <c r="H14" s="1221" t="s">
        <v>1064</v>
      </c>
      <c r="I14" s="1034" t="s">
        <v>933</v>
      </c>
      <c r="J14" s="221"/>
    </row>
    <row r="15" spans="1:96" s="155" customFormat="1" ht="45" customHeight="1" thickBot="1" x14ac:dyDescent="0.25">
      <c r="A15" s="931" t="str">
        <f>OF!A38</f>
        <v>OF37</v>
      </c>
      <c r="B15" s="1230" t="str">
        <f>OF!C38</f>
        <v>Sensitive Raptor Nesting Area</v>
      </c>
      <c r="C15" s="1007" t="s">
        <v>1449</v>
      </c>
      <c r="D15" s="716"/>
      <c r="E15" s="717"/>
      <c r="F15" s="717"/>
      <c r="G15" s="761" t="str">
        <f>IF((RaptorNest=""),"",IF((RaptorNest=1),1, ""))</f>
        <v/>
      </c>
      <c r="H15" s="1219" t="s">
        <v>1069</v>
      </c>
      <c r="I15" s="1084" t="s">
        <v>1602</v>
      </c>
      <c r="J15" s="221"/>
    </row>
    <row r="16" spans="1:96" s="155" customFormat="1" ht="30" customHeight="1" thickBot="1" x14ac:dyDescent="0.25">
      <c r="A16" s="709" t="str">
        <f>OF!A41</f>
        <v>OF40</v>
      </c>
      <c r="B16" s="1231" t="str">
        <f>OF!C41</f>
        <v>Road Density in 1km Buffer</v>
      </c>
      <c r="C16" s="1061" t="s">
        <v>1396</v>
      </c>
      <c r="D16" s="712"/>
      <c r="E16" s="713"/>
      <c r="F16" s="713"/>
      <c r="G16" s="1101" t="str">
        <f>IF((RdDens1k=""),"",1-RdDens1k)</f>
        <v/>
      </c>
      <c r="H16" s="1224" t="s">
        <v>1065</v>
      </c>
      <c r="I16" s="1102" t="s">
        <v>2220</v>
      </c>
      <c r="J16" s="231"/>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7"/>
    </row>
    <row r="17" spans="1:96" s="7" customFormat="1" ht="30" customHeight="1" thickBot="1" x14ac:dyDescent="0.25">
      <c r="A17" s="931" t="str">
        <f>OF!A43</f>
        <v>OF42</v>
      </c>
      <c r="B17" s="1230" t="str">
        <f>OF!C43</f>
        <v>Riparian or Floodway Location</v>
      </c>
      <c r="C17" s="1007" t="s">
        <v>1450</v>
      </c>
      <c r="D17" s="716"/>
      <c r="E17" s="717"/>
      <c r="F17" s="717"/>
      <c r="G17" s="761" t="str">
        <f>IF((RipFloodpl=""),"",IF((RipFloodpl=1),1,""))</f>
        <v/>
      </c>
      <c r="H17" s="1225" t="s">
        <v>1077</v>
      </c>
      <c r="I17" s="1084" t="s">
        <v>1603</v>
      </c>
      <c r="J17" s="221"/>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c r="BS17" s="155"/>
      <c r="BT17" s="155"/>
      <c r="BU17" s="155"/>
      <c r="BV17" s="155"/>
      <c r="BW17" s="155"/>
      <c r="BX17" s="155"/>
      <c r="BY17" s="155"/>
      <c r="BZ17" s="155"/>
      <c r="CA17" s="155"/>
      <c r="CB17" s="155"/>
      <c r="CC17" s="155"/>
      <c r="CD17" s="155"/>
      <c r="CE17" s="155"/>
      <c r="CF17" s="155"/>
      <c r="CG17" s="155"/>
      <c r="CH17" s="155"/>
      <c r="CI17" s="155"/>
      <c r="CJ17" s="155"/>
      <c r="CK17" s="155"/>
      <c r="CL17" s="155"/>
      <c r="CM17" s="155"/>
      <c r="CN17" s="155"/>
      <c r="CO17" s="155"/>
      <c r="CP17" s="155"/>
      <c r="CQ17" s="155"/>
      <c r="CR17" s="155"/>
    </row>
    <row r="18" spans="1:96" s="7" customFormat="1" ht="45" customHeight="1" thickBot="1" x14ac:dyDescent="0.25">
      <c r="A18" s="709" t="str">
        <f>OF!A51</f>
        <v>OF50</v>
      </c>
      <c r="B18" s="1231" t="str">
        <f>OF!C51</f>
        <v>Springs within 300m</v>
      </c>
      <c r="C18" s="1061" t="s">
        <v>1451</v>
      </c>
      <c r="D18" s="712"/>
      <c r="E18" s="713"/>
      <c r="F18" s="713"/>
      <c r="G18" s="740" t="str">
        <f>IF((Spring=""),"",IF((Spring=1),1,""))</f>
        <v/>
      </c>
      <c r="H18" s="1226" t="s">
        <v>1027</v>
      </c>
      <c r="I18" s="1034" t="s">
        <v>1604</v>
      </c>
      <c r="J18" s="221"/>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55"/>
      <c r="BU18" s="155"/>
      <c r="BV18" s="155"/>
      <c r="BW18" s="155"/>
      <c r="BX18" s="155"/>
      <c r="BY18" s="155"/>
      <c r="BZ18" s="155"/>
      <c r="CA18" s="155"/>
      <c r="CB18" s="155"/>
      <c r="CC18" s="155"/>
      <c r="CD18" s="155"/>
      <c r="CE18" s="155"/>
      <c r="CF18" s="155"/>
      <c r="CG18" s="155"/>
      <c r="CH18" s="155"/>
      <c r="CI18" s="155"/>
      <c r="CJ18" s="155"/>
      <c r="CK18" s="155"/>
      <c r="CL18" s="155"/>
      <c r="CM18" s="155"/>
      <c r="CN18" s="155"/>
      <c r="CO18" s="155"/>
      <c r="CP18" s="155"/>
      <c r="CQ18" s="155"/>
      <c r="CR18" s="155"/>
    </row>
    <row r="19" spans="1:96" s="7" customFormat="1" ht="45" customHeight="1" thickBot="1" x14ac:dyDescent="0.25">
      <c r="A19" s="931" t="str">
        <f>OF!A57</f>
        <v>OF56</v>
      </c>
      <c r="B19" s="1230" t="str">
        <f>OF!C57</f>
        <v>Local Uniqueness of Wetland's Class</v>
      </c>
      <c r="C19" s="1007" t="s">
        <v>507</v>
      </c>
      <c r="D19" s="716"/>
      <c r="E19" s="717"/>
      <c r="F19" s="717"/>
      <c r="G19" s="1069" t="str">
        <f>IF((UniqClass=""),"",UniqClass)</f>
        <v/>
      </c>
      <c r="H19" s="1222" t="s">
        <v>1253</v>
      </c>
      <c r="I19" s="1084" t="s">
        <v>1605</v>
      </c>
      <c r="J19" s="221"/>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c r="BS19" s="155"/>
      <c r="BT19" s="155"/>
      <c r="BU19" s="155"/>
      <c r="BV19" s="155"/>
      <c r="BW19" s="155"/>
      <c r="BX19" s="155"/>
      <c r="BY19" s="155"/>
      <c r="BZ19" s="155"/>
      <c r="CA19" s="155"/>
      <c r="CB19" s="155"/>
      <c r="CC19" s="155"/>
      <c r="CD19" s="155"/>
      <c r="CE19" s="155"/>
      <c r="CF19" s="155"/>
      <c r="CG19" s="155"/>
      <c r="CH19" s="155"/>
      <c r="CI19" s="155"/>
      <c r="CJ19" s="155"/>
      <c r="CK19" s="155"/>
      <c r="CL19" s="155"/>
      <c r="CM19" s="155"/>
      <c r="CN19" s="155"/>
      <c r="CO19" s="155"/>
      <c r="CP19" s="155"/>
      <c r="CQ19" s="155"/>
      <c r="CR19" s="155"/>
    </row>
    <row r="20" spans="1:96" s="155" customFormat="1" ht="247.5" customHeight="1" thickBot="1" x14ac:dyDescent="0.25">
      <c r="A20" s="709" t="str">
        <f>OF!A60</f>
        <v>OF59</v>
      </c>
      <c r="B20" s="1231" t="str">
        <f>OF!C60</f>
        <v>Vegetation Connectivity to Other Wetlands within 1 km</v>
      </c>
      <c r="C20" s="1061" t="s">
        <v>507</v>
      </c>
      <c r="D20" s="712"/>
      <c r="E20" s="713"/>
      <c r="F20" s="713"/>
      <c r="G20" s="740" t="str">
        <f>IF((VegCon1k=""),"",VegCon1k)</f>
        <v/>
      </c>
      <c r="H20" s="1221" t="s">
        <v>1030</v>
      </c>
      <c r="I20" s="1034" t="s">
        <v>855</v>
      </c>
      <c r="J20" s="221"/>
    </row>
    <row r="21" spans="1:96" s="7" customFormat="1" ht="45" customHeight="1" thickBot="1" x14ac:dyDescent="0.25">
      <c r="A21" s="931" t="str">
        <f>OF!A61</f>
        <v>OF60</v>
      </c>
      <c r="B21" s="1230" t="str">
        <f>OF!C61</f>
        <v>Water Permanence Probability</v>
      </c>
      <c r="C21" s="1007" t="s">
        <v>1396</v>
      </c>
      <c r="D21" s="716"/>
      <c r="E21" s="717"/>
      <c r="F21" s="717"/>
      <c r="G21" s="1188" t="str">
        <f>IF((WatProb=""),"",1-WatProb)</f>
        <v/>
      </c>
      <c r="H21" s="1219" t="s">
        <v>1026</v>
      </c>
      <c r="I21" s="943" t="s">
        <v>1606</v>
      </c>
      <c r="J21" s="221"/>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c r="BS21" s="155"/>
      <c r="BT21" s="155"/>
      <c r="BU21" s="155"/>
      <c r="BV21" s="155"/>
      <c r="BW21" s="155"/>
      <c r="BX21" s="155"/>
      <c r="BY21" s="155"/>
      <c r="BZ21" s="155"/>
      <c r="CA21" s="155"/>
      <c r="CB21" s="155"/>
      <c r="CC21" s="155"/>
      <c r="CD21" s="155"/>
      <c r="CE21" s="155"/>
      <c r="CF21" s="155"/>
      <c r="CG21" s="155"/>
      <c r="CH21" s="155"/>
      <c r="CI21" s="155"/>
      <c r="CJ21" s="155"/>
      <c r="CK21" s="155"/>
      <c r="CL21" s="155"/>
      <c r="CM21" s="155"/>
      <c r="CN21" s="155"/>
      <c r="CO21" s="155"/>
      <c r="CP21" s="155"/>
      <c r="CQ21" s="155"/>
      <c r="CR21" s="155"/>
    </row>
    <row r="22" spans="1:96" s="155" customFormat="1" ht="60" customHeight="1" thickBot="1" x14ac:dyDescent="0.25">
      <c r="A22" s="709" t="str">
        <f>OF!A64</f>
        <v>OF63</v>
      </c>
      <c r="B22" s="1231" t="str">
        <f>OF!C64</f>
        <v>Wetland Density Within 1km</v>
      </c>
      <c r="C22" s="1061" t="s">
        <v>507</v>
      </c>
      <c r="D22" s="712"/>
      <c r="E22" s="713"/>
      <c r="F22" s="713"/>
      <c r="G22" s="1189" t="str">
        <f>IF((WetDens1k=""),"",WetDens1k)</f>
        <v/>
      </c>
      <c r="H22" s="1224" t="s">
        <v>1016</v>
      </c>
      <c r="I22" s="858" t="s">
        <v>1165</v>
      </c>
      <c r="J22" s="231"/>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7"/>
    </row>
    <row r="23" spans="1:96" s="155" customFormat="1" ht="114" customHeight="1" thickBot="1" x14ac:dyDescent="0.25">
      <c r="A23" s="709" t="str">
        <f>OF!A68</f>
        <v>OF67</v>
      </c>
      <c r="B23" s="1231" t="str">
        <f>OF!C68</f>
        <v>Perimeter-Area Ratio</v>
      </c>
      <c r="C23" s="1061" t="s">
        <v>507</v>
      </c>
      <c r="D23" s="712"/>
      <c r="E23" s="713"/>
      <c r="F23" s="713"/>
      <c r="G23" s="740" t="str">
        <f>IF((WetPerim2Area=""),"",WetPerim2Area)</f>
        <v/>
      </c>
      <c r="H23" s="1221" t="s">
        <v>1012</v>
      </c>
      <c r="I23" s="1034" t="s">
        <v>335</v>
      </c>
      <c r="J23" s="221"/>
    </row>
    <row r="24" spans="1:96" s="155" customFormat="1" ht="93" customHeight="1" thickBot="1" x14ac:dyDescent="0.25">
      <c r="A24" s="931" t="str">
        <f>OF!A69</f>
        <v>OF68</v>
      </c>
      <c r="B24" s="1230" t="str">
        <f>OF!C69</f>
        <v>Wetland Vegetated Area</v>
      </c>
      <c r="C24" s="1007" t="s">
        <v>507</v>
      </c>
      <c r="D24" s="716"/>
      <c r="E24" s="717"/>
      <c r="F24" s="717"/>
      <c r="G24" s="761" t="str">
        <f>IF((WetVegArea=""),"",WetVegArea)</f>
        <v/>
      </c>
      <c r="H24" s="1225" t="s">
        <v>1011</v>
      </c>
      <c r="I24" s="1084" t="s">
        <v>776</v>
      </c>
      <c r="J24" s="215"/>
    </row>
    <row r="25" spans="1:96" s="155" customFormat="1" ht="54" customHeight="1" thickBot="1" x14ac:dyDescent="0.25">
      <c r="A25" s="709" t="str">
        <f>OF!A70</f>
        <v>OF69</v>
      </c>
      <c r="B25" s="1231" t="str">
        <f>OF!C70</f>
        <v>% of Wetland Classified as Swamp or Forested (macro scale)</v>
      </c>
      <c r="C25" s="1061" t="s">
        <v>507</v>
      </c>
      <c r="D25" s="712"/>
      <c r="E25" s="713"/>
      <c r="F25" s="713"/>
      <c r="G25" s="740" t="str">
        <f>IF((WetWooded=""),"",WetWooded)</f>
        <v/>
      </c>
      <c r="H25" s="1223" t="s">
        <v>1211</v>
      </c>
      <c r="I25" s="1034" t="s">
        <v>1607</v>
      </c>
      <c r="J25" s="215"/>
    </row>
    <row r="26" spans="1:96" s="155" customFormat="1" ht="30" customHeight="1" thickBot="1" x14ac:dyDescent="0.25">
      <c r="A26" s="931" t="str">
        <f>OF!A72</f>
        <v>OF71</v>
      </c>
      <c r="B26" s="1230" t="str">
        <f>OF!C72</f>
        <v xml:space="preserve">Wind Energy - Winter </v>
      </c>
      <c r="C26" s="1007" t="s">
        <v>1396</v>
      </c>
      <c r="D26" s="716"/>
      <c r="E26" s="717"/>
      <c r="F26" s="717"/>
      <c r="G26" s="761" t="str">
        <f>IF((WindWin=""),"",1-WindWin)</f>
        <v/>
      </c>
      <c r="H26" s="1225" t="s">
        <v>1021</v>
      </c>
      <c r="I26" s="1084" t="s">
        <v>1608</v>
      </c>
      <c r="J26" s="221"/>
    </row>
    <row r="27" spans="1:96" s="155" customFormat="1" ht="45" customHeight="1" thickBot="1" x14ac:dyDescent="0.25">
      <c r="A27" s="709" t="str">
        <f>OF!A73</f>
        <v>OF72</v>
      </c>
      <c r="B27" s="1231" t="str">
        <f>OF!C73</f>
        <v>Surface Water Quality Risk Index</v>
      </c>
      <c r="C27" s="1061" t="s">
        <v>1396</v>
      </c>
      <c r="D27" s="712"/>
      <c r="E27" s="713"/>
      <c r="F27" s="713"/>
      <c r="G27" s="740" t="str">
        <f>IF((WQrisk=""),"",1-WQrisk)</f>
        <v/>
      </c>
      <c r="H27" s="1221" t="s">
        <v>1037</v>
      </c>
      <c r="I27" s="1033" t="s">
        <v>1609</v>
      </c>
      <c r="J27" s="221"/>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row>
    <row r="28" spans="1:96" s="181" customFormat="1" ht="42" customHeight="1" thickBot="1" x14ac:dyDescent="0.25">
      <c r="A28" s="1622" t="s">
        <v>110</v>
      </c>
      <c r="B28" s="1613" t="s">
        <v>1110</v>
      </c>
      <c r="C28" s="1623" t="s">
        <v>1109</v>
      </c>
      <c r="D28" s="1624" t="s">
        <v>45</v>
      </c>
      <c r="E28" s="1625" t="s">
        <v>2028</v>
      </c>
      <c r="F28" s="1626" t="s">
        <v>2027</v>
      </c>
      <c r="G28" s="1627" t="s">
        <v>1111</v>
      </c>
      <c r="H28" s="1628" t="s">
        <v>1108</v>
      </c>
      <c r="I28" s="1629" t="s">
        <v>1503</v>
      </c>
      <c r="J28" s="59"/>
      <c r="K28" s="2"/>
    </row>
    <row r="29" spans="1:96" s="26" customFormat="1" ht="21" customHeight="1" thickBot="1" x14ac:dyDescent="0.25">
      <c r="A29" s="2394" t="str">
        <f>F!A6</f>
        <v>F1</v>
      </c>
      <c r="B29" s="2248" t="str">
        <f>F!B6</f>
        <v>Wetland Type - Predominant</v>
      </c>
      <c r="C29" s="99" t="str">
        <f>F!C6</f>
        <v>Most of the vegetated part of the AA (wetland Assessment Area) is a (select ONE):</v>
      </c>
      <c r="D29" s="1248"/>
      <c r="E29" s="566"/>
      <c r="F29" s="566"/>
      <c r="G29" s="567" t="str">
        <f>IF((D31+NoOtherWettypes=2),0,"")</f>
        <v/>
      </c>
      <c r="H29" s="2258" t="s">
        <v>1166</v>
      </c>
      <c r="I29" s="2262" t="s">
        <v>2120</v>
      </c>
      <c r="J29" s="233"/>
    </row>
    <row r="30" spans="1:96" s="26" customFormat="1" ht="15" customHeight="1" x14ac:dyDescent="0.2">
      <c r="A30" s="2391"/>
      <c r="B30" s="2398"/>
      <c r="C30" s="731" t="str">
        <f>F!C7</f>
        <v>Wooded Swamp</v>
      </c>
      <c r="D30" s="50">
        <f>F!D7</f>
        <v>0</v>
      </c>
      <c r="E30" s="566"/>
      <c r="F30" s="566"/>
      <c r="G30" s="568"/>
      <c r="H30" s="2241"/>
      <c r="I30" s="2263"/>
      <c r="J30" s="233"/>
    </row>
    <row r="31" spans="1:96" s="26" customFormat="1" ht="15" customHeight="1" x14ac:dyDescent="0.2">
      <c r="A31" s="2391"/>
      <c r="B31" s="2398"/>
      <c r="C31" s="758" t="str">
        <f>F!C8</f>
        <v>Bog</v>
      </c>
      <c r="D31" s="50">
        <f>F!D8</f>
        <v>0</v>
      </c>
      <c r="E31" s="566"/>
      <c r="F31" s="566"/>
      <c r="G31" s="568"/>
      <c r="H31" s="2241"/>
      <c r="I31" s="2263"/>
      <c r="J31" s="233"/>
    </row>
    <row r="32" spans="1:96" s="26" customFormat="1" ht="15" customHeight="1" x14ac:dyDescent="0.2">
      <c r="A32" s="2391"/>
      <c r="B32" s="2398"/>
      <c r="C32" s="758" t="str">
        <f>F!C9</f>
        <v>Fen</v>
      </c>
      <c r="D32" s="50">
        <f>F!D9</f>
        <v>0</v>
      </c>
      <c r="E32" s="566"/>
      <c r="F32" s="566"/>
      <c r="G32" s="568"/>
      <c r="H32" s="2241"/>
      <c r="I32" s="2263"/>
      <c r="J32" s="233"/>
    </row>
    <row r="33" spans="1:10" s="26" customFormat="1" ht="15" customHeight="1" thickBot="1" x14ac:dyDescent="0.25">
      <c r="A33" s="2391"/>
      <c r="B33" s="2398"/>
      <c r="C33" s="753" t="str">
        <f>F!C10</f>
        <v>Marsh or Shallow Open Water</v>
      </c>
      <c r="D33" s="775">
        <f>F!D10</f>
        <v>0</v>
      </c>
      <c r="E33" s="1249"/>
      <c r="F33" s="1249"/>
      <c r="G33" s="1250"/>
      <c r="H33" s="2241"/>
      <c r="I33" s="2263"/>
      <c r="J33" s="233"/>
    </row>
    <row r="34" spans="1:10" s="26" customFormat="1" ht="51.75" customHeight="1" thickBot="1" x14ac:dyDescent="0.25">
      <c r="A34" s="2119" t="str">
        <f>F!A11</f>
        <v>F2</v>
      </c>
      <c r="B34" s="2237" t="str">
        <f>F!B11</f>
        <v>Wetland Types - Subordinate</v>
      </c>
      <c r="C34" s="99" t="str">
        <f>F!C11</f>
        <v>Mark all other vegetated wetland types in the AA that occupy more than 1 hectare or more than 1% of the vegetated AA.  Do not mark the predominant type again.  If AA is larger than 1 ha, see preliminary imagery-based answer provided by AESRD, but field-verify.</v>
      </c>
      <c r="D34" s="1251"/>
      <c r="E34" s="1251"/>
      <c r="F34" s="1252"/>
      <c r="G34" s="569">
        <f>IF((D39=1),"",(1+SUM(D35:D38))/4)</f>
        <v>0.25</v>
      </c>
      <c r="H34" s="2387" t="s">
        <v>1271</v>
      </c>
      <c r="I34" s="2262" t="s">
        <v>2121</v>
      </c>
      <c r="J34" s="233"/>
    </row>
    <row r="35" spans="1:10" s="26" customFormat="1" ht="15" customHeight="1" x14ac:dyDescent="0.2">
      <c r="A35" s="2120"/>
      <c r="B35" s="2238"/>
      <c r="C35" s="731" t="str">
        <f>F!C12</f>
        <v>Wooded Swamp</v>
      </c>
      <c r="D35" s="779">
        <f>F!D12</f>
        <v>0</v>
      </c>
      <c r="E35" s="570"/>
      <c r="F35" s="571"/>
      <c r="G35" s="1253"/>
      <c r="H35" s="2388"/>
      <c r="I35" s="2263"/>
      <c r="J35" s="233"/>
    </row>
    <row r="36" spans="1:10" s="26" customFormat="1" ht="15" customHeight="1" x14ac:dyDescent="0.2">
      <c r="A36" s="2120"/>
      <c r="B36" s="2238"/>
      <c r="C36" s="758" t="str">
        <f>F!C13</f>
        <v>Bog</v>
      </c>
      <c r="D36" s="779">
        <f>F!D13</f>
        <v>0</v>
      </c>
      <c r="E36" s="570"/>
      <c r="F36" s="571"/>
      <c r="G36" s="1253"/>
      <c r="H36" s="2388"/>
      <c r="I36" s="2263"/>
      <c r="J36" s="233"/>
    </row>
    <row r="37" spans="1:10" s="26" customFormat="1" ht="15" customHeight="1" x14ac:dyDescent="0.2">
      <c r="A37" s="2120"/>
      <c r="B37" s="2238"/>
      <c r="C37" s="758" t="str">
        <f>F!C14</f>
        <v>Fen</v>
      </c>
      <c r="D37" s="779">
        <f>F!D14</f>
        <v>0</v>
      </c>
      <c r="E37" s="570"/>
      <c r="F37" s="571"/>
      <c r="G37" s="1253"/>
      <c r="H37" s="2388"/>
      <c r="I37" s="2263"/>
      <c r="J37" s="233"/>
    </row>
    <row r="38" spans="1:10" s="26" customFormat="1" ht="15" customHeight="1" x14ac:dyDescent="0.2">
      <c r="A38" s="2120"/>
      <c r="B38" s="2238"/>
      <c r="C38" s="758" t="str">
        <f>F!C15</f>
        <v>Marsh or Shallow Open Water</v>
      </c>
      <c r="D38" s="779">
        <f>F!D15</f>
        <v>0</v>
      </c>
      <c r="E38" s="570"/>
      <c r="F38" s="571"/>
      <c r="G38" s="1253"/>
      <c r="H38" s="2388"/>
      <c r="I38" s="2263"/>
      <c r="J38" s="233"/>
    </row>
    <row r="39" spans="1:10" s="26" customFormat="1" ht="15" customHeight="1" thickBot="1" x14ac:dyDescent="0.25">
      <c r="A39" s="2121"/>
      <c r="B39" s="2239"/>
      <c r="C39" s="754" t="str">
        <f>F!C16</f>
        <v>no types other than the predominant one in F1 meet the area threshold.</v>
      </c>
      <c r="D39" s="105">
        <f>F!D16</f>
        <v>0</v>
      </c>
      <c r="E39" s="572"/>
      <c r="F39" s="573"/>
      <c r="G39" s="1254"/>
      <c r="H39" s="2389"/>
      <c r="I39" s="2264"/>
      <c r="J39" s="233"/>
    </row>
    <row r="40" spans="1:10" s="29" customFormat="1" ht="39.75" customHeight="1" thickBot="1" x14ac:dyDescent="0.25">
      <c r="A40" s="2390" t="str">
        <f>F!A17</f>
        <v>F3</v>
      </c>
      <c r="B40" s="2393" t="str">
        <f>F!B17</f>
        <v>% Saturated Only</v>
      </c>
      <c r="C40" s="1215" t="str">
        <f>F!C17</f>
        <v>The percentage of the AA that never contains surface water during an average year (that is, except perhaps for a few hours after snowmelt or rainstorms), but which is still a wetland, is:</v>
      </c>
      <c r="D40" s="574"/>
      <c r="E40" s="574"/>
      <c r="F40" s="575"/>
      <c r="G40" s="567">
        <f>MAX(F41:F46)/MAX(E41:E46)</f>
        <v>0</v>
      </c>
      <c r="H40" s="2289" t="s">
        <v>349</v>
      </c>
      <c r="I40" s="2263" t="s">
        <v>705</v>
      </c>
      <c r="J40" s="234"/>
    </row>
    <row r="41" spans="1:10" s="29" customFormat="1" ht="27" customHeight="1" x14ac:dyDescent="0.2">
      <c r="A41" s="2390"/>
      <c r="B41" s="2378"/>
      <c r="C41" s="1229" t="str">
        <f>F!C18</f>
        <v>less than 1%, or &lt;0.01 hectare (about 10 m on a side) never has surface water.  In other words, all or nearly all of the AA is inundated permanently or at least seasonally.</v>
      </c>
      <c r="D41" s="311">
        <f>F!D18</f>
        <v>0</v>
      </c>
      <c r="E41" s="370">
        <v>1</v>
      </c>
      <c r="F41" s="370">
        <f t="shared" ref="F41:F46" si="0">D41*E41</f>
        <v>0</v>
      </c>
      <c r="G41" s="576"/>
      <c r="H41" s="2289"/>
      <c r="I41" s="2263"/>
      <c r="J41" s="234"/>
    </row>
    <row r="42" spans="1:10" s="29" customFormat="1" ht="15" customHeight="1" x14ac:dyDescent="0.2">
      <c r="A42" s="2390"/>
      <c r="B42" s="2378"/>
      <c r="C42" s="1235" t="str">
        <f>F!C19</f>
        <v>1-25% of the AA never contains surface water.</v>
      </c>
      <c r="D42" s="311">
        <f>F!D19</f>
        <v>0</v>
      </c>
      <c r="E42" s="370">
        <v>2</v>
      </c>
      <c r="F42" s="370">
        <f t="shared" si="0"/>
        <v>0</v>
      </c>
      <c r="G42" s="576"/>
      <c r="H42" s="2289"/>
      <c r="I42" s="2263"/>
      <c r="J42" s="234"/>
    </row>
    <row r="43" spans="1:10" s="29" customFormat="1" ht="15" customHeight="1" x14ac:dyDescent="0.2">
      <c r="A43" s="2390"/>
      <c r="B43" s="2378"/>
      <c r="C43" s="1235" t="str">
        <f>F!C20</f>
        <v>25-50% of the AA never contains surface water.</v>
      </c>
      <c r="D43" s="311">
        <f>F!D20</f>
        <v>0</v>
      </c>
      <c r="E43" s="370">
        <v>3</v>
      </c>
      <c r="F43" s="370">
        <f t="shared" si="0"/>
        <v>0</v>
      </c>
      <c r="G43" s="576"/>
      <c r="H43" s="2289"/>
      <c r="I43" s="2263"/>
      <c r="J43" s="234"/>
    </row>
    <row r="44" spans="1:10" s="29" customFormat="1" ht="15" customHeight="1" x14ac:dyDescent="0.2">
      <c r="A44" s="2390"/>
      <c r="B44" s="2378"/>
      <c r="C44" s="1235" t="str">
        <f>F!C21</f>
        <v>50-99% of the AA never contains surface water.</v>
      </c>
      <c r="D44" s="311">
        <f>F!D21</f>
        <v>0</v>
      </c>
      <c r="E44" s="370">
        <v>4</v>
      </c>
      <c r="F44" s="370">
        <f t="shared" si="0"/>
        <v>0</v>
      </c>
      <c r="G44" s="576"/>
      <c r="H44" s="2289"/>
      <c r="I44" s="2263"/>
      <c r="J44" s="234"/>
    </row>
    <row r="45" spans="1:10" s="29" customFormat="1" ht="39.75" customHeight="1" x14ac:dyDescent="0.2">
      <c r="A45" s="2390"/>
      <c r="B45" s="2378"/>
      <c r="C45" s="1235" t="str">
        <f>F!C22</f>
        <v>&gt;99% of the AA never contains surface water, except for water flowing in channels and/or in pools that occupy &lt;1% of the AA. SKIP to F26 (Channel Connection &amp; Outflow Duration)</v>
      </c>
      <c r="D45" s="311">
        <f>F!D22</f>
        <v>0</v>
      </c>
      <c r="E45" s="370">
        <v>6</v>
      </c>
      <c r="F45" s="370">
        <f t="shared" si="0"/>
        <v>0</v>
      </c>
      <c r="G45" s="576"/>
      <c r="H45" s="2289"/>
      <c r="I45" s="2263"/>
      <c r="J45" s="234"/>
    </row>
    <row r="46" spans="1:10" s="29" customFormat="1" ht="27" customHeight="1" thickBot="1" x14ac:dyDescent="0.25">
      <c r="A46" s="2390"/>
      <c r="B46" s="2378"/>
      <c r="C46" s="1235" t="str">
        <f>F!C23</f>
        <v>&gt;99% of the AA never contains surface water, and AA is not intersected by channels that have flow, not even for a few days per year. SKIP to F26.</v>
      </c>
      <c r="D46" s="1190">
        <f>F!D23</f>
        <v>0</v>
      </c>
      <c r="E46" s="622">
        <v>5</v>
      </c>
      <c r="F46" s="622">
        <f t="shared" si="0"/>
        <v>0</v>
      </c>
      <c r="G46" s="623"/>
      <c r="H46" s="2289"/>
      <c r="I46" s="2263"/>
      <c r="J46" s="234"/>
    </row>
    <row r="47" spans="1:10" ht="30" customHeight="1" thickBot="1" x14ac:dyDescent="0.25">
      <c r="A47" s="2382" t="str">
        <f>F!A24</f>
        <v>F4</v>
      </c>
      <c r="B47" s="2397" t="str">
        <f>F!B24</f>
        <v>% with Persistent Surface Water</v>
      </c>
      <c r="C47" s="1213" t="str">
        <f>F!C24</f>
        <v>The percentage of the AA that has surface water (either ponded or flowing, either open or obscured by vegetation) during all of the growing season during most years is:</v>
      </c>
      <c r="D47" s="1191"/>
      <c r="E47" s="1192"/>
      <c r="F47" s="578"/>
      <c r="G47" s="342">
        <f>IF((AllSat+AllSat&gt;0),"", MAX(F48:F53)/MAX(E48:E53))</f>
        <v>0</v>
      </c>
      <c r="H47" s="2258" t="s">
        <v>179</v>
      </c>
      <c r="I47" s="2262" t="s">
        <v>2122</v>
      </c>
    </row>
    <row r="48" spans="1:10" ht="27.75" customHeight="1" x14ac:dyDescent="0.2">
      <c r="A48" s="2381"/>
      <c r="B48" s="2378"/>
      <c r="C48" s="1236" t="str">
        <f>F!C25</f>
        <v>less than 1%, or &lt;0.01 hectare (whichever is less).  SKIP to F8 (% Flooded Only Seasonally).</v>
      </c>
      <c r="D48" s="312">
        <f>F!D25</f>
        <v>0</v>
      </c>
      <c r="E48" s="1193">
        <v>5</v>
      </c>
      <c r="F48" s="1193">
        <f t="shared" ref="F48:F53" si="1">D48*E48</f>
        <v>0</v>
      </c>
      <c r="G48" s="579"/>
      <c r="H48" s="2241"/>
      <c r="I48" s="2263"/>
    </row>
    <row r="49" spans="1:9" ht="15" customHeight="1" x14ac:dyDescent="0.2">
      <c r="A49" s="2381"/>
      <c r="B49" s="2378"/>
      <c r="C49" s="1216" t="str">
        <f>F!C26</f>
        <v>1-25% of the AA, and mostly in narrow channels and/or small scattered pools.</v>
      </c>
      <c r="D49" s="1194">
        <f>F!D26</f>
        <v>0</v>
      </c>
      <c r="E49" s="1193">
        <v>4</v>
      </c>
      <c r="F49" s="1193">
        <f t="shared" si="1"/>
        <v>0</v>
      </c>
      <c r="G49" s="580"/>
      <c r="H49" s="2241"/>
      <c r="I49" s="2263"/>
    </row>
    <row r="50" spans="1:9" ht="15" customHeight="1" x14ac:dyDescent="0.2">
      <c r="A50" s="2381"/>
      <c r="B50" s="2378"/>
      <c r="C50" s="1216" t="str">
        <f>F!C27</f>
        <v>1-25% of the AA, and mostly in a single large pool, pond, and/or channel.</v>
      </c>
      <c r="D50" s="1194">
        <f>F!D27</f>
        <v>0</v>
      </c>
      <c r="E50" s="1193">
        <v>4</v>
      </c>
      <c r="F50" s="1193">
        <f t="shared" si="1"/>
        <v>0</v>
      </c>
      <c r="G50" s="580"/>
      <c r="H50" s="2241"/>
      <c r="I50" s="2263"/>
    </row>
    <row r="51" spans="1:9" ht="15" customHeight="1" x14ac:dyDescent="0.2">
      <c r="A51" s="2381"/>
      <c r="B51" s="2378"/>
      <c r="C51" s="1216" t="str">
        <f>F!C28</f>
        <v>25-50% of the AA</v>
      </c>
      <c r="D51" s="1194">
        <f>F!D28</f>
        <v>0</v>
      </c>
      <c r="E51" s="1193">
        <v>3</v>
      </c>
      <c r="F51" s="1193">
        <f t="shared" si="1"/>
        <v>0</v>
      </c>
      <c r="G51" s="580"/>
      <c r="H51" s="2241"/>
      <c r="I51" s="2263"/>
    </row>
    <row r="52" spans="1:9" ht="15" customHeight="1" x14ac:dyDescent="0.2">
      <c r="A52" s="2381"/>
      <c r="B52" s="2378"/>
      <c r="C52" s="1216" t="str">
        <f>F!C29</f>
        <v>50-95% of the AA</v>
      </c>
      <c r="D52" s="1194">
        <f>F!D29</f>
        <v>0</v>
      </c>
      <c r="E52" s="1193">
        <v>2</v>
      </c>
      <c r="F52" s="1193">
        <f t="shared" si="1"/>
        <v>0</v>
      </c>
      <c r="G52" s="580"/>
      <c r="H52" s="2241"/>
      <c r="I52" s="2263"/>
    </row>
    <row r="53" spans="1:9" ht="15" customHeight="1" thickBot="1" x14ac:dyDescent="0.25">
      <c r="A53" s="2383"/>
      <c r="B53" s="2379"/>
      <c r="C53" s="1212" t="str">
        <f>F!C30</f>
        <v>&gt;95% of the AA</v>
      </c>
      <c r="D53" s="143">
        <f>F!D30</f>
        <v>0</v>
      </c>
      <c r="E53" s="581">
        <v>0</v>
      </c>
      <c r="F53" s="373">
        <f t="shared" si="1"/>
        <v>0</v>
      </c>
      <c r="G53" s="582"/>
      <c r="H53" s="2242"/>
      <c r="I53" s="2264"/>
    </row>
    <row r="54" spans="1:9" ht="39.75" customHeight="1" thickBot="1" x14ac:dyDescent="0.25">
      <c r="A54" s="2382" t="str">
        <f>F!A71</f>
        <v>F14</v>
      </c>
      <c r="B54" s="2397" t="str">
        <f>F!B71</f>
        <v xml:space="preserve">% of Ponded Water That Is Open </v>
      </c>
      <c r="C54" s="1660" t="str">
        <f>F!C71</f>
        <v>In ducks-eye aerial view, the percentage of the ponded water that is open (lacking emergent vegetation during most of the growing season, and unhidden by a forest or shrub canopy) is:</v>
      </c>
      <c r="D54" s="1658"/>
      <c r="E54" s="1192"/>
      <c r="F54" s="1192"/>
      <c r="G54" s="342">
        <f>IF((AllSat+AllSat&gt;0),"", IF((SmallAA=1),"", MAX(F55:F60)/MAX(E55:E60)))</f>
        <v>0</v>
      </c>
      <c r="H54" s="2258" t="s">
        <v>1167</v>
      </c>
      <c r="I54" s="2262" t="s">
        <v>2123</v>
      </c>
    </row>
    <row r="55" spans="1:9" ht="27" customHeight="1" x14ac:dyDescent="0.2">
      <c r="A55" s="2381"/>
      <c r="B55" s="2398"/>
      <c r="C55" s="1659" t="str">
        <f>F!C72</f>
        <v>&lt;1% or none, or largest pool occupies &lt;0.01 hectares.  Enter "1" and SKIP to F20 (Floating Algae &amp; Duckweed).</v>
      </c>
      <c r="D55" s="1196">
        <f>F!D72</f>
        <v>0</v>
      </c>
      <c r="E55" s="1193">
        <v>4</v>
      </c>
      <c r="F55" s="1193">
        <f t="shared" ref="F55:F60" si="2">D55*E55</f>
        <v>0</v>
      </c>
      <c r="G55" s="580"/>
      <c r="H55" s="2241"/>
      <c r="I55" s="2263"/>
    </row>
    <row r="56" spans="1:9" ht="15" customHeight="1" x14ac:dyDescent="0.2">
      <c r="A56" s="2381"/>
      <c r="B56" s="2398"/>
      <c r="C56" s="1211" t="str">
        <f>F!C73</f>
        <v>1-5% of the ponded water.  Enter "1" and SKIP to F20.</v>
      </c>
      <c r="D56" s="1196">
        <f>F!D73</f>
        <v>0</v>
      </c>
      <c r="E56" s="1193">
        <v>5</v>
      </c>
      <c r="F56" s="1193">
        <f t="shared" si="2"/>
        <v>0</v>
      </c>
      <c r="G56" s="580"/>
      <c r="H56" s="2241"/>
      <c r="I56" s="2263"/>
    </row>
    <row r="57" spans="1:9" ht="15" customHeight="1" x14ac:dyDescent="0.2">
      <c r="A57" s="2381"/>
      <c r="B57" s="2398"/>
      <c r="C57" s="1211" t="str">
        <f>F!C74</f>
        <v>5-30% of the ponded water.</v>
      </c>
      <c r="D57" s="1196">
        <f>F!D74</f>
        <v>0</v>
      </c>
      <c r="E57" s="1193">
        <v>3</v>
      </c>
      <c r="F57" s="1193">
        <f t="shared" si="2"/>
        <v>0</v>
      </c>
      <c r="G57" s="580"/>
      <c r="H57" s="2241"/>
      <c r="I57" s="2263"/>
    </row>
    <row r="58" spans="1:9" ht="15" customHeight="1" x14ac:dyDescent="0.2">
      <c r="A58" s="2381"/>
      <c r="B58" s="2398"/>
      <c r="C58" s="1211" t="str">
        <f>F!C75</f>
        <v>30-70% of the ponded water.</v>
      </c>
      <c r="D58" s="1196">
        <f>F!D75</f>
        <v>0</v>
      </c>
      <c r="E58" s="1193">
        <v>2</v>
      </c>
      <c r="F58" s="1193">
        <f t="shared" si="2"/>
        <v>0</v>
      </c>
      <c r="G58" s="580"/>
      <c r="H58" s="2241"/>
      <c r="I58" s="2263"/>
    </row>
    <row r="59" spans="1:9" ht="15" customHeight="1" x14ac:dyDescent="0.2">
      <c r="A59" s="2381"/>
      <c r="B59" s="2398"/>
      <c r="C59" s="1211" t="str">
        <f>F!C76</f>
        <v>70-99% of the ponded water.</v>
      </c>
      <c r="D59" s="1196">
        <f>F!D76</f>
        <v>0</v>
      </c>
      <c r="E59" s="1193">
        <v>1</v>
      </c>
      <c r="F59" s="1193">
        <f t="shared" si="2"/>
        <v>0</v>
      </c>
      <c r="G59" s="580"/>
      <c r="H59" s="2241"/>
      <c r="I59" s="2263"/>
    </row>
    <row r="60" spans="1:9" ht="15" customHeight="1" thickBot="1" x14ac:dyDescent="0.25">
      <c r="A60" s="2383"/>
      <c r="B60" s="2399"/>
      <c r="C60" s="1212" t="str">
        <f>F!C77</f>
        <v xml:space="preserve">100% of the ponded water. </v>
      </c>
      <c r="D60" s="143">
        <f>F!D77</f>
        <v>0</v>
      </c>
      <c r="E60" s="373">
        <v>0</v>
      </c>
      <c r="F60" s="373">
        <f t="shared" si="2"/>
        <v>0</v>
      </c>
      <c r="G60" s="582"/>
      <c r="H60" s="2242"/>
      <c r="I60" s="2264"/>
    </row>
    <row r="61" spans="1:9" ht="30" customHeight="1" thickBot="1" x14ac:dyDescent="0.25">
      <c r="A61" s="2395" t="str">
        <f>F!A84</f>
        <v>F16</v>
      </c>
      <c r="B61" s="2377" t="str">
        <f>F!B84</f>
        <v>Predominant Width of Vegetated Zone within Wetland</v>
      </c>
      <c r="C61" s="1239" t="str">
        <f>F!C84</f>
        <v>At the driest time of year (or lowest water level), the average width of vegetated area in the AA that separates adjoining uplands from open water within the AA is:</v>
      </c>
      <c r="D61" s="1191"/>
      <c r="E61" s="1191"/>
      <c r="F61" s="578"/>
      <c r="G61" s="342" t="str">
        <f>IF((AllSat+AllSat&gt;0),"", IF((OpenW=0),"", IF((SmallAA=1),"", MAX(F62:F66)/MAX(E62:E66))))</f>
        <v/>
      </c>
      <c r="H61" s="2258" t="s">
        <v>189</v>
      </c>
      <c r="I61" s="2262" t="s">
        <v>2124</v>
      </c>
    </row>
    <row r="62" spans="1:9" ht="18" customHeight="1" x14ac:dyDescent="0.2">
      <c r="A62" s="2381"/>
      <c r="B62" s="2378"/>
      <c r="C62" s="1209" t="str">
        <f>F!C85</f>
        <v>&lt;1 m</v>
      </c>
      <c r="D62" s="621">
        <f>F!D85</f>
        <v>0</v>
      </c>
      <c r="E62" s="1255">
        <v>0</v>
      </c>
      <c r="F62" s="1193">
        <f>D62*E62</f>
        <v>0</v>
      </c>
      <c r="G62" s="584"/>
      <c r="H62" s="2241"/>
      <c r="I62" s="2263"/>
    </row>
    <row r="63" spans="1:9" ht="18" customHeight="1" x14ac:dyDescent="0.2">
      <c r="A63" s="2381"/>
      <c r="B63" s="2378"/>
      <c r="C63" s="1210" t="str">
        <f>F!C86</f>
        <v>1 - 9 m</v>
      </c>
      <c r="D63" s="621">
        <f>F!D86</f>
        <v>0</v>
      </c>
      <c r="E63" s="1255">
        <v>1</v>
      </c>
      <c r="F63" s="1193">
        <f>D63*E63</f>
        <v>0</v>
      </c>
      <c r="G63" s="580"/>
      <c r="H63" s="2241"/>
      <c r="I63" s="2263"/>
    </row>
    <row r="64" spans="1:9" ht="18" customHeight="1" x14ac:dyDescent="0.2">
      <c r="A64" s="2381"/>
      <c r="B64" s="2378"/>
      <c r="C64" s="1210" t="str">
        <f>F!C87</f>
        <v>10 - 29 m</v>
      </c>
      <c r="D64" s="621">
        <f>F!D87</f>
        <v>0</v>
      </c>
      <c r="E64" s="1255">
        <v>3</v>
      </c>
      <c r="F64" s="1193">
        <f>D64*E64</f>
        <v>0</v>
      </c>
      <c r="G64" s="580"/>
      <c r="H64" s="2241"/>
      <c r="I64" s="2263"/>
    </row>
    <row r="65" spans="1:9" ht="18" customHeight="1" x14ac:dyDescent="0.2">
      <c r="A65" s="2381"/>
      <c r="B65" s="2378"/>
      <c r="C65" s="1210" t="str">
        <f>F!C88</f>
        <v>30 - 49 m</v>
      </c>
      <c r="D65" s="621">
        <f>F!D88</f>
        <v>0</v>
      </c>
      <c r="E65" s="1255">
        <v>5</v>
      </c>
      <c r="F65" s="1193">
        <f>D65*E65</f>
        <v>0</v>
      </c>
      <c r="G65" s="580"/>
      <c r="H65" s="2241"/>
      <c r="I65" s="2263"/>
    </row>
    <row r="66" spans="1:9" ht="18" customHeight="1" thickBot="1" x14ac:dyDescent="0.25">
      <c r="A66" s="2383"/>
      <c r="B66" s="2379"/>
      <c r="C66" s="1240" t="str">
        <f>F!C90</f>
        <v>&gt; 100 m</v>
      </c>
      <c r="D66" s="317">
        <f>F!D90</f>
        <v>0</v>
      </c>
      <c r="E66" s="581">
        <v>6</v>
      </c>
      <c r="F66" s="373">
        <f>D66*E66</f>
        <v>0</v>
      </c>
      <c r="G66" s="582"/>
      <c r="H66" s="2242"/>
      <c r="I66" s="2264"/>
    </row>
    <row r="67" spans="1:9" ht="30" customHeight="1" thickBot="1" x14ac:dyDescent="0.25">
      <c r="A67" s="2392" t="str">
        <f>F!A95</f>
        <v>F18</v>
      </c>
      <c r="B67" s="2396" t="str">
        <f>F!B95</f>
        <v>Interspersion of Robust Emergents &amp; Open Water</v>
      </c>
      <c r="C67" s="1208" t="str">
        <f>F!C95</f>
        <v>During most of the growing season, the spatial pattern of tall robust herbaceous vegetation (e.g., cattail, bulrush) that has surface water beneath it is mostly:</v>
      </c>
      <c r="D67" s="574"/>
      <c r="E67" s="574"/>
      <c r="F67" s="585"/>
      <c r="G67" s="567">
        <f>IF((AllSat+AllSat&gt;0),"",IF((NoPonded=1),"",IF((NoOpenPonded+NoOpenPonded1&gt;0),"",IF((AllOpenPond=1),"", IF((SmallAA=1),"", MAX(F68:F70)/MAX(E68:E70))))))</f>
        <v>0</v>
      </c>
      <c r="H67" s="2241" t="s">
        <v>188</v>
      </c>
      <c r="I67" s="2263" t="s">
        <v>2125</v>
      </c>
    </row>
    <row r="68" spans="1:9" ht="15" customHeight="1" x14ac:dyDescent="0.2">
      <c r="A68" s="2391"/>
      <c r="B68" s="2378"/>
      <c r="C68" s="1237" t="str">
        <f>F!C96</f>
        <v>Scattered in small clumps, islands, or patches throughout the surface water area.</v>
      </c>
      <c r="D68" s="314">
        <f>F!D96</f>
        <v>0</v>
      </c>
      <c r="E68" s="583">
        <v>3</v>
      </c>
      <c r="F68" s="370">
        <f>D68*E68</f>
        <v>0</v>
      </c>
      <c r="G68" s="586"/>
      <c r="H68" s="2241"/>
      <c r="I68" s="2263"/>
    </row>
    <row r="69" spans="1:9" ht="15" customHeight="1" x14ac:dyDescent="0.2">
      <c r="A69" s="2391"/>
      <c r="B69" s="2378"/>
      <c r="C69" s="1238" t="str">
        <f>F!C97</f>
        <v>Intermediate</v>
      </c>
      <c r="D69" s="316">
        <f>F!D97</f>
        <v>0</v>
      </c>
      <c r="E69" s="583">
        <v>2</v>
      </c>
      <c r="F69" s="370">
        <f>D69*E69</f>
        <v>0</v>
      </c>
      <c r="G69" s="586"/>
      <c r="H69" s="2241"/>
      <c r="I69" s="2263"/>
    </row>
    <row r="70" spans="1:9" ht="27" customHeight="1" thickBot="1" x14ac:dyDescent="0.25">
      <c r="A70" s="2391"/>
      <c r="B70" s="2378"/>
      <c r="C70" s="1210" t="str">
        <f>F!C98</f>
        <v>Clumped at one or a few sides of the surface water area, or mostly surrounds a central area of open water.  Or such vegetation is absent or covers &lt;9 sq m and &lt;1% of the AA.</v>
      </c>
      <c r="D70" s="621">
        <f>F!D98</f>
        <v>0</v>
      </c>
      <c r="E70" s="1195">
        <v>1</v>
      </c>
      <c r="F70" s="622">
        <f>D70*E70</f>
        <v>0</v>
      </c>
      <c r="G70" s="1197"/>
      <c r="H70" s="2242"/>
      <c r="I70" s="2263"/>
    </row>
    <row r="71" spans="1:9" ht="21" customHeight="1" thickBot="1" x14ac:dyDescent="0.25">
      <c r="A71" s="2382" t="str">
        <f>F!A103</f>
        <v>F23</v>
      </c>
      <c r="B71" s="2397" t="str">
        <f>F!B103</f>
        <v>Beaver Probability</v>
      </c>
      <c r="C71" s="1239" t="str">
        <f>F!C103</f>
        <v>Use of the AA by beaver during the past 5 years is (select most applicable ONE):</v>
      </c>
      <c r="D71" s="1191"/>
      <c r="E71" s="1192"/>
      <c r="F71" s="578"/>
      <c r="G71" s="342">
        <f>IF((AllSat+AllSat&gt;0),"", MAX(F72:F75)/MAX(E72:E75))</f>
        <v>0</v>
      </c>
      <c r="H71" s="2258" t="s">
        <v>1325</v>
      </c>
      <c r="I71" s="2262" t="s">
        <v>2126</v>
      </c>
    </row>
    <row r="72" spans="1:9" ht="27" customHeight="1" x14ac:dyDescent="0.2">
      <c r="A72" s="2381"/>
      <c r="B72" s="2378"/>
      <c r="C72" s="1209" t="str">
        <f>F!C104</f>
        <v>evident from direct observation or presence of gnawed limbs, dams, tracks, dens, lodges, or extensive stands of water-killed trees (snags).</v>
      </c>
      <c r="D72" s="315">
        <f>F!D104</f>
        <v>0</v>
      </c>
      <c r="E72" s="575">
        <v>5</v>
      </c>
      <c r="F72" s="1193">
        <f>D72*E72</f>
        <v>0</v>
      </c>
      <c r="G72" s="579"/>
      <c r="H72" s="2241"/>
      <c r="I72" s="2263"/>
    </row>
    <row r="73" spans="1:9" ht="54" customHeight="1" x14ac:dyDescent="0.2">
      <c r="A73" s="2381"/>
      <c r="B73" s="2378"/>
      <c r="C73" s="1210" t="str">
        <f>F!C105</f>
        <v>likely based on known occurrence in the region and proximity to suitable habitat, which may include: (a) a persistent freshwater wetland, pond, or lake, or a perennial low or mid-gradient (&lt;10%) channel, and (b) a corridor or multiple stands of hardwood trees and shrubs in vegetated areas near surface water.</v>
      </c>
      <c r="D73" s="621">
        <f>F!D105</f>
        <v>0</v>
      </c>
      <c r="E73" s="575">
        <v>2</v>
      </c>
      <c r="F73" s="1193">
        <f>D73*E73</f>
        <v>0</v>
      </c>
      <c r="G73" s="580"/>
      <c r="H73" s="2241"/>
      <c r="I73" s="2263"/>
    </row>
    <row r="74" spans="1:9" ht="37.5" customHeight="1" x14ac:dyDescent="0.2">
      <c r="A74" s="2381"/>
      <c r="B74" s="2378"/>
      <c r="C74" s="1210" t="str">
        <f>F!C106</f>
        <v>unlikely because site characteristics above are deficient, and/or this is a settled area or other area where beaver are routinely removed.  But beaver occur in this part of the region (i.e., within 25 km).</v>
      </c>
      <c r="D74" s="621">
        <f>F!D106</f>
        <v>0</v>
      </c>
      <c r="E74" s="575">
        <v>1</v>
      </c>
      <c r="F74" s="1193">
        <f>D74*E74</f>
        <v>0</v>
      </c>
      <c r="G74" s="580"/>
      <c r="H74" s="2241"/>
      <c r="I74" s="2263"/>
    </row>
    <row r="75" spans="1:9" ht="15" customHeight="1" thickBot="1" x14ac:dyDescent="0.25">
      <c r="A75" s="2383"/>
      <c r="B75" s="2379"/>
      <c r="C75" s="1240" t="str">
        <f>F!C107</f>
        <v>none.  Beaver are absent from this part of the region.</v>
      </c>
      <c r="D75" s="317">
        <f>F!D107</f>
        <v>0</v>
      </c>
      <c r="E75" s="1198">
        <v>0</v>
      </c>
      <c r="F75" s="373">
        <f>D75*E75</f>
        <v>0</v>
      </c>
      <c r="G75" s="582"/>
      <c r="H75" s="2242"/>
      <c r="I75" s="2264"/>
    </row>
    <row r="76" spans="1:9" ht="30" customHeight="1" thickBot="1" x14ac:dyDescent="0.25">
      <c r="A76" s="2386" t="str">
        <f>F!A134</f>
        <v>F30</v>
      </c>
      <c r="B76" s="2300" t="str">
        <f>F!B134</f>
        <v>Total Woody Cover -% of the Vegetated AA</v>
      </c>
      <c r="C76" s="133" t="str">
        <f>F!C134</f>
        <v>Within the entire vegetated part of the AA, the percentage occupied by trees or shrubs taller than 1 m is:</v>
      </c>
      <c r="D76" s="574"/>
      <c r="E76" s="575"/>
      <c r="F76" s="575"/>
      <c r="G76" s="569">
        <f>MAX(F77:F81)/MAX(E77:E81)</f>
        <v>0</v>
      </c>
      <c r="H76" s="2387" t="s">
        <v>180</v>
      </c>
      <c r="I76" s="2263" t="s">
        <v>1899</v>
      </c>
    </row>
    <row r="77" spans="1:9" ht="30.75" customHeight="1" x14ac:dyDescent="0.2">
      <c r="A77" s="2386"/>
      <c r="B77" s="2300"/>
      <c r="C77" s="1237" t="str">
        <f>F!C135</f>
        <v>&lt;5% of the vegetated AA, or there is no woody vegetation in the AA.  SKIP to F38 (N Fixers)</v>
      </c>
      <c r="D77" s="624">
        <f>F!D135</f>
        <v>0</v>
      </c>
      <c r="E77" s="625">
        <v>0</v>
      </c>
      <c r="F77" s="370">
        <f t="shared" ref="F77:F81" si="3">D77*E77</f>
        <v>0</v>
      </c>
      <c r="G77" s="626"/>
      <c r="H77" s="2388"/>
      <c r="I77" s="2263"/>
    </row>
    <row r="78" spans="1:9" ht="15" customHeight="1" x14ac:dyDescent="0.2">
      <c r="A78" s="2386"/>
      <c r="B78" s="2300"/>
      <c r="C78" s="1238" t="str">
        <f>F!C136</f>
        <v xml:space="preserve">5-25%.  </v>
      </c>
      <c r="D78" s="624">
        <f>F!D136</f>
        <v>0</v>
      </c>
      <c r="E78" s="625">
        <v>1</v>
      </c>
      <c r="F78" s="370">
        <f t="shared" si="3"/>
        <v>0</v>
      </c>
      <c r="G78" s="626"/>
      <c r="H78" s="2388"/>
      <c r="I78" s="2263"/>
    </row>
    <row r="79" spans="1:9" ht="15" customHeight="1" x14ac:dyDescent="0.2">
      <c r="A79" s="2386"/>
      <c r="B79" s="2300"/>
      <c r="C79" s="1238" t="str">
        <f>F!C137</f>
        <v>25-50%</v>
      </c>
      <c r="D79" s="624">
        <f>F!D137</f>
        <v>0</v>
      </c>
      <c r="E79" s="625">
        <v>2</v>
      </c>
      <c r="F79" s="370">
        <f t="shared" si="3"/>
        <v>0</v>
      </c>
      <c r="G79" s="626"/>
      <c r="H79" s="2388"/>
      <c r="I79" s="2263"/>
    </row>
    <row r="80" spans="1:9" ht="15" customHeight="1" x14ac:dyDescent="0.2">
      <c r="A80" s="2386"/>
      <c r="B80" s="2300"/>
      <c r="C80" s="1238" t="str">
        <f>F!C138</f>
        <v>50-75%</v>
      </c>
      <c r="D80" s="624">
        <f>F!D138</f>
        <v>0</v>
      </c>
      <c r="E80" s="625">
        <v>2</v>
      </c>
      <c r="F80" s="370">
        <f t="shared" si="3"/>
        <v>0</v>
      </c>
      <c r="G80" s="626"/>
      <c r="H80" s="2388"/>
      <c r="I80" s="2263"/>
    </row>
    <row r="81" spans="1:9" ht="15" customHeight="1" thickBot="1" x14ac:dyDescent="0.25">
      <c r="A81" s="2386"/>
      <c r="B81" s="2300"/>
      <c r="C81" s="1210" t="str">
        <f>F!C139</f>
        <v>&gt;75%</v>
      </c>
      <c r="D81" s="621">
        <f>F!D139</f>
        <v>0</v>
      </c>
      <c r="E81" s="622">
        <v>1</v>
      </c>
      <c r="F81" s="622">
        <f t="shared" si="3"/>
        <v>0</v>
      </c>
      <c r="G81" s="1199"/>
      <c r="H81" s="2389"/>
      <c r="I81" s="2263"/>
    </row>
    <row r="82" spans="1:9" ht="30" customHeight="1" thickBot="1" x14ac:dyDescent="0.25">
      <c r="A82" s="2382" t="str">
        <f>F!A140</f>
        <v>F31</v>
      </c>
      <c r="B82" s="2397" t="str">
        <f>F!B140</f>
        <v>Interspersion of Herbaceous and Woody Cover</v>
      </c>
      <c r="C82" s="1239" t="str">
        <f>F!C140</f>
        <v>The following best represents the distribution pattern of woody vegetation VS. unshaded herbaceous/ moss vegetation within the AA:</v>
      </c>
      <c r="D82" s="1191"/>
      <c r="E82" s="1192"/>
      <c r="F82" s="578"/>
      <c r="G82" s="342">
        <f>MAX(F83:F86)/MAX(E83:E86)</f>
        <v>0</v>
      </c>
      <c r="H82" s="2258" t="s">
        <v>1259</v>
      </c>
      <c r="I82" s="2262" t="s">
        <v>925</v>
      </c>
    </row>
    <row r="83" spans="1:9" ht="57" customHeight="1" x14ac:dyDescent="0.2">
      <c r="A83" s="2381"/>
      <c r="B83" s="2378"/>
      <c r="C83" s="1209" t="str">
        <f>F!C141</f>
        <v>(a) Woody cover and herbaceous/ moss cover EACH comprise 30-70% of the vegetated part of the AA, AND (b) There are many patches of woody vegetation scattered widely within herbaceous/ moss vegetation, or many patches of herbaceous vegetation scattered widely within woody vegetation.</v>
      </c>
      <c r="D83" s="315">
        <f>F!D141</f>
        <v>0</v>
      </c>
      <c r="E83" s="575">
        <v>3</v>
      </c>
      <c r="F83" s="1193">
        <f>D83*E83</f>
        <v>0</v>
      </c>
      <c r="G83" s="579"/>
      <c r="H83" s="2241"/>
      <c r="I83" s="2263"/>
    </row>
    <row r="84" spans="1:9" ht="57" customHeight="1" x14ac:dyDescent="0.2">
      <c r="A84" s="2381"/>
      <c r="B84" s="2378"/>
      <c r="C84" s="1210" t="str">
        <f>F!C142</f>
        <v>(a) Woody cover and herbaceous/ moss EACH comprise 30-70% of the vegetated AA, AND (b) There are few patches ("islands") of woody vegetation scattered widely within herbaceous vegetation, or few patches of herbaceous/ moss vegetation ("gaps") scattered widely within woody vegetation.</v>
      </c>
      <c r="D84" s="621">
        <f>F!D142</f>
        <v>0</v>
      </c>
      <c r="E84" s="1193">
        <v>2</v>
      </c>
      <c r="F84" s="1193">
        <f>D84*E84</f>
        <v>0</v>
      </c>
      <c r="G84" s="579"/>
      <c r="H84" s="2241"/>
      <c r="I84" s="2263"/>
    </row>
    <row r="85" spans="1:9" ht="27" customHeight="1" x14ac:dyDescent="0.2">
      <c r="A85" s="2381"/>
      <c r="B85" s="2378"/>
      <c r="C85" s="1210" t="str">
        <f>F!C143</f>
        <v xml:space="preserve">(a) Woody cover OR herbaceous/ moss comprise &gt;70% of the vegetated AA, AND (b) There are several patches of the other scattered within it. </v>
      </c>
      <c r="D85" s="621">
        <f>F!D143</f>
        <v>0</v>
      </c>
      <c r="E85" s="1193">
        <v>1</v>
      </c>
      <c r="F85" s="1193">
        <f>D85*E85</f>
        <v>0</v>
      </c>
      <c r="G85" s="580"/>
      <c r="H85" s="2241"/>
      <c r="I85" s="2263"/>
    </row>
    <row r="86" spans="1:9" ht="42" customHeight="1" thickBot="1" x14ac:dyDescent="0.25">
      <c r="A86" s="2383"/>
      <c r="B86" s="2379"/>
      <c r="C86" s="1240" t="str">
        <f>F!C144</f>
        <v>(a) Woody cover OR herbaceous/ moss comprise &gt;70% of the vegetated AA, AND (b) The other is absent or is mostly in a single area or distinct zone with almost no intermixing of woody and unshaded herbaceous/ moss vegetation.</v>
      </c>
      <c r="D86" s="317">
        <f>F!D144</f>
        <v>0</v>
      </c>
      <c r="E86" s="373">
        <v>0</v>
      </c>
      <c r="F86" s="373">
        <f>D86*E86</f>
        <v>0</v>
      </c>
      <c r="G86" s="582"/>
      <c r="H86" s="2242"/>
      <c r="I86" s="2264"/>
    </row>
    <row r="87" spans="1:9" ht="24" customHeight="1" thickBot="1" x14ac:dyDescent="0.25">
      <c r="A87" s="2382" t="str">
        <f>F!A145</f>
        <v>F32</v>
      </c>
      <c r="B87" s="2397" t="str">
        <f>F!B145</f>
        <v>Tall Woody Canopy- % of the Vegetated AA</v>
      </c>
      <c r="C87" s="1239" t="str">
        <f>F!C145</f>
        <v>Within the vegetated part of the AA, just the woody plants taller than 3 m occupy:</v>
      </c>
      <c r="D87" s="1191"/>
      <c r="E87" s="1192"/>
      <c r="F87" s="578"/>
      <c r="G87" s="342">
        <f>IF((NoWoodyVeg=1),"", MAX(F88:F92)/MAX(E88:E92))</f>
        <v>0</v>
      </c>
      <c r="H87" s="2387" t="s">
        <v>1900</v>
      </c>
      <c r="I87" s="2262" t="s">
        <v>2127</v>
      </c>
    </row>
    <row r="88" spans="1:9" ht="27" customHeight="1" x14ac:dyDescent="0.2">
      <c r="A88" s="2380"/>
      <c r="B88" s="2378"/>
      <c r="C88" s="1237" t="str">
        <f>F!C146</f>
        <v>&lt;1% of the vegetated AA, or the AA lacks trees.  Enter "1" and SKIP to F35 (Exposed Shrub).</v>
      </c>
      <c r="D88" s="1200">
        <f>F!D146</f>
        <v>0</v>
      </c>
      <c r="E88" s="1193">
        <v>0</v>
      </c>
      <c r="F88" s="1193">
        <f>D88*E88</f>
        <v>0</v>
      </c>
      <c r="G88" s="579"/>
      <c r="H88" s="2388"/>
      <c r="I88" s="2263"/>
    </row>
    <row r="89" spans="1:9" ht="15" customHeight="1" x14ac:dyDescent="0.2">
      <c r="A89" s="2380"/>
      <c r="B89" s="2378"/>
      <c r="C89" s="1238" t="str">
        <f>F!C147</f>
        <v>1-25% of the vegetated AA</v>
      </c>
      <c r="D89" s="1200">
        <f>F!D147</f>
        <v>0</v>
      </c>
      <c r="E89" s="1193">
        <v>1</v>
      </c>
      <c r="F89" s="1193">
        <f>D89*E89</f>
        <v>0</v>
      </c>
      <c r="G89" s="580"/>
      <c r="H89" s="2388"/>
      <c r="I89" s="2263"/>
    </row>
    <row r="90" spans="1:9" ht="15" customHeight="1" x14ac:dyDescent="0.2">
      <c r="A90" s="2380"/>
      <c r="B90" s="2378"/>
      <c r="C90" s="1238" t="str">
        <f>F!C148</f>
        <v>25-50% of the vegetated AA</v>
      </c>
      <c r="D90" s="1200">
        <f>F!D148</f>
        <v>0</v>
      </c>
      <c r="E90" s="1193">
        <v>2</v>
      </c>
      <c r="F90" s="1193">
        <f>D90*E90</f>
        <v>0</v>
      </c>
      <c r="G90" s="580"/>
      <c r="H90" s="2388"/>
      <c r="I90" s="2263"/>
    </row>
    <row r="91" spans="1:9" ht="15" customHeight="1" x14ac:dyDescent="0.2">
      <c r="A91" s="2380"/>
      <c r="B91" s="2378"/>
      <c r="C91" s="1238" t="str">
        <f>F!C149</f>
        <v>50-95% of the vegetated AA</v>
      </c>
      <c r="D91" s="1200">
        <f>F!D149</f>
        <v>0</v>
      </c>
      <c r="E91" s="1193">
        <v>3</v>
      </c>
      <c r="F91" s="1193">
        <f>D91*E91</f>
        <v>0</v>
      </c>
      <c r="G91" s="580"/>
      <c r="H91" s="2388"/>
      <c r="I91" s="2263"/>
    </row>
    <row r="92" spans="1:9" ht="15" customHeight="1" thickBot="1" x14ac:dyDescent="0.25">
      <c r="A92" s="2384"/>
      <c r="B92" s="2379"/>
      <c r="C92" s="1240" t="str">
        <f>F!C150</f>
        <v>&gt;95% of the vegetated part of the AA</v>
      </c>
      <c r="D92" s="143">
        <f>F!D150</f>
        <v>0</v>
      </c>
      <c r="E92" s="373">
        <v>2</v>
      </c>
      <c r="F92" s="373">
        <f>D92*E92</f>
        <v>0</v>
      </c>
      <c r="G92" s="582"/>
      <c r="H92" s="2389"/>
      <c r="I92" s="2264"/>
    </row>
    <row r="93" spans="1:9" ht="45" customHeight="1" thickBot="1" x14ac:dyDescent="0.25">
      <c r="A93" s="2382" t="str">
        <f>F!A151</f>
        <v>F33</v>
      </c>
      <c r="B93" s="2397" t="str">
        <f>F!B151</f>
        <v>Woody Diameter Classes</v>
      </c>
      <c r="C93" s="1239" t="str">
        <f>F!C151</f>
        <v>Mark all the classes of woody plants within the AA, but only IF they comprise more than 5% of the woody canopy within the AA.  Do not count trees that adjoin but are not within the AA.</v>
      </c>
      <c r="D93" s="1191"/>
      <c r="E93" s="1192"/>
      <c r="F93" s="578"/>
      <c r="G93" s="342">
        <f>IF((NoWoodyVeg=1),"",IF((NoTrees=1),"",((SUM(D94:D101)/8+ MAX(F94:F101)/MAX(E94:E101))/2)))</f>
        <v>0</v>
      </c>
      <c r="H93" s="2258" t="s">
        <v>775</v>
      </c>
      <c r="I93" s="2262" t="s">
        <v>2254</v>
      </c>
    </row>
    <row r="94" spans="1:9" ht="15" customHeight="1" x14ac:dyDescent="0.2">
      <c r="A94" s="2381"/>
      <c r="B94" s="2378"/>
      <c r="C94" s="1209" t="str">
        <f>F!C152</f>
        <v>coniferous, 1-9 cm diameter and &gt;1 m tall</v>
      </c>
      <c r="D94" s="315">
        <f>F!D152</f>
        <v>0</v>
      </c>
      <c r="E94" s="1193">
        <v>1</v>
      </c>
      <c r="F94" s="1193">
        <f t="shared" ref="F94:F101" si="4">D94*E94</f>
        <v>0</v>
      </c>
      <c r="G94" s="579"/>
      <c r="H94" s="2241"/>
      <c r="I94" s="2263"/>
    </row>
    <row r="95" spans="1:9" ht="15" customHeight="1" x14ac:dyDescent="0.2">
      <c r="A95" s="2381"/>
      <c r="B95" s="2378"/>
      <c r="C95" s="1210" t="str">
        <f>F!C153</f>
        <v>broad-leaved deciduous 1-9 cm diameter and &gt;1 m tall</v>
      </c>
      <c r="D95" s="621">
        <f>F!D153</f>
        <v>0</v>
      </c>
      <c r="E95" s="1193">
        <v>3</v>
      </c>
      <c r="F95" s="1193">
        <f t="shared" si="4"/>
        <v>0</v>
      </c>
      <c r="G95" s="580"/>
      <c r="H95" s="2241"/>
      <c r="I95" s="2263"/>
    </row>
    <row r="96" spans="1:9" ht="15" customHeight="1" x14ac:dyDescent="0.2">
      <c r="A96" s="2381"/>
      <c r="B96" s="2378"/>
      <c r="C96" s="1210" t="str">
        <f>F!C154</f>
        <v>coniferous, 10-19 cm diameter</v>
      </c>
      <c r="D96" s="621">
        <f>F!D154</f>
        <v>0</v>
      </c>
      <c r="E96" s="1193">
        <v>2</v>
      </c>
      <c r="F96" s="1193">
        <f t="shared" si="4"/>
        <v>0</v>
      </c>
      <c r="G96" s="580"/>
      <c r="H96" s="2241"/>
      <c r="I96" s="2263"/>
    </row>
    <row r="97" spans="1:9" ht="15" customHeight="1" x14ac:dyDescent="0.2">
      <c r="A97" s="2381"/>
      <c r="B97" s="2378"/>
      <c r="C97" s="1210" t="str">
        <f>F!C155</f>
        <v>broad-leaved deciduous 10-19 cm diameter</v>
      </c>
      <c r="D97" s="621">
        <f>F!D155</f>
        <v>0</v>
      </c>
      <c r="E97" s="1193">
        <v>4</v>
      </c>
      <c r="F97" s="1193">
        <f t="shared" si="4"/>
        <v>0</v>
      </c>
      <c r="G97" s="580"/>
      <c r="H97" s="2241"/>
      <c r="I97" s="2263"/>
    </row>
    <row r="98" spans="1:9" ht="15" customHeight="1" x14ac:dyDescent="0.2">
      <c r="A98" s="2381"/>
      <c r="B98" s="2378"/>
      <c r="C98" s="1210" t="str">
        <f>F!C156</f>
        <v>coniferous, 20-40 cm diameter</v>
      </c>
      <c r="D98" s="621">
        <f>F!D156</f>
        <v>0</v>
      </c>
      <c r="E98" s="1193">
        <v>3</v>
      </c>
      <c r="F98" s="1193">
        <f t="shared" si="4"/>
        <v>0</v>
      </c>
      <c r="G98" s="580"/>
      <c r="H98" s="2241"/>
      <c r="I98" s="2263"/>
    </row>
    <row r="99" spans="1:9" ht="15" customHeight="1" x14ac:dyDescent="0.2">
      <c r="A99" s="2381"/>
      <c r="B99" s="2378"/>
      <c r="C99" s="1210" t="str">
        <f>F!C157</f>
        <v>broad-leaved deciduous 20-40 cm diameter</v>
      </c>
      <c r="D99" s="621">
        <f>F!D157</f>
        <v>0</v>
      </c>
      <c r="E99" s="1193">
        <v>6</v>
      </c>
      <c r="F99" s="1193">
        <f t="shared" si="4"/>
        <v>0</v>
      </c>
      <c r="G99" s="580"/>
      <c r="H99" s="2241"/>
      <c r="I99" s="2263"/>
    </row>
    <row r="100" spans="1:9" ht="15" customHeight="1" x14ac:dyDescent="0.2">
      <c r="A100" s="2381"/>
      <c r="B100" s="2378"/>
      <c r="C100" s="1210" t="str">
        <f>F!C158</f>
        <v>coniferous, &gt;40 cm diameter</v>
      </c>
      <c r="D100" s="621">
        <f>F!D158</f>
        <v>0</v>
      </c>
      <c r="E100" s="1193">
        <v>5</v>
      </c>
      <c r="F100" s="1193">
        <f t="shared" si="4"/>
        <v>0</v>
      </c>
      <c r="G100" s="580"/>
      <c r="H100" s="2241"/>
      <c r="I100" s="2263"/>
    </row>
    <row r="101" spans="1:9" ht="15" customHeight="1" thickBot="1" x14ac:dyDescent="0.25">
      <c r="A101" s="2383"/>
      <c r="B101" s="2379"/>
      <c r="C101" s="1240" t="str">
        <f>F!C159</f>
        <v>broad-leaved deciduous &gt;40 cm diameter</v>
      </c>
      <c r="D101" s="317">
        <f>F!D159</f>
        <v>0</v>
      </c>
      <c r="E101" s="373">
        <v>8</v>
      </c>
      <c r="F101" s="373">
        <f t="shared" si="4"/>
        <v>0</v>
      </c>
      <c r="G101" s="582"/>
      <c r="H101" s="2242"/>
      <c r="I101" s="2264"/>
    </row>
    <row r="102" spans="1:9" ht="36" customHeight="1" thickBot="1" x14ac:dyDescent="0.25">
      <c r="A102" s="2390" t="str">
        <f>F!A160</f>
        <v>F34</v>
      </c>
      <c r="B102" s="2393" t="str">
        <f>F!B160</f>
        <v>Downed Wood</v>
      </c>
      <c r="C102" s="1208" t="str">
        <f>F!C160</f>
        <v>The number of downed wood pieces longer than 2 m and with diameter &gt;10 cm, and not persistently submerged, is:</v>
      </c>
      <c r="D102" s="574"/>
      <c r="E102" s="575"/>
      <c r="F102" s="585"/>
      <c r="G102" s="567">
        <f>IF((NoWoodyVeg=1),"", IF((NoTrees=1),"", MAX(F103:F104)))</f>
        <v>0</v>
      </c>
      <c r="H102" s="2241" t="s">
        <v>181</v>
      </c>
      <c r="I102" s="2263" t="s">
        <v>2128</v>
      </c>
    </row>
    <row r="103" spans="1:9" ht="18" customHeight="1" x14ac:dyDescent="0.2">
      <c r="A103" s="2391"/>
      <c r="B103" s="2378"/>
      <c r="C103" s="1209" t="str">
        <f>F!C161</f>
        <v>Several ( &gt;5 if AA is &gt;5 hectares, less for smaller AAs)</v>
      </c>
      <c r="D103" s="315">
        <f>F!D161</f>
        <v>0</v>
      </c>
      <c r="E103" s="370">
        <v>1</v>
      </c>
      <c r="F103" s="370">
        <f>D103*E103</f>
        <v>0</v>
      </c>
      <c r="G103" s="579"/>
      <c r="H103" s="2241"/>
      <c r="I103" s="2263"/>
    </row>
    <row r="104" spans="1:9" ht="18" customHeight="1" thickBot="1" x14ac:dyDescent="0.25">
      <c r="A104" s="2391"/>
      <c r="B104" s="2378"/>
      <c r="C104" s="1210" t="str">
        <f>F!C162</f>
        <v xml:space="preserve">Few or none </v>
      </c>
      <c r="D104" s="621">
        <f>F!D162</f>
        <v>0</v>
      </c>
      <c r="E104" s="622">
        <v>0</v>
      </c>
      <c r="F104" s="622">
        <f>D104*E104</f>
        <v>0</v>
      </c>
      <c r="G104" s="623"/>
      <c r="H104" s="2242"/>
      <c r="I104" s="2263"/>
    </row>
    <row r="105" spans="1:9" ht="29.25" customHeight="1" thickBot="1" x14ac:dyDescent="0.25">
      <c r="A105" s="2382" t="str">
        <f>F!A163</f>
        <v>F35</v>
      </c>
      <c r="B105" s="2397" t="str">
        <f>F!B163</f>
        <v>Exposed Shrub Canopy</v>
      </c>
      <c r="C105" s="1239" t="str">
        <f>F!C163</f>
        <v>Woody vegetation 1 to 3 m tall that is not under the drip line of taller woody vegetation comprises:</v>
      </c>
      <c r="D105" s="1191"/>
      <c r="E105" s="1192"/>
      <c r="F105" s="578"/>
      <c r="G105" s="342">
        <f>IF((NoWoodyVeg=1),"", MAX(F106:F110)/MAX(E106:E110))</f>
        <v>0</v>
      </c>
      <c r="H105" s="2258" t="s">
        <v>191</v>
      </c>
      <c r="I105" s="2262" t="s">
        <v>2129</v>
      </c>
    </row>
    <row r="106" spans="1:9" ht="27" customHeight="1" x14ac:dyDescent="0.2">
      <c r="A106" s="2381"/>
      <c r="B106" s="2378"/>
      <c r="C106" s="1242" t="str">
        <f>F!C164</f>
        <v>&lt;5% of the vegetated AA and (if a fringe wetland) &lt;5% of its water edge.  Or &lt;0.01 hectare.  SKIP to F38 (N Fixers).</v>
      </c>
      <c r="D106" s="1200">
        <f>F!D164</f>
        <v>0</v>
      </c>
      <c r="E106" s="1193">
        <v>0</v>
      </c>
      <c r="F106" s="1193">
        <f>D106*E106</f>
        <v>0</v>
      </c>
      <c r="G106" s="579"/>
      <c r="H106" s="2241"/>
      <c r="I106" s="2263"/>
    </row>
    <row r="107" spans="1:9" ht="25.5" customHeight="1" x14ac:dyDescent="0.2">
      <c r="A107" s="2381"/>
      <c r="B107" s="2378"/>
      <c r="C107" s="1243" t="str">
        <f>F!C165</f>
        <v>5-25% of the vegetated AA or (if a fringe wetland) 5-25% of the water edge  -- whichever is greater.</v>
      </c>
      <c r="D107" s="1200">
        <f>F!D165</f>
        <v>0</v>
      </c>
      <c r="E107" s="1193">
        <v>2</v>
      </c>
      <c r="F107" s="1193">
        <f>D107*E107</f>
        <v>0</v>
      </c>
      <c r="G107" s="580"/>
      <c r="H107" s="2241"/>
      <c r="I107" s="2263"/>
    </row>
    <row r="108" spans="1:9" ht="15" customHeight="1" x14ac:dyDescent="0.2">
      <c r="A108" s="2381"/>
      <c r="B108" s="2378"/>
      <c r="C108" s="1243" t="str">
        <f>F!C166</f>
        <v xml:space="preserve">25-50% of the vegetated AA or the water edge, whichever is greater. </v>
      </c>
      <c r="D108" s="318">
        <f>F!D166</f>
        <v>0</v>
      </c>
      <c r="E108" s="1193">
        <v>3</v>
      </c>
      <c r="F108" s="1193">
        <f>D108*E108</f>
        <v>0</v>
      </c>
      <c r="G108" s="580"/>
      <c r="H108" s="2241"/>
      <c r="I108" s="2263"/>
    </row>
    <row r="109" spans="1:9" ht="15" customHeight="1" x14ac:dyDescent="0.2">
      <c r="A109" s="2381"/>
      <c r="B109" s="2378"/>
      <c r="C109" s="1243" t="str">
        <f>F!C167</f>
        <v>50-95% of the vegetated AA or the water edge, whichever is greater.</v>
      </c>
      <c r="D109" s="1200">
        <f>F!D167</f>
        <v>0</v>
      </c>
      <c r="E109" s="1193">
        <v>3</v>
      </c>
      <c r="F109" s="1193">
        <f>D109*E109</f>
        <v>0</v>
      </c>
      <c r="G109" s="580"/>
      <c r="H109" s="2241"/>
      <c r="I109" s="2263"/>
    </row>
    <row r="110" spans="1:9" ht="15" customHeight="1" thickBot="1" x14ac:dyDescent="0.25">
      <c r="A110" s="2383"/>
      <c r="B110" s="2379"/>
      <c r="C110" s="1244" t="str">
        <f>F!C168</f>
        <v>&gt;95% of the vegetated part of the AA or the water edge, whichever is greater.</v>
      </c>
      <c r="D110" s="317">
        <f>F!D168</f>
        <v>0</v>
      </c>
      <c r="E110" s="373">
        <v>2</v>
      </c>
      <c r="F110" s="373">
        <f>D110*E110</f>
        <v>0</v>
      </c>
      <c r="G110" s="582"/>
      <c r="H110" s="2242"/>
      <c r="I110" s="2264"/>
    </row>
    <row r="111" spans="1:9" ht="30" customHeight="1" thickBot="1" x14ac:dyDescent="0.25">
      <c r="A111" s="2390" t="str">
        <f>F!A169</f>
        <v>F36</v>
      </c>
      <c r="B111" s="2393" t="str">
        <f>F!B169</f>
        <v xml:space="preserve">Dominance of Most Abundant Shrub Species </v>
      </c>
      <c r="C111" s="1208" t="str">
        <f>F!C169</f>
        <v>Determine which two native shrub species (1 to 3 m tall) comprise the greatest portion of the native shrub cover.  Then choose one of the following:</v>
      </c>
      <c r="D111" s="574"/>
      <c r="E111" s="575"/>
      <c r="F111" s="585"/>
      <c r="G111" s="567">
        <f>IF((NoWoodyVeg=1),"",IF((NoShrub=1),"", MAX(F112:F113)/MAX(E112:E113)))</f>
        <v>0</v>
      </c>
      <c r="H111" s="2258" t="s">
        <v>192</v>
      </c>
      <c r="I111" s="2263" t="s">
        <v>2130</v>
      </c>
    </row>
    <row r="112" spans="1:9" ht="15" customHeight="1" x14ac:dyDescent="0.2">
      <c r="A112" s="2390"/>
      <c r="B112" s="2378"/>
      <c r="C112" s="1242" t="str">
        <f>F!C170</f>
        <v>those species together comprise &gt; 50% of the areal cover of native shrub species.</v>
      </c>
      <c r="D112" s="316">
        <f>F!D170</f>
        <v>0</v>
      </c>
      <c r="E112" s="370">
        <v>1</v>
      </c>
      <c r="F112" s="370">
        <f>D112*E112</f>
        <v>0</v>
      </c>
      <c r="G112" s="579"/>
      <c r="H112" s="2241"/>
      <c r="I112" s="2263"/>
    </row>
    <row r="113" spans="1:10" ht="15" customHeight="1" thickBot="1" x14ac:dyDescent="0.25">
      <c r="A113" s="2390"/>
      <c r="B113" s="2378"/>
      <c r="C113" s="1245" t="str">
        <f>F!C171</f>
        <v>those species together do not comprise &gt; 50% of the areal cover of native shrub species.</v>
      </c>
      <c r="D113" s="1201">
        <f>F!D171</f>
        <v>0</v>
      </c>
      <c r="E113" s="622">
        <v>2</v>
      </c>
      <c r="F113" s="622">
        <f>D113*E113</f>
        <v>0</v>
      </c>
      <c r="G113" s="623"/>
      <c r="H113" s="2241"/>
      <c r="I113" s="2263"/>
    </row>
    <row r="114" spans="1:10" s="26" customFormat="1" ht="30" customHeight="1" thickBot="1" x14ac:dyDescent="0.25">
      <c r="A114" s="2119" t="str">
        <f>F!A172</f>
        <v>F37</v>
      </c>
      <c r="B114" s="2237" t="str">
        <f>F!B172</f>
        <v>Broad-leaved Deciduous Trees and Shrubs</v>
      </c>
      <c r="C114" s="934" t="str">
        <f>F!C172</f>
        <v>The percentage of the AA's tree or shrub cover that is broad-leaved deciduous and is taller than 1 meter is:</v>
      </c>
      <c r="D114" s="1191"/>
      <c r="E114" s="1192"/>
      <c r="F114" s="1256"/>
      <c r="G114" s="342">
        <f>IF((NoWoodyVeg=1),"",MAX(F115:F119)/MAX(E115:E119))</f>
        <v>0</v>
      </c>
      <c r="H114" s="2258" t="s">
        <v>190</v>
      </c>
      <c r="I114" s="2262" t="s">
        <v>2256</v>
      </c>
      <c r="J114" s="233"/>
    </row>
    <row r="115" spans="1:10" ht="15" customHeight="1" x14ac:dyDescent="0.2">
      <c r="A115" s="2120"/>
      <c r="B115" s="2378"/>
      <c r="C115" s="731" t="str">
        <f>F!C173</f>
        <v>&lt;1%, or largest patch occupies less than 0.01 hectare</v>
      </c>
      <c r="D115" s="779">
        <f>F!D173</f>
        <v>0</v>
      </c>
      <c r="E115" s="1193">
        <v>0</v>
      </c>
      <c r="F115" s="1193">
        <f>D115*E115</f>
        <v>0</v>
      </c>
      <c r="G115" s="579"/>
      <c r="H115" s="2241"/>
      <c r="I115" s="2263"/>
    </row>
    <row r="116" spans="1:10" ht="15" customHeight="1" x14ac:dyDescent="0.2">
      <c r="A116" s="2120"/>
      <c r="B116" s="2378"/>
      <c r="C116" s="758" t="str">
        <f>F!C174</f>
        <v>1-25% of the tree or shrub cover (whichever has more)</v>
      </c>
      <c r="D116" s="779">
        <f>F!D174</f>
        <v>0</v>
      </c>
      <c r="E116" s="1193">
        <v>1</v>
      </c>
      <c r="F116" s="1193">
        <f>D116*E116</f>
        <v>0</v>
      </c>
      <c r="G116" s="580"/>
      <c r="H116" s="2241"/>
      <c r="I116" s="2263"/>
    </row>
    <row r="117" spans="1:10" ht="15" customHeight="1" x14ac:dyDescent="0.2">
      <c r="A117" s="2120"/>
      <c r="B117" s="2378"/>
      <c r="C117" s="758" t="str">
        <f>F!C175</f>
        <v>25-50% of the tree or shrub cover (whichever has more)</v>
      </c>
      <c r="D117" s="779">
        <f>F!D175</f>
        <v>0</v>
      </c>
      <c r="E117" s="1193">
        <v>2</v>
      </c>
      <c r="F117" s="1193">
        <f>D117*E117</f>
        <v>0</v>
      </c>
      <c r="G117" s="580"/>
      <c r="H117" s="2241"/>
      <c r="I117" s="2263"/>
    </row>
    <row r="118" spans="1:10" ht="15" customHeight="1" x14ac:dyDescent="0.2">
      <c r="A118" s="2120"/>
      <c r="B118" s="2378"/>
      <c r="C118" s="758" t="str">
        <f>F!C176</f>
        <v>50-75% of the tree or shrub cover (whichever has more)</v>
      </c>
      <c r="D118" s="779">
        <f>F!D176</f>
        <v>0</v>
      </c>
      <c r="E118" s="1193">
        <v>3</v>
      </c>
      <c r="F118" s="1193">
        <f>D118*E118</f>
        <v>0</v>
      </c>
      <c r="G118" s="580"/>
      <c r="H118" s="2241"/>
      <c r="I118" s="2263"/>
    </row>
    <row r="119" spans="1:10" ht="15" customHeight="1" thickBot="1" x14ac:dyDescent="0.25">
      <c r="A119" s="2121"/>
      <c r="B119" s="2379"/>
      <c r="C119" s="754" t="str">
        <f>F!C177</f>
        <v>&gt;75% of the tree or shrub cover (whichever has more)</v>
      </c>
      <c r="D119" s="105">
        <f>F!D177</f>
        <v>0</v>
      </c>
      <c r="E119" s="373">
        <v>4</v>
      </c>
      <c r="F119" s="373">
        <f>D119*E119</f>
        <v>0</v>
      </c>
      <c r="G119" s="582"/>
      <c r="H119" s="2242"/>
      <c r="I119" s="2264"/>
    </row>
    <row r="120" spans="1:10" ht="30" customHeight="1" thickBot="1" x14ac:dyDescent="0.25">
      <c r="A120" s="2395" t="str">
        <f>F!A184</f>
        <v>F39</v>
      </c>
      <c r="B120" s="2377" t="str">
        <f>F!B184</f>
        <v>Snags</v>
      </c>
      <c r="C120" s="1239" t="str">
        <f>F!C184</f>
        <v>The number of large snags (diameter &gt;20 cm) in the AA plus the upland area within 10 m of the wetland edge is:</v>
      </c>
      <c r="D120" s="1191"/>
      <c r="E120" s="1192"/>
      <c r="F120" s="578"/>
      <c r="G120" s="342">
        <f>IF((NoWoodyVeg=1),"", IF((NoTrees=1),"", MAX(F121:F123)/MAX(E121:E123)))</f>
        <v>0</v>
      </c>
      <c r="H120" s="2258" t="s">
        <v>1177</v>
      </c>
      <c r="I120" s="2270" t="s">
        <v>299</v>
      </c>
    </row>
    <row r="121" spans="1:10" ht="27" customHeight="1" x14ac:dyDescent="0.2">
      <c r="A121" s="2381"/>
      <c r="B121" s="2378"/>
      <c r="C121" s="1237" t="str">
        <f>F!C185</f>
        <v>Several ( &gt;2/hectare) and a pond, lake, or slow-flowing water wider than 10 m is within 1 km.</v>
      </c>
      <c r="D121" s="314">
        <f>F!D185</f>
        <v>0</v>
      </c>
      <c r="E121" s="1193">
        <v>2</v>
      </c>
      <c r="F121" s="1193">
        <f>D121*E121</f>
        <v>0</v>
      </c>
      <c r="G121" s="579"/>
      <c r="H121" s="2241"/>
      <c r="I121" s="2281"/>
    </row>
    <row r="122" spans="1:10" ht="15" customHeight="1" x14ac:dyDescent="0.2">
      <c r="A122" s="2381"/>
      <c r="B122" s="2378"/>
      <c r="C122" s="1237" t="str">
        <f>F!C186</f>
        <v>Several ( &gt;2/hectare) but above not true.</v>
      </c>
      <c r="D122" s="314">
        <f>F!D186</f>
        <v>0</v>
      </c>
      <c r="E122" s="1193">
        <v>1</v>
      </c>
      <c r="F122" s="1193">
        <f>D122*E122</f>
        <v>0</v>
      </c>
      <c r="G122" s="579"/>
      <c r="H122" s="2241"/>
      <c r="I122" s="2281"/>
    </row>
    <row r="123" spans="1:10" ht="15" customHeight="1" thickBot="1" x14ac:dyDescent="0.25">
      <c r="A123" s="2383"/>
      <c r="B123" s="2379"/>
      <c r="C123" s="1241" t="str">
        <f>F!C187</f>
        <v xml:space="preserve">Few or none </v>
      </c>
      <c r="D123" s="587">
        <f>F!D187</f>
        <v>0</v>
      </c>
      <c r="E123" s="373">
        <v>0</v>
      </c>
      <c r="F123" s="373">
        <f>D123*E123</f>
        <v>0</v>
      </c>
      <c r="G123" s="582"/>
      <c r="H123" s="2242"/>
      <c r="I123" s="2282"/>
    </row>
    <row r="124" spans="1:10" ht="21" customHeight="1" thickBot="1" x14ac:dyDescent="0.25">
      <c r="A124" s="2382" t="str">
        <f>F!A204</f>
        <v>F43</v>
      </c>
      <c r="B124" s="2397" t="str">
        <f>F!B204</f>
        <v>Upland Inclusions</v>
      </c>
      <c r="C124" s="1239" t="str">
        <f>F!C204</f>
        <v>Within the AA, inclusions of upland that individually are &gt;100 sq.m. are:</v>
      </c>
      <c r="D124" s="577"/>
      <c r="E124" s="372"/>
      <c r="F124" s="578"/>
      <c r="G124" s="342">
        <f>IF((D125=1),"", MAX(F125:F127)/MAX(E125:E127))</f>
        <v>0</v>
      </c>
      <c r="H124" s="2258" t="s">
        <v>182</v>
      </c>
      <c r="I124" s="2262" t="s">
        <v>44</v>
      </c>
    </row>
    <row r="125" spans="1:10" ht="15" customHeight="1" x14ac:dyDescent="0.2">
      <c r="A125" s="2380"/>
      <c r="B125" s="2393"/>
      <c r="C125" s="1237" t="str">
        <f>F!C205</f>
        <v>Few or none</v>
      </c>
      <c r="D125" s="316">
        <f>F!D205</f>
        <v>0</v>
      </c>
      <c r="E125" s="370">
        <v>0</v>
      </c>
      <c r="F125" s="370">
        <f>D125*E125</f>
        <v>0</v>
      </c>
      <c r="G125" s="579"/>
      <c r="H125" s="2241"/>
      <c r="I125" s="2263"/>
    </row>
    <row r="126" spans="1:10" ht="15" customHeight="1" x14ac:dyDescent="0.2">
      <c r="A126" s="2380"/>
      <c r="B126" s="2393"/>
      <c r="C126" s="1238" t="str">
        <f>F!C206</f>
        <v>Intermediate (1 - 10% of vegetated part of the AA).</v>
      </c>
      <c r="D126" s="316">
        <f>F!D206</f>
        <v>0</v>
      </c>
      <c r="E126" s="370">
        <v>1</v>
      </c>
      <c r="F126" s="370">
        <f>D126*E126</f>
        <v>0</v>
      </c>
      <c r="G126" s="588"/>
      <c r="H126" s="2241"/>
      <c r="I126" s="2263"/>
    </row>
    <row r="127" spans="1:10" ht="15" customHeight="1" thickBot="1" x14ac:dyDescent="0.25">
      <c r="A127" s="2384"/>
      <c r="B127" s="2400"/>
      <c r="C127" s="1240" t="str">
        <f>F!C207</f>
        <v>Many (e.g., wetland-upland "mosaic", &gt;10% of the vegetated AA).</v>
      </c>
      <c r="D127" s="317">
        <f>F!D207</f>
        <v>0</v>
      </c>
      <c r="E127" s="373">
        <v>2</v>
      </c>
      <c r="F127" s="373">
        <f>D127*E127</f>
        <v>0</v>
      </c>
      <c r="G127" s="582"/>
      <c r="H127" s="2242"/>
      <c r="I127" s="2264"/>
    </row>
    <row r="128" spans="1:10" ht="21" customHeight="1" thickBot="1" x14ac:dyDescent="0.25">
      <c r="A128" s="2382" t="str">
        <f>F!A224</f>
        <v>F47</v>
      </c>
      <c r="B128" s="2397" t="str">
        <f>F!B224</f>
        <v>Forb Cover</v>
      </c>
      <c r="C128" s="1213" t="str">
        <f>F!C224</f>
        <v>The areal cover of forbs reaches an annual maximum of:</v>
      </c>
      <c r="D128" s="1191"/>
      <c r="E128" s="1192"/>
      <c r="F128" s="1192"/>
      <c r="G128" s="342">
        <f>IF((NoHerbCov=1),"", MAX(F129:F133)/MAX(E129:E133))</f>
        <v>0</v>
      </c>
      <c r="H128" s="2258" t="s">
        <v>1168</v>
      </c>
      <c r="I128" s="2262" t="s">
        <v>2131</v>
      </c>
    </row>
    <row r="129" spans="1:10" ht="15" customHeight="1" x14ac:dyDescent="0.2">
      <c r="A129" s="2381"/>
      <c r="B129" s="2398"/>
      <c r="C129" s="1214" t="str">
        <f>F!C225</f>
        <v>&lt;5% of the herbaceous &amp; moss cover</v>
      </c>
      <c r="D129" s="144">
        <f>F!D225</f>
        <v>0</v>
      </c>
      <c r="E129" s="1193">
        <v>0</v>
      </c>
      <c r="F129" s="1193">
        <f>D129*E129</f>
        <v>0</v>
      </c>
      <c r="G129" s="580"/>
      <c r="H129" s="2241"/>
      <c r="I129" s="2263"/>
    </row>
    <row r="130" spans="1:10" ht="15" customHeight="1" x14ac:dyDescent="0.2">
      <c r="A130" s="2381"/>
      <c r="B130" s="2398"/>
      <c r="C130" s="1211" t="str">
        <f>F!C226</f>
        <v>5-25% of the herbaceous &amp; moss cover</v>
      </c>
      <c r="D130" s="1196">
        <f>F!D226</f>
        <v>0</v>
      </c>
      <c r="E130" s="1193">
        <v>2</v>
      </c>
      <c r="F130" s="1193">
        <f>D130*E130</f>
        <v>0</v>
      </c>
      <c r="G130" s="580"/>
      <c r="H130" s="2241"/>
      <c r="I130" s="2263"/>
    </row>
    <row r="131" spans="1:10" ht="15" customHeight="1" x14ac:dyDescent="0.2">
      <c r="A131" s="2381"/>
      <c r="B131" s="2398"/>
      <c r="C131" s="1211" t="str">
        <f>F!C227</f>
        <v>25-50% of the herbaceous &amp; moss cover</v>
      </c>
      <c r="D131" s="1196">
        <f>F!D227</f>
        <v>0</v>
      </c>
      <c r="E131" s="1193">
        <v>3</v>
      </c>
      <c r="F131" s="1193">
        <f>D131*E131</f>
        <v>0</v>
      </c>
      <c r="G131" s="580"/>
      <c r="H131" s="2241"/>
      <c r="I131" s="2263"/>
    </row>
    <row r="132" spans="1:10" ht="15" customHeight="1" x14ac:dyDescent="0.2">
      <c r="A132" s="2381"/>
      <c r="B132" s="2398"/>
      <c r="C132" s="1211" t="str">
        <f>F!C228</f>
        <v>50-95% of the herbaceous &amp; moss cover</v>
      </c>
      <c r="D132" s="1196">
        <f>F!D228</f>
        <v>0</v>
      </c>
      <c r="E132" s="1193">
        <v>2</v>
      </c>
      <c r="F132" s="1193">
        <f>D132*E132</f>
        <v>0</v>
      </c>
      <c r="G132" s="580"/>
      <c r="H132" s="2241"/>
      <c r="I132" s="2263"/>
    </row>
    <row r="133" spans="1:10" ht="15" customHeight="1" thickBot="1" x14ac:dyDescent="0.25">
      <c r="A133" s="2383"/>
      <c r="B133" s="2399"/>
      <c r="C133" s="1212" t="str">
        <f>F!C229</f>
        <v>&gt;95% of the herbaceous &amp; moss cover. SKIP to F50 (Invasive Plant Cover).</v>
      </c>
      <c r="D133" s="143">
        <f>F!D229</f>
        <v>0</v>
      </c>
      <c r="E133" s="373">
        <v>1</v>
      </c>
      <c r="F133" s="373">
        <f>D133*E133</f>
        <v>0</v>
      </c>
      <c r="G133" s="582"/>
      <c r="H133" s="2242"/>
      <c r="I133" s="2264"/>
    </row>
    <row r="134" spans="1:10" ht="21" customHeight="1" thickBot="1" x14ac:dyDescent="0.25">
      <c r="A134" s="2390" t="str">
        <f>F!A230</f>
        <v>F48</v>
      </c>
      <c r="B134" s="2393" t="str">
        <f>F!B230</f>
        <v>Sedge Cover</v>
      </c>
      <c r="C134" s="1215" t="str">
        <f>F!C230</f>
        <v>Sedges (Carex spp.) and/or cottongrass (Eriophorum spp.) occupy:</v>
      </c>
      <c r="D134" s="575"/>
      <c r="E134" s="575"/>
      <c r="F134" s="575"/>
      <c r="G134" s="567">
        <f>IF((NoHerbCov=1),"", MAX(F135:F138)/MAX(E135:E138))</f>
        <v>0</v>
      </c>
      <c r="H134" s="2258" t="s">
        <v>1176</v>
      </c>
      <c r="I134" s="2263" t="s">
        <v>2132</v>
      </c>
    </row>
    <row r="135" spans="1:10" ht="15" customHeight="1" x14ac:dyDescent="0.2">
      <c r="A135" s="2390"/>
      <c r="B135" s="2393"/>
      <c r="C135" s="1214" t="str">
        <f>F!C231</f>
        <v>&lt;5% of the herbaceous cover, or &lt;0.01 hectare</v>
      </c>
      <c r="D135" s="144">
        <f>F!D231</f>
        <v>0</v>
      </c>
      <c r="E135" s="370">
        <v>0</v>
      </c>
      <c r="F135" s="370">
        <f t="shared" ref="F135:F138" si="5">D135*E135</f>
        <v>0</v>
      </c>
      <c r="G135" s="580"/>
      <c r="H135" s="2241"/>
      <c r="I135" s="2263"/>
    </row>
    <row r="136" spans="1:10" ht="15" customHeight="1" x14ac:dyDescent="0.2">
      <c r="A136" s="2390"/>
      <c r="B136" s="2393"/>
      <c r="C136" s="1211" t="str">
        <f>F!C232</f>
        <v>5-50% of the herbaceous cover</v>
      </c>
      <c r="D136" s="142">
        <f>F!D232</f>
        <v>0</v>
      </c>
      <c r="E136" s="370">
        <v>3</v>
      </c>
      <c r="F136" s="370">
        <f t="shared" si="5"/>
        <v>0</v>
      </c>
      <c r="G136" s="580"/>
      <c r="H136" s="2241"/>
      <c r="I136" s="2263"/>
    </row>
    <row r="137" spans="1:10" ht="15" customHeight="1" x14ac:dyDescent="0.2">
      <c r="A137" s="2390"/>
      <c r="B137" s="2393"/>
      <c r="C137" s="1211" t="str">
        <f>F!C233</f>
        <v>50-95% of the herbaceous cover</v>
      </c>
      <c r="D137" s="142">
        <f>F!D233</f>
        <v>0</v>
      </c>
      <c r="E137" s="370">
        <v>2</v>
      </c>
      <c r="F137" s="370">
        <f t="shared" si="5"/>
        <v>0</v>
      </c>
      <c r="G137" s="580"/>
      <c r="H137" s="2241"/>
      <c r="I137" s="2263"/>
    </row>
    <row r="138" spans="1:10" ht="15" customHeight="1" thickBot="1" x14ac:dyDescent="0.25">
      <c r="A138" s="2390"/>
      <c r="B138" s="2393"/>
      <c r="C138" s="1216" t="str">
        <f>F!C234</f>
        <v>&gt;95% of the herbaceous cover</v>
      </c>
      <c r="D138" s="1194">
        <f>F!D234</f>
        <v>0</v>
      </c>
      <c r="E138" s="622">
        <v>1</v>
      </c>
      <c r="F138" s="622">
        <f t="shared" si="5"/>
        <v>0</v>
      </c>
      <c r="G138" s="623"/>
      <c r="H138" s="2241"/>
      <c r="I138" s="2263"/>
    </row>
    <row r="139" spans="1:10" s="29" customFormat="1" ht="40.5" customHeight="1" thickBot="1" x14ac:dyDescent="0.25">
      <c r="A139" s="2382" t="str">
        <f>F!A235</f>
        <v>F49</v>
      </c>
      <c r="B139" s="2397" t="str">
        <f>F!B235</f>
        <v xml:space="preserve">Dominance of Most Abundant Herbaceous Species </v>
      </c>
      <c r="C139" s="132" t="str">
        <f>F!C235</f>
        <v>Determine which two native herbaceous (forb and graminoid) species comprise the greatest portion of the herbaceous cover that is unshaded by a woody canopy.  Then choose one of the following:</v>
      </c>
      <c r="D139" s="1191"/>
      <c r="E139" s="1192"/>
      <c r="F139" s="1192"/>
      <c r="G139" s="342" t="str">
        <f>IF((D141=1),1,"")</f>
        <v/>
      </c>
      <c r="H139" s="2240" t="s">
        <v>1169</v>
      </c>
      <c r="I139" s="2262" t="s">
        <v>2133</v>
      </c>
      <c r="J139" s="235"/>
    </row>
    <row r="140" spans="1:10" s="29" customFormat="1" ht="29.25" customHeight="1" x14ac:dyDescent="0.2">
      <c r="A140" s="2381"/>
      <c r="B140" s="2398"/>
      <c r="C140" s="1214" t="str">
        <f>F!C236</f>
        <v>those species together comprise &gt; 50% of the areal cover of native herbaceous plants at any time during the year.</v>
      </c>
      <c r="D140" s="1196">
        <f>F!D236</f>
        <v>0</v>
      </c>
      <c r="E140" s="1193"/>
      <c r="F140" s="1193"/>
      <c r="G140" s="586"/>
      <c r="H140" s="2289"/>
      <c r="I140" s="2263"/>
      <c r="J140" s="235"/>
    </row>
    <row r="141" spans="1:10" s="29" customFormat="1" ht="27" customHeight="1" thickBot="1" x14ac:dyDescent="0.25">
      <c r="A141" s="2383"/>
      <c r="B141" s="2399"/>
      <c r="C141" s="1212" t="str">
        <f>F!C237</f>
        <v>those species together do not comprise &gt; 50% of the areal cover of native herbaceous plants at any time during the year.</v>
      </c>
      <c r="D141" s="143">
        <f>F!D237</f>
        <v>0</v>
      </c>
      <c r="E141" s="373"/>
      <c r="F141" s="373"/>
      <c r="G141" s="589"/>
      <c r="H141" s="2290"/>
      <c r="I141" s="2264"/>
      <c r="J141" s="235"/>
    </row>
    <row r="142" spans="1:10" ht="39" customHeight="1" thickBot="1" x14ac:dyDescent="0.25">
      <c r="A142" s="2401" t="str">
        <f>F!A249</f>
        <v>F52</v>
      </c>
      <c r="B142" s="2396" t="str">
        <f>F!B249</f>
        <v>Natural Cover in Buffer</v>
      </c>
      <c r="C142" s="1208" t="str">
        <f>F!C249</f>
        <v>Along the wetland-upland edge and extending 30 m upslope, the percentage of the upland that contains natural (not necessarily native -- see column E) land cover taller than 10 cm is:</v>
      </c>
      <c r="D142" s="574"/>
      <c r="E142" s="575"/>
      <c r="F142" s="585"/>
      <c r="G142" s="567">
        <f>MAX(F143:F147)/MAX(E143:E147)</f>
        <v>0</v>
      </c>
      <c r="H142" s="2258" t="s">
        <v>186</v>
      </c>
      <c r="I142" s="2263" t="s">
        <v>337</v>
      </c>
    </row>
    <row r="143" spans="1:10" ht="21" customHeight="1" x14ac:dyDescent="0.2">
      <c r="A143" s="2381"/>
      <c r="B143" s="2378"/>
      <c r="C143" s="1209" t="str">
        <f>F!C250</f>
        <v xml:space="preserve">&lt;5% </v>
      </c>
      <c r="D143" s="313">
        <f>F!D250</f>
        <v>0</v>
      </c>
      <c r="E143" s="370">
        <v>0</v>
      </c>
      <c r="F143" s="370">
        <f>D143*E143</f>
        <v>0</v>
      </c>
      <c r="G143" s="579"/>
      <c r="H143" s="2241"/>
      <c r="I143" s="2263"/>
    </row>
    <row r="144" spans="1:10" ht="21" customHeight="1" x14ac:dyDescent="0.2">
      <c r="A144" s="2381"/>
      <c r="B144" s="2378"/>
      <c r="C144" s="1210" t="str">
        <f>F!C251</f>
        <v>5 to 30%</v>
      </c>
      <c r="D144" s="313">
        <f>F!D251</f>
        <v>0</v>
      </c>
      <c r="E144" s="370">
        <v>1</v>
      </c>
      <c r="F144" s="370">
        <f>D144*E144</f>
        <v>0</v>
      </c>
      <c r="G144" s="580"/>
      <c r="H144" s="2241"/>
      <c r="I144" s="2263"/>
    </row>
    <row r="145" spans="1:9" ht="21" customHeight="1" x14ac:dyDescent="0.2">
      <c r="A145" s="2381"/>
      <c r="B145" s="2378"/>
      <c r="C145" s="1210" t="str">
        <f>F!C252</f>
        <v>30 to 60%</v>
      </c>
      <c r="D145" s="313">
        <f>F!D252</f>
        <v>0</v>
      </c>
      <c r="E145" s="370">
        <v>2</v>
      </c>
      <c r="F145" s="370">
        <f>D145*E145</f>
        <v>0</v>
      </c>
      <c r="G145" s="580"/>
      <c r="H145" s="2241"/>
      <c r="I145" s="2263"/>
    </row>
    <row r="146" spans="1:9" ht="21" customHeight="1" x14ac:dyDescent="0.2">
      <c r="A146" s="2381"/>
      <c r="B146" s="2378"/>
      <c r="C146" s="1210" t="str">
        <f>F!C253</f>
        <v>60 to 90%</v>
      </c>
      <c r="D146" s="313">
        <f>F!D253</f>
        <v>0</v>
      </c>
      <c r="E146" s="370">
        <v>4</v>
      </c>
      <c r="F146" s="370">
        <f>D146*E146</f>
        <v>0</v>
      </c>
      <c r="G146" s="580"/>
      <c r="H146" s="2241"/>
      <c r="I146" s="2263"/>
    </row>
    <row r="147" spans="1:9" ht="21" customHeight="1" thickBot="1" x14ac:dyDescent="0.25">
      <c r="A147" s="2381"/>
      <c r="B147" s="2378"/>
      <c r="C147" s="1210" t="str">
        <f>F!C254</f>
        <v>&gt;90%.  SKIP to F54 (Cliffs).</v>
      </c>
      <c r="D147" s="621">
        <f>F!D254</f>
        <v>0</v>
      </c>
      <c r="E147" s="622">
        <v>5</v>
      </c>
      <c r="F147" s="1197">
        <f>D147*E147</f>
        <v>0</v>
      </c>
      <c r="G147" s="623"/>
      <c r="H147" s="2241"/>
      <c r="I147" s="2263"/>
    </row>
    <row r="148" spans="1:9" ht="30" customHeight="1" thickBot="1" x14ac:dyDescent="0.25">
      <c r="A148" s="2395" t="str">
        <f>F!A255</f>
        <v>F53</v>
      </c>
      <c r="B148" s="2377" t="str">
        <f>F!B255</f>
        <v>Type of Cover in Buffer</v>
      </c>
      <c r="C148" s="1239" t="str">
        <f>F!C255</f>
        <v>Within 30 m upslope of the wetland-upland edge closest to the AA, the upland land cover that is NOT unmanaged vegetation or water is mostly (mark ONE):</v>
      </c>
      <c r="D148" s="1202"/>
      <c r="E148" s="1192"/>
      <c r="F148" s="578"/>
      <c r="G148" s="342">
        <f>IF((BuffAllNat=1),"", MAX(F149:F150)/MAX(E149:E150))</f>
        <v>0</v>
      </c>
      <c r="H148" s="2258" t="s">
        <v>187</v>
      </c>
      <c r="I148" s="2262" t="s">
        <v>2255</v>
      </c>
    </row>
    <row r="149" spans="1:9" ht="15" customHeight="1" x14ac:dyDescent="0.2">
      <c r="A149" s="2401"/>
      <c r="B149" s="2378"/>
      <c r="C149" s="1209" t="str">
        <f>F!C256</f>
        <v>impervious surface, e.g., paved road, parking lot, building, exposed rock.</v>
      </c>
      <c r="D149" s="621">
        <f>F!D256</f>
        <v>0</v>
      </c>
      <c r="E149" s="1193">
        <v>0</v>
      </c>
      <c r="F149" s="1193">
        <f>D149*E149</f>
        <v>0</v>
      </c>
      <c r="G149" s="579"/>
      <c r="H149" s="2241"/>
      <c r="I149" s="2263"/>
    </row>
    <row r="150" spans="1:9" ht="27" customHeight="1" thickBot="1" x14ac:dyDescent="0.25">
      <c r="A150" s="2402"/>
      <c r="B150" s="2379"/>
      <c r="C150" s="1240" t="str">
        <f>F!C257</f>
        <v>bare or nearly bare pervious surface or managed vegetation, e.g., lawn, annual crops, mostly-unvegetated clearcut, landslide, unpaved road, dike.</v>
      </c>
      <c r="D150" s="317">
        <f>F!D257</f>
        <v>0</v>
      </c>
      <c r="E150" s="373">
        <v>1</v>
      </c>
      <c r="F150" s="373">
        <f>D150*E150</f>
        <v>0</v>
      </c>
      <c r="G150" s="582"/>
      <c r="H150" s="2242"/>
      <c r="I150" s="2264"/>
    </row>
    <row r="151" spans="1:9" ht="60" customHeight="1" thickBot="1" x14ac:dyDescent="0.25">
      <c r="A151" s="1233" t="str">
        <f>F!A258</f>
        <v>F54</v>
      </c>
      <c r="B151" s="1217" t="str">
        <f>F!B258</f>
        <v xml:space="preserve">Cliffs, Steep Banks, or Salt Lick </v>
      </c>
      <c r="C151" s="1247" t="str">
        <f>F!C258</f>
        <v>In the AA or within 100 m, there is a known salt lick, or elevated terrestrial features such as cliffs, talus slopes, stream banks, or excavated pits (but not riprap) that extend at least 2 m nearly vertically, are unvegetated, and potentially contain crevices or other substrate suitable for nesting or den areas.  Enter 1 (yes) or 0 (no).</v>
      </c>
      <c r="D151" s="1266">
        <f>F!D258</f>
        <v>0</v>
      </c>
      <c r="E151" s="590">
        <v>1</v>
      </c>
      <c r="F151" s="1203">
        <f>D151*E151</f>
        <v>0</v>
      </c>
      <c r="G151" s="1204" t="str">
        <f>IF((D151=0),"",1)</f>
        <v/>
      </c>
      <c r="H151" s="981" t="s">
        <v>183</v>
      </c>
      <c r="I151" s="998" t="s">
        <v>303</v>
      </c>
    </row>
    <row r="152" spans="1:9" ht="66" customHeight="1" thickBot="1" x14ac:dyDescent="0.25">
      <c r="A152" s="2382" t="str">
        <f>F!A280</f>
        <v>F59</v>
      </c>
      <c r="B152" s="2397" t="str">
        <f>F!B280</f>
        <v xml:space="preserve">Unvisited Core Area </v>
      </c>
      <c r="C152" s="1239" t="str">
        <f>F!C280</f>
        <v>The percentage of the AA almost never visited by humans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52" s="1191"/>
      <c r="E152" s="1192"/>
      <c r="F152" s="578"/>
      <c r="G152" s="342">
        <f>MAX(F153:F158)/MAX(E153:E158)</f>
        <v>0</v>
      </c>
      <c r="H152" s="2258" t="s">
        <v>184</v>
      </c>
      <c r="I152" s="2262" t="s">
        <v>338</v>
      </c>
    </row>
    <row r="153" spans="1:9" ht="15" customHeight="1" x14ac:dyDescent="0.2">
      <c r="A153" s="2380"/>
      <c r="B153" s="2378"/>
      <c r="C153" s="1237" t="str">
        <f>F!C281</f>
        <v>&lt;5% and no inhabited building is within 100 m of the AA</v>
      </c>
      <c r="D153" s="1200">
        <f>F!D281</f>
        <v>0</v>
      </c>
      <c r="E153" s="793">
        <v>1</v>
      </c>
      <c r="F153" s="1193">
        <f t="shared" ref="F153:F158" si="6">D153*E153</f>
        <v>0</v>
      </c>
      <c r="G153" s="579"/>
      <c r="H153" s="2241"/>
      <c r="I153" s="2263"/>
    </row>
    <row r="154" spans="1:9" ht="15" customHeight="1" x14ac:dyDescent="0.2">
      <c r="A154" s="2380"/>
      <c r="B154" s="2378"/>
      <c r="C154" s="1238" t="str">
        <f>F!C282</f>
        <v>&lt;5% and inhabited building is within 100 m of the AA</v>
      </c>
      <c r="D154" s="1200">
        <f>F!D282</f>
        <v>0</v>
      </c>
      <c r="E154" s="793">
        <v>0</v>
      </c>
      <c r="F154" s="1193">
        <f t="shared" si="6"/>
        <v>0</v>
      </c>
      <c r="G154" s="580"/>
      <c r="H154" s="2241"/>
      <c r="I154" s="2263"/>
    </row>
    <row r="155" spans="1:9" ht="15" customHeight="1" x14ac:dyDescent="0.2">
      <c r="A155" s="2380"/>
      <c r="B155" s="2378"/>
      <c r="C155" s="1238" t="str">
        <f>F!C283</f>
        <v>5-50% and no inhabited building is within 100 m of the AA</v>
      </c>
      <c r="D155" s="1200">
        <f>F!D283</f>
        <v>0</v>
      </c>
      <c r="E155" s="793">
        <v>3</v>
      </c>
      <c r="F155" s="1193">
        <f t="shared" si="6"/>
        <v>0</v>
      </c>
      <c r="G155" s="580"/>
      <c r="H155" s="2241"/>
      <c r="I155" s="2263"/>
    </row>
    <row r="156" spans="1:9" ht="15" customHeight="1" x14ac:dyDescent="0.2">
      <c r="A156" s="2380"/>
      <c r="B156" s="2378"/>
      <c r="C156" s="1238" t="str">
        <f>F!C284</f>
        <v>5-50% and inhabited building is within 100 m of the AA</v>
      </c>
      <c r="D156" s="1200">
        <f>F!D284</f>
        <v>0</v>
      </c>
      <c r="E156" s="793">
        <v>2</v>
      </c>
      <c r="F156" s="1193">
        <f t="shared" si="6"/>
        <v>0</v>
      </c>
      <c r="G156" s="623"/>
      <c r="H156" s="2241"/>
      <c r="I156" s="2263"/>
    </row>
    <row r="157" spans="1:9" ht="15" customHeight="1" x14ac:dyDescent="0.2">
      <c r="A157" s="2380"/>
      <c r="B157" s="2378"/>
      <c r="C157" s="1238" t="str">
        <f>F!C285</f>
        <v>50-95%</v>
      </c>
      <c r="D157" s="1200">
        <f>F!D285</f>
        <v>0</v>
      </c>
      <c r="E157" s="793">
        <v>4</v>
      </c>
      <c r="F157" s="1193">
        <f t="shared" si="6"/>
        <v>0</v>
      </c>
      <c r="G157" s="623"/>
      <c r="H157" s="2241"/>
      <c r="I157" s="2263"/>
    </row>
    <row r="158" spans="1:9" ht="15" customHeight="1" thickBot="1" x14ac:dyDescent="0.25">
      <c r="A158" s="2384"/>
      <c r="B158" s="2379"/>
      <c r="C158" s="1240" t="str">
        <f>F!C286</f>
        <v>&gt;95% of the AA</v>
      </c>
      <c r="D158" s="317">
        <f>F!D286</f>
        <v>0</v>
      </c>
      <c r="E158" s="383">
        <v>5</v>
      </c>
      <c r="F158" s="373">
        <f t="shared" si="6"/>
        <v>0</v>
      </c>
      <c r="G158" s="582"/>
      <c r="H158" s="2242"/>
      <c r="I158" s="2264"/>
    </row>
    <row r="159" spans="1:9" ht="72" customHeight="1" thickBot="1" x14ac:dyDescent="0.25">
      <c r="A159" s="2380" t="str">
        <f>F!A287</f>
        <v>F60</v>
      </c>
      <c r="B159" s="2393" t="str">
        <f>F!B287</f>
        <v>Frequently Visited Area</v>
      </c>
      <c r="C159" s="1208" t="str">
        <f>F!C287</f>
        <v>The percentage of the AA visited by humans almost daily for several weeks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59" s="574"/>
      <c r="E159" s="384"/>
      <c r="F159" s="585"/>
      <c r="G159" s="567">
        <f>MAX(F160:F163)/MAX(E160:E163)</f>
        <v>0</v>
      </c>
      <c r="H159" s="2258" t="s">
        <v>185</v>
      </c>
      <c r="I159" s="2263" t="s">
        <v>107</v>
      </c>
    </row>
    <row r="160" spans="1:9" ht="15" customHeight="1" x14ac:dyDescent="0.2">
      <c r="A160" s="2381"/>
      <c r="B160" s="2378"/>
      <c r="C160" s="1237" t="str">
        <f>F!C288</f>
        <v>&lt;5%.  If F59 was answered "&gt;95%", SKIP to F63 (Consumptive Uses).</v>
      </c>
      <c r="D160" s="314">
        <f>F!D288</f>
        <v>0</v>
      </c>
      <c r="E160" s="382">
        <v>3</v>
      </c>
      <c r="F160" s="370">
        <f>D160*E160</f>
        <v>0</v>
      </c>
      <c r="G160" s="579"/>
      <c r="H160" s="2241"/>
      <c r="I160" s="2263"/>
    </row>
    <row r="161" spans="1:10" ht="15" customHeight="1" x14ac:dyDescent="0.2">
      <c r="A161" s="2381"/>
      <c r="B161" s="2378"/>
      <c r="C161" s="1238" t="str">
        <f>F!C289</f>
        <v>5-50%</v>
      </c>
      <c r="D161" s="316">
        <f>F!D289</f>
        <v>0</v>
      </c>
      <c r="E161" s="382">
        <v>2</v>
      </c>
      <c r="F161" s="370">
        <f>D161*E161</f>
        <v>0</v>
      </c>
      <c r="G161" s="580"/>
      <c r="H161" s="2241"/>
      <c r="I161" s="2263"/>
    </row>
    <row r="162" spans="1:10" ht="15" customHeight="1" x14ac:dyDescent="0.2">
      <c r="A162" s="2381"/>
      <c r="B162" s="2378"/>
      <c r="C162" s="1238" t="str">
        <f>F!C290</f>
        <v>50-95%</v>
      </c>
      <c r="D162" s="316">
        <f>F!D290</f>
        <v>0</v>
      </c>
      <c r="E162" s="382">
        <v>1</v>
      </c>
      <c r="F162" s="370">
        <f>D162*E162</f>
        <v>0</v>
      </c>
      <c r="G162" s="580"/>
      <c r="H162" s="2241"/>
      <c r="I162" s="2263"/>
    </row>
    <row r="163" spans="1:10" ht="15" customHeight="1" thickBot="1" x14ac:dyDescent="0.25">
      <c r="A163" s="2381"/>
      <c r="B163" s="2378"/>
      <c r="C163" s="1210" t="str">
        <f>F!C291</f>
        <v>&gt;95% of the AA</v>
      </c>
      <c r="D163" s="313">
        <f>F!D291</f>
        <v>0</v>
      </c>
      <c r="E163" s="385">
        <v>0</v>
      </c>
      <c r="F163" s="371">
        <f>D163*E163</f>
        <v>0</v>
      </c>
      <c r="G163" s="576"/>
      <c r="H163" s="2242"/>
      <c r="I163" s="2263"/>
    </row>
    <row r="164" spans="1:10" ht="60" customHeight="1" thickBot="1" x14ac:dyDescent="0.25">
      <c r="A164" s="1400" t="str">
        <f>F!A293</f>
        <v>F62</v>
      </c>
      <c r="B164" s="1399" t="str">
        <f>F!B293</f>
        <v>BMP - Wildlife Protection</v>
      </c>
      <c r="C164" s="1453" t="str">
        <f>F!C293</f>
        <v xml:space="preserve">Fences, observation blinds, platforms, paved trails, exclusion periods, and/or well-enforced prohibitions on motorized boats, off-leash pets, and off road vehicles appear to effectively exclude or divert visitors and their pets from the AA at critical times in order to minimize disturbance of wildlife (except during hunting seasons).  Enter "1" if true. </v>
      </c>
      <c r="D164" s="1454">
        <f>F!D293</f>
        <v>0</v>
      </c>
      <c r="E164" s="1455"/>
      <c r="F164" s="1456"/>
      <c r="G164" s="1457">
        <f>IF((D158+D160&gt;1),"",D164)</f>
        <v>0</v>
      </c>
      <c r="H164" s="1366" t="s">
        <v>1269</v>
      </c>
      <c r="I164" s="1394" t="s">
        <v>2134</v>
      </c>
    </row>
    <row r="165" spans="1:10" ht="84" customHeight="1" thickBot="1" x14ac:dyDescent="0.25">
      <c r="A165" s="2375" t="str">
        <f>F!A328</f>
        <v>F69</v>
      </c>
      <c r="B165" s="2373" t="str">
        <f>F!B328</f>
        <v>Plants or Animals of Conservation Concern</v>
      </c>
      <c r="C165" s="1137" t="str">
        <f>F!C328</f>
        <v xml:space="preserve">If required, survey the AA for plant or animal species believed to be of conservation concern in Alberta (see list on Form F in Appendix A of Manual).  Do so at appropriate times of the year, especially if the data review conducted during the office phase of this assessment indicated their past presence in the general vicinity.  If you do detect these species or have reliable knowledge of their recent (within ~5 years) occurrence within the AA, indicate that below.  </v>
      </c>
      <c r="D165" s="792"/>
      <c r="E165" s="792"/>
      <c r="F165" s="1148"/>
      <c r="G165" s="792"/>
      <c r="H165" s="1461"/>
      <c r="I165" s="2087" t="s">
        <v>2245</v>
      </c>
    </row>
    <row r="166" spans="1:10" ht="15" customHeight="1" thickBot="1" x14ac:dyDescent="0.25">
      <c r="A166" s="2376"/>
      <c r="B166" s="2374"/>
      <c r="C166" s="1459" t="str">
        <f>F!C333</f>
        <v>One or more of the rare songbird or mammal species was detected within the AA.</v>
      </c>
      <c r="D166" s="1471">
        <f>F!D333</f>
        <v>0</v>
      </c>
      <c r="E166" s="383"/>
      <c r="F166" s="353"/>
      <c r="G166" s="1460" t="str">
        <f>IF((D166=1),1,"")</f>
        <v/>
      </c>
      <c r="H166" s="1462" t="s">
        <v>2239</v>
      </c>
      <c r="I166" s="2088"/>
    </row>
    <row r="167" spans="1:10" ht="21" customHeight="1" thickBot="1" x14ac:dyDescent="0.25">
      <c r="A167" s="28"/>
      <c r="B167" s="28"/>
      <c r="D167" s="1458"/>
      <c r="E167" s="1458"/>
      <c r="F167" s="1458"/>
      <c r="G167" s="1458"/>
      <c r="H167" s="168"/>
      <c r="I167" s="168"/>
    </row>
    <row r="168" spans="1:10" s="39" customFormat="1" ht="21" customHeight="1" thickBot="1" x14ac:dyDescent="0.25">
      <c r="A168" s="29"/>
      <c r="B168" s="29"/>
      <c r="C168" s="833" t="s">
        <v>1173</v>
      </c>
      <c r="D168" s="1443"/>
      <c r="E168" s="1443"/>
      <c r="F168" s="1443"/>
      <c r="G168" s="1443"/>
      <c r="H168" s="162"/>
      <c r="I168" s="162"/>
      <c r="J168" s="200"/>
    </row>
    <row r="169" spans="1:10" s="39" customFormat="1" ht="60" customHeight="1" thickBot="1" x14ac:dyDescent="0.25">
      <c r="A169" s="1096"/>
      <c r="B169" s="1363" t="s">
        <v>1115</v>
      </c>
      <c r="C169" s="1258" t="s">
        <v>1987</v>
      </c>
      <c r="D169" s="325"/>
      <c r="E169" s="325"/>
      <c r="F169" s="325"/>
      <c r="G169" s="530">
        <f>IF((GT10HA=1),G170, IFERROR((AVERAGE(WetVegArea, Vwidth14, ClassRichIn14) + AVERAGE(WetPerim2Area, Inclus14) + AVERAGE(WatProb, SatPct14, PondedOWpct14) + AVERAGE(WoodyPct14, TreePct14, ShrubCanop14, ShrubDiv14, HerbDom14, TreeTypes14, SnagD14, WoodDown14, Cliffs14) + AVERAGE(Interspers14, WoodPatt14)) /5,""))</f>
        <v>0.05</v>
      </c>
      <c r="H169" s="162"/>
      <c r="I169" s="162"/>
      <c r="J169" s="214"/>
    </row>
    <row r="170" spans="1:10" s="39" customFormat="1" ht="21" customHeight="1" thickBot="1" x14ac:dyDescent="0.25">
      <c r="A170" s="1096"/>
      <c r="B170" s="1365" t="s">
        <v>1116</v>
      </c>
      <c r="C170" s="1228" t="s">
        <v>1986</v>
      </c>
      <c r="D170" s="327"/>
      <c r="E170" s="327"/>
      <c r="F170" s="327"/>
      <c r="G170" s="1259" t="str">
        <f>IFERROR((AVERAGE(WetVegArea, Vwidth14, ClassRichIn) + AVERAGE(WetPerim2Area, Inclus14) + AVERAGE(1-WatProb, SatPct14,1- OWpct) + AVERAGE(WetWooded, ShrubCanop14, ShrubDiv14, HerbDom14, TreeTypes14, SnagD14, WoodDown14, Cliffs14) + AVERAGE(MixWaterVeg, MixHerbWood)) /5,"")</f>
        <v/>
      </c>
      <c r="H170" s="162"/>
      <c r="I170" s="162"/>
      <c r="J170" s="214"/>
    </row>
    <row r="171" spans="1:10" s="39" customFormat="1" ht="21" customHeight="1" thickBot="1" x14ac:dyDescent="0.25">
      <c r="A171" s="191"/>
      <c r="B171" s="191"/>
      <c r="C171" s="49"/>
      <c r="D171" s="1437"/>
      <c r="E171" s="1437"/>
      <c r="F171" s="1437"/>
      <c r="G171" s="1437"/>
      <c r="H171" s="162"/>
      <c r="I171" s="162"/>
      <c r="J171" s="199"/>
    </row>
    <row r="172" spans="1:10" s="39" customFormat="1" ht="21" customHeight="1" thickBot="1" x14ac:dyDescent="0.25">
      <c r="A172" s="191"/>
      <c r="B172" s="191"/>
      <c r="C172" s="833" t="s">
        <v>1174</v>
      </c>
      <c r="D172" s="734"/>
      <c r="E172" s="734"/>
      <c r="F172" s="734"/>
      <c r="G172" s="734"/>
      <c r="H172" s="162"/>
      <c r="I172" s="162"/>
      <c r="J172" s="199"/>
    </row>
    <row r="173" spans="1:10" s="39" customFormat="1" ht="30" customHeight="1" thickBot="1" x14ac:dyDescent="0.25">
      <c r="A173" s="1096"/>
      <c r="B173" s="1363" t="s">
        <v>1115</v>
      </c>
      <c r="C173" s="1260" t="s">
        <v>1989</v>
      </c>
      <c r="D173" s="1261"/>
      <c r="E173" s="1261"/>
      <c r="F173" s="1262"/>
      <c r="G173" s="530">
        <f>IF((GT10HA=1),G174, IFERROR((MAX(RaptorNest, BioDivZone, Spring) + AVERAGE(GrowDD, RipFloodpl, Wettype14, Hardwd14, Sedge14, ForbCov14,  Beaver14a)) /2,""))</f>
        <v>0</v>
      </c>
      <c r="H173" s="162"/>
      <c r="I173" s="162"/>
    </row>
    <row r="174" spans="1:10" s="39" customFormat="1" ht="29.25" customHeight="1" thickBot="1" x14ac:dyDescent="0.25">
      <c r="A174" s="1096"/>
      <c r="B174" s="1365" t="s">
        <v>1116</v>
      </c>
      <c r="C174" s="1228" t="s">
        <v>1988</v>
      </c>
      <c r="D174" s="1263"/>
      <c r="E174" s="1263"/>
      <c r="F174" s="1264"/>
      <c r="G174" s="781">
        <f>IFERROR((MAX(RaptorNest, BioDivZone, Spring) + AVERAGE(GrowDD, RipFloodpl, FenMarshSwamp, Hardwd14, Sedge14, ForbCov14,  Beaver14)) /2,"")</f>
        <v>0</v>
      </c>
      <c r="H174" s="162"/>
      <c r="I174" s="162"/>
      <c r="J174" s="199"/>
    </row>
    <row r="175" spans="1:10" s="39" customFormat="1" ht="21" customHeight="1" thickBot="1" x14ac:dyDescent="0.25">
      <c r="A175" s="191"/>
      <c r="B175" s="191"/>
      <c r="C175" s="49"/>
      <c r="D175" s="1437"/>
      <c r="E175" s="1437"/>
      <c r="F175" s="1437"/>
      <c r="G175" s="1437"/>
      <c r="H175" s="162"/>
      <c r="I175" s="162"/>
      <c r="J175" s="199"/>
    </row>
    <row r="176" spans="1:10" s="39" customFormat="1" ht="21" customHeight="1" thickBot="1" x14ac:dyDescent="0.25">
      <c r="A176" s="191"/>
      <c r="B176" s="191"/>
      <c r="C176" s="833" t="s">
        <v>1175</v>
      </c>
      <c r="D176" s="734"/>
      <c r="E176" s="734"/>
      <c r="F176" s="734"/>
      <c r="G176" s="734"/>
      <c r="H176" s="162"/>
      <c r="I176" s="162"/>
      <c r="J176" s="213"/>
    </row>
    <row r="177" spans="1:16" s="39" customFormat="1" ht="29.25" customHeight="1" thickBot="1" x14ac:dyDescent="0.25">
      <c r="A177" s="1407"/>
      <c r="B177" s="1403"/>
      <c r="C177" s="99" t="s">
        <v>1990</v>
      </c>
      <c r="D177" s="1430"/>
      <c r="E177" s="420"/>
      <c r="F177" s="420"/>
      <c r="G177" s="530">
        <f>IFERROR(AVERAGE(PerimNatCov, NatCov1k, ClassRich1k, WetDens1k, VegCon1k, CUbuffNatPct14),"")</f>
        <v>0</v>
      </c>
      <c r="H177" s="162"/>
      <c r="I177" s="162"/>
      <c r="J177" s="213"/>
    </row>
    <row r="178" spans="1:16" s="44" customFormat="1" ht="21" customHeight="1" thickBot="1" x14ac:dyDescent="0.25">
      <c r="A178" s="1438"/>
      <c r="B178" s="1438"/>
      <c r="C178" s="206"/>
      <c r="D178" s="1439"/>
      <c r="E178" s="1439"/>
      <c r="F178" s="1439"/>
      <c r="G178" s="1439"/>
      <c r="H178" s="162"/>
      <c r="I178" s="162"/>
      <c r="J178" s="213"/>
    </row>
    <row r="179" spans="1:16" s="39" customFormat="1" ht="21" customHeight="1" thickBot="1" x14ac:dyDescent="0.25">
      <c r="A179" s="1438"/>
      <c r="B179" s="1438"/>
      <c r="C179" s="833" t="s">
        <v>1320</v>
      </c>
      <c r="D179" s="1440"/>
      <c r="E179" s="1440"/>
      <c r="F179" s="1440"/>
      <c r="G179" s="1440"/>
      <c r="H179" s="162"/>
      <c r="I179" s="162"/>
      <c r="J179" s="199"/>
    </row>
    <row r="180" spans="1:16" s="39" customFormat="1" ht="30" customHeight="1" thickBot="1" x14ac:dyDescent="0.25">
      <c r="A180" s="1407"/>
      <c r="B180" s="1403"/>
      <c r="C180" s="99" t="s">
        <v>1991</v>
      </c>
      <c r="D180" s="1430"/>
      <c r="E180" s="420"/>
      <c r="F180" s="1054"/>
      <c r="G180" s="530">
        <f>IFERROR(AVERAGE(1-WQrisk, Dist2DevCrop, 1-WindWin, 1-RdDens1k, Dist2Road, DistPop, Core14a, Core14b, BMP_14),"")</f>
        <v>0.5</v>
      </c>
      <c r="H180" s="162"/>
      <c r="I180" s="162"/>
      <c r="J180" s="199"/>
    </row>
    <row r="181" spans="1:16" s="39" customFormat="1" ht="21" customHeight="1" thickBot="1" x14ac:dyDescent="0.25">
      <c r="A181" s="191"/>
      <c r="B181" s="191"/>
      <c r="C181" s="49"/>
      <c r="D181" s="1437"/>
      <c r="E181" s="1437"/>
      <c r="F181" s="1437"/>
      <c r="G181" s="1437"/>
      <c r="H181" s="162"/>
      <c r="I181" s="162"/>
      <c r="J181" s="199"/>
    </row>
    <row r="182" spans="1:16" s="39" customFormat="1" ht="21" customHeight="1" thickBot="1" x14ac:dyDescent="0.25">
      <c r="A182" s="191"/>
      <c r="B182" s="191"/>
      <c r="C182" s="1635" t="s">
        <v>1339</v>
      </c>
      <c r="H182" s="162"/>
      <c r="I182" s="162"/>
      <c r="J182" s="199"/>
    </row>
    <row r="183" spans="1:16" s="39" customFormat="1" ht="21" customHeight="1" thickBot="1" x14ac:dyDescent="0.25">
      <c r="A183" s="191"/>
      <c r="B183" s="191"/>
      <c r="C183" s="918" t="s">
        <v>1182</v>
      </c>
      <c r="D183" s="734"/>
      <c r="E183" s="734"/>
      <c r="F183" s="734"/>
      <c r="G183" s="734"/>
      <c r="H183" s="162"/>
      <c r="I183" s="162"/>
      <c r="J183" s="199"/>
    </row>
    <row r="184" spans="1:16" s="39" customFormat="1" ht="27.75" customHeight="1" thickBot="1" x14ac:dyDescent="0.25">
      <c r="A184" s="191"/>
      <c r="B184" s="191"/>
      <c r="C184" s="101" t="s">
        <v>2222</v>
      </c>
      <c r="D184" s="420"/>
      <c r="E184" s="420"/>
      <c r="F184" s="1054"/>
      <c r="G184" s="1415">
        <f>IF((RareSBM=1),10, 10*AVERAGE(UniqClass,HabStrucS1a, CfixS1a, LscapeS1a, StressS1a))</f>
        <v>1.375</v>
      </c>
      <c r="H184" s="162"/>
      <c r="I184" s="162"/>
      <c r="J184" s="199"/>
    </row>
    <row r="185" spans="1:16" s="5" customFormat="1" ht="21" customHeight="1" thickBot="1" x14ac:dyDescent="0.25">
      <c r="A185" s="191"/>
      <c r="B185" s="191"/>
      <c r="C185" s="1402"/>
      <c r="D185" s="1402"/>
      <c r="E185" s="1077"/>
      <c r="F185" s="1077"/>
      <c r="G185" s="1077"/>
      <c r="H185" s="1441"/>
      <c r="I185" s="178" t="s">
        <v>357</v>
      </c>
      <c r="J185" s="215"/>
      <c r="K185" s="154"/>
      <c r="L185" s="154"/>
      <c r="M185" s="154"/>
      <c r="N185" s="154"/>
      <c r="O185" s="154"/>
      <c r="P185" s="154"/>
    </row>
    <row r="186" spans="1:16" s="5" customFormat="1" ht="27" customHeight="1" x14ac:dyDescent="0.2">
      <c r="A186" s="1544"/>
      <c r="B186" s="1544"/>
      <c r="C186" s="1534" t="s">
        <v>1336</v>
      </c>
      <c r="D186" s="1586"/>
      <c r="E186" s="1077"/>
      <c r="F186" s="1077"/>
      <c r="G186" s="1077"/>
      <c r="H186" s="1441"/>
      <c r="I186" s="182" t="s">
        <v>456</v>
      </c>
      <c r="J186" s="215"/>
      <c r="K186" s="154"/>
      <c r="L186" s="154"/>
      <c r="M186" s="154"/>
      <c r="N186" s="154"/>
      <c r="O186" s="154"/>
      <c r="P186" s="154"/>
    </row>
    <row r="187" spans="1:16" s="176" customFormat="1" ht="42.75" customHeight="1" x14ac:dyDescent="0.2">
      <c r="A187" s="1526"/>
      <c r="B187" s="1526">
        <v>1</v>
      </c>
      <c r="C187" s="1532" t="s">
        <v>1233</v>
      </c>
      <c r="D187" s="1652"/>
      <c r="E187" s="1077"/>
      <c r="F187" s="1077"/>
      <c r="G187" s="1077"/>
      <c r="H187" s="1441"/>
      <c r="I187" s="179" t="s">
        <v>457</v>
      </c>
      <c r="J187" s="214"/>
      <c r="K187" s="168"/>
      <c r="L187" s="168"/>
      <c r="M187" s="168"/>
      <c r="N187" s="168"/>
      <c r="O187" s="168"/>
      <c r="P187" s="168"/>
    </row>
    <row r="188" spans="1:16" s="176" customFormat="1" ht="27" customHeight="1" x14ac:dyDescent="0.2">
      <c r="A188" s="1526"/>
      <c r="B188" s="1533" t="s">
        <v>1227</v>
      </c>
      <c r="C188" s="1532" t="s">
        <v>2213</v>
      </c>
      <c r="D188" s="1527" t="str">
        <f>IFERROR(AVERAGE(WetVegArea,ClassRichIn),"")</f>
        <v/>
      </c>
      <c r="E188" s="1077"/>
      <c r="F188" s="1077"/>
      <c r="G188" s="1077"/>
      <c r="H188" s="1441"/>
      <c r="I188" s="179" t="s">
        <v>458</v>
      </c>
      <c r="J188" s="214"/>
      <c r="K188" s="168"/>
      <c r="L188" s="168"/>
      <c r="M188" s="168"/>
      <c r="N188" s="168"/>
      <c r="O188" s="168"/>
      <c r="P188" s="168"/>
    </row>
    <row r="189" spans="1:16" s="176" customFormat="1" ht="27" customHeight="1" x14ac:dyDescent="0.2">
      <c r="A189" s="1526"/>
      <c r="B189" s="1533" t="s">
        <v>1228</v>
      </c>
      <c r="C189" s="1532" t="s">
        <v>1420</v>
      </c>
      <c r="D189" s="1527">
        <f>IFERROR(AVERAGE(MixHerbWood, MixWaterVeg, MarshFenSwamp,1- OWpct),"")</f>
        <v>1</v>
      </c>
      <c r="E189" s="1077"/>
      <c r="F189" s="1077"/>
      <c r="G189" s="1077"/>
      <c r="H189" s="1441"/>
      <c r="I189" s="179" t="s">
        <v>646</v>
      </c>
      <c r="J189" s="214"/>
      <c r="K189" s="168"/>
      <c r="L189" s="168"/>
      <c r="M189" s="168"/>
      <c r="N189" s="168"/>
      <c r="O189" s="168"/>
      <c r="P189" s="168"/>
    </row>
    <row r="190" spans="1:16" s="176" customFormat="1" ht="27" customHeight="1" x14ac:dyDescent="0.2">
      <c r="A190" s="1526"/>
      <c r="B190" s="1533" t="s">
        <v>1229</v>
      </c>
      <c r="C190" s="1532" t="s">
        <v>1347</v>
      </c>
      <c r="D190" s="1527" t="str">
        <f>IFERROR(AVERAGE(ClassRich1k, WetDens1k),"")</f>
        <v/>
      </c>
      <c r="E190" s="1077"/>
      <c r="F190" s="1077"/>
      <c r="G190" s="1077"/>
      <c r="H190" s="1441"/>
      <c r="I190" s="179" t="s">
        <v>459</v>
      </c>
      <c r="J190" s="214"/>
      <c r="K190" s="168"/>
      <c r="L190" s="168"/>
      <c r="M190" s="168"/>
      <c r="N190" s="168"/>
      <c r="O190" s="168"/>
      <c r="P190" s="168"/>
    </row>
    <row r="191" spans="1:16" s="176" customFormat="1" ht="39.75" customHeight="1" x14ac:dyDescent="0.2">
      <c r="A191" s="1526"/>
      <c r="B191" s="1533" t="s">
        <v>1234</v>
      </c>
      <c r="C191" s="1532" t="s">
        <v>2214</v>
      </c>
      <c r="D191" s="1527" t="str">
        <f>IFERROR(AVERAGE(BioDivZone, RaptorNest, RipFloodpl),"")</f>
        <v/>
      </c>
      <c r="E191" s="1077"/>
      <c r="F191" s="1077"/>
      <c r="G191" s="1077"/>
      <c r="H191" s="1441"/>
      <c r="I191" s="179" t="s">
        <v>460</v>
      </c>
      <c r="J191" s="214"/>
      <c r="K191" s="168"/>
      <c r="L191" s="168"/>
      <c r="M191" s="168"/>
      <c r="N191" s="168"/>
      <c r="O191" s="168"/>
      <c r="P191" s="168"/>
    </row>
    <row r="192" spans="1:16" s="176" customFormat="1" ht="42" customHeight="1" x14ac:dyDescent="0.2">
      <c r="A192" s="1526"/>
      <c r="B192" s="1533" t="s">
        <v>1240</v>
      </c>
      <c r="C192" s="1532" t="s">
        <v>2215</v>
      </c>
      <c r="D192" s="1527">
        <f>IFERROR(AVERAGE(1-WindWin, Dist2DevCrop, NatCov1k, VegCon1k, Dist2Road, 1-RdDens1k),"")</f>
        <v>1</v>
      </c>
      <c r="E192" s="1077"/>
      <c r="F192" s="1077"/>
      <c r="G192" s="1077"/>
      <c r="H192" s="1441"/>
      <c r="I192" s="179" t="s">
        <v>461</v>
      </c>
      <c r="J192" s="214"/>
      <c r="K192" s="168"/>
      <c r="L192" s="168"/>
      <c r="M192" s="168"/>
      <c r="N192" s="168"/>
      <c r="O192" s="168"/>
      <c r="P192" s="168"/>
    </row>
    <row r="193" spans="1:16" s="176" customFormat="1" ht="27" customHeight="1" x14ac:dyDescent="0.2">
      <c r="A193" s="1526"/>
      <c r="B193" s="1562">
        <v>2</v>
      </c>
      <c r="C193" s="1532" t="s">
        <v>2216</v>
      </c>
      <c r="D193" s="1527">
        <f>10*AVERAGE(UniqClass, D188:D192)</f>
        <v>10</v>
      </c>
      <c r="E193" s="1077"/>
      <c r="F193" s="1077"/>
      <c r="G193" s="1077"/>
      <c r="H193" s="1441"/>
      <c r="I193" s="179" t="s">
        <v>1103</v>
      </c>
      <c r="J193" s="214"/>
      <c r="K193" s="168"/>
      <c r="L193" s="168"/>
      <c r="M193" s="168"/>
      <c r="N193" s="168"/>
      <c r="O193" s="168"/>
      <c r="P193" s="168"/>
    </row>
    <row r="194" spans="1:16" s="5" customFormat="1" ht="27" customHeight="1" x14ac:dyDescent="0.2">
      <c r="A194" s="1526"/>
      <c r="B194" s="1537"/>
      <c r="C194" s="1585"/>
      <c r="D194" s="1529"/>
      <c r="E194" s="1077"/>
      <c r="F194" s="1077"/>
      <c r="G194" s="1077"/>
      <c r="H194" s="1441"/>
      <c r="I194" s="179" t="s">
        <v>645</v>
      </c>
      <c r="J194" s="215"/>
      <c r="K194" s="154"/>
      <c r="L194" s="154"/>
      <c r="M194" s="154"/>
      <c r="N194" s="154"/>
      <c r="O194" s="154"/>
      <c r="P194" s="154"/>
    </row>
    <row r="195" spans="1:16" s="5" customFormat="1" ht="27" customHeight="1" x14ac:dyDescent="0.2">
      <c r="A195" s="1526"/>
      <c r="B195" s="1537"/>
      <c r="C195" s="1534" t="s">
        <v>1329</v>
      </c>
      <c r="D195" s="1529"/>
      <c r="E195" s="1077"/>
      <c r="F195" s="1077"/>
      <c r="G195" s="1077"/>
      <c r="H195" s="1441"/>
      <c r="I195" s="179" t="s">
        <v>462</v>
      </c>
      <c r="J195" s="215"/>
      <c r="K195" s="154"/>
      <c r="L195" s="154"/>
      <c r="M195" s="154"/>
      <c r="N195" s="154"/>
      <c r="O195" s="154"/>
      <c r="P195" s="154"/>
    </row>
    <row r="196" spans="1:16" s="5" customFormat="1" ht="37.5" customHeight="1" x14ac:dyDescent="0.2">
      <c r="A196" s="1526"/>
      <c r="B196" s="1526">
        <v>1</v>
      </c>
      <c r="C196" s="1532" t="s">
        <v>1233</v>
      </c>
      <c r="D196" s="1529"/>
      <c r="E196" s="1077"/>
      <c r="F196" s="1077"/>
      <c r="G196" s="1077"/>
      <c r="H196" s="1441"/>
      <c r="I196" s="179" t="s">
        <v>463</v>
      </c>
      <c r="J196" s="215"/>
      <c r="K196" s="154"/>
      <c r="L196" s="154"/>
      <c r="M196" s="154"/>
      <c r="N196" s="154"/>
      <c r="O196" s="154"/>
      <c r="P196" s="154"/>
    </row>
    <row r="197" spans="1:16" s="5" customFormat="1" ht="39.75" customHeight="1" x14ac:dyDescent="0.2">
      <c r="A197" s="1526"/>
      <c r="B197" s="1562" t="s">
        <v>1227</v>
      </c>
      <c r="C197" s="1532" t="s">
        <v>2213</v>
      </c>
      <c r="D197" s="1527" t="str">
        <f>IFERROR(AVERAGE(WetVegArea,ClassRichIn),"")</f>
        <v/>
      </c>
      <c r="E197" s="1077"/>
      <c r="F197" s="1077"/>
      <c r="G197" s="1077"/>
      <c r="H197" s="1441"/>
      <c r="I197" s="179" t="s">
        <v>464</v>
      </c>
      <c r="J197" s="215"/>
      <c r="K197" s="154"/>
      <c r="L197" s="154"/>
      <c r="M197" s="154"/>
      <c r="N197" s="154"/>
      <c r="O197" s="154"/>
      <c r="P197" s="154"/>
    </row>
    <row r="198" spans="1:16" s="5" customFormat="1" ht="40.5" customHeight="1" x14ac:dyDescent="0.2">
      <c r="A198" s="1526"/>
      <c r="B198" s="1562" t="s">
        <v>1228</v>
      </c>
      <c r="C198" s="1532" t="s">
        <v>2217</v>
      </c>
      <c r="D198" s="1527">
        <f>IFERROR(IF((AllSat+AllSat&gt;0),"",IF((SmallAA=1),"", AVERAGE(WoodPatt14, Interspers14, MarshFenSwamp,PondedOWpct14))),"")</f>
        <v>0</v>
      </c>
      <c r="E198" s="1077"/>
      <c r="F198" s="1077"/>
      <c r="G198" s="1077"/>
      <c r="H198" s="1441"/>
      <c r="I198" s="179" t="s">
        <v>2117</v>
      </c>
      <c r="J198" s="215"/>
      <c r="K198" s="154"/>
      <c r="L198" s="154"/>
      <c r="M198" s="154"/>
      <c r="N198" s="154"/>
      <c r="O198" s="154"/>
      <c r="P198" s="154"/>
    </row>
    <row r="199" spans="1:16" s="5" customFormat="1" ht="42" customHeight="1" x14ac:dyDescent="0.2">
      <c r="A199" s="1526"/>
      <c r="B199" s="1562" t="s">
        <v>1229</v>
      </c>
      <c r="C199" s="1532" t="s">
        <v>2218</v>
      </c>
      <c r="D199" s="1527" t="str">
        <f>IFERROR(AVERAGE(ClassRich1k, WetDens1k),"")</f>
        <v/>
      </c>
      <c r="E199" s="1077"/>
      <c r="F199" s="1077"/>
      <c r="G199" s="1077"/>
      <c r="H199" s="1441"/>
      <c r="I199" s="179" t="s">
        <v>465</v>
      </c>
      <c r="J199" s="215"/>
      <c r="K199" s="154"/>
      <c r="L199" s="154"/>
      <c r="M199" s="154"/>
      <c r="N199" s="154"/>
      <c r="O199" s="154"/>
      <c r="P199" s="154"/>
    </row>
    <row r="200" spans="1:16" s="5" customFormat="1" ht="27" customHeight="1" x14ac:dyDescent="0.2">
      <c r="A200" s="1526"/>
      <c r="B200" s="1562" t="s">
        <v>1234</v>
      </c>
      <c r="C200" s="1532" t="s">
        <v>2214</v>
      </c>
      <c r="D200" s="1527" t="str">
        <f>IFERROR(AVERAGE(BioDivZone, RaptorNest, RipFloodpl),"")</f>
        <v/>
      </c>
      <c r="E200" s="1077"/>
      <c r="F200" s="1077"/>
      <c r="G200" s="1077"/>
      <c r="H200" s="1441"/>
      <c r="I200" s="179" t="s">
        <v>466</v>
      </c>
      <c r="J200" s="215"/>
      <c r="K200" s="154"/>
      <c r="L200" s="154"/>
      <c r="M200" s="154"/>
      <c r="N200" s="154"/>
      <c r="O200" s="154"/>
      <c r="P200" s="154"/>
    </row>
    <row r="201" spans="1:16" s="5" customFormat="1" ht="42" customHeight="1" x14ac:dyDescent="0.2">
      <c r="A201" s="1526"/>
      <c r="B201" s="1562" t="s">
        <v>1240</v>
      </c>
      <c r="C201" s="1532" t="s">
        <v>2219</v>
      </c>
      <c r="D201" s="1527">
        <f>IFERROR(AVERAGE(1-WindWin, Dist2DevCrop, NatCov1k, VegCon1k, Dist2Road, 1-RdDens1k),"")</f>
        <v>1</v>
      </c>
      <c r="E201" s="1077"/>
      <c r="F201" s="1077"/>
      <c r="G201" s="1077"/>
      <c r="H201" s="1441"/>
      <c r="I201" s="179" t="s">
        <v>467</v>
      </c>
      <c r="J201" s="215"/>
      <c r="K201" s="154"/>
      <c r="L201" s="154"/>
      <c r="M201" s="154"/>
      <c r="N201" s="154"/>
      <c r="O201" s="154"/>
      <c r="P201" s="154"/>
    </row>
    <row r="202" spans="1:16" s="5" customFormat="1" ht="27" customHeight="1" x14ac:dyDescent="0.2">
      <c r="A202" s="1526"/>
      <c r="B202" s="1562">
        <v>2</v>
      </c>
      <c r="C202" s="1532" t="s">
        <v>2216</v>
      </c>
      <c r="D202" s="1527">
        <f>10*AVERAGE(UniqClass, D197:D201)</f>
        <v>5</v>
      </c>
      <c r="E202" s="1077"/>
      <c r="F202" s="1077"/>
      <c r="G202" s="1077"/>
      <c r="H202" s="1441"/>
      <c r="I202" s="179" t="s">
        <v>2118</v>
      </c>
      <c r="J202" s="215"/>
      <c r="K202" s="154"/>
      <c r="L202" s="154"/>
      <c r="M202" s="154"/>
      <c r="N202" s="154"/>
      <c r="O202" s="154"/>
      <c r="P202" s="154"/>
    </row>
    <row r="203" spans="1:16" s="5" customFormat="1" ht="27" customHeight="1" x14ac:dyDescent="0.2">
      <c r="A203" s="154"/>
      <c r="B203" s="1428"/>
      <c r="C203" s="1428"/>
      <c r="D203" s="1428"/>
      <c r="E203" s="154"/>
      <c r="F203" s="154"/>
      <c r="G203" s="154"/>
      <c r="H203" s="1379"/>
      <c r="I203" s="179" t="s">
        <v>468</v>
      </c>
      <c r="J203" s="215"/>
      <c r="K203" s="154"/>
      <c r="L203" s="154"/>
      <c r="M203" s="154"/>
      <c r="N203" s="154"/>
      <c r="O203" s="154"/>
      <c r="P203" s="154"/>
    </row>
    <row r="204" spans="1:16" ht="27" customHeight="1" x14ac:dyDescent="0.2">
      <c r="A204" s="154"/>
      <c r="B204" s="1428"/>
      <c r="C204" s="1428"/>
      <c r="D204" s="1428"/>
      <c r="E204" s="154"/>
      <c r="F204" s="154"/>
      <c r="G204" s="154"/>
      <c r="H204" s="1379"/>
      <c r="I204" s="179" t="s">
        <v>469</v>
      </c>
      <c r="J204" s="234"/>
    </row>
    <row r="205" spans="1:16" ht="42" customHeight="1" x14ac:dyDescent="0.2">
      <c r="A205" s="154"/>
      <c r="B205" s="1428"/>
      <c r="C205" s="1428"/>
      <c r="D205" s="1428"/>
      <c r="E205" s="154"/>
      <c r="F205" s="154"/>
      <c r="G205" s="154"/>
      <c r="H205" s="1379"/>
      <c r="I205" s="179" t="s">
        <v>470</v>
      </c>
      <c r="J205" s="234"/>
    </row>
    <row r="206" spans="1:16" ht="27" customHeight="1" x14ac:dyDescent="0.2">
      <c r="A206" s="154"/>
      <c r="B206" s="154"/>
      <c r="C206" s="154"/>
      <c r="D206" s="154"/>
      <c r="E206" s="154"/>
      <c r="F206" s="154"/>
      <c r="G206" s="154"/>
      <c r="H206" s="1379"/>
      <c r="I206" s="179" t="s">
        <v>471</v>
      </c>
      <c r="J206" s="234"/>
    </row>
    <row r="207" spans="1:16" ht="39.75" customHeight="1" x14ac:dyDescent="0.2">
      <c r="A207" s="154"/>
      <c r="B207" s="154"/>
      <c r="C207" s="154"/>
      <c r="D207" s="154"/>
      <c r="E207" s="154"/>
      <c r="F207" s="154"/>
      <c r="G207" s="154"/>
      <c r="H207" s="1379"/>
      <c r="I207" s="179" t="s">
        <v>472</v>
      </c>
      <c r="J207" s="234"/>
    </row>
    <row r="208" spans="1:16" ht="27" customHeight="1" x14ac:dyDescent="0.2">
      <c r="A208" s="154"/>
      <c r="B208" s="154"/>
      <c r="C208" s="154"/>
      <c r="D208" s="154"/>
      <c r="E208" s="154"/>
      <c r="F208" s="154"/>
      <c r="G208" s="154"/>
      <c r="H208" s="1379"/>
      <c r="I208" s="179" t="s">
        <v>473</v>
      </c>
      <c r="J208" s="234"/>
    </row>
    <row r="209" spans="1:10" ht="27" customHeight="1" x14ac:dyDescent="0.2">
      <c r="A209" s="154"/>
      <c r="B209" s="154"/>
      <c r="C209" s="154"/>
      <c r="D209" s="154"/>
      <c r="E209" s="154"/>
      <c r="F209" s="154"/>
      <c r="G209" s="154"/>
      <c r="H209" s="1379"/>
      <c r="I209" s="179" t="s">
        <v>474</v>
      </c>
      <c r="J209" s="234"/>
    </row>
    <row r="210" spans="1:10" ht="27" customHeight="1" x14ac:dyDescent="0.2">
      <c r="A210" s="154"/>
      <c r="B210" s="154"/>
      <c r="C210" s="154"/>
      <c r="D210" s="154"/>
      <c r="E210" s="154"/>
      <c r="F210" s="154"/>
      <c r="G210" s="154"/>
      <c r="H210" s="1379"/>
      <c r="I210" s="179" t="s">
        <v>475</v>
      </c>
      <c r="J210" s="234"/>
    </row>
    <row r="211" spans="1:10" ht="40.5" customHeight="1" x14ac:dyDescent="0.2">
      <c r="A211" s="154"/>
      <c r="B211" s="154"/>
      <c r="C211" s="154"/>
      <c r="D211" s="154"/>
      <c r="E211" s="154"/>
      <c r="F211" s="154"/>
      <c r="G211" s="154"/>
      <c r="H211" s="1379"/>
      <c r="I211" s="179" t="s">
        <v>2119</v>
      </c>
      <c r="J211" s="234"/>
    </row>
    <row r="212" spans="1:10" ht="27" customHeight="1" x14ac:dyDescent="0.2">
      <c r="A212" s="154"/>
      <c r="B212" s="154"/>
      <c r="C212" s="154"/>
      <c r="D212" s="154"/>
      <c r="E212" s="154"/>
      <c r="F212" s="154"/>
      <c r="G212" s="154"/>
      <c r="H212" s="1379"/>
      <c r="I212" s="179" t="s">
        <v>2116</v>
      </c>
      <c r="J212" s="234"/>
    </row>
    <row r="213" spans="1:10" ht="27" customHeight="1" x14ac:dyDescent="0.2">
      <c r="A213" s="154"/>
      <c r="B213" s="154"/>
      <c r="C213" s="154"/>
      <c r="D213" s="154"/>
      <c r="E213" s="154"/>
      <c r="F213" s="154"/>
      <c r="G213" s="154"/>
      <c r="H213" s="1379"/>
      <c r="I213" s="179" t="s">
        <v>476</v>
      </c>
      <c r="J213" s="234"/>
    </row>
    <row r="214" spans="1:10" ht="40.5" customHeight="1" x14ac:dyDescent="0.2">
      <c r="A214" s="154"/>
      <c r="B214" s="154"/>
      <c r="C214" s="154"/>
      <c r="D214" s="154"/>
      <c r="E214" s="154"/>
      <c r="F214" s="154"/>
      <c r="G214" s="154"/>
      <c r="H214" s="1379"/>
      <c r="I214" s="179" t="s">
        <v>477</v>
      </c>
      <c r="J214" s="234"/>
    </row>
    <row r="215" spans="1:10" ht="27" customHeight="1" x14ac:dyDescent="0.2">
      <c r="A215" s="154"/>
      <c r="B215" s="154"/>
      <c r="C215" s="154"/>
      <c r="D215" s="154"/>
      <c r="E215" s="154"/>
      <c r="F215" s="154"/>
      <c r="G215" s="154"/>
      <c r="H215" s="1379"/>
      <c r="I215" s="179" t="s">
        <v>478</v>
      </c>
      <c r="J215" s="234"/>
    </row>
    <row r="216" spans="1:10" ht="42" customHeight="1" x14ac:dyDescent="0.2">
      <c r="A216" s="154"/>
      <c r="B216" s="154"/>
      <c r="C216" s="154"/>
      <c r="D216" s="154"/>
      <c r="E216" s="154"/>
      <c r="F216" s="154"/>
      <c r="G216" s="154"/>
      <c r="H216" s="1379"/>
      <c r="I216" s="179" t="s">
        <v>479</v>
      </c>
      <c r="J216" s="234"/>
    </row>
    <row r="217" spans="1:10" ht="27" customHeight="1" x14ac:dyDescent="0.2">
      <c r="A217" s="154"/>
      <c r="B217" s="154"/>
      <c r="C217" s="154"/>
      <c r="D217" s="154"/>
      <c r="E217" s="154"/>
      <c r="F217" s="154"/>
      <c r="G217" s="154"/>
      <c r="H217" s="1379"/>
      <c r="I217" s="179" t="s">
        <v>480</v>
      </c>
      <c r="J217" s="234"/>
    </row>
    <row r="218" spans="1:10" ht="27" customHeight="1" x14ac:dyDescent="0.2">
      <c r="A218" s="154"/>
      <c r="B218" s="154"/>
      <c r="C218" s="154"/>
      <c r="D218" s="154"/>
      <c r="E218" s="154"/>
      <c r="F218" s="154"/>
      <c r="G218" s="154"/>
      <c r="H218" s="1379"/>
      <c r="I218" s="179" t="s">
        <v>481</v>
      </c>
      <c r="J218" s="234"/>
    </row>
    <row r="219" spans="1:10" ht="38.25" customHeight="1" x14ac:dyDescent="0.2">
      <c r="A219" s="154"/>
      <c r="B219" s="154"/>
      <c r="C219" s="154"/>
      <c r="D219" s="154"/>
      <c r="E219" s="154"/>
      <c r="F219" s="154"/>
      <c r="G219" s="154"/>
      <c r="H219" s="1379"/>
      <c r="I219" s="179" t="s">
        <v>2115</v>
      </c>
      <c r="J219" s="234"/>
    </row>
    <row r="220" spans="1:10" ht="27" customHeight="1" x14ac:dyDescent="0.2">
      <c r="A220" s="154"/>
      <c r="B220" s="154"/>
      <c r="C220" s="154"/>
      <c r="D220" s="154"/>
      <c r="E220" s="154"/>
      <c r="F220" s="154"/>
      <c r="G220" s="154"/>
      <c r="H220" s="1379"/>
      <c r="I220" s="179" t="s">
        <v>482</v>
      </c>
      <c r="J220" s="234"/>
    </row>
    <row r="221" spans="1:10" ht="37.5" customHeight="1" x14ac:dyDescent="0.2">
      <c r="A221" s="154"/>
      <c r="B221" s="154"/>
      <c r="C221" s="154"/>
      <c r="D221" s="154"/>
      <c r="E221" s="154"/>
      <c r="F221" s="154"/>
      <c r="G221" s="154"/>
      <c r="H221" s="1379"/>
      <c r="I221" s="179" t="s">
        <v>483</v>
      </c>
      <c r="J221" s="234"/>
    </row>
    <row r="222" spans="1:10" ht="27" customHeight="1" x14ac:dyDescent="0.2">
      <c r="A222" s="154"/>
      <c r="B222" s="154"/>
      <c r="C222" s="154"/>
      <c r="D222" s="154"/>
      <c r="E222" s="154"/>
      <c r="F222" s="154"/>
      <c r="G222" s="154"/>
      <c r="H222" s="1379"/>
      <c r="I222" s="179" t="s">
        <v>484</v>
      </c>
      <c r="J222" s="234"/>
    </row>
    <row r="223" spans="1:10" ht="42" customHeight="1" x14ac:dyDescent="0.2">
      <c r="A223" s="154"/>
      <c r="B223" s="154"/>
      <c r="C223" s="154"/>
      <c r="D223" s="154"/>
      <c r="E223" s="154"/>
      <c r="F223" s="154"/>
      <c r="G223" s="154"/>
      <c r="H223" s="1379"/>
      <c r="I223" s="179" t="s">
        <v>485</v>
      </c>
      <c r="J223" s="234"/>
    </row>
    <row r="224" spans="1:10" ht="42" customHeight="1" x14ac:dyDescent="0.2">
      <c r="A224" s="154"/>
      <c r="B224" s="154"/>
      <c r="C224" s="154"/>
      <c r="D224" s="154"/>
      <c r="E224" s="154"/>
      <c r="F224" s="154"/>
      <c r="G224" s="154"/>
      <c r="H224" s="1379"/>
      <c r="I224" s="179" t="s">
        <v>486</v>
      </c>
      <c r="J224" s="234"/>
    </row>
    <row r="225" spans="1:10" ht="42" customHeight="1" x14ac:dyDescent="0.2">
      <c r="A225" s="154"/>
      <c r="B225" s="154"/>
      <c r="C225" s="154"/>
      <c r="D225" s="154"/>
      <c r="E225" s="154"/>
      <c r="F225" s="154"/>
      <c r="G225" s="154"/>
      <c r="H225" s="1379"/>
      <c r="I225" s="179" t="s">
        <v>2223</v>
      </c>
      <c r="J225" s="234"/>
    </row>
    <row r="226" spans="1:10" ht="27" customHeight="1" x14ac:dyDescent="0.2">
      <c r="A226" s="154"/>
      <c r="B226" s="154"/>
      <c r="C226" s="154"/>
      <c r="D226" s="154"/>
      <c r="E226" s="154"/>
      <c r="F226" s="154"/>
      <c r="G226" s="154"/>
      <c r="H226" s="1379"/>
      <c r="I226" s="179" t="s">
        <v>487</v>
      </c>
      <c r="J226" s="234"/>
    </row>
    <row r="227" spans="1:10" ht="42" customHeight="1" x14ac:dyDescent="0.2">
      <c r="A227" s="154"/>
      <c r="B227" s="154"/>
      <c r="C227" s="154"/>
      <c r="D227" s="154"/>
      <c r="E227" s="154"/>
      <c r="F227" s="154"/>
      <c r="G227" s="154"/>
      <c r="H227" s="1379"/>
      <c r="I227" s="179" t="s">
        <v>488</v>
      </c>
      <c r="J227" s="234"/>
    </row>
    <row r="228" spans="1:10" ht="27" customHeight="1" x14ac:dyDescent="0.2">
      <c r="A228" s="154"/>
      <c r="B228" s="154"/>
      <c r="C228" s="154"/>
      <c r="D228" s="154"/>
      <c r="E228" s="154"/>
      <c r="F228" s="154"/>
      <c r="G228" s="154"/>
      <c r="H228" s="1379"/>
      <c r="I228" s="179" t="s">
        <v>489</v>
      </c>
      <c r="J228" s="234"/>
    </row>
    <row r="229" spans="1:10" ht="27" customHeight="1" x14ac:dyDescent="0.2">
      <c r="A229" s="154"/>
      <c r="B229" s="154"/>
      <c r="C229" s="154"/>
      <c r="D229" s="154"/>
      <c r="E229" s="154"/>
      <c r="F229" s="154"/>
      <c r="G229" s="154"/>
      <c r="H229" s="1379"/>
      <c r="I229" s="179" t="s">
        <v>490</v>
      </c>
      <c r="J229" s="234"/>
    </row>
    <row r="230" spans="1:10" ht="39" customHeight="1" x14ac:dyDescent="0.2">
      <c r="A230" s="154"/>
      <c r="B230" s="154"/>
      <c r="C230" s="154"/>
      <c r="D230" s="154"/>
      <c r="E230" s="154"/>
      <c r="F230" s="154"/>
      <c r="G230" s="154"/>
      <c r="H230" s="1379"/>
      <c r="I230" s="179" t="s">
        <v>2224</v>
      </c>
      <c r="J230" s="234"/>
    </row>
    <row r="231" spans="1:10" ht="27" customHeight="1" x14ac:dyDescent="0.2">
      <c r="A231" s="154"/>
      <c r="B231" s="154"/>
      <c r="C231" s="154"/>
      <c r="D231" s="154"/>
      <c r="E231" s="154"/>
      <c r="F231" s="154"/>
      <c r="G231" s="154"/>
      <c r="H231" s="1379"/>
      <c r="I231" s="179" t="s">
        <v>491</v>
      </c>
      <c r="J231" s="234"/>
    </row>
    <row r="232" spans="1:10" ht="42" customHeight="1" x14ac:dyDescent="0.2">
      <c r="A232" s="154"/>
      <c r="B232" s="154"/>
      <c r="C232" s="154"/>
      <c r="D232" s="154"/>
      <c r="E232" s="154"/>
      <c r="F232" s="154"/>
      <c r="G232" s="154"/>
      <c r="H232" s="1379"/>
      <c r="I232" s="179" t="s">
        <v>2257</v>
      </c>
      <c r="J232" s="234"/>
    </row>
    <row r="233" spans="1:10" ht="27" customHeight="1" x14ac:dyDescent="0.2">
      <c r="A233" s="154"/>
      <c r="B233" s="154"/>
      <c r="C233" s="154"/>
      <c r="D233" s="154"/>
      <c r="E233" s="154"/>
      <c r="F233" s="154"/>
      <c r="G233" s="154"/>
      <c r="H233" s="1379"/>
      <c r="I233" s="179" t="s">
        <v>492</v>
      </c>
      <c r="J233" s="234"/>
    </row>
    <row r="234" spans="1:10" ht="42" customHeight="1" x14ac:dyDescent="0.2">
      <c r="A234" s="154"/>
      <c r="B234" s="154"/>
      <c r="C234" s="154"/>
      <c r="D234" s="154"/>
      <c r="E234" s="154"/>
      <c r="F234" s="154"/>
      <c r="G234" s="154"/>
      <c r="H234" s="1379"/>
      <c r="I234" s="179" t="s">
        <v>493</v>
      </c>
      <c r="J234" s="234"/>
    </row>
    <row r="235" spans="1:10" ht="27" customHeight="1" x14ac:dyDescent="0.2">
      <c r="A235" s="154"/>
      <c r="B235" s="154"/>
      <c r="C235" s="154"/>
      <c r="D235" s="154"/>
      <c r="E235" s="154"/>
      <c r="F235" s="154"/>
      <c r="G235" s="154"/>
      <c r="H235" s="1379"/>
      <c r="I235" s="179" t="s">
        <v>2226</v>
      </c>
      <c r="J235" s="234"/>
    </row>
    <row r="236" spans="1:10" ht="42" customHeight="1" x14ac:dyDescent="0.2">
      <c r="A236" s="154"/>
      <c r="B236" s="154"/>
      <c r="C236" s="154"/>
      <c r="D236" s="154"/>
      <c r="E236" s="154"/>
      <c r="F236" s="154"/>
      <c r="G236" s="154"/>
      <c r="H236" s="1379"/>
      <c r="I236" s="179" t="s">
        <v>494</v>
      </c>
      <c r="J236" s="234"/>
    </row>
    <row r="237" spans="1:10" ht="42" customHeight="1" x14ac:dyDescent="0.2">
      <c r="A237" s="154"/>
      <c r="B237" s="154"/>
      <c r="C237" s="154"/>
      <c r="D237" s="154"/>
      <c r="E237" s="154"/>
      <c r="F237" s="154"/>
      <c r="G237" s="154"/>
      <c r="H237" s="1379"/>
      <c r="I237" s="179" t="s">
        <v>495</v>
      </c>
      <c r="J237" s="234"/>
    </row>
    <row r="238" spans="1:10" ht="27" customHeight="1" x14ac:dyDescent="0.2">
      <c r="A238" s="154"/>
      <c r="B238" s="154"/>
      <c r="C238" s="154"/>
      <c r="D238" s="154"/>
      <c r="E238" s="154"/>
      <c r="F238" s="154"/>
      <c r="G238" s="154"/>
      <c r="H238" s="1379"/>
      <c r="I238" s="179" t="s">
        <v>496</v>
      </c>
      <c r="J238" s="234"/>
    </row>
    <row r="239" spans="1:10" ht="27" customHeight="1" x14ac:dyDescent="0.2">
      <c r="A239" s="154"/>
      <c r="B239" s="154"/>
      <c r="C239" s="154"/>
      <c r="D239" s="154"/>
      <c r="E239" s="154"/>
      <c r="F239" s="154"/>
      <c r="G239" s="154"/>
      <c r="H239" s="1379"/>
      <c r="I239" s="179" t="s">
        <v>497</v>
      </c>
      <c r="J239" s="234"/>
    </row>
    <row r="240" spans="1:10" ht="27" customHeight="1" x14ac:dyDescent="0.2">
      <c r="A240" s="154"/>
      <c r="B240" s="154"/>
      <c r="C240" s="154"/>
      <c r="D240" s="154"/>
      <c r="E240" s="154"/>
      <c r="F240" s="154"/>
      <c r="G240" s="154"/>
      <c r="H240" s="1379"/>
      <c r="I240" s="179" t="s">
        <v>498</v>
      </c>
      <c r="J240" s="234"/>
    </row>
    <row r="241" spans="1:10" ht="42" customHeight="1" x14ac:dyDescent="0.2">
      <c r="A241" s="154"/>
      <c r="B241" s="154"/>
      <c r="C241" s="154"/>
      <c r="D241" s="154"/>
      <c r="E241" s="154"/>
      <c r="F241" s="154"/>
      <c r="G241" s="154"/>
      <c r="H241" s="1379"/>
      <c r="I241" s="179" t="s">
        <v>499</v>
      </c>
      <c r="J241" s="234"/>
    </row>
    <row r="242" spans="1:10" ht="27" customHeight="1" x14ac:dyDescent="0.2">
      <c r="A242" s="154"/>
      <c r="B242" s="154"/>
      <c r="C242" s="154"/>
      <c r="D242" s="154"/>
      <c r="E242" s="154"/>
      <c r="F242" s="154"/>
      <c r="G242" s="154"/>
      <c r="H242" s="1379"/>
      <c r="I242" s="179" t="s">
        <v>500</v>
      </c>
      <c r="J242" s="234"/>
    </row>
    <row r="243" spans="1:10" ht="27" customHeight="1" x14ac:dyDescent="0.2">
      <c r="A243" s="154"/>
      <c r="B243" s="154"/>
      <c r="C243" s="154"/>
      <c r="D243" s="154"/>
      <c r="E243" s="154"/>
      <c r="F243" s="154"/>
      <c r="G243" s="154"/>
      <c r="H243" s="1379"/>
      <c r="I243" s="179" t="s">
        <v>501</v>
      </c>
      <c r="J243" s="234"/>
    </row>
    <row r="244" spans="1:10" ht="27" customHeight="1" x14ac:dyDescent="0.2">
      <c r="A244" s="154"/>
      <c r="B244" s="154"/>
      <c r="C244" s="154"/>
      <c r="D244" s="154"/>
      <c r="E244" s="154"/>
      <c r="F244" s="154"/>
      <c r="G244" s="154"/>
      <c r="H244" s="1379"/>
      <c r="I244" s="179" t="s">
        <v>502</v>
      </c>
      <c r="J244" s="234"/>
    </row>
    <row r="245" spans="1:10" ht="27" customHeight="1" x14ac:dyDescent="0.2">
      <c r="A245" s="154"/>
      <c r="B245" s="154"/>
      <c r="C245" s="154"/>
      <c r="D245" s="154"/>
      <c r="E245" s="154"/>
      <c r="F245" s="154"/>
      <c r="G245" s="154"/>
      <c r="H245" s="1379"/>
      <c r="I245" s="183" t="s">
        <v>2225</v>
      </c>
      <c r="J245" s="234"/>
    </row>
    <row r="246" spans="1:10" ht="27" customHeight="1" thickBot="1" x14ac:dyDescent="0.25">
      <c r="A246" s="154"/>
      <c r="B246" s="154"/>
      <c r="C246" s="154"/>
      <c r="D246" s="154"/>
      <c r="E246" s="154"/>
      <c r="F246" s="154"/>
      <c r="G246" s="154"/>
      <c r="H246" s="1379"/>
      <c r="I246" s="184" t="s">
        <v>503</v>
      </c>
      <c r="J246" s="234"/>
    </row>
    <row r="247" spans="1:10" ht="27" customHeight="1" x14ac:dyDescent="0.2">
      <c r="A247" s="154"/>
      <c r="B247" s="154"/>
      <c r="C247" s="154"/>
      <c r="D247" s="154"/>
      <c r="E247" s="154"/>
      <c r="F247" s="154"/>
      <c r="G247" s="154"/>
      <c r="H247" s="154"/>
      <c r="J247" s="234"/>
    </row>
    <row r="248" spans="1:10" ht="27" customHeight="1" x14ac:dyDescent="0.2">
      <c r="A248" s="154"/>
      <c r="B248" s="154"/>
      <c r="C248" s="154"/>
      <c r="D248" s="154"/>
      <c r="E248" s="154"/>
      <c r="F248" s="154"/>
      <c r="G248" s="154"/>
      <c r="H248" s="154"/>
      <c r="J248" s="234"/>
    </row>
    <row r="249" spans="1:10" ht="27" customHeight="1" x14ac:dyDescent="0.2">
      <c r="A249" s="154"/>
      <c r="B249" s="154"/>
      <c r="C249" s="154"/>
      <c r="D249" s="154"/>
      <c r="E249" s="154"/>
      <c r="F249" s="154"/>
      <c r="G249" s="154"/>
      <c r="H249" s="154"/>
      <c r="J249" s="234"/>
    </row>
    <row r="250" spans="1:10" ht="42" customHeight="1" x14ac:dyDescent="0.2">
      <c r="A250" s="154"/>
      <c r="B250" s="154"/>
      <c r="C250" s="154"/>
      <c r="D250" s="154"/>
      <c r="E250" s="154"/>
      <c r="F250" s="154"/>
      <c r="G250" s="154"/>
      <c r="H250" s="154"/>
      <c r="J250" s="234"/>
    </row>
    <row r="251" spans="1:10" ht="27" customHeight="1" x14ac:dyDescent="0.2">
      <c r="A251" s="154"/>
      <c r="B251" s="154"/>
      <c r="C251" s="154"/>
      <c r="D251" s="154"/>
      <c r="E251" s="154"/>
      <c r="F251" s="154"/>
      <c r="G251" s="154"/>
      <c r="H251" s="154"/>
      <c r="J251" s="234"/>
    </row>
    <row r="252" spans="1:10" ht="42" customHeight="1" x14ac:dyDescent="0.2">
      <c r="A252" s="154"/>
      <c r="B252" s="154"/>
      <c r="C252" s="154"/>
      <c r="D252" s="154"/>
      <c r="E252" s="154"/>
      <c r="F252" s="154"/>
      <c r="G252" s="154"/>
      <c r="H252" s="154"/>
      <c r="J252" s="234"/>
    </row>
    <row r="253" spans="1:10" ht="27" customHeight="1" x14ac:dyDescent="0.2">
      <c r="A253" s="154"/>
      <c r="B253" s="154"/>
      <c r="C253" s="154"/>
      <c r="D253" s="154"/>
      <c r="E253" s="154"/>
      <c r="F253" s="154"/>
      <c r="G253" s="154"/>
      <c r="H253" s="154"/>
      <c r="J253" s="234"/>
    </row>
    <row r="254" spans="1:10" ht="39.75" customHeight="1" x14ac:dyDescent="0.2">
      <c r="A254" s="154"/>
      <c r="B254" s="154"/>
      <c r="C254" s="154"/>
      <c r="D254" s="154"/>
      <c r="E254" s="154"/>
      <c r="F254" s="154"/>
      <c r="G254" s="154"/>
      <c r="H254" s="154"/>
      <c r="J254" s="234"/>
    </row>
    <row r="255" spans="1:10" ht="42" customHeight="1" x14ac:dyDescent="0.2">
      <c r="A255" s="154"/>
      <c r="B255" s="154"/>
      <c r="C255" s="154"/>
      <c r="D255" s="154"/>
      <c r="E255" s="154"/>
      <c r="F255" s="154"/>
      <c r="G255" s="154"/>
      <c r="H255" s="154"/>
      <c r="J255" s="234"/>
    </row>
    <row r="256" spans="1:10" ht="42" customHeight="1" x14ac:dyDescent="0.2">
      <c r="A256" s="154"/>
      <c r="B256" s="154"/>
      <c r="C256" s="154"/>
      <c r="D256" s="154"/>
      <c r="E256" s="154"/>
      <c r="F256" s="154"/>
      <c r="G256" s="154"/>
      <c r="H256" s="154"/>
      <c r="J256" s="234"/>
    </row>
    <row r="257" spans="1:10" ht="27" customHeight="1" x14ac:dyDescent="0.2">
      <c r="A257" s="154"/>
      <c r="B257" s="154"/>
      <c r="C257" s="154"/>
      <c r="D257" s="154"/>
      <c r="E257" s="154"/>
      <c r="F257" s="154"/>
      <c r="G257" s="154"/>
      <c r="H257" s="154"/>
      <c r="J257" s="234"/>
    </row>
    <row r="258" spans="1:10" ht="27" customHeight="1" x14ac:dyDescent="0.2">
      <c r="A258" s="154"/>
      <c r="B258" s="154"/>
      <c r="C258" s="154"/>
      <c r="D258" s="154"/>
      <c r="E258" s="154"/>
      <c r="F258" s="154"/>
      <c r="G258" s="154"/>
      <c r="H258" s="154"/>
      <c r="J258" s="234"/>
    </row>
    <row r="259" spans="1:10" ht="27" customHeight="1" x14ac:dyDescent="0.2">
      <c r="A259" s="154"/>
      <c r="B259" s="154"/>
      <c r="C259" s="154"/>
      <c r="D259" s="154"/>
      <c r="E259" s="154"/>
      <c r="F259" s="154"/>
      <c r="G259" s="154"/>
      <c r="H259" s="154"/>
      <c r="J259" s="234"/>
    </row>
    <row r="260" spans="1:10" ht="42" customHeight="1" x14ac:dyDescent="0.2">
      <c r="A260" s="154"/>
      <c r="B260" s="154"/>
      <c r="C260" s="154"/>
      <c r="D260" s="154"/>
      <c r="E260" s="154"/>
      <c r="F260" s="154"/>
      <c r="G260" s="154"/>
      <c r="H260" s="154"/>
      <c r="J260" s="234"/>
    </row>
    <row r="261" spans="1:10" ht="40.5" customHeight="1" x14ac:dyDescent="0.2">
      <c r="A261" s="154"/>
      <c r="B261" s="154"/>
      <c r="C261" s="154"/>
      <c r="D261" s="154"/>
      <c r="E261" s="154"/>
      <c r="F261" s="154"/>
      <c r="G261" s="154"/>
      <c r="H261" s="154"/>
      <c r="J261" s="234"/>
    </row>
    <row r="262" spans="1:10" ht="27" customHeight="1" x14ac:dyDescent="0.2">
      <c r="A262" s="154"/>
      <c r="B262" s="154"/>
      <c r="C262" s="154"/>
      <c r="D262" s="154"/>
      <c r="E262" s="154"/>
      <c r="F262" s="154"/>
      <c r="G262" s="154"/>
      <c r="H262" s="154"/>
      <c r="J262" s="234"/>
    </row>
    <row r="263" spans="1:10" ht="27" customHeight="1" x14ac:dyDescent="0.2">
      <c r="A263" s="154"/>
      <c r="B263" s="154"/>
      <c r="C263" s="154"/>
      <c r="D263" s="154"/>
      <c r="E263" s="154"/>
      <c r="F263" s="154"/>
      <c r="G263" s="154"/>
      <c r="H263" s="154"/>
      <c r="J263" s="234"/>
    </row>
    <row r="264" spans="1:10" ht="27" customHeight="1" x14ac:dyDescent="0.2">
      <c r="A264" s="154"/>
      <c r="B264" s="154"/>
      <c r="C264" s="154"/>
      <c r="D264" s="154"/>
      <c r="E264" s="154"/>
      <c r="F264" s="154"/>
      <c r="G264" s="154"/>
      <c r="H264" s="154"/>
      <c r="J264" s="234"/>
    </row>
    <row r="265" spans="1:10" ht="27" customHeight="1" x14ac:dyDescent="0.2">
      <c r="A265" s="154"/>
      <c r="B265" s="154"/>
      <c r="C265" s="154"/>
      <c r="D265" s="154"/>
      <c r="E265" s="154"/>
      <c r="F265" s="154"/>
      <c r="G265" s="154"/>
      <c r="H265" s="154"/>
      <c r="J265" s="234"/>
    </row>
    <row r="266" spans="1:10" x14ac:dyDescent="0.2">
      <c r="C266" s="27"/>
      <c r="H266" s="168"/>
      <c r="J266" s="234"/>
    </row>
    <row r="267" spans="1:10" x14ac:dyDescent="0.2">
      <c r="C267" s="27"/>
      <c r="H267" s="168"/>
      <c r="I267" s="207"/>
      <c r="J267" s="234"/>
    </row>
    <row r="268" spans="1:10" x14ac:dyDescent="0.2">
      <c r="C268" s="27"/>
      <c r="H268" s="168"/>
      <c r="I268" s="207"/>
      <c r="J268" s="234"/>
    </row>
    <row r="269" spans="1:10" x14ac:dyDescent="0.2">
      <c r="C269" s="27"/>
      <c r="H269" s="168"/>
      <c r="I269" s="207"/>
      <c r="J269" s="234"/>
    </row>
    <row r="270" spans="1:10" x14ac:dyDescent="0.2">
      <c r="C270" s="27"/>
      <c r="H270" s="168"/>
      <c r="I270" s="207"/>
      <c r="J270" s="234"/>
    </row>
    <row r="271" spans="1:10" x14ac:dyDescent="0.2">
      <c r="C271" s="27"/>
      <c r="H271" s="168"/>
      <c r="J271" s="234"/>
    </row>
    <row r="272" spans="1:10" x14ac:dyDescent="0.2">
      <c r="C272" s="27"/>
      <c r="H272" s="168"/>
      <c r="J272" s="234"/>
    </row>
    <row r="273" spans="1:10" x14ac:dyDescent="0.2">
      <c r="C273" s="27"/>
      <c r="H273" s="168"/>
      <c r="J273" s="234"/>
    </row>
    <row r="274" spans="1:10" x14ac:dyDescent="0.2">
      <c r="C274" s="27"/>
      <c r="H274" s="168"/>
      <c r="J274" s="234"/>
    </row>
    <row r="275" spans="1:10" x14ac:dyDescent="0.2">
      <c r="C275" s="27"/>
      <c r="H275" s="168"/>
      <c r="J275" s="234"/>
    </row>
    <row r="276" spans="1:10" x14ac:dyDescent="0.2">
      <c r="C276" s="27"/>
      <c r="H276" s="168"/>
      <c r="J276" s="234"/>
    </row>
    <row r="277" spans="1:10" x14ac:dyDescent="0.2">
      <c r="C277" s="27"/>
      <c r="H277" s="168"/>
      <c r="J277" s="234"/>
    </row>
    <row r="278" spans="1:10" x14ac:dyDescent="0.2">
      <c r="C278" s="27"/>
      <c r="H278" s="168"/>
      <c r="J278" s="234"/>
    </row>
    <row r="279" spans="1:10" x14ac:dyDescent="0.2">
      <c r="C279" s="27"/>
      <c r="H279" s="168"/>
      <c r="J279" s="234"/>
    </row>
    <row r="280" spans="1:10" x14ac:dyDescent="0.2">
      <c r="C280" s="27"/>
      <c r="H280" s="168"/>
      <c r="J280" s="234"/>
    </row>
    <row r="281" spans="1:10" x14ac:dyDescent="0.2">
      <c r="C281" s="27"/>
      <c r="H281" s="168"/>
      <c r="J281" s="234"/>
    </row>
    <row r="282" spans="1:10" x14ac:dyDescent="0.2">
      <c r="C282" s="27"/>
      <c r="H282" s="168"/>
      <c r="J282" s="234"/>
    </row>
    <row r="283" spans="1:10" x14ac:dyDescent="0.2">
      <c r="C283" s="27"/>
      <c r="H283" s="168"/>
    </row>
    <row r="284" spans="1:10" x14ac:dyDescent="0.2">
      <c r="C284" s="27"/>
      <c r="H284" s="168"/>
    </row>
    <row r="285" spans="1:10" x14ac:dyDescent="0.2">
      <c r="H285" s="168"/>
    </row>
    <row r="286" spans="1:10" s="26" customFormat="1" x14ac:dyDescent="0.2">
      <c r="A286" s="1229"/>
      <c r="B286" s="28"/>
      <c r="C286" s="1247"/>
      <c r="D286" s="269"/>
      <c r="E286" s="269"/>
      <c r="F286" s="269"/>
      <c r="G286" s="591"/>
      <c r="H286" s="168"/>
      <c r="I286" s="25"/>
      <c r="J286" s="233"/>
    </row>
    <row r="287" spans="1:10" s="26" customFormat="1" x14ac:dyDescent="0.2">
      <c r="A287" s="1229"/>
      <c r="B287" s="28"/>
      <c r="C287" s="1247"/>
      <c r="D287" s="269"/>
      <c r="E287" s="269"/>
      <c r="F287" s="269"/>
      <c r="G287" s="591"/>
      <c r="H287" s="168"/>
      <c r="I287" s="25"/>
      <c r="J287" s="233"/>
    </row>
    <row r="288" spans="1:10" s="26" customFormat="1" x14ac:dyDescent="0.2">
      <c r="A288" s="1229"/>
      <c r="B288" s="28"/>
      <c r="C288" s="1247"/>
      <c r="D288" s="269"/>
      <c r="E288" s="269"/>
      <c r="F288" s="269"/>
      <c r="G288" s="591"/>
      <c r="H288" s="162"/>
      <c r="I288" s="25"/>
      <c r="J288" s="233"/>
    </row>
    <row r="289" spans="1:10" s="26" customFormat="1" x14ac:dyDescent="0.2">
      <c r="A289" s="1229"/>
      <c r="B289" s="28"/>
      <c r="C289" s="1247"/>
      <c r="D289" s="269"/>
      <c r="E289" s="269"/>
      <c r="F289" s="269"/>
      <c r="G289" s="591"/>
      <c r="H289" s="162"/>
      <c r="I289" s="25"/>
      <c r="J289" s="233"/>
    </row>
  </sheetData>
  <sheetProtection password="C4B9" sheet="1" objects="1" scenarios="1"/>
  <sortState ref="A3:CS29">
    <sortCondition ref="H3:H29"/>
  </sortState>
  <customSheetViews>
    <customSheetView guid="{B8E02330-2419-4DE6-AD01-7ACC7A5D18DD}" scale="80" topLeftCell="D35">
      <selection activeCell="J44" sqref="J44"/>
      <pageMargins left="0.75" right="0.75" top="1" bottom="1" header="0.5" footer="0.5"/>
      <pageSetup orientation="portrait" horizontalDpi="4294967294" r:id="rId1"/>
      <headerFooter alignWithMargins="0"/>
    </customSheetView>
  </customSheetViews>
  <mergeCells count="105">
    <mergeCell ref="A114:A119"/>
    <mergeCell ref="A134:A138"/>
    <mergeCell ref="B114:B119"/>
    <mergeCell ref="A40:A46"/>
    <mergeCell ref="A82:A86"/>
    <mergeCell ref="A148:A150"/>
    <mergeCell ref="B142:B147"/>
    <mergeCell ref="A105:A110"/>
    <mergeCell ref="I152:I158"/>
    <mergeCell ref="B71:B75"/>
    <mergeCell ref="A142:A147"/>
    <mergeCell ref="I71:I75"/>
    <mergeCell ref="I134:I138"/>
    <mergeCell ref="B87:B92"/>
    <mergeCell ref="B82:B86"/>
    <mergeCell ref="A120:A123"/>
    <mergeCell ref="B105:B110"/>
    <mergeCell ref="B93:B101"/>
    <mergeCell ref="I142:I147"/>
    <mergeCell ref="I148:I150"/>
    <mergeCell ref="A152:A158"/>
    <mergeCell ref="I40:I46"/>
    <mergeCell ref="I47:I53"/>
    <mergeCell ref="A87:A92"/>
    <mergeCell ref="I120:I123"/>
    <mergeCell ref="B159:B163"/>
    <mergeCell ref="I114:I119"/>
    <mergeCell ref="I124:I127"/>
    <mergeCell ref="B152:B158"/>
    <mergeCell ref="I128:I133"/>
    <mergeCell ref="B128:B133"/>
    <mergeCell ref="I82:I86"/>
    <mergeCell ref="I102:I104"/>
    <mergeCell ref="B134:B138"/>
    <mergeCell ref="B102:B104"/>
    <mergeCell ref="I139:I141"/>
    <mergeCell ref="I159:I163"/>
    <mergeCell ref="B120:B123"/>
    <mergeCell ref="H120:H123"/>
    <mergeCell ref="B124:B127"/>
    <mergeCell ref="B139:B141"/>
    <mergeCell ref="I111:I113"/>
    <mergeCell ref="H105:H110"/>
    <mergeCell ref="H111:H113"/>
    <mergeCell ref="H114:H119"/>
    <mergeCell ref="H148:H150"/>
    <mergeCell ref="B111:B113"/>
    <mergeCell ref="A111:A113"/>
    <mergeCell ref="A102:A104"/>
    <mergeCell ref="A93:A101"/>
    <mergeCell ref="I67:I70"/>
    <mergeCell ref="A67:A70"/>
    <mergeCell ref="B40:B46"/>
    <mergeCell ref="A29:A33"/>
    <mergeCell ref="A71:A75"/>
    <mergeCell ref="B34:B39"/>
    <mergeCell ref="H34:H39"/>
    <mergeCell ref="B61:B66"/>
    <mergeCell ref="A47:A53"/>
    <mergeCell ref="A61:A66"/>
    <mergeCell ref="A54:A60"/>
    <mergeCell ref="B67:B70"/>
    <mergeCell ref="I34:I39"/>
    <mergeCell ref="H102:H104"/>
    <mergeCell ref="H87:H92"/>
    <mergeCell ref="H93:H101"/>
    <mergeCell ref="B47:B53"/>
    <mergeCell ref="I29:I33"/>
    <mergeCell ref="B29:B33"/>
    <mergeCell ref="B54:B60"/>
    <mergeCell ref="I105:I110"/>
    <mergeCell ref="I54:I60"/>
    <mergeCell ref="B76:B81"/>
    <mergeCell ref="A76:A81"/>
    <mergeCell ref="I76:I81"/>
    <mergeCell ref="H54:H60"/>
    <mergeCell ref="H61:H66"/>
    <mergeCell ref="H82:H86"/>
    <mergeCell ref="H67:H70"/>
    <mergeCell ref="H71:H75"/>
    <mergeCell ref="H76:H81"/>
    <mergeCell ref="E1:I1"/>
    <mergeCell ref="B165:B166"/>
    <mergeCell ref="I165:I166"/>
    <mergeCell ref="A165:A166"/>
    <mergeCell ref="H124:H127"/>
    <mergeCell ref="H128:H133"/>
    <mergeCell ref="H134:H138"/>
    <mergeCell ref="H139:H141"/>
    <mergeCell ref="H142:H147"/>
    <mergeCell ref="B148:B150"/>
    <mergeCell ref="A159:A163"/>
    <mergeCell ref="A128:A133"/>
    <mergeCell ref="A139:A141"/>
    <mergeCell ref="A124:A127"/>
    <mergeCell ref="H152:H158"/>
    <mergeCell ref="H159:H163"/>
    <mergeCell ref="A34:A39"/>
    <mergeCell ref="H29:H33"/>
    <mergeCell ref="H40:H46"/>
    <mergeCell ref="H47:H53"/>
    <mergeCell ref="A1:B1"/>
    <mergeCell ref="I61:I66"/>
    <mergeCell ref="I93:I101"/>
    <mergeCell ref="I87:I92"/>
  </mergeCells>
  <phoneticPr fontId="5" type="noConversion"/>
  <conditionalFormatting sqref="D77:D82 D114:D118 D128:D130 D132:D135 D137:D146 D148:D149 D152:D157 D159 D109:D112 D120 D122:D126 D104:D107 D84:D90 D92:D102 D69:D71 D49:D55 D73:D75 D57:D65 D67 D29:D44 D46:D47 D186 D169:D171 D173:D175 D177:D178 D180:D181 D184 D161:D164 D167">
    <cfRule type="cellIs" dxfId="3" priority="1" operator="greaterThan">
      <formula>0</formula>
    </cfRule>
  </conditionalFormatting>
  <pageMargins left="0.75" right="0.75" top="1" bottom="1" header="0.5" footer="0.5"/>
  <pageSetup orientation="portrait" horizontalDpi="4294967294" r:id="rId2"/>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R310"/>
  <sheetViews>
    <sheetView zoomScaleNormal="100" workbookViewId="0">
      <selection activeCell="G219" sqref="G219"/>
    </sheetView>
  </sheetViews>
  <sheetFormatPr defaultColWidth="9.33203125" defaultRowHeight="12.75" x14ac:dyDescent="0.2"/>
  <cols>
    <col min="1" max="1" width="5.83203125" style="1290" customWidth="1"/>
    <col min="2" max="2" width="18.83203125" style="1292" customWidth="1"/>
    <col min="3" max="3" width="69.83203125" style="1292" customWidth="1"/>
    <col min="4" max="4" width="6.83203125" style="197" customWidth="1"/>
    <col min="5" max="5" width="7.5" style="60" customWidth="1"/>
    <col min="6" max="6" width="7.83203125" style="197" customWidth="1"/>
    <col min="7" max="7" width="11.5" style="348" customWidth="1"/>
    <col min="8" max="8" width="12.1640625" style="25" customWidth="1"/>
    <col min="9" max="9" width="70.5" style="1295" customWidth="1"/>
    <col min="10" max="10" width="9.33203125" style="237"/>
    <col min="11" max="16384" width="9.33203125" style="30"/>
  </cols>
  <sheetData>
    <row r="1" spans="1:96" s="81" customFormat="1" ht="84" customHeight="1" thickBot="1" x14ac:dyDescent="0.25">
      <c r="A1" s="2419" t="s">
        <v>2230</v>
      </c>
      <c r="B1" s="2420"/>
      <c r="C1" s="1293" t="s">
        <v>1283</v>
      </c>
      <c r="D1" s="1322" t="s">
        <v>673</v>
      </c>
      <c r="E1" s="2164"/>
      <c r="F1" s="2165"/>
      <c r="G1" s="2165"/>
      <c r="H1" s="2165"/>
      <c r="I1" s="2166"/>
      <c r="J1" s="236"/>
    </row>
    <row r="2" spans="1:96" s="708" customFormat="1" ht="42" customHeight="1" thickBot="1" x14ac:dyDescent="0.25">
      <c r="A2" s="1605" t="s">
        <v>110</v>
      </c>
      <c r="B2" s="1606" t="s">
        <v>1096</v>
      </c>
      <c r="C2" s="1607" t="s">
        <v>1395</v>
      </c>
      <c r="D2" s="1605"/>
      <c r="E2" s="1608"/>
      <c r="F2" s="1609"/>
      <c r="G2" s="1610" t="s">
        <v>1111</v>
      </c>
      <c r="H2" s="1611" t="s">
        <v>1108</v>
      </c>
      <c r="I2" s="1606" t="s">
        <v>304</v>
      </c>
    </row>
    <row r="3" spans="1:96" s="155" customFormat="1" ht="30" customHeight="1" thickBot="1" x14ac:dyDescent="0.25">
      <c r="A3" s="709" t="str">
        <f>OF!A6</f>
        <v>OF5</v>
      </c>
      <c r="B3" s="710" t="str">
        <f>OF!C6</f>
        <v>Wetland Class Richness Within 1km</v>
      </c>
      <c r="C3" s="1061" t="s">
        <v>507</v>
      </c>
      <c r="D3" s="712"/>
      <c r="E3" s="713"/>
      <c r="F3" s="713"/>
      <c r="G3" s="1101" t="str">
        <f>IF((ClassRich1k=""),"",ClassRich1k)</f>
        <v/>
      </c>
      <c r="H3" s="1183" t="s">
        <v>1261</v>
      </c>
      <c r="I3" s="858" t="s">
        <v>1501</v>
      </c>
      <c r="J3" s="231"/>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7"/>
    </row>
    <row r="4" spans="1:96" s="155" customFormat="1" ht="40.5" customHeight="1" thickBot="1" x14ac:dyDescent="0.25">
      <c r="A4" s="931" t="str">
        <f>OF!A7</f>
        <v>OF6</v>
      </c>
      <c r="B4" s="715" t="str">
        <f>OF!C7</f>
        <v>Wetland Class Richness Within Wetland</v>
      </c>
      <c r="C4" s="1007" t="s">
        <v>507</v>
      </c>
      <c r="D4" s="716"/>
      <c r="E4" s="717"/>
      <c r="F4" s="717"/>
      <c r="G4" s="761" t="str">
        <f>IF((ClassRichIn=""),"",ClassRichIn)</f>
        <v/>
      </c>
      <c r="H4" s="987" t="s">
        <v>1060</v>
      </c>
      <c r="I4" s="1084" t="s">
        <v>1502</v>
      </c>
      <c r="J4" s="221"/>
    </row>
    <row r="5" spans="1:96" s="155" customFormat="1" ht="45" customHeight="1" thickBot="1" x14ac:dyDescent="0.25">
      <c r="A5" s="709" t="str">
        <f>OF!A8</f>
        <v>OF7</v>
      </c>
      <c r="B5" s="710" t="str">
        <f>OF!C8</f>
        <v>Distance to Nearest Annual Cropland or Developed Land</v>
      </c>
      <c r="C5" s="1061" t="s">
        <v>507</v>
      </c>
      <c r="D5" s="712"/>
      <c r="E5" s="713"/>
      <c r="F5" s="713"/>
      <c r="G5" s="740" t="str">
        <f>IF((Dist2DevCrop=""),"",Dist2DevCrop)</f>
        <v/>
      </c>
      <c r="H5" s="742" t="s">
        <v>1257</v>
      </c>
      <c r="I5" s="946" t="s">
        <v>928</v>
      </c>
      <c r="J5" s="221"/>
      <c r="L5" s="249"/>
    </row>
    <row r="6" spans="1:96" s="155" customFormat="1" ht="45" customHeight="1" thickBot="1" x14ac:dyDescent="0.25">
      <c r="A6" s="931" t="str">
        <f>OF!A10</f>
        <v>OF9</v>
      </c>
      <c r="B6" s="715" t="str">
        <f>OF!C10</f>
        <v>Distance to Nearest Well-settled Area</v>
      </c>
      <c r="C6" s="1007" t="s">
        <v>507</v>
      </c>
      <c r="D6" s="716"/>
      <c r="E6" s="717"/>
      <c r="F6" s="717"/>
      <c r="G6" s="761" t="str">
        <f>IF((DistPop=""),"",DistPop)</f>
        <v/>
      </c>
      <c r="H6" s="987" t="s">
        <v>1041</v>
      </c>
      <c r="I6" s="1084" t="s">
        <v>929</v>
      </c>
      <c r="J6" s="221"/>
      <c r="L6" s="248"/>
    </row>
    <row r="7" spans="1:96" s="155" customFormat="1" ht="104.25" customHeight="1" thickBot="1" x14ac:dyDescent="0.25">
      <c r="A7" s="709" t="str">
        <f>OF!A9</f>
        <v>OF8</v>
      </c>
      <c r="B7" s="710" t="str">
        <f>OF!C9</f>
        <v>Distance to Nearest Road (from Wetland Edge)</v>
      </c>
      <c r="C7" s="1061" t="s">
        <v>507</v>
      </c>
      <c r="D7" s="712"/>
      <c r="E7" s="713"/>
      <c r="F7" s="713"/>
      <c r="G7" s="740" t="str">
        <f>IF((Dist2Road=""),"",Dist2Road)</f>
        <v/>
      </c>
      <c r="H7" s="741" t="s">
        <v>1270</v>
      </c>
      <c r="I7" s="1034" t="s">
        <v>1504</v>
      </c>
      <c r="J7" s="221"/>
      <c r="L7" s="247"/>
      <c r="BO7" s="7"/>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row>
    <row r="8" spans="1:96" s="155" customFormat="1" ht="30" customHeight="1" thickBot="1" x14ac:dyDescent="0.25">
      <c r="A8" s="931" t="str">
        <f>OF!A14</f>
        <v>OF13</v>
      </c>
      <c r="B8" s="715" t="str">
        <f>OF!C14</f>
        <v>% of the Wetland that is Fen Marsh or Swamp</v>
      </c>
      <c r="C8" s="1007"/>
      <c r="D8" s="716"/>
      <c r="E8" s="717"/>
      <c r="F8" s="717"/>
      <c r="G8" s="761" t="str">
        <f>IF((FenMarshSwamp=""),"",FenMarshSwamp)</f>
        <v/>
      </c>
      <c r="H8" s="986" t="s">
        <v>2135</v>
      </c>
      <c r="I8" s="1084" t="s">
        <v>1505</v>
      </c>
      <c r="J8" s="221"/>
    </row>
    <row r="9" spans="1:96" s="155" customFormat="1" ht="30" customHeight="1" thickBot="1" x14ac:dyDescent="0.25">
      <c r="A9" s="709" t="str">
        <f>OF!A18</f>
        <v>OF17</v>
      </c>
      <c r="B9" s="710" t="str">
        <f>OF!C18</f>
        <v>Growing Degree Days</v>
      </c>
      <c r="C9" s="1061" t="s">
        <v>507</v>
      </c>
      <c r="D9" s="712"/>
      <c r="E9" s="713"/>
      <c r="F9" s="713"/>
      <c r="G9" s="740" t="str">
        <f>IF((GrowDD=""),"",GrowDD)</f>
        <v/>
      </c>
      <c r="H9" s="741" t="s">
        <v>1078</v>
      </c>
      <c r="I9" s="1034" t="s">
        <v>597</v>
      </c>
      <c r="J9" s="221"/>
      <c r="L9" s="250"/>
    </row>
    <row r="10" spans="1:96" s="155" customFormat="1" ht="60" customHeight="1" thickBot="1" x14ac:dyDescent="0.25">
      <c r="A10" s="931" t="str">
        <f>OF!A27</f>
        <v>OF26</v>
      </c>
      <c r="B10" s="715" t="str">
        <f>OF!C27</f>
        <v>Interspersion Index for Internal Herbaceous &amp; Woody Vegetation (macroscale)</v>
      </c>
      <c r="C10" s="1007" t="s">
        <v>507</v>
      </c>
      <c r="D10" s="716"/>
      <c r="E10" s="717"/>
      <c r="F10" s="717"/>
      <c r="G10" s="761" t="str">
        <f>IF((MixHerbWood=""),"",MixHerbWood)</f>
        <v/>
      </c>
      <c r="H10" s="987" t="s">
        <v>1061</v>
      </c>
      <c r="I10" s="1084" t="s">
        <v>1506</v>
      </c>
      <c r="J10" s="221"/>
    </row>
    <row r="11" spans="1:96" s="155" customFormat="1" ht="45" customHeight="1" thickBot="1" x14ac:dyDescent="0.25">
      <c r="A11" s="709" t="str">
        <f>OF!A28</f>
        <v>OF27</v>
      </c>
      <c r="B11" s="710" t="str">
        <f>OF!C28</f>
        <v>Interspersion Index for Internal Water &amp; Vegetation (macroscale)</v>
      </c>
      <c r="C11" s="1061" t="s">
        <v>507</v>
      </c>
      <c r="D11" s="712"/>
      <c r="E11" s="713"/>
      <c r="F11" s="713"/>
      <c r="G11" s="740" t="str">
        <f>IF((MixWaterVeg=""),"",MixWaterVeg)</f>
        <v/>
      </c>
      <c r="H11" s="741" t="s">
        <v>1032</v>
      </c>
      <c r="I11" s="1034" t="s">
        <v>1507</v>
      </c>
      <c r="J11" s="221"/>
    </row>
    <row r="12" spans="1:96" s="155" customFormat="1" ht="102.75" customHeight="1" thickBot="1" x14ac:dyDescent="0.25">
      <c r="A12" s="931" t="str">
        <f>OF!A29</f>
        <v>OF28</v>
      </c>
      <c r="B12" s="715" t="str">
        <f>OF!C29</f>
        <v>% Natural Cover within 1km</v>
      </c>
      <c r="C12" s="1007" t="s">
        <v>507</v>
      </c>
      <c r="D12" s="716"/>
      <c r="E12" s="717"/>
      <c r="F12" s="717"/>
      <c r="G12" s="1171" t="str">
        <f>IF((NatCov1k=""),"",NatCov1k)</f>
        <v/>
      </c>
      <c r="H12" s="1084" t="s">
        <v>1063</v>
      </c>
      <c r="I12" s="998" t="s">
        <v>1104</v>
      </c>
      <c r="J12" s="231"/>
      <c r="K12" s="24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7"/>
    </row>
    <row r="13" spans="1:96" s="155" customFormat="1" ht="30" customHeight="1" thickBot="1" x14ac:dyDescent="0.25">
      <c r="A13" s="709" t="str">
        <f>OF!A31</f>
        <v>OF30</v>
      </c>
      <c r="B13" s="710" t="str">
        <f>OF!C31</f>
        <v>% of AA that is Open Water (macro scale)</v>
      </c>
      <c r="C13" s="1061" t="s">
        <v>1396</v>
      </c>
      <c r="D13" s="712"/>
      <c r="E13" s="713"/>
      <c r="F13" s="713"/>
      <c r="G13" s="740" t="str">
        <f>IF((OWpct=""),"",1-OWpct)</f>
        <v/>
      </c>
      <c r="H13" s="742" t="s">
        <v>1205</v>
      </c>
      <c r="I13" s="1034" t="s">
        <v>1508</v>
      </c>
      <c r="J13" s="221"/>
    </row>
    <row r="14" spans="1:96" s="155" customFormat="1" ht="45" customHeight="1" thickBot="1" x14ac:dyDescent="0.25">
      <c r="A14" s="931" t="str">
        <f>OF!A35</f>
        <v>OF34</v>
      </c>
      <c r="B14" s="715" t="str">
        <f>OF!C35</f>
        <v>% of Wetland Perimeter Adjoined by Natural Cover</v>
      </c>
      <c r="C14" s="1007" t="s">
        <v>507</v>
      </c>
      <c r="D14" s="716"/>
      <c r="E14" s="717"/>
      <c r="F14" s="717"/>
      <c r="G14" s="761" t="str">
        <f>IF((PerimNatCov=""),"",PerimNatCov)</f>
        <v/>
      </c>
      <c r="H14" s="1071" t="s">
        <v>1064</v>
      </c>
      <c r="I14" s="1084" t="s">
        <v>1510</v>
      </c>
      <c r="J14" s="221"/>
      <c r="L14" s="250"/>
    </row>
    <row r="15" spans="1:96" s="155" customFormat="1" ht="30" customHeight="1" thickBot="1" x14ac:dyDescent="0.25">
      <c r="A15" s="709" t="str">
        <f>OF!A40</f>
        <v>OF39</v>
      </c>
      <c r="B15" s="710" t="str">
        <f>OF!C40</f>
        <v>Rare Plant Range</v>
      </c>
      <c r="C15" s="1298" t="s">
        <v>1441</v>
      </c>
      <c r="D15" s="712"/>
      <c r="E15" s="713"/>
      <c r="F15" s="713"/>
      <c r="G15" s="740" t="str">
        <f>IF((RarePlantRange=""),"",IF((RarePlantRange=1),1,""))</f>
        <v/>
      </c>
      <c r="H15" s="741" t="s">
        <v>1280</v>
      </c>
      <c r="I15" s="1034" t="s">
        <v>1511</v>
      </c>
      <c r="J15" s="221"/>
      <c r="L15" s="250"/>
    </row>
    <row r="16" spans="1:96" s="7" customFormat="1" ht="30" customHeight="1" thickBot="1" x14ac:dyDescent="0.25">
      <c r="A16" s="931" t="str">
        <f>OF!A41</f>
        <v>OF40</v>
      </c>
      <c r="B16" s="715" t="str">
        <f>OF!C41</f>
        <v>Road Density in 1km Buffer</v>
      </c>
      <c r="C16" s="1007" t="s">
        <v>1396</v>
      </c>
      <c r="D16" s="716"/>
      <c r="E16" s="717"/>
      <c r="F16" s="717"/>
      <c r="G16" s="1069" t="str">
        <f>IF((RdDens1k=""),"",1-RdDens1k)</f>
        <v/>
      </c>
      <c r="H16" s="998" t="s">
        <v>1065</v>
      </c>
      <c r="I16" s="1100" t="s">
        <v>2227</v>
      </c>
      <c r="J16" s="231"/>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O16" s="155"/>
      <c r="BP16" s="155"/>
      <c r="BQ16" s="155"/>
      <c r="BR16" s="155"/>
      <c r="BS16" s="155"/>
      <c r="BT16" s="155"/>
      <c r="BU16" s="155"/>
      <c r="BV16" s="155"/>
      <c r="BW16" s="155"/>
      <c r="BX16" s="155"/>
      <c r="BY16" s="155"/>
      <c r="BZ16" s="155"/>
      <c r="CA16" s="155"/>
      <c r="CB16" s="155"/>
      <c r="CC16" s="155"/>
      <c r="CD16" s="155"/>
      <c r="CE16" s="155"/>
      <c r="CF16" s="155"/>
      <c r="CG16" s="155"/>
      <c r="CH16" s="155"/>
      <c r="CI16" s="155"/>
      <c r="CJ16" s="155"/>
      <c r="CK16" s="155"/>
      <c r="CL16" s="155"/>
      <c r="CM16" s="155"/>
      <c r="CN16" s="155"/>
      <c r="CO16" s="155"/>
      <c r="CP16" s="155"/>
      <c r="CQ16" s="155"/>
      <c r="CR16" s="155"/>
    </row>
    <row r="17" spans="1:96" s="155" customFormat="1" ht="45" customHeight="1" thickBot="1" x14ac:dyDescent="0.25">
      <c r="A17" s="709" t="str">
        <f>OF!A43</f>
        <v>OF42</v>
      </c>
      <c r="B17" s="710" t="str">
        <f>OF!C43</f>
        <v>Riparian or Floodway Location</v>
      </c>
      <c r="C17" s="1061" t="s">
        <v>507</v>
      </c>
      <c r="D17" s="712"/>
      <c r="E17" s="713"/>
      <c r="F17" s="713"/>
      <c r="G17" s="740" t="str">
        <f>IF((RipFloodpl=""),"",RipFloodpl)</f>
        <v/>
      </c>
      <c r="H17" s="741" t="s">
        <v>1077</v>
      </c>
      <c r="I17" s="1034" t="s">
        <v>1512</v>
      </c>
      <c r="J17" s="221"/>
      <c r="L17" s="247"/>
    </row>
    <row r="18" spans="1:96" s="155" customFormat="1" ht="30" customHeight="1" thickBot="1" x14ac:dyDescent="0.25">
      <c r="A18" s="931" t="str">
        <f>OF!A51</f>
        <v>OF50</v>
      </c>
      <c r="B18" s="715" t="str">
        <f>OF!C51</f>
        <v>Springs within 300m</v>
      </c>
      <c r="C18" s="1007" t="s">
        <v>507</v>
      </c>
      <c r="D18" s="716"/>
      <c r="E18" s="717"/>
      <c r="F18" s="717"/>
      <c r="G18" s="761" t="str">
        <f>IF((Spring=""),"",Spring)</f>
        <v/>
      </c>
      <c r="H18" s="767" t="s">
        <v>1027</v>
      </c>
      <c r="I18" s="1084" t="s">
        <v>1513</v>
      </c>
      <c r="J18" s="221"/>
      <c r="L18" s="250"/>
    </row>
    <row r="19" spans="1:96" s="155" customFormat="1" ht="30" customHeight="1" thickBot="1" x14ac:dyDescent="0.25">
      <c r="A19" s="709" t="str">
        <f>OF!A57</f>
        <v>OF56</v>
      </c>
      <c r="B19" s="710" t="str">
        <f>OF!C57</f>
        <v>Local Uniqueness of Wetland's Class</v>
      </c>
      <c r="C19" s="1061" t="s">
        <v>507</v>
      </c>
      <c r="D19" s="712"/>
      <c r="E19" s="713"/>
      <c r="F19" s="713"/>
      <c r="G19" s="1101" t="str">
        <f>IF((UniqClass=""),"",UniqClass)</f>
        <v/>
      </c>
      <c r="H19" s="1033" t="s">
        <v>1253</v>
      </c>
      <c r="I19" s="1034" t="s">
        <v>1514</v>
      </c>
      <c r="J19" s="221"/>
      <c r="K19" s="245"/>
    </row>
    <row r="20" spans="1:96" s="7" customFormat="1" ht="45" customHeight="1" thickBot="1" x14ac:dyDescent="0.25">
      <c r="A20" s="931" t="str">
        <f>OF!A60</f>
        <v>OF59</v>
      </c>
      <c r="B20" s="715" t="str">
        <f>OF!C60</f>
        <v>Vegetation Connectivity to Other Wetlands within 1 km</v>
      </c>
      <c r="C20" s="1007" t="s">
        <v>507</v>
      </c>
      <c r="D20" s="716"/>
      <c r="E20" s="717"/>
      <c r="F20" s="717"/>
      <c r="G20" s="761" t="str">
        <f>IF((VegCon1k=""),"",VegCon1k)</f>
        <v/>
      </c>
      <c r="H20" s="1071" t="s">
        <v>1030</v>
      </c>
      <c r="I20" s="1392" t="s">
        <v>2229</v>
      </c>
      <c r="J20" s="221"/>
      <c r="K20" s="155"/>
      <c r="L20" s="249"/>
      <c r="M20" s="155"/>
      <c r="N20" s="155"/>
      <c r="O20" s="155"/>
      <c r="P20" s="155"/>
      <c r="Q20" s="155"/>
      <c r="R20" s="155"/>
      <c r="S20" s="155"/>
      <c r="T20" s="155"/>
      <c r="U20" s="155"/>
      <c r="V20" s="155"/>
      <c r="W20" s="155"/>
      <c r="X20" s="155"/>
      <c r="Y20" s="155"/>
      <c r="Z20" s="155"/>
      <c r="AA20" s="155"/>
      <c r="AB20" s="155"/>
      <c r="AC20" s="155"/>
      <c r="AD20" s="155"/>
      <c r="AE20" s="155"/>
      <c r="AF20" s="155"/>
      <c r="AG20" s="155"/>
      <c r="AH20" s="155"/>
      <c r="AI20" s="155"/>
      <c r="AJ20" s="155"/>
      <c r="AK20" s="155"/>
      <c r="AL20" s="155"/>
      <c r="AM20" s="155"/>
      <c r="AN20" s="155"/>
      <c r="AO20" s="155"/>
      <c r="AP20" s="155"/>
      <c r="AQ20" s="155"/>
      <c r="AR20" s="155"/>
      <c r="AS20" s="155"/>
      <c r="AT20" s="155"/>
      <c r="AU20" s="155"/>
      <c r="AV20" s="155"/>
      <c r="AW20" s="155"/>
      <c r="AX20" s="155"/>
      <c r="AY20" s="155"/>
      <c r="AZ20" s="155"/>
      <c r="BA20" s="155"/>
      <c r="BB20" s="155"/>
      <c r="BC20" s="155"/>
      <c r="BD20" s="155"/>
      <c r="BE20" s="155"/>
      <c r="BF20" s="155"/>
      <c r="BG20" s="155"/>
      <c r="BH20" s="155"/>
      <c r="BI20" s="155"/>
      <c r="BJ20" s="155"/>
      <c r="BK20" s="155"/>
      <c r="BL20" s="155"/>
      <c r="BM20" s="155"/>
      <c r="BN20" s="155"/>
      <c r="BO20" s="155"/>
      <c r="BP20" s="155"/>
      <c r="BQ20" s="155"/>
      <c r="BR20" s="155"/>
      <c r="BS20" s="155"/>
      <c r="BT20" s="155"/>
      <c r="BU20" s="155"/>
      <c r="BV20" s="155"/>
      <c r="BW20" s="155"/>
      <c r="BX20" s="155"/>
      <c r="BY20" s="155"/>
      <c r="BZ20" s="155"/>
      <c r="CA20" s="155"/>
      <c r="CB20" s="155"/>
      <c r="CC20" s="155"/>
      <c r="CD20" s="155"/>
      <c r="CE20" s="155"/>
      <c r="CF20" s="155"/>
      <c r="CG20" s="155"/>
      <c r="CH20" s="155"/>
      <c r="CI20" s="155"/>
      <c r="CJ20" s="155"/>
      <c r="CK20" s="155"/>
      <c r="CL20" s="155"/>
      <c r="CM20" s="155"/>
      <c r="CN20" s="155"/>
      <c r="CO20" s="155"/>
      <c r="CP20" s="155"/>
      <c r="CQ20" s="155"/>
      <c r="CR20" s="155"/>
    </row>
    <row r="21" spans="1:96" s="155" customFormat="1" ht="45" customHeight="1" thickBot="1" x14ac:dyDescent="0.25">
      <c r="A21" s="709" t="str">
        <f>OF!A64</f>
        <v>OF63</v>
      </c>
      <c r="B21" s="710" t="str">
        <f>OF!C64</f>
        <v>Wetland Density Within 1km</v>
      </c>
      <c r="C21" s="1061" t="s">
        <v>507</v>
      </c>
      <c r="D21" s="712"/>
      <c r="E21" s="713"/>
      <c r="F21" s="713"/>
      <c r="G21" s="1101" t="str">
        <f>IF((WetDens1k=""),"",WetDens1k)</f>
        <v/>
      </c>
      <c r="H21" s="1033" t="s">
        <v>1016</v>
      </c>
      <c r="I21" s="858" t="s">
        <v>1515</v>
      </c>
      <c r="J21" s="231"/>
      <c r="K21" s="24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7"/>
    </row>
    <row r="22" spans="1:96" s="155" customFormat="1" ht="118.5" customHeight="1" thickBot="1" x14ac:dyDescent="0.25">
      <c r="A22" s="931" t="str">
        <f>OF!A69</f>
        <v>OF68</v>
      </c>
      <c r="B22" s="715" t="str">
        <f>OF!C69</f>
        <v>Wetland Vegetated Area</v>
      </c>
      <c r="C22" s="1007" t="s">
        <v>507</v>
      </c>
      <c r="D22" s="716"/>
      <c r="E22" s="717"/>
      <c r="F22" s="717"/>
      <c r="G22" s="761" t="str">
        <f>IF((WetVegArea=""),"",WetVegArea)</f>
        <v/>
      </c>
      <c r="H22" s="767" t="s">
        <v>1011</v>
      </c>
      <c r="I22" s="1084" t="s">
        <v>931</v>
      </c>
      <c r="J22" s="221"/>
    </row>
    <row r="23" spans="1:96" s="155" customFormat="1" ht="30" customHeight="1" thickBot="1" x14ac:dyDescent="0.25">
      <c r="A23" s="709" t="str">
        <f>OF!A73</f>
        <v>OF72</v>
      </c>
      <c r="B23" s="710" t="str">
        <f>OF!C73</f>
        <v>Surface Water Quality Risk Index</v>
      </c>
      <c r="C23" s="1061" t="s">
        <v>1396</v>
      </c>
      <c r="D23" s="712"/>
      <c r="E23" s="713"/>
      <c r="F23" s="713"/>
      <c r="G23" s="740" t="str">
        <f>IF((WQrisk=""),"",1-WQrisk)</f>
        <v/>
      </c>
      <c r="H23" s="741" t="s">
        <v>1037</v>
      </c>
      <c r="I23" s="1033" t="s">
        <v>2228</v>
      </c>
      <c r="J23" s="221"/>
      <c r="L23" s="250"/>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row>
    <row r="24" spans="1:96" s="181" customFormat="1" ht="42" customHeight="1" thickBot="1" x14ac:dyDescent="0.25">
      <c r="A24" s="1622" t="s">
        <v>110</v>
      </c>
      <c r="B24" s="1613" t="s">
        <v>1110</v>
      </c>
      <c r="C24" s="1623" t="s">
        <v>1109</v>
      </c>
      <c r="D24" s="1624" t="s">
        <v>45</v>
      </c>
      <c r="E24" s="1625" t="s">
        <v>2028</v>
      </c>
      <c r="F24" s="1626" t="s">
        <v>2027</v>
      </c>
      <c r="G24" s="1627" t="s">
        <v>1111</v>
      </c>
      <c r="H24" s="1628" t="s">
        <v>1108</v>
      </c>
      <c r="I24" s="1629" t="s">
        <v>1503</v>
      </c>
      <c r="J24" s="59"/>
      <c r="K24" s="2"/>
    </row>
    <row r="25" spans="1:96" s="9" customFormat="1" ht="27" customHeight="1" thickBot="1" x14ac:dyDescent="0.25">
      <c r="A25" s="980" t="str">
        <f>F!A6</f>
        <v>F1</v>
      </c>
      <c r="B25" s="2087" t="str">
        <f>F!B6</f>
        <v>Wetland Type - Predominant</v>
      </c>
      <c r="C25" s="768" t="str">
        <f>F!C6</f>
        <v>Most of the vegetated part of the AA (wetland Assessment Area) is a (select ONE):</v>
      </c>
      <c r="D25" s="364"/>
      <c r="E25" s="349"/>
      <c r="F25" s="350"/>
      <c r="G25" s="340">
        <f>MAX(F26:F29)/MAX(E26:E29)</f>
        <v>0</v>
      </c>
      <c r="H25" s="2139" t="s">
        <v>221</v>
      </c>
      <c r="I25" s="2087" t="s">
        <v>784</v>
      </c>
      <c r="J25" s="212"/>
      <c r="L25" s="391"/>
    </row>
    <row r="26" spans="1:96" s="9" customFormat="1" ht="15" customHeight="1" x14ac:dyDescent="0.2">
      <c r="A26" s="985" t="str">
        <f>F!A7</f>
        <v>F1.1</v>
      </c>
      <c r="B26" s="2083"/>
      <c r="C26" s="206" t="str">
        <f>F!C7</f>
        <v>Wooded Swamp</v>
      </c>
      <c r="D26" s="593">
        <f>F!D7</f>
        <v>0</v>
      </c>
      <c r="E26" s="351">
        <v>2</v>
      </c>
      <c r="F26" s="352">
        <f>D26*E26</f>
        <v>0</v>
      </c>
      <c r="G26" s="335"/>
      <c r="H26" s="2140"/>
      <c r="I26" s="2083"/>
      <c r="J26" s="212"/>
      <c r="L26" s="251"/>
    </row>
    <row r="27" spans="1:96" s="9" customFormat="1" ht="15" customHeight="1" x14ac:dyDescent="0.2">
      <c r="A27" s="985" t="str">
        <f>F!A8</f>
        <v>F1.2</v>
      </c>
      <c r="B27" s="2083"/>
      <c r="C27" s="1299" t="str">
        <f>F!C8</f>
        <v>Bog</v>
      </c>
      <c r="D27" s="593">
        <f>F!D8</f>
        <v>0</v>
      </c>
      <c r="E27" s="351">
        <v>1</v>
      </c>
      <c r="F27" s="352">
        <f>D27*E27</f>
        <v>0</v>
      </c>
      <c r="G27" s="336"/>
      <c r="H27" s="2140"/>
      <c r="I27" s="2083"/>
      <c r="J27" s="212"/>
      <c r="L27" s="251"/>
    </row>
    <row r="28" spans="1:96" s="9" customFormat="1" ht="15" customHeight="1" x14ac:dyDescent="0.2">
      <c r="A28" s="985" t="str">
        <f>F!A9</f>
        <v>F1.3</v>
      </c>
      <c r="B28" s="2083"/>
      <c r="C28" s="1299" t="str">
        <f>F!C9</f>
        <v>Fen</v>
      </c>
      <c r="D28" s="593">
        <f>F!D9</f>
        <v>0</v>
      </c>
      <c r="E28" s="351">
        <v>4</v>
      </c>
      <c r="F28" s="352">
        <f>D28*E28</f>
        <v>0</v>
      </c>
      <c r="G28" s="336"/>
      <c r="H28" s="2140"/>
      <c r="I28" s="2083"/>
      <c r="J28" s="212"/>
      <c r="L28" s="251"/>
    </row>
    <row r="29" spans="1:96" s="9" customFormat="1" ht="19.5" customHeight="1" thickBot="1" x14ac:dyDescent="0.25">
      <c r="A29" s="985" t="str">
        <f>F!A10</f>
        <v>F1.4</v>
      </c>
      <c r="B29" s="2083"/>
      <c r="C29" s="1299" t="str">
        <f>F!C10</f>
        <v>Marsh or Shallow Open Water</v>
      </c>
      <c r="D29" s="1286">
        <f>F!D10</f>
        <v>0</v>
      </c>
      <c r="E29" s="636">
        <v>5</v>
      </c>
      <c r="F29" s="1274">
        <f>D29*E29</f>
        <v>0</v>
      </c>
      <c r="G29" s="1141"/>
      <c r="H29" s="2140"/>
      <c r="I29" s="2088"/>
      <c r="J29" s="212"/>
      <c r="L29" s="251"/>
    </row>
    <row r="30" spans="1:96" s="9" customFormat="1" ht="45" customHeight="1" thickBot="1" x14ac:dyDescent="0.25">
      <c r="A30" s="2142" t="str">
        <f>F!A11</f>
        <v>F2</v>
      </c>
      <c r="B30" s="2087" t="str">
        <f>F!B11</f>
        <v>Wetland Types - Subordinate</v>
      </c>
      <c r="C30" s="53" t="str">
        <f>F!C11</f>
        <v>Mark all other vegetated wetland types in the AA that occupy more than 1 hectare or more than 1% of the vegetated AA.  Do not mark the predominant type again.  If AA is larger than 1 ha, see preliminary imagery-based answer provided by AESRD, but field-verify.</v>
      </c>
      <c r="D30" s="1146"/>
      <c r="E30" s="1146"/>
      <c r="F30" s="1287"/>
      <c r="G30" s="1288">
        <f>IF((D35=1),"",(1+SUM(D31:D34))/4)</f>
        <v>0.25</v>
      </c>
      <c r="H30" s="2139" t="s">
        <v>1276</v>
      </c>
      <c r="I30" s="2087" t="s">
        <v>1803</v>
      </c>
      <c r="J30" s="212"/>
      <c r="L30" s="251"/>
    </row>
    <row r="31" spans="1:96" s="9" customFormat="1" ht="15" customHeight="1" x14ac:dyDescent="0.2">
      <c r="A31" s="2143"/>
      <c r="B31" s="2083"/>
      <c r="C31" s="1257" t="str">
        <f>F!C12</f>
        <v>Wooded Swamp</v>
      </c>
      <c r="D31" s="771">
        <f>F!D12</f>
        <v>0</v>
      </c>
      <c r="E31" s="1151"/>
      <c r="F31" s="1277"/>
      <c r="G31" s="336"/>
      <c r="H31" s="2140"/>
      <c r="I31" s="2083"/>
      <c r="J31" s="212"/>
      <c r="L31" s="251"/>
    </row>
    <row r="32" spans="1:96" s="9" customFormat="1" ht="15" customHeight="1" x14ac:dyDescent="0.2">
      <c r="A32" s="2143"/>
      <c r="B32" s="2083"/>
      <c r="C32" s="995" t="str">
        <f>F!C13</f>
        <v>Bog</v>
      </c>
      <c r="D32" s="771">
        <f>F!D13</f>
        <v>0</v>
      </c>
      <c r="E32" s="1151"/>
      <c r="F32" s="1277"/>
      <c r="G32" s="336"/>
      <c r="H32" s="2140"/>
      <c r="I32" s="2083"/>
      <c r="J32" s="212"/>
      <c r="L32" s="251"/>
    </row>
    <row r="33" spans="1:12" s="9" customFormat="1" ht="15" customHeight="1" x14ac:dyDescent="0.2">
      <c r="A33" s="2143"/>
      <c r="B33" s="2083"/>
      <c r="C33" s="995" t="str">
        <f>F!C14</f>
        <v>Fen</v>
      </c>
      <c r="D33" s="771">
        <f>F!D14</f>
        <v>0</v>
      </c>
      <c r="E33" s="1151"/>
      <c r="F33" s="1277"/>
      <c r="G33" s="336"/>
      <c r="H33" s="2140"/>
      <c r="I33" s="2083"/>
      <c r="J33" s="212"/>
      <c r="L33" s="251"/>
    </row>
    <row r="34" spans="1:12" s="9" customFormat="1" ht="15" customHeight="1" x14ac:dyDescent="0.2">
      <c r="A34" s="2143"/>
      <c r="B34" s="2083"/>
      <c r="C34" s="995" t="str">
        <f>F!C15</f>
        <v>Marsh or Shallow Open Water</v>
      </c>
      <c r="D34" s="771">
        <f>F!D15</f>
        <v>0</v>
      </c>
      <c r="E34" s="1151"/>
      <c r="F34" s="1277"/>
      <c r="G34" s="336"/>
      <c r="H34" s="2140"/>
      <c r="I34" s="2083"/>
      <c r="J34" s="212"/>
      <c r="L34" s="251"/>
    </row>
    <row r="35" spans="1:12" s="9" customFormat="1" ht="15" customHeight="1" thickBot="1" x14ac:dyDescent="0.25">
      <c r="A35" s="2144"/>
      <c r="B35" s="2088"/>
      <c r="C35" s="1005" t="str">
        <f>F!C16</f>
        <v>no types other than the predominant one in F1 meet the area threshold.</v>
      </c>
      <c r="D35" s="126">
        <f>F!D16</f>
        <v>0</v>
      </c>
      <c r="E35" s="353"/>
      <c r="F35" s="354"/>
      <c r="G35" s="337"/>
      <c r="H35" s="2141"/>
      <c r="I35" s="2088"/>
      <c r="J35" s="212"/>
      <c r="L35" s="251"/>
    </row>
    <row r="36" spans="1:12" s="31" customFormat="1" ht="41.25" customHeight="1" thickBot="1" x14ac:dyDescent="0.25">
      <c r="A36" s="2403" t="str">
        <f>F!A17</f>
        <v>F3</v>
      </c>
      <c r="B36" s="2404" t="str">
        <f>F!B17</f>
        <v>% Saturated Only</v>
      </c>
      <c r="C36" s="1300" t="str">
        <f>F!C17</f>
        <v>The percentage of the AA that never contains surface water during an average year (that is, except perhaps for a few hours after snowmelt or rainstorms), but which is still a wetland, is:</v>
      </c>
      <c r="D36" s="594"/>
      <c r="E36" s="357"/>
      <c r="F36" s="358"/>
      <c r="G36" s="339">
        <f>MAX(F37:F42)/MAX(E37:E42)</f>
        <v>0</v>
      </c>
      <c r="H36" s="2140" t="s">
        <v>351</v>
      </c>
      <c r="I36" s="2426" t="s">
        <v>610</v>
      </c>
      <c r="J36" s="212"/>
      <c r="K36" s="9"/>
      <c r="L36" s="251"/>
    </row>
    <row r="37" spans="1:12" s="31" customFormat="1" ht="27" customHeight="1" x14ac:dyDescent="0.2">
      <c r="A37" s="2403"/>
      <c r="B37" s="2404"/>
      <c r="C37" s="1301" t="str">
        <f>F!C18</f>
        <v>less than 1%, or &lt;0.01 hectare (about 10 m on a side) never has surface water.  In other words, all or nearly all of the AA is inundated permanently or at least seasonally.</v>
      </c>
      <c r="D37" s="319">
        <f>F!D18</f>
        <v>0</v>
      </c>
      <c r="E37" s="351">
        <v>1</v>
      </c>
      <c r="F37" s="352">
        <f t="shared" ref="F37:F42" si="0">D37*E37</f>
        <v>0</v>
      </c>
      <c r="G37" s="336"/>
      <c r="H37" s="2140"/>
      <c r="I37" s="2427"/>
      <c r="J37" s="212"/>
      <c r="K37" s="9"/>
      <c r="L37" s="251"/>
    </row>
    <row r="38" spans="1:12" s="31" customFormat="1" ht="15" customHeight="1" x14ac:dyDescent="0.2">
      <c r="A38" s="2403"/>
      <c r="B38" s="2404"/>
      <c r="C38" s="1302" t="str">
        <f>F!C19</f>
        <v>1-25% of the AA never contains surface water.</v>
      </c>
      <c r="D38" s="319">
        <f>F!D19</f>
        <v>0</v>
      </c>
      <c r="E38" s="351">
        <v>2</v>
      </c>
      <c r="F38" s="352">
        <f t="shared" si="0"/>
        <v>0</v>
      </c>
      <c r="G38" s="336"/>
      <c r="H38" s="2140"/>
      <c r="I38" s="2427"/>
      <c r="J38" s="212"/>
      <c r="K38" s="9"/>
      <c r="L38" s="251"/>
    </row>
    <row r="39" spans="1:12" s="31" customFormat="1" ht="15" customHeight="1" x14ac:dyDescent="0.2">
      <c r="A39" s="2403"/>
      <c r="B39" s="2404"/>
      <c r="C39" s="1302" t="str">
        <f>F!C20</f>
        <v>25-50% of the AA never contains surface water.</v>
      </c>
      <c r="D39" s="319">
        <f>F!D20</f>
        <v>0</v>
      </c>
      <c r="E39" s="351">
        <v>3</v>
      </c>
      <c r="F39" s="352">
        <f t="shared" si="0"/>
        <v>0</v>
      </c>
      <c r="G39" s="336"/>
      <c r="H39" s="2140"/>
      <c r="I39" s="2427"/>
      <c r="J39" s="212"/>
      <c r="K39" s="9"/>
      <c r="L39" s="251"/>
    </row>
    <row r="40" spans="1:12" s="31" customFormat="1" ht="15" customHeight="1" x14ac:dyDescent="0.2">
      <c r="A40" s="2403"/>
      <c r="B40" s="2404"/>
      <c r="C40" s="1302" t="str">
        <f>F!C21</f>
        <v>50-99% of the AA never contains surface water.</v>
      </c>
      <c r="D40" s="319">
        <f>F!D21</f>
        <v>0</v>
      </c>
      <c r="E40" s="351">
        <v>4</v>
      </c>
      <c r="F40" s="352">
        <f t="shared" si="0"/>
        <v>0</v>
      </c>
      <c r="G40" s="336"/>
      <c r="H40" s="2140"/>
      <c r="I40" s="2427"/>
      <c r="J40" s="212"/>
      <c r="K40" s="9"/>
      <c r="L40" s="251"/>
    </row>
    <row r="41" spans="1:12" s="31" customFormat="1" ht="37.5" customHeight="1" x14ac:dyDescent="0.2">
      <c r="A41" s="2403"/>
      <c r="B41" s="2404"/>
      <c r="C41" s="1302" t="str">
        <f>F!C22</f>
        <v>&gt;99% of the AA never contains surface water, except for water flowing in channels and/or in pools that occupy &lt;1% of the AA. SKIP to F26 (Channel Connection &amp; Outflow Duration)</v>
      </c>
      <c r="D41" s="319">
        <f>F!D22</f>
        <v>0</v>
      </c>
      <c r="E41" s="351">
        <v>3</v>
      </c>
      <c r="F41" s="352">
        <f t="shared" si="0"/>
        <v>0</v>
      </c>
      <c r="G41" s="336"/>
      <c r="H41" s="2140"/>
      <c r="I41" s="2427"/>
      <c r="J41" s="212"/>
      <c r="K41" s="9"/>
      <c r="L41" s="251"/>
    </row>
    <row r="42" spans="1:12" s="31" customFormat="1" ht="27" customHeight="1" thickBot="1" x14ac:dyDescent="0.25">
      <c r="A42" s="2403"/>
      <c r="B42" s="2404"/>
      <c r="C42" s="1303" t="str">
        <f>F!C23</f>
        <v>&gt;99% of the AA never contains surface water, and AA is not intersected by channels that have flow, not even for a few days per year. SKIP to F26.</v>
      </c>
      <c r="D42" s="1285">
        <f>F!D23</f>
        <v>0</v>
      </c>
      <c r="E42" s="636">
        <v>2</v>
      </c>
      <c r="F42" s="1274">
        <f t="shared" si="0"/>
        <v>0</v>
      </c>
      <c r="G42" s="1141"/>
      <c r="H42" s="2140"/>
      <c r="I42" s="2428"/>
      <c r="J42" s="212"/>
      <c r="K42" s="9"/>
      <c r="L42" s="251"/>
    </row>
    <row r="43" spans="1:12" s="31" customFormat="1" ht="30" customHeight="1" thickBot="1" x14ac:dyDescent="0.25">
      <c r="A43" s="2406" t="str">
        <f>F!A24</f>
        <v>F4</v>
      </c>
      <c r="B43" s="2277" t="str">
        <f>F!B24</f>
        <v>% with Persistent Surface Water</v>
      </c>
      <c r="C43" s="1304" t="str">
        <f>F!C24</f>
        <v>The percentage of the AA that has surface water (either ponded or flowing, either open or obscured by vegetation) during all of the growing season during most years is:</v>
      </c>
      <c r="D43" s="1146"/>
      <c r="E43" s="1148"/>
      <c r="F43" s="362"/>
      <c r="G43" s="340">
        <f>IF((AllSat+AllSat&gt;0),"",MAX(F44:F49)/MAX(E44:E49))</f>
        <v>0</v>
      </c>
      <c r="H43" s="2139" t="s">
        <v>1195</v>
      </c>
      <c r="I43" s="2087" t="s">
        <v>2138</v>
      </c>
      <c r="J43" s="212"/>
      <c r="K43" s="9"/>
      <c r="L43" s="9"/>
    </row>
    <row r="44" spans="1:12" s="31" customFormat="1" ht="25.5" customHeight="1" x14ac:dyDescent="0.2">
      <c r="A44" s="2403"/>
      <c r="B44" s="2404"/>
      <c r="C44" s="1305" t="str">
        <f>F!C25</f>
        <v>less than 1%, or &lt;0.01 hectare (whichever is less).  SKIP to F8 (% Flooded Only Seasonally).</v>
      </c>
      <c r="D44" s="1271">
        <f>F!D25</f>
        <v>0</v>
      </c>
      <c r="E44" s="1151">
        <v>2</v>
      </c>
      <c r="F44" s="1277">
        <f t="shared" ref="F44:F49" si="1">D44*E44</f>
        <v>0</v>
      </c>
      <c r="G44" s="335"/>
      <c r="H44" s="2140"/>
      <c r="I44" s="2083"/>
      <c r="J44" s="212"/>
      <c r="K44" s="9"/>
      <c r="L44" s="9"/>
    </row>
    <row r="45" spans="1:12" s="31" customFormat="1" ht="15" customHeight="1" x14ac:dyDescent="0.2">
      <c r="A45" s="2403"/>
      <c r="B45" s="2404"/>
      <c r="C45" s="1306" t="str">
        <f>F!C26</f>
        <v>1-25% of the AA, and mostly in narrow channels and/or small scattered pools.</v>
      </c>
      <c r="D45" s="1271">
        <f>F!D26</f>
        <v>0</v>
      </c>
      <c r="E45" s="1151">
        <v>4</v>
      </c>
      <c r="F45" s="1277">
        <f t="shared" si="1"/>
        <v>0</v>
      </c>
      <c r="G45" s="336"/>
      <c r="H45" s="2140"/>
      <c r="I45" s="2083"/>
      <c r="J45" s="212"/>
      <c r="K45" s="9"/>
      <c r="L45" s="9"/>
    </row>
    <row r="46" spans="1:12" s="31" customFormat="1" ht="15" customHeight="1" x14ac:dyDescent="0.2">
      <c r="A46" s="2403"/>
      <c r="B46" s="2404"/>
      <c r="C46" s="1306" t="str">
        <f>F!C27</f>
        <v>1-25% of the AA, and mostly in a single large pool, pond, and/or channel.</v>
      </c>
      <c r="D46" s="1271">
        <f>F!D27</f>
        <v>0</v>
      </c>
      <c r="E46" s="1151">
        <v>3</v>
      </c>
      <c r="F46" s="1277">
        <f t="shared" si="1"/>
        <v>0</v>
      </c>
      <c r="G46" s="336"/>
      <c r="H46" s="2140"/>
      <c r="I46" s="2083"/>
      <c r="J46" s="212"/>
      <c r="K46" s="9"/>
      <c r="L46" s="9"/>
    </row>
    <row r="47" spans="1:12" s="31" customFormat="1" ht="15" customHeight="1" x14ac:dyDescent="0.2">
      <c r="A47" s="2403"/>
      <c r="B47" s="2404"/>
      <c r="C47" s="1306" t="str">
        <f>F!C28</f>
        <v>25-50% of the AA</v>
      </c>
      <c r="D47" s="1271">
        <f>F!D28</f>
        <v>0</v>
      </c>
      <c r="E47" s="1151">
        <v>2</v>
      </c>
      <c r="F47" s="1277">
        <f t="shared" si="1"/>
        <v>0</v>
      </c>
      <c r="G47" s="336"/>
      <c r="H47" s="2140"/>
      <c r="I47" s="2083"/>
      <c r="J47" s="212"/>
      <c r="K47" s="9"/>
      <c r="L47" s="9"/>
    </row>
    <row r="48" spans="1:12" s="31" customFormat="1" ht="15" customHeight="1" x14ac:dyDescent="0.2">
      <c r="A48" s="2403"/>
      <c r="B48" s="2404"/>
      <c r="C48" s="1306" t="str">
        <f>F!C29</f>
        <v>50-95% of the AA</v>
      </c>
      <c r="D48" s="1271">
        <f>F!D29</f>
        <v>0</v>
      </c>
      <c r="E48" s="636">
        <v>1</v>
      </c>
      <c r="F48" s="1274">
        <f t="shared" si="1"/>
        <v>0</v>
      </c>
      <c r="G48" s="1141"/>
      <c r="H48" s="2140"/>
      <c r="I48" s="2083"/>
      <c r="J48" s="212"/>
      <c r="K48" s="9"/>
      <c r="L48" s="9"/>
    </row>
    <row r="49" spans="1:12" s="31" customFormat="1" ht="15" customHeight="1" thickBot="1" x14ac:dyDescent="0.25">
      <c r="A49" s="2407"/>
      <c r="B49" s="2278"/>
      <c r="C49" s="1307" t="str">
        <f>F!C30</f>
        <v>&gt;95% of the AA</v>
      </c>
      <c r="D49" s="111">
        <f>F!D30</f>
        <v>0</v>
      </c>
      <c r="E49" s="353">
        <v>0</v>
      </c>
      <c r="F49" s="354">
        <f t="shared" si="1"/>
        <v>0</v>
      </c>
      <c r="G49" s="337"/>
      <c r="H49" s="2141"/>
      <c r="I49" s="2088"/>
      <c r="J49" s="212"/>
      <c r="K49" s="9"/>
      <c r="L49" s="9"/>
    </row>
    <row r="50" spans="1:12" s="31" customFormat="1" ht="30" customHeight="1" thickBot="1" x14ac:dyDescent="0.25">
      <c r="A50" s="2403" t="str">
        <f>F!A45</f>
        <v>F9</v>
      </c>
      <c r="B50" s="2404" t="str">
        <f>F!B45</f>
        <v>Annual Water Fluctuation Range</v>
      </c>
      <c r="C50" s="1300" t="str">
        <f>F!C45</f>
        <v>The annual fluctuation in surface water level within most of the parts of the AA that contain surface water is:</v>
      </c>
      <c r="D50" s="357"/>
      <c r="E50" s="359"/>
      <c r="F50" s="335"/>
      <c r="G50" s="339">
        <f>IF((AllSat+AllSat&gt;0),"", IF((NoSeasonal=1),"",MAX(F51:F54)/MAX(E51:E54)))</f>
        <v>0</v>
      </c>
      <c r="H50" s="2140" t="s">
        <v>231</v>
      </c>
      <c r="I50" s="2087" t="s">
        <v>2266</v>
      </c>
      <c r="J50" s="212"/>
      <c r="K50" s="9"/>
      <c r="L50" s="9"/>
    </row>
    <row r="51" spans="1:12" s="31" customFormat="1" ht="15" customHeight="1" x14ac:dyDescent="0.2">
      <c r="A51" s="2403"/>
      <c r="B51" s="2404"/>
      <c r="C51" s="1308" t="str">
        <f>F!C46</f>
        <v xml:space="preserve">&lt;10 cm change (stable) </v>
      </c>
      <c r="D51" s="320">
        <f>F!D46</f>
        <v>0</v>
      </c>
      <c r="E51" s="351">
        <v>1</v>
      </c>
      <c r="F51" s="352">
        <f>D51*E51</f>
        <v>0</v>
      </c>
      <c r="G51" s="335"/>
      <c r="H51" s="2140"/>
      <c r="I51" s="2083"/>
      <c r="J51" s="212"/>
      <c r="K51" s="9"/>
      <c r="L51" s="9"/>
    </row>
    <row r="52" spans="1:12" s="31" customFormat="1" ht="15" customHeight="1" x14ac:dyDescent="0.2">
      <c r="A52" s="2403"/>
      <c r="B52" s="2404"/>
      <c r="C52" s="1303" t="str">
        <f>F!C47</f>
        <v>10 cm - 50 cm change</v>
      </c>
      <c r="D52" s="320">
        <f>F!D47</f>
        <v>0</v>
      </c>
      <c r="E52" s="351">
        <v>2</v>
      </c>
      <c r="F52" s="352">
        <f>D52*E52</f>
        <v>0</v>
      </c>
      <c r="G52" s="336"/>
      <c r="H52" s="2140"/>
      <c r="I52" s="2083"/>
      <c r="J52" s="212"/>
      <c r="K52" s="9"/>
      <c r="L52" s="9"/>
    </row>
    <row r="53" spans="1:12" s="31" customFormat="1" ht="15" customHeight="1" x14ac:dyDescent="0.2">
      <c r="A53" s="2403"/>
      <c r="B53" s="2404"/>
      <c r="C53" s="1303" t="str">
        <f>F!C49</f>
        <v>1-2 m change</v>
      </c>
      <c r="D53" s="320">
        <f>F!D49</f>
        <v>0</v>
      </c>
      <c r="E53" s="351">
        <v>2</v>
      </c>
      <c r="F53" s="352">
        <f>D53*E53</f>
        <v>0</v>
      </c>
      <c r="G53" s="336"/>
      <c r="H53" s="2140"/>
      <c r="I53" s="2083"/>
      <c r="J53" s="212"/>
      <c r="K53" s="9"/>
      <c r="L53" s="9"/>
    </row>
    <row r="54" spans="1:12" s="31" customFormat="1" ht="15" customHeight="1" thickBot="1" x14ac:dyDescent="0.25">
      <c r="A54" s="2403"/>
      <c r="B54" s="2404"/>
      <c r="C54" s="1303" t="str">
        <f>F!C50</f>
        <v>&gt;2 m change</v>
      </c>
      <c r="D54" s="1270">
        <f>F!D50</f>
        <v>0</v>
      </c>
      <c r="E54" s="636">
        <v>1</v>
      </c>
      <c r="F54" s="1274">
        <f>D54*E54</f>
        <v>0</v>
      </c>
      <c r="G54" s="1141"/>
      <c r="H54" s="2140"/>
      <c r="I54" s="2088"/>
      <c r="J54" s="212"/>
      <c r="K54" s="9"/>
      <c r="L54" s="9"/>
    </row>
    <row r="55" spans="1:12" s="31" customFormat="1" ht="30" customHeight="1" thickBot="1" x14ac:dyDescent="0.25">
      <c r="A55" s="2406" t="str">
        <f>F!A52</f>
        <v>F10</v>
      </c>
      <c r="B55" s="2277" t="str">
        <f>F!B52</f>
        <v>Predominant Depth Class</v>
      </c>
      <c r="C55" s="1304" t="str">
        <f>F!C52</f>
        <v>During most of the time when water is present, its depth in most of the area is: [Note: This is not asking for the maximum depth.]</v>
      </c>
      <c r="D55" s="1280"/>
      <c r="E55" s="1148"/>
      <c r="F55" s="1281"/>
      <c r="G55" s="340">
        <f>IF((AllSat+AllSat&gt;0),"", IF((SmallAA=1),"", MAX(F56:F60)/MAX(E56:E60)))</f>
        <v>0</v>
      </c>
      <c r="H55" s="2139" t="s">
        <v>207</v>
      </c>
      <c r="I55" s="2087" t="s">
        <v>2139</v>
      </c>
      <c r="J55" s="212"/>
      <c r="K55" s="9"/>
      <c r="L55" s="9"/>
    </row>
    <row r="56" spans="1:12" s="31" customFormat="1" ht="15" customHeight="1" x14ac:dyDescent="0.2">
      <c r="A56" s="2340"/>
      <c r="B56" s="2404"/>
      <c r="C56" s="1305" t="str">
        <f>F!C53</f>
        <v>&lt;10 cm deep (but &gt;0)</v>
      </c>
      <c r="D56" s="321">
        <f>F!D53</f>
        <v>0</v>
      </c>
      <c r="E56" s="1151">
        <v>6</v>
      </c>
      <c r="F56" s="1277">
        <f>D56*E56</f>
        <v>0</v>
      </c>
      <c r="G56" s="336"/>
      <c r="H56" s="2140"/>
      <c r="I56" s="2083"/>
      <c r="J56" s="212"/>
      <c r="K56" s="9"/>
      <c r="L56" s="9"/>
    </row>
    <row r="57" spans="1:12" s="31" customFormat="1" ht="15" customHeight="1" x14ac:dyDescent="0.2">
      <c r="A57" s="2340"/>
      <c r="B57" s="2404"/>
      <c r="C57" s="1306" t="str">
        <f>F!C54</f>
        <v>10 - 50 cm deep</v>
      </c>
      <c r="D57" s="1271">
        <f>F!D54</f>
        <v>0</v>
      </c>
      <c r="E57" s="1151">
        <v>4</v>
      </c>
      <c r="F57" s="1277">
        <f>D57*E57</f>
        <v>0</v>
      </c>
      <c r="G57" s="336"/>
      <c r="H57" s="2140"/>
      <c r="I57" s="2083"/>
      <c r="J57" s="212"/>
      <c r="K57" s="9"/>
      <c r="L57" s="9"/>
    </row>
    <row r="58" spans="1:12" s="31" customFormat="1" ht="15" customHeight="1" x14ac:dyDescent="0.2">
      <c r="A58" s="2340"/>
      <c r="B58" s="2404"/>
      <c r="C58" s="1306" t="str">
        <f>F!C55</f>
        <v>0.5 - 1 m deep</v>
      </c>
      <c r="D58" s="1271">
        <f>F!D55</f>
        <v>0</v>
      </c>
      <c r="E58" s="1151">
        <v>3</v>
      </c>
      <c r="F58" s="1277">
        <f>D58*E58</f>
        <v>0</v>
      </c>
      <c r="G58" s="336"/>
      <c r="H58" s="2140"/>
      <c r="I58" s="2083"/>
      <c r="J58" s="212"/>
      <c r="K58" s="9"/>
      <c r="L58" s="9"/>
    </row>
    <row r="59" spans="1:12" s="31" customFormat="1" ht="15" customHeight="1" x14ac:dyDescent="0.2">
      <c r="A59" s="2340"/>
      <c r="B59" s="2404"/>
      <c r="C59" s="1306" t="str">
        <f>F!C56</f>
        <v>1 - 2 m deep</v>
      </c>
      <c r="D59" s="1271">
        <f>F!D56</f>
        <v>0</v>
      </c>
      <c r="E59" s="1151">
        <v>1</v>
      </c>
      <c r="F59" s="1277">
        <f>D59*E59</f>
        <v>0</v>
      </c>
      <c r="G59" s="336"/>
      <c r="H59" s="2140"/>
      <c r="I59" s="2083"/>
      <c r="J59" s="212"/>
      <c r="K59" s="9"/>
      <c r="L59" s="9"/>
    </row>
    <row r="60" spans="1:12" s="31" customFormat="1" ht="15" customHeight="1" thickBot="1" x14ac:dyDescent="0.25">
      <c r="A60" s="2416"/>
      <c r="B60" s="2278"/>
      <c r="C60" s="1307" t="str">
        <f>F!C57</f>
        <v>&gt;2 m deep.  True for many fringe wetlands.</v>
      </c>
      <c r="D60" s="111">
        <f>F!D57</f>
        <v>0</v>
      </c>
      <c r="E60" s="353">
        <v>0</v>
      </c>
      <c r="F60" s="354">
        <f>D60*E60</f>
        <v>0</v>
      </c>
      <c r="G60" s="337"/>
      <c r="H60" s="2141"/>
      <c r="I60" s="2088"/>
      <c r="J60" s="212"/>
      <c r="K60" s="9"/>
      <c r="L60" s="9"/>
    </row>
    <row r="61" spans="1:12" s="31" customFormat="1" ht="41.25" customHeight="1" thickBot="1" x14ac:dyDescent="0.25">
      <c r="A61" s="2409" t="str">
        <f>F!A71</f>
        <v>F14</v>
      </c>
      <c r="B61" s="2413" t="str">
        <f>F!B71</f>
        <v xml:space="preserve">% of Ponded Water That Is Open </v>
      </c>
      <c r="C61" s="1663" t="str">
        <f>F!C71</f>
        <v>In ducks-eye aerial view, the percentage of the ponded water that is open (lacking emergent vegetation during most of the growing season, and unhidden by a forest or shrub canopy) is:</v>
      </c>
      <c r="D61" s="1661"/>
      <c r="E61" s="1148"/>
      <c r="F61" s="1281"/>
      <c r="G61" s="340" t="str">
        <f>IF((AllSat+AllSat&gt;0),"",IF((OpenW=0),"", IF((SmallAA=1),"", MAX(F62:F67)/MAX(E62:E67))))</f>
        <v/>
      </c>
      <c r="H61" s="2087" t="s">
        <v>2157</v>
      </c>
      <c r="I61" s="2087" t="s">
        <v>2141</v>
      </c>
      <c r="J61" s="212"/>
      <c r="K61" s="9"/>
      <c r="L61" s="9"/>
    </row>
    <row r="62" spans="1:12" s="31" customFormat="1" ht="27" customHeight="1" x14ac:dyDescent="0.2">
      <c r="A62" s="2410"/>
      <c r="B62" s="2414"/>
      <c r="C62" s="1662" t="str">
        <f>F!C72</f>
        <v>&lt;1% or none, or largest pool occupies &lt;0.01 hectares.  Enter "1" and SKIP to F20 (Floating Algae &amp; Duckweed).</v>
      </c>
      <c r="D62" s="1159">
        <f>F!D72</f>
        <v>0</v>
      </c>
      <c r="E62" s="1151">
        <v>3</v>
      </c>
      <c r="F62" s="1277">
        <v>5</v>
      </c>
      <c r="G62" s="336"/>
      <c r="H62" s="2083"/>
      <c r="I62" s="2083"/>
      <c r="J62" s="212"/>
      <c r="K62" s="9"/>
      <c r="L62" s="9"/>
    </row>
    <row r="63" spans="1:12" s="31" customFormat="1" ht="15" customHeight="1" x14ac:dyDescent="0.2">
      <c r="A63" s="2410"/>
      <c r="B63" s="2414"/>
      <c r="C63" s="1309" t="str">
        <f>F!C73</f>
        <v>1-5% of the ponded water.  Enter "1" and SKIP to F20.</v>
      </c>
      <c r="D63" s="1159">
        <f>F!D73</f>
        <v>0</v>
      </c>
      <c r="E63" s="1151">
        <v>4</v>
      </c>
      <c r="F63" s="1277">
        <v>4</v>
      </c>
      <c r="G63" s="336"/>
      <c r="H63" s="2083"/>
      <c r="I63" s="2083"/>
      <c r="J63" s="212"/>
      <c r="K63" s="9"/>
      <c r="L63" s="9"/>
    </row>
    <row r="64" spans="1:12" s="31" customFormat="1" ht="15" customHeight="1" x14ac:dyDescent="0.2">
      <c r="A64" s="2410"/>
      <c r="B64" s="2414"/>
      <c r="C64" s="1309" t="str">
        <f>F!C74</f>
        <v>5-30% of the ponded water.</v>
      </c>
      <c r="D64" s="1159">
        <f>F!D74</f>
        <v>0</v>
      </c>
      <c r="E64" s="1151">
        <v>3</v>
      </c>
      <c r="F64" s="1277">
        <v>3</v>
      </c>
      <c r="G64" s="336"/>
      <c r="H64" s="2083"/>
      <c r="I64" s="2083"/>
      <c r="J64" s="212"/>
      <c r="K64" s="9"/>
      <c r="L64" s="9"/>
    </row>
    <row r="65" spans="1:12" s="31" customFormat="1" ht="15" customHeight="1" x14ac:dyDescent="0.2">
      <c r="A65" s="2410"/>
      <c r="B65" s="2414"/>
      <c r="C65" s="1309" t="str">
        <f>F!C75</f>
        <v>30-70% of the ponded water.</v>
      </c>
      <c r="D65" s="1159">
        <f>F!D75</f>
        <v>0</v>
      </c>
      <c r="E65" s="1151">
        <v>2</v>
      </c>
      <c r="F65" s="1277">
        <v>2</v>
      </c>
      <c r="G65" s="336"/>
      <c r="H65" s="2083"/>
      <c r="I65" s="2083"/>
      <c r="J65" s="212"/>
      <c r="K65" s="9"/>
      <c r="L65" s="9"/>
    </row>
    <row r="66" spans="1:12" s="31" customFormat="1" ht="15" customHeight="1" x14ac:dyDescent="0.2">
      <c r="A66" s="2410"/>
      <c r="B66" s="2414"/>
      <c r="C66" s="1309" t="str">
        <f>F!C76</f>
        <v>70-99% of the ponded water.</v>
      </c>
      <c r="D66" s="1159">
        <f>F!D76</f>
        <v>0</v>
      </c>
      <c r="E66" s="1151">
        <v>1</v>
      </c>
      <c r="F66" s="1277">
        <v>1</v>
      </c>
      <c r="G66" s="336"/>
      <c r="H66" s="2083"/>
      <c r="I66" s="2083"/>
      <c r="J66" s="212"/>
      <c r="K66" s="9"/>
      <c r="L66" s="9"/>
    </row>
    <row r="67" spans="1:12" s="31" customFormat="1" ht="15" customHeight="1" thickBot="1" x14ac:dyDescent="0.25">
      <c r="A67" s="2411"/>
      <c r="B67" s="2415"/>
      <c r="C67" s="1310" t="str">
        <f>F!C77</f>
        <v xml:space="preserve">100% of the ponded water. </v>
      </c>
      <c r="D67" s="141">
        <f>F!D77</f>
        <v>0</v>
      </c>
      <c r="E67" s="353">
        <v>0</v>
      </c>
      <c r="F67" s="354">
        <v>0</v>
      </c>
      <c r="G67" s="337"/>
      <c r="H67" s="2088"/>
      <c r="I67" s="2088"/>
      <c r="J67" s="212"/>
      <c r="K67" s="9"/>
      <c r="L67" s="9"/>
    </row>
    <row r="68" spans="1:12" s="31" customFormat="1" ht="30" customHeight="1" thickBot="1" x14ac:dyDescent="0.25">
      <c r="A68" s="2409" t="str">
        <f>F!A84</f>
        <v>F16</v>
      </c>
      <c r="B68" s="2413" t="str">
        <f>F!B84</f>
        <v>Predominant Width of Vegetated Zone within Wetland</v>
      </c>
      <c r="C68" s="1304" t="str">
        <f>F!C84</f>
        <v>At the driest time of year (or lowest water level), the average width of vegetated area in the AA that separates adjoining uplands from open water within the AA is:</v>
      </c>
      <c r="D68" s="1280"/>
      <c r="E68" s="1280"/>
      <c r="F68" s="365"/>
      <c r="G68" s="340" t="str">
        <f>IF((AllSat+AllSat&gt;0),"",IF((OpenW=0),"", IF((SmallAA=1),"", MAX(F69:F73)/MAX(E69:E73))))</f>
        <v/>
      </c>
      <c r="H68" s="2139" t="s">
        <v>208</v>
      </c>
      <c r="I68" s="2087" t="s">
        <v>2140</v>
      </c>
      <c r="J68" s="212"/>
      <c r="K68" s="9"/>
      <c r="L68" s="9"/>
    </row>
    <row r="69" spans="1:12" s="31" customFormat="1" ht="15" customHeight="1" x14ac:dyDescent="0.2">
      <c r="A69" s="2410"/>
      <c r="B69" s="2414"/>
      <c r="C69" s="1412" t="str">
        <f>F!C85</f>
        <v>&lt;1 m</v>
      </c>
      <c r="D69" s="321">
        <f>F!D85</f>
        <v>0</v>
      </c>
      <c r="E69" s="1284">
        <v>1</v>
      </c>
      <c r="F69" s="1277">
        <f>D69*E69</f>
        <v>0</v>
      </c>
      <c r="G69" s="335"/>
      <c r="H69" s="2140"/>
      <c r="I69" s="2083"/>
      <c r="J69" s="212"/>
      <c r="K69" s="9"/>
      <c r="L69" s="9"/>
    </row>
    <row r="70" spans="1:12" s="31" customFormat="1" ht="15" customHeight="1" x14ac:dyDescent="0.2">
      <c r="A70" s="2410"/>
      <c r="B70" s="2414"/>
      <c r="C70" s="1412" t="str">
        <f>F!C86</f>
        <v>1 - 9 m</v>
      </c>
      <c r="D70" s="321">
        <f>F!D86</f>
        <v>0</v>
      </c>
      <c r="E70" s="1284">
        <v>2</v>
      </c>
      <c r="F70" s="1277">
        <f>D70*E70</f>
        <v>0</v>
      </c>
      <c r="G70" s="336"/>
      <c r="H70" s="2140"/>
      <c r="I70" s="2083"/>
      <c r="J70" s="212"/>
      <c r="K70" s="9"/>
      <c r="L70" s="9"/>
    </row>
    <row r="71" spans="1:12" s="31" customFormat="1" ht="15" customHeight="1" x14ac:dyDescent="0.2">
      <c r="A71" s="2410"/>
      <c r="B71" s="2414"/>
      <c r="C71" s="1412" t="str">
        <f>F!C87</f>
        <v>10 - 29 m</v>
      </c>
      <c r="D71" s="321">
        <f>F!D87</f>
        <v>0</v>
      </c>
      <c r="E71" s="1284">
        <v>3</v>
      </c>
      <c r="F71" s="1277">
        <f>D71*E71</f>
        <v>0</v>
      </c>
      <c r="G71" s="336"/>
      <c r="H71" s="2140"/>
      <c r="I71" s="2083"/>
      <c r="J71" s="212"/>
      <c r="K71" s="9"/>
      <c r="L71" s="9"/>
    </row>
    <row r="72" spans="1:12" s="31" customFormat="1" ht="15" customHeight="1" x14ac:dyDescent="0.2">
      <c r="A72" s="2410"/>
      <c r="B72" s="2414"/>
      <c r="C72" s="1412" t="str">
        <f>F!C88</f>
        <v>30 - 49 m</v>
      </c>
      <c r="D72" s="321">
        <f>F!D88</f>
        <v>0</v>
      </c>
      <c r="E72" s="1284">
        <v>4</v>
      </c>
      <c r="F72" s="1277">
        <f>D72*E72</f>
        <v>0</v>
      </c>
      <c r="G72" s="336"/>
      <c r="H72" s="2140"/>
      <c r="I72" s="2083"/>
      <c r="J72" s="212"/>
      <c r="K72" s="9"/>
      <c r="L72" s="9"/>
    </row>
    <row r="73" spans="1:12" s="31" customFormat="1" ht="15" customHeight="1" thickBot="1" x14ac:dyDescent="0.25">
      <c r="A73" s="2411"/>
      <c r="B73" s="2415"/>
      <c r="C73" s="1413" t="str">
        <f>F!C90</f>
        <v>&gt; 100 m</v>
      </c>
      <c r="D73" s="1414">
        <f>F!D90</f>
        <v>0</v>
      </c>
      <c r="E73" s="374">
        <v>5</v>
      </c>
      <c r="F73" s="354">
        <f>D73*E73</f>
        <v>0</v>
      </c>
      <c r="G73" s="337"/>
      <c r="H73" s="2141"/>
      <c r="I73" s="2088"/>
      <c r="J73" s="212"/>
      <c r="K73" s="9"/>
      <c r="L73" s="9"/>
    </row>
    <row r="74" spans="1:12" s="31" customFormat="1" ht="36" customHeight="1" thickBot="1" x14ac:dyDescent="0.25">
      <c r="A74" s="2422" t="str">
        <f>F!A95</f>
        <v>F18</v>
      </c>
      <c r="B74" s="2414" t="str">
        <f>F!B95</f>
        <v>Interspersion of Robust Emergents &amp; Open Water</v>
      </c>
      <c r="C74" s="1300" t="str">
        <f>F!C95</f>
        <v>During most of the growing season, the spatial pattern of tall robust herbaceous vegetation (e.g., cattail, bulrush) that has surface water beneath it is mostly:</v>
      </c>
      <c r="D74" s="357"/>
      <c r="E74" s="357"/>
      <c r="F74" s="363"/>
      <c r="G74" s="339">
        <f>IF((AllSat+AllSat&gt;0),"",IF((NoPonded=1),"",IF((NoOpenPonded+NoOpenPonded1&gt;0),"",IF((AllOpenPond=1),"", IF((SmallAA=1),"", MAX(F75:F77)/MAX(E75:E77))))))</f>
        <v>0</v>
      </c>
      <c r="H74" s="2140" t="s">
        <v>228</v>
      </c>
      <c r="I74" s="2087" t="s">
        <v>2142</v>
      </c>
      <c r="J74" s="212"/>
      <c r="K74" s="9"/>
      <c r="L74" s="9"/>
    </row>
    <row r="75" spans="1:12" s="31" customFormat="1" ht="18" customHeight="1" x14ac:dyDescent="0.2">
      <c r="A75" s="2418"/>
      <c r="B75" s="2404"/>
      <c r="C75" s="1305" t="str">
        <f>F!C96</f>
        <v>Scattered in small clumps, islands, or patches throughout the surface water area.</v>
      </c>
      <c r="D75" s="321">
        <f>F!D96</f>
        <v>0</v>
      </c>
      <c r="E75" s="366">
        <v>3</v>
      </c>
      <c r="F75" s="352">
        <f>D75*E75</f>
        <v>0</v>
      </c>
      <c r="G75" s="336"/>
      <c r="H75" s="2140"/>
      <c r="I75" s="2083"/>
      <c r="J75" s="212"/>
      <c r="K75" s="9"/>
      <c r="L75" s="9"/>
    </row>
    <row r="76" spans="1:12" s="31" customFormat="1" ht="18" customHeight="1" x14ac:dyDescent="0.2">
      <c r="A76" s="2418"/>
      <c r="B76" s="2404"/>
      <c r="C76" s="1306" t="str">
        <f>F!C97</f>
        <v>Intermediate</v>
      </c>
      <c r="D76" s="33">
        <f>F!D97</f>
        <v>0</v>
      </c>
      <c r="E76" s="366">
        <v>2</v>
      </c>
      <c r="F76" s="352">
        <f>D76*E76</f>
        <v>0</v>
      </c>
      <c r="G76" s="336"/>
      <c r="H76" s="2140"/>
      <c r="I76" s="2083"/>
      <c r="J76" s="212"/>
      <c r="K76" s="9"/>
      <c r="L76" s="9"/>
    </row>
    <row r="77" spans="1:12" s="31" customFormat="1" ht="27" customHeight="1" thickBot="1" x14ac:dyDescent="0.25">
      <c r="A77" s="2418"/>
      <c r="B77" s="2404"/>
      <c r="C77" s="1311" t="str">
        <f>F!C98</f>
        <v>Clumped at one or a few sides of the surface water area, or mostly surrounds a central area of open water.  Or such vegetation is absent or covers &lt;9 sq m and &lt;1% of the AA.</v>
      </c>
      <c r="D77" s="58">
        <f>F!D98</f>
        <v>0</v>
      </c>
      <c r="E77" s="367">
        <v>1</v>
      </c>
      <c r="F77" s="361">
        <f>D77*E77</f>
        <v>0</v>
      </c>
      <c r="G77" s="1141"/>
      <c r="H77" s="2140"/>
      <c r="I77" s="2088"/>
      <c r="J77" s="212"/>
      <c r="K77" s="9"/>
      <c r="L77" s="9"/>
    </row>
    <row r="78" spans="1:12" s="31" customFormat="1" ht="21" customHeight="1" thickBot="1" x14ac:dyDescent="0.25">
      <c r="A78" s="2406" t="str">
        <f>F!A103</f>
        <v>F23</v>
      </c>
      <c r="B78" s="2277" t="str">
        <f>F!B103</f>
        <v>Beaver Probability</v>
      </c>
      <c r="C78" s="1304" t="str">
        <f>F!C103</f>
        <v>Use of the AA by beaver during the past 5 years is (select most applicable ONE):</v>
      </c>
      <c r="D78" s="1280"/>
      <c r="E78" s="1148"/>
      <c r="F78" s="362"/>
      <c r="G78" s="340">
        <f>IF((AllSat+AllSat&gt;0),"",MAX(F79:F82)/MAX(E79:E82))</f>
        <v>0</v>
      </c>
      <c r="H78" s="2139" t="s">
        <v>229</v>
      </c>
      <c r="I78" s="2087" t="s">
        <v>2143</v>
      </c>
      <c r="J78" s="212"/>
      <c r="K78" s="9"/>
      <c r="L78" s="9"/>
    </row>
    <row r="79" spans="1:12" s="31" customFormat="1" ht="27" customHeight="1" x14ac:dyDescent="0.2">
      <c r="A79" s="2403"/>
      <c r="B79" s="2404"/>
      <c r="C79" s="1305" t="str">
        <f>F!C104</f>
        <v>evident from direct observation or presence of gnawed limbs, dams, tracks, dens, lodges, or extensive stands of water-killed trees (snags).</v>
      </c>
      <c r="D79" s="321">
        <f>F!D104</f>
        <v>0</v>
      </c>
      <c r="E79" s="1151">
        <v>5</v>
      </c>
      <c r="F79" s="1277">
        <f>D79*E79</f>
        <v>0</v>
      </c>
      <c r="G79" s="335"/>
      <c r="H79" s="2140"/>
      <c r="I79" s="2083"/>
      <c r="J79" s="212"/>
      <c r="K79" s="9"/>
      <c r="L79" s="9"/>
    </row>
    <row r="80" spans="1:12" s="31" customFormat="1" ht="54" customHeight="1" x14ac:dyDescent="0.2">
      <c r="A80" s="2403"/>
      <c r="B80" s="2404"/>
      <c r="C80" s="1306" t="str">
        <f>F!C105</f>
        <v>likely based on known occurrence in the region and proximity to suitable habitat, which may include: (a) a persistent freshwater wetland, pond, or lake, or a perennial low or mid-gradient (&lt;10%) channel, and (b) a corridor or multiple stands of hardwood trees and shrubs in vegetated areas near surface water.</v>
      </c>
      <c r="D80" s="1271">
        <f>F!D105</f>
        <v>0</v>
      </c>
      <c r="E80" s="1151">
        <v>2</v>
      </c>
      <c r="F80" s="1277">
        <f>D80*E80</f>
        <v>0</v>
      </c>
      <c r="G80" s="336"/>
      <c r="H80" s="2140"/>
      <c r="I80" s="2083"/>
      <c r="J80" s="212"/>
      <c r="K80" s="9"/>
      <c r="L80" s="9"/>
    </row>
    <row r="81" spans="1:12" s="31" customFormat="1" ht="39" customHeight="1" x14ac:dyDescent="0.2">
      <c r="A81" s="2403"/>
      <c r="B81" s="2404"/>
      <c r="C81" s="1306" t="str">
        <f>F!C106</f>
        <v>unlikely because site characteristics above are deficient, and/or this is a settled area or other area where beaver are routinely removed.  But beaver occur in this part of the region (i.e., within 25 km).</v>
      </c>
      <c r="D81" s="1271">
        <f>F!D106</f>
        <v>0</v>
      </c>
      <c r="E81" s="1151">
        <v>1</v>
      </c>
      <c r="F81" s="1277">
        <f>D81*E81</f>
        <v>0</v>
      </c>
      <c r="G81" s="336"/>
      <c r="H81" s="2140"/>
      <c r="I81" s="2083"/>
      <c r="J81" s="212"/>
      <c r="K81" s="9"/>
      <c r="L81" s="9"/>
    </row>
    <row r="82" spans="1:12" s="31" customFormat="1" ht="15" customHeight="1" thickBot="1" x14ac:dyDescent="0.25">
      <c r="A82" s="2407"/>
      <c r="B82" s="2278"/>
      <c r="C82" s="1307" t="str">
        <f>F!C107</f>
        <v>none.  Beaver are absent from this part of the region.</v>
      </c>
      <c r="D82" s="111">
        <f>F!D107</f>
        <v>0</v>
      </c>
      <c r="E82" s="353">
        <v>0</v>
      </c>
      <c r="F82" s="354">
        <f>D82*E82</f>
        <v>0</v>
      </c>
      <c r="G82" s="337"/>
      <c r="H82" s="2141"/>
      <c r="I82" s="2088"/>
      <c r="J82" s="212"/>
      <c r="K82" s="9"/>
      <c r="L82" s="9"/>
    </row>
    <row r="83" spans="1:12" s="31" customFormat="1" ht="69" customHeight="1" thickBot="1" x14ac:dyDescent="0.25">
      <c r="A83" s="1002" t="str">
        <f>F!A108</f>
        <v>F24</v>
      </c>
      <c r="B83" s="1294" t="str">
        <f>F!B108</f>
        <v>Inflow</v>
      </c>
      <c r="C83" s="1289" t="str">
        <f>F!C108</f>
        <v>At least once annually, surface water from a tributary &gt;100m long, or from a larger permanent water body, moves into the AA. It may enter directly in a channel, or as unconfined overflow from a contiguous river or lake, or via a pipe or hardened conduit.   If true, enter 1 and continue.  If false, enter 0 and SKIP to F26 (Channel Connection &amp; Outflow Duration).</v>
      </c>
      <c r="D83" s="596">
        <f>Inflows</f>
        <v>0</v>
      </c>
      <c r="E83" s="355"/>
      <c r="F83" s="356"/>
      <c r="G83" s="344">
        <f>D83</f>
        <v>0</v>
      </c>
      <c r="H83" s="987" t="s">
        <v>230</v>
      </c>
      <c r="I83" s="986" t="s">
        <v>328</v>
      </c>
      <c r="J83" s="212"/>
      <c r="K83" s="9"/>
      <c r="L83" s="9"/>
    </row>
    <row r="84" spans="1:12" s="31" customFormat="1" ht="21" customHeight="1" thickBot="1" x14ac:dyDescent="0.25">
      <c r="A84" s="2406" t="str">
        <f>F!A125</f>
        <v>F28</v>
      </c>
      <c r="B84" s="2277" t="str">
        <f>F!B125</f>
        <v>Groundwater: Strength of Evidence</v>
      </c>
      <c r="C84" s="1304" t="str">
        <f>F!C125</f>
        <v xml:space="preserve">Select first applicable choice. </v>
      </c>
      <c r="D84" s="1280"/>
      <c r="E84" s="1148"/>
      <c r="F84" s="362"/>
      <c r="G84" s="340">
        <f>IF((D87=1),"",MAX(F85:F87)/MAX(E85:E87))</f>
        <v>0</v>
      </c>
      <c r="H84" s="2139" t="s">
        <v>227</v>
      </c>
      <c r="I84" s="2087" t="s">
        <v>2144</v>
      </c>
      <c r="J84" s="212"/>
      <c r="K84" s="9"/>
      <c r="L84" s="9"/>
    </row>
    <row r="85" spans="1:12" s="31" customFormat="1" ht="42" customHeight="1" x14ac:dyDescent="0.2">
      <c r="A85" s="2403"/>
      <c r="B85" s="2404"/>
      <c r="C85" s="1305" t="str">
        <f>F!C126</f>
        <v xml:space="preserve">Groundwater monitoring has demonstrated that groundwater primarily discharges to the wetland for longer periods during the year than periods when the wetland recharges the groundwater.  Or, springs are known to be present within the AA.
</v>
      </c>
      <c r="D85" s="321">
        <f>F!D126</f>
        <v>0</v>
      </c>
      <c r="E85" s="1151">
        <v>2</v>
      </c>
      <c r="F85" s="1277">
        <f>D85*E85</f>
        <v>0</v>
      </c>
      <c r="G85" s="341"/>
      <c r="H85" s="2140"/>
      <c r="I85" s="2083"/>
      <c r="J85" s="212"/>
      <c r="K85" s="9"/>
      <c r="L85" s="9"/>
    </row>
    <row r="86" spans="1:12" s="31" customFormat="1" ht="111" customHeight="1" x14ac:dyDescent="0.2">
      <c r="A86" s="2403"/>
      <c r="B86" s="2404"/>
      <c r="C86" s="1306" t="str">
        <f>F!C127</f>
        <v xml:space="preserve">One or more of the following are true: (a) the upper end of the AA is located very close to the base of (but mostly not ON) a natural slope much steeper (usually &gt;15%) than that within the AA and longer than 100 m, OR
(b) rust deposits ("iron floc"), colored precipitates, or dispersible natural oil sheen are prevalent in the AA, OR
(c) AA water is remarkably clear in contrast to naturally stained waters typical in nearby wetlands, OR
(d) AA is located at a geologic fault.
</v>
      </c>
      <c r="D86" s="1271">
        <f>F!D127</f>
        <v>0</v>
      </c>
      <c r="E86" s="1151">
        <v>1</v>
      </c>
      <c r="F86" s="1277">
        <f>D86*E86</f>
        <v>0</v>
      </c>
      <c r="G86" s="1141"/>
      <c r="H86" s="2140"/>
      <c r="I86" s="2083"/>
      <c r="J86" s="212"/>
      <c r="K86" s="9"/>
      <c r="L86" s="9"/>
    </row>
    <row r="87" spans="1:12" s="31" customFormat="1" ht="27" customHeight="1" thickBot="1" x14ac:dyDescent="0.25">
      <c r="A87" s="2407"/>
      <c r="B87" s="2278"/>
      <c r="C87" s="1307" t="str">
        <f>F!C128</f>
        <v>Neither of above is true, although some groundwater may discharge to or flow through the AA.  Or groundwater influx is unknown.</v>
      </c>
      <c r="D87" s="111">
        <f>F!D128</f>
        <v>0</v>
      </c>
      <c r="E87" s="353">
        <v>0</v>
      </c>
      <c r="F87" s="354">
        <f>D87*E87</f>
        <v>0</v>
      </c>
      <c r="G87" s="337"/>
      <c r="H87" s="2141"/>
      <c r="I87" s="2088"/>
      <c r="J87" s="212"/>
      <c r="K87" s="9"/>
      <c r="L87" s="9"/>
    </row>
    <row r="88" spans="1:12" s="31" customFormat="1" ht="30" customHeight="1" thickBot="1" x14ac:dyDescent="0.25">
      <c r="A88" s="2412" t="str">
        <f>F!A134</f>
        <v>F30</v>
      </c>
      <c r="B88" s="2404" t="str">
        <f>F!B134</f>
        <v>Total Woody Cover -% of the Vegetated AA</v>
      </c>
      <c r="C88" s="83" t="str">
        <f>F!C134</f>
        <v>Within the entire vegetated part of the AA, the percentage occupied by trees or shrubs taller than 1 m is:</v>
      </c>
      <c r="D88" s="357"/>
      <c r="E88" s="359"/>
      <c r="F88" s="363"/>
      <c r="G88" s="339">
        <f>MAX(F89:F93)/MAX(E89:E93)</f>
        <v>0</v>
      </c>
      <c r="H88" s="2140" t="s">
        <v>1178</v>
      </c>
      <c r="I88" s="2087" t="s">
        <v>1516</v>
      </c>
      <c r="J88" s="212"/>
      <c r="K88" s="9"/>
      <c r="L88" s="9"/>
    </row>
    <row r="89" spans="1:12" s="31" customFormat="1" ht="15" customHeight="1" x14ac:dyDescent="0.2">
      <c r="A89" s="2412"/>
      <c r="B89" s="2404"/>
      <c r="C89" s="1301" t="str">
        <f>F!C135</f>
        <v>&lt;5% of the vegetated AA, or there is no woody vegetation in the AA.  SKIP to F38 (N Fixers)</v>
      </c>
      <c r="D89" s="33">
        <f>F!D135</f>
        <v>0</v>
      </c>
      <c r="E89" s="351">
        <v>2</v>
      </c>
      <c r="F89" s="352">
        <f t="shared" ref="F89:F98" si="2">D89*E89</f>
        <v>0</v>
      </c>
      <c r="G89" s="336"/>
      <c r="H89" s="2140"/>
      <c r="I89" s="2083"/>
      <c r="J89" s="212"/>
      <c r="K89" s="9"/>
      <c r="L89" s="9"/>
    </row>
    <row r="90" spans="1:12" s="31" customFormat="1" ht="15" customHeight="1" x14ac:dyDescent="0.2">
      <c r="A90" s="2412"/>
      <c r="B90" s="2404"/>
      <c r="C90" s="1302" t="str">
        <f>F!C136</f>
        <v xml:space="preserve">5-25%.  </v>
      </c>
      <c r="D90" s="319">
        <f>F!D136</f>
        <v>0</v>
      </c>
      <c r="E90" s="351">
        <v>5</v>
      </c>
      <c r="F90" s="352">
        <f t="shared" si="2"/>
        <v>0</v>
      </c>
      <c r="G90" s="336"/>
      <c r="H90" s="2140"/>
      <c r="I90" s="2083"/>
      <c r="J90" s="212"/>
      <c r="K90" s="9"/>
      <c r="L90" s="9"/>
    </row>
    <row r="91" spans="1:12" s="31" customFormat="1" ht="15" customHeight="1" x14ac:dyDescent="0.2">
      <c r="A91" s="2412"/>
      <c r="B91" s="2404"/>
      <c r="C91" s="1302" t="str">
        <f>F!C137</f>
        <v>25-50%</v>
      </c>
      <c r="D91" s="33">
        <f>F!D137</f>
        <v>0</v>
      </c>
      <c r="E91" s="351">
        <v>4</v>
      </c>
      <c r="F91" s="352">
        <f t="shared" si="2"/>
        <v>0</v>
      </c>
      <c r="G91" s="336"/>
      <c r="H91" s="2140"/>
      <c r="I91" s="2083"/>
      <c r="J91" s="212"/>
      <c r="K91" s="9"/>
      <c r="L91" s="9"/>
    </row>
    <row r="92" spans="1:12" s="31" customFormat="1" ht="15" customHeight="1" x14ac:dyDescent="0.2">
      <c r="A92" s="2412"/>
      <c r="B92" s="2404"/>
      <c r="C92" s="1302" t="str">
        <f>F!C138</f>
        <v>50-75%</v>
      </c>
      <c r="D92" s="33">
        <f>F!D138</f>
        <v>0</v>
      </c>
      <c r="E92" s="351">
        <v>3</v>
      </c>
      <c r="F92" s="352">
        <f t="shared" si="2"/>
        <v>0</v>
      </c>
      <c r="G92" s="336"/>
      <c r="H92" s="2140"/>
      <c r="I92" s="2083"/>
      <c r="J92" s="212"/>
      <c r="K92" s="9"/>
      <c r="L92" s="9"/>
    </row>
    <row r="93" spans="1:12" s="31" customFormat="1" ht="15" customHeight="1" thickBot="1" x14ac:dyDescent="0.25">
      <c r="A93" s="2412"/>
      <c r="B93" s="2404"/>
      <c r="C93" s="1303" t="str">
        <f>F!C139</f>
        <v>&gt;75%</v>
      </c>
      <c r="D93" s="58">
        <f>F!D139</f>
        <v>0</v>
      </c>
      <c r="E93" s="360">
        <v>1</v>
      </c>
      <c r="F93" s="361">
        <f t="shared" si="2"/>
        <v>0</v>
      </c>
      <c r="G93" s="1141"/>
      <c r="H93" s="2141"/>
      <c r="I93" s="2088"/>
      <c r="J93" s="212"/>
      <c r="K93" s="9"/>
      <c r="L93" s="9"/>
    </row>
    <row r="94" spans="1:12" s="31" customFormat="1" ht="30" customHeight="1" thickBot="1" x14ac:dyDescent="0.25">
      <c r="A94" s="2406" t="str">
        <f>F!A140</f>
        <v>F31</v>
      </c>
      <c r="B94" s="2277" t="str">
        <f>F!B140</f>
        <v>Interspersion of Herbaceous and Woody Cover</v>
      </c>
      <c r="C94" s="83" t="str">
        <f>F!C140</f>
        <v>The following best represents the distribution pattern of woody vegetation VS. unshaded herbaceous/ moss vegetation within the AA:</v>
      </c>
      <c r="D94" s="1280"/>
      <c r="E94" s="349"/>
      <c r="F94" s="368"/>
      <c r="G94" s="340">
        <f>MAX(F95:F98)/MAX(E95:E98)</f>
        <v>0</v>
      </c>
      <c r="H94" s="2139" t="s">
        <v>1517</v>
      </c>
      <c r="I94" s="2087" t="s">
        <v>1506</v>
      </c>
      <c r="J94" s="212"/>
      <c r="K94" s="9"/>
      <c r="L94" s="9"/>
    </row>
    <row r="95" spans="1:12" s="31" customFormat="1" ht="57" customHeight="1" x14ac:dyDescent="0.2">
      <c r="A95" s="2403"/>
      <c r="B95" s="2404"/>
      <c r="C95" s="1308" t="str">
        <f>F!C141</f>
        <v>(a) Woody cover and herbaceous/ moss cover EACH comprise 30-70% of the vegetated part of the AA, AND (b) There are many patches of woody vegetation scattered widely within herbaceous/ moss vegetation, or many patches of herbaceous vegetation scattered widely within woody vegetation.</v>
      </c>
      <c r="D95" s="320">
        <f>F!D141</f>
        <v>0</v>
      </c>
      <c r="E95" s="351">
        <v>3</v>
      </c>
      <c r="F95" s="352">
        <f t="shared" si="2"/>
        <v>0</v>
      </c>
      <c r="G95" s="1320"/>
      <c r="H95" s="2140"/>
      <c r="I95" s="2083"/>
      <c r="J95" s="212"/>
      <c r="K95" s="9"/>
      <c r="L95" s="9"/>
    </row>
    <row r="96" spans="1:12" s="31" customFormat="1" ht="57" customHeight="1" x14ac:dyDescent="0.2">
      <c r="A96" s="2403"/>
      <c r="B96" s="2404"/>
      <c r="C96" s="1303" t="str">
        <f>F!C142</f>
        <v>(a) Woody cover and herbaceous/ moss EACH comprise 30-70% of the vegetated AA, AND (b) There are few patches ("islands") of woody vegetation scattered widely within herbaceous vegetation, or few patches of herbaceous/ moss vegetation ("gaps") scattered widely within woody vegetation.</v>
      </c>
      <c r="D96" s="320">
        <f>F!D142</f>
        <v>0</v>
      </c>
      <c r="E96" s="351">
        <v>2</v>
      </c>
      <c r="F96" s="352">
        <f t="shared" si="2"/>
        <v>0</v>
      </c>
      <c r="G96" s="1320"/>
      <c r="H96" s="2140"/>
      <c r="I96" s="2083"/>
      <c r="J96" s="212"/>
      <c r="K96" s="9"/>
      <c r="L96" s="9"/>
    </row>
    <row r="97" spans="1:12" s="31" customFormat="1" ht="27" customHeight="1" x14ac:dyDescent="0.2">
      <c r="A97" s="2403"/>
      <c r="B97" s="2404"/>
      <c r="C97" s="1303" t="str">
        <f>F!C143</f>
        <v xml:space="preserve">(a) Woody cover OR herbaceous/ moss comprise &gt;70% of the vegetated AA, AND (b) There are several patches of the other scattered within it. </v>
      </c>
      <c r="D97" s="320">
        <f>F!D143</f>
        <v>0</v>
      </c>
      <c r="E97" s="351">
        <v>1</v>
      </c>
      <c r="F97" s="352">
        <f t="shared" si="2"/>
        <v>0</v>
      </c>
      <c r="G97" s="1320"/>
      <c r="H97" s="2140"/>
      <c r="I97" s="2083"/>
      <c r="J97" s="212"/>
      <c r="K97" s="9"/>
      <c r="L97" s="9"/>
    </row>
    <row r="98" spans="1:12" s="31" customFormat="1" ht="39" thickBot="1" x14ac:dyDescent="0.25">
      <c r="A98" s="2407"/>
      <c r="B98" s="2278"/>
      <c r="C98" s="1312" t="str">
        <f>F!C144</f>
        <v>(a) Woody cover OR herbaceous/ moss comprise &gt;70% of the vegetated AA, AND (b) The other is absent or is mostly in a single area or distinct zone with almost no intermixing of woody and unshaded herbaceous/ moss vegetation.</v>
      </c>
      <c r="D98" s="595">
        <f>F!D144</f>
        <v>0</v>
      </c>
      <c r="E98" s="353">
        <v>0</v>
      </c>
      <c r="F98" s="354">
        <f t="shared" si="2"/>
        <v>0</v>
      </c>
      <c r="G98" s="1278"/>
      <c r="H98" s="2141"/>
      <c r="I98" s="2088"/>
      <c r="J98" s="212"/>
      <c r="K98" s="9"/>
      <c r="L98" s="9"/>
    </row>
    <row r="99" spans="1:12" ht="21" customHeight="1" thickBot="1" x14ac:dyDescent="0.25">
      <c r="A99" s="2406" t="str">
        <f>F!A145</f>
        <v>F32</v>
      </c>
      <c r="B99" s="2277" t="str">
        <f>F!B145</f>
        <v>Tall Woody Canopy- % of the Vegetated AA</v>
      </c>
      <c r="C99" s="1304" t="str">
        <f>F!C145</f>
        <v>Within the vegetated part of the AA, just the woody plants taller than 3 m occupy:</v>
      </c>
      <c r="D99" s="1146"/>
      <c r="E99" s="1148"/>
      <c r="F99" s="365"/>
      <c r="G99" s="340">
        <f>IF((NoWoodyVeg=1),"", MAX(F100:F104)/MAX(E100:E104))</f>
        <v>0</v>
      </c>
      <c r="H99" s="2139" t="s">
        <v>223</v>
      </c>
      <c r="I99" s="2077" t="s">
        <v>2163</v>
      </c>
      <c r="J99" s="273"/>
      <c r="K99" s="4"/>
      <c r="L99" s="4"/>
    </row>
    <row r="100" spans="1:12" ht="25.5" customHeight="1" x14ac:dyDescent="0.2">
      <c r="A100" s="2403"/>
      <c r="B100" s="2404"/>
      <c r="C100" s="1305" t="str">
        <f>F!C146</f>
        <v>&lt;1% of the vegetated AA, or the AA lacks trees.  Enter "1" and SKIP to F35 (Exposed Shrub).</v>
      </c>
      <c r="D100" s="1271">
        <f>F!D146</f>
        <v>0</v>
      </c>
      <c r="E100" s="1284">
        <v>1</v>
      </c>
      <c r="F100" s="1277">
        <f>D100*E100</f>
        <v>0</v>
      </c>
      <c r="G100" s="335"/>
      <c r="H100" s="2140"/>
      <c r="I100" s="2078"/>
      <c r="J100" s="273"/>
      <c r="K100" s="4"/>
      <c r="L100" s="4"/>
    </row>
    <row r="101" spans="1:12" ht="15" customHeight="1" x14ac:dyDescent="0.2">
      <c r="A101" s="2403"/>
      <c r="B101" s="2404"/>
      <c r="C101" s="1306" t="str">
        <f>F!C147</f>
        <v>1-25% of the vegetated AA</v>
      </c>
      <c r="D101" s="1271">
        <f>F!D147</f>
        <v>0</v>
      </c>
      <c r="E101" s="1284">
        <v>2</v>
      </c>
      <c r="F101" s="1277">
        <f>D101*E101</f>
        <v>0</v>
      </c>
      <c r="G101" s="336"/>
      <c r="H101" s="2140"/>
      <c r="I101" s="2078"/>
      <c r="J101" s="273"/>
      <c r="K101" s="4"/>
      <c r="L101" s="4"/>
    </row>
    <row r="102" spans="1:12" ht="15" customHeight="1" x14ac:dyDescent="0.2">
      <c r="A102" s="2403"/>
      <c r="B102" s="2404"/>
      <c r="C102" s="1306" t="str">
        <f>F!C148</f>
        <v>25-50% of the vegetated AA</v>
      </c>
      <c r="D102" s="1271">
        <f>F!D148</f>
        <v>0</v>
      </c>
      <c r="E102" s="1284">
        <v>3</v>
      </c>
      <c r="F102" s="1277">
        <f>D102*E102</f>
        <v>0</v>
      </c>
      <c r="G102" s="336"/>
      <c r="H102" s="2140"/>
      <c r="I102" s="2078"/>
      <c r="J102" s="273"/>
      <c r="K102" s="4"/>
      <c r="L102" s="4"/>
    </row>
    <row r="103" spans="1:12" ht="15" customHeight="1" x14ac:dyDescent="0.2">
      <c r="A103" s="2403"/>
      <c r="B103" s="2404"/>
      <c r="C103" s="1306" t="str">
        <f>F!C149</f>
        <v>50-95% of the vegetated AA</v>
      </c>
      <c r="D103" s="1271">
        <f>F!D149</f>
        <v>0</v>
      </c>
      <c r="E103" s="1284">
        <v>2</v>
      </c>
      <c r="F103" s="1277">
        <f>D103*E103</f>
        <v>0</v>
      </c>
      <c r="G103" s="336"/>
      <c r="H103" s="2140"/>
      <c r="I103" s="2078"/>
      <c r="J103" s="273"/>
      <c r="K103" s="4"/>
      <c r="L103" s="4"/>
    </row>
    <row r="104" spans="1:12" ht="15" customHeight="1" thickBot="1" x14ac:dyDescent="0.25">
      <c r="A104" s="2407"/>
      <c r="B104" s="2278"/>
      <c r="C104" s="1307" t="str">
        <f>F!C150</f>
        <v>&gt;95% of the vegetated part of the AA</v>
      </c>
      <c r="D104" s="111">
        <f>F!D150</f>
        <v>0</v>
      </c>
      <c r="E104" s="374">
        <v>0</v>
      </c>
      <c r="F104" s="354">
        <f>D104*E104</f>
        <v>0</v>
      </c>
      <c r="G104" s="337"/>
      <c r="H104" s="2141"/>
      <c r="I104" s="2079"/>
      <c r="J104" s="273"/>
      <c r="K104" s="4"/>
      <c r="L104" s="4"/>
    </row>
    <row r="105" spans="1:12" ht="30" customHeight="1" thickBot="1" x14ac:dyDescent="0.25">
      <c r="A105" s="2423" t="str">
        <f>F!A151</f>
        <v>F33</v>
      </c>
      <c r="B105" s="2408" t="str">
        <f>F!B151</f>
        <v>Woody Diameter Classes</v>
      </c>
      <c r="C105" s="83" t="str">
        <f>F!C151</f>
        <v>Mark all the classes of woody plants within the AA, but only IF they comprise more than 5% of the woody canopy within the AA.  Do not count trees that adjoin but are not within the AA.</v>
      </c>
      <c r="D105" s="357"/>
      <c r="E105" s="359"/>
      <c r="F105" s="363"/>
      <c r="G105" s="567">
        <f>IF((NoWoodyVeg=1),"",IF((NoTrees=1),"",((SUM(D106:D113)/8+ MAX(F106:F113)/MAX(E106:E113))/2)))</f>
        <v>0</v>
      </c>
      <c r="H105" s="2140" t="s">
        <v>1179</v>
      </c>
      <c r="I105" s="2077" t="s">
        <v>2145</v>
      </c>
      <c r="J105" s="273"/>
      <c r="K105" s="4"/>
      <c r="L105" s="4"/>
    </row>
    <row r="106" spans="1:12" ht="15" customHeight="1" x14ac:dyDescent="0.2">
      <c r="A106" s="2423"/>
      <c r="B106" s="2408"/>
      <c r="C106" s="1305" t="str">
        <f>F!C152</f>
        <v>coniferous, 1-9 cm diameter and &gt;1 m tall</v>
      </c>
      <c r="D106" s="33">
        <f>F!D152</f>
        <v>0</v>
      </c>
      <c r="E106" s="370">
        <v>1</v>
      </c>
      <c r="F106" s="352">
        <f t="shared" ref="F106:F116" si="3">D106*E106</f>
        <v>0</v>
      </c>
      <c r="G106" s="336"/>
      <c r="H106" s="2140"/>
      <c r="I106" s="2078"/>
      <c r="J106" s="273"/>
      <c r="K106" s="4"/>
      <c r="L106" s="4"/>
    </row>
    <row r="107" spans="1:12" ht="15" customHeight="1" x14ac:dyDescent="0.2">
      <c r="A107" s="2423"/>
      <c r="B107" s="2408"/>
      <c r="C107" s="1306" t="str">
        <f>F!C153</f>
        <v>broad-leaved deciduous 1-9 cm diameter and &gt;1 m tall</v>
      </c>
      <c r="D107" s="33">
        <f>F!D153</f>
        <v>0</v>
      </c>
      <c r="E107" s="370">
        <v>3</v>
      </c>
      <c r="F107" s="352">
        <f t="shared" si="3"/>
        <v>0</v>
      </c>
      <c r="G107" s="336"/>
      <c r="H107" s="2140"/>
      <c r="I107" s="2078"/>
      <c r="J107" s="273"/>
      <c r="K107" s="4"/>
      <c r="L107" s="4"/>
    </row>
    <row r="108" spans="1:12" ht="15" customHeight="1" x14ac:dyDescent="0.2">
      <c r="A108" s="2423"/>
      <c r="B108" s="2408"/>
      <c r="C108" s="1306" t="str">
        <f>F!C154</f>
        <v>coniferous, 10-19 cm diameter</v>
      </c>
      <c r="D108" s="33">
        <f>F!D154</f>
        <v>0</v>
      </c>
      <c r="E108" s="370">
        <v>2</v>
      </c>
      <c r="F108" s="352">
        <f t="shared" si="3"/>
        <v>0</v>
      </c>
      <c r="G108" s="336"/>
      <c r="H108" s="2140"/>
      <c r="I108" s="2078"/>
      <c r="J108" s="273"/>
      <c r="K108" s="4"/>
      <c r="L108" s="4"/>
    </row>
    <row r="109" spans="1:12" ht="15" customHeight="1" x14ac:dyDescent="0.2">
      <c r="A109" s="2423"/>
      <c r="B109" s="2408"/>
      <c r="C109" s="1306" t="str">
        <f>F!C155</f>
        <v>broad-leaved deciduous 10-19 cm diameter</v>
      </c>
      <c r="D109" s="33">
        <f>F!D155</f>
        <v>0</v>
      </c>
      <c r="E109" s="370">
        <v>4</v>
      </c>
      <c r="F109" s="352">
        <f t="shared" si="3"/>
        <v>0</v>
      </c>
      <c r="G109" s="336"/>
      <c r="H109" s="2140"/>
      <c r="I109" s="2078"/>
      <c r="J109" s="273"/>
      <c r="K109" s="4"/>
      <c r="L109" s="4"/>
    </row>
    <row r="110" spans="1:12" ht="15" customHeight="1" x14ac:dyDescent="0.2">
      <c r="A110" s="2423"/>
      <c r="B110" s="2408"/>
      <c r="C110" s="1306" t="str">
        <f>F!C156</f>
        <v>coniferous, 20-40 cm diameter</v>
      </c>
      <c r="D110" s="33">
        <f>F!D156</f>
        <v>0</v>
      </c>
      <c r="E110" s="370">
        <v>3</v>
      </c>
      <c r="F110" s="352">
        <f t="shared" si="3"/>
        <v>0</v>
      </c>
      <c r="G110" s="336"/>
      <c r="H110" s="2140"/>
      <c r="I110" s="2078"/>
      <c r="J110" s="273"/>
      <c r="K110" s="4"/>
      <c r="L110" s="4"/>
    </row>
    <row r="111" spans="1:12" ht="15" customHeight="1" x14ac:dyDescent="0.2">
      <c r="A111" s="2423"/>
      <c r="B111" s="2408"/>
      <c r="C111" s="1306" t="str">
        <f>F!C157</f>
        <v>broad-leaved deciduous 20-40 cm diameter</v>
      </c>
      <c r="D111" s="33">
        <f>F!D157</f>
        <v>0</v>
      </c>
      <c r="E111" s="370">
        <v>6</v>
      </c>
      <c r="F111" s="352">
        <f t="shared" si="3"/>
        <v>0</v>
      </c>
      <c r="G111" s="336"/>
      <c r="H111" s="2140"/>
      <c r="I111" s="2078"/>
      <c r="J111" s="273"/>
      <c r="K111" s="4"/>
      <c r="L111" s="4"/>
    </row>
    <row r="112" spans="1:12" ht="15" customHeight="1" x14ac:dyDescent="0.2">
      <c r="A112" s="2423"/>
      <c r="B112" s="2408"/>
      <c r="C112" s="1306" t="str">
        <f>F!C158</f>
        <v>coniferous, &gt;40 cm diameter</v>
      </c>
      <c r="D112" s="33">
        <f>F!D158</f>
        <v>0</v>
      </c>
      <c r="E112" s="370">
        <v>5</v>
      </c>
      <c r="F112" s="352">
        <f t="shared" si="3"/>
        <v>0</v>
      </c>
      <c r="G112" s="336"/>
      <c r="H112" s="2140"/>
      <c r="I112" s="2078"/>
      <c r="J112" s="273"/>
      <c r="K112" s="4"/>
      <c r="L112" s="4"/>
    </row>
    <row r="113" spans="1:12" ht="15" customHeight="1" thickBot="1" x14ac:dyDescent="0.25">
      <c r="A113" s="2423"/>
      <c r="B113" s="2408"/>
      <c r="C113" s="1311" t="str">
        <f>F!C159</f>
        <v>broad-leaved deciduous &gt;40 cm diameter</v>
      </c>
      <c r="D113" s="1270">
        <f>F!D159</f>
        <v>0</v>
      </c>
      <c r="E113" s="622">
        <v>8</v>
      </c>
      <c r="F113" s="1274">
        <f t="shared" si="3"/>
        <v>0</v>
      </c>
      <c r="G113" s="1141"/>
      <c r="H113" s="2140"/>
      <c r="I113" s="2079"/>
      <c r="J113" s="273"/>
      <c r="K113" s="4"/>
      <c r="L113" s="4"/>
    </row>
    <row r="114" spans="1:12" ht="36" customHeight="1" thickBot="1" x14ac:dyDescent="0.25">
      <c r="A114" s="2424" t="str">
        <f>F!A160</f>
        <v>F34</v>
      </c>
      <c r="B114" s="2424" t="str">
        <f>F!B160</f>
        <v>Downed Wood</v>
      </c>
      <c r="C114" s="83" t="str">
        <f>F!C160</f>
        <v>The number of downed wood pieces longer than 2 m and with diameter &gt;10 cm, and not persistently submerged, is:</v>
      </c>
      <c r="D114" s="1191"/>
      <c r="E114" s="1192"/>
      <c r="F114" s="1281"/>
      <c r="G114" s="340">
        <f>IF((NoWoodyVeg=1),"", IF((NoShrub=1),"", MAX(F115:F116)))</f>
        <v>0</v>
      </c>
      <c r="H114" s="2139" t="s">
        <v>1273</v>
      </c>
      <c r="I114" s="2077" t="s">
        <v>2146</v>
      </c>
      <c r="J114" s="273"/>
      <c r="K114" s="4"/>
      <c r="L114" s="4"/>
    </row>
    <row r="115" spans="1:12" ht="18" customHeight="1" x14ac:dyDescent="0.2">
      <c r="A115" s="2408"/>
      <c r="B115" s="2408"/>
      <c r="C115" s="1001" t="str">
        <f>F!C161</f>
        <v>Several ( &gt;5 if AA is &gt;5 hectares, less for smaller AAs)</v>
      </c>
      <c r="D115" s="1270">
        <f>F!D161</f>
        <v>0</v>
      </c>
      <c r="E115" s="1193">
        <v>1</v>
      </c>
      <c r="F115" s="1274">
        <f t="shared" si="3"/>
        <v>0</v>
      </c>
      <c r="G115" s="336"/>
      <c r="H115" s="2140"/>
      <c r="I115" s="2078"/>
      <c r="J115" s="273"/>
      <c r="K115" s="4"/>
      <c r="L115" s="4"/>
    </row>
    <row r="116" spans="1:12" ht="24" customHeight="1" thickBot="1" x14ac:dyDescent="0.25">
      <c r="A116" s="2425"/>
      <c r="B116" s="2425"/>
      <c r="C116" s="1307" t="str">
        <f>F!C162</f>
        <v xml:space="preserve">Few or none </v>
      </c>
      <c r="D116" s="111">
        <f>F!D162</f>
        <v>0</v>
      </c>
      <c r="E116" s="373">
        <v>0</v>
      </c>
      <c r="F116" s="354">
        <f t="shared" si="3"/>
        <v>0</v>
      </c>
      <c r="G116" s="337"/>
      <c r="H116" s="2141"/>
      <c r="I116" s="2079"/>
      <c r="J116" s="273"/>
      <c r="K116" s="4"/>
      <c r="L116" s="4"/>
    </row>
    <row r="117" spans="1:12" ht="27" customHeight="1" thickBot="1" x14ac:dyDescent="0.25">
      <c r="A117" s="2403" t="str">
        <f>F!A163</f>
        <v>F35</v>
      </c>
      <c r="B117" s="2404" t="str">
        <f>F!B163</f>
        <v>Exposed Shrub Canopy</v>
      </c>
      <c r="C117" s="1300" t="str">
        <f>F!C163</f>
        <v>Woody vegetation 1 to 3 m tall that is not under the drip line of taller woody vegetation comprises:</v>
      </c>
      <c r="D117" s="597"/>
      <c r="E117" s="357"/>
      <c r="F117" s="369"/>
      <c r="G117" s="339">
        <f>IF((NoWoodyVeg=1),"", MAX(F118:F122)/MAX(E118:E122))</f>
        <v>0</v>
      </c>
      <c r="H117" s="2140" t="s">
        <v>225</v>
      </c>
      <c r="I117" s="2077" t="s">
        <v>2147</v>
      </c>
      <c r="J117" s="273"/>
      <c r="K117" s="4"/>
      <c r="L117" s="4"/>
    </row>
    <row r="118" spans="1:12" ht="27" customHeight="1" x14ac:dyDescent="0.2">
      <c r="A118" s="2403"/>
      <c r="B118" s="2404"/>
      <c r="C118" s="1305" t="str">
        <f>F!C164</f>
        <v>&lt;5% of the vegetated AA and (if a fringe wetland) &lt;5% of its water edge.  Or &lt;0.01 hectare.  SKIP to F38 (N Fixers).</v>
      </c>
      <c r="D118" s="33">
        <f>F!D164</f>
        <v>0</v>
      </c>
      <c r="E118" s="366">
        <v>1</v>
      </c>
      <c r="F118" s="352">
        <f>D118*E118</f>
        <v>0</v>
      </c>
      <c r="G118" s="335"/>
      <c r="H118" s="2140"/>
      <c r="I118" s="2078"/>
      <c r="J118" s="273"/>
      <c r="K118" s="4"/>
      <c r="L118" s="4"/>
    </row>
    <row r="119" spans="1:12" ht="25.5" customHeight="1" x14ac:dyDescent="0.2">
      <c r="A119" s="2403"/>
      <c r="B119" s="2404"/>
      <c r="C119" s="1306" t="str">
        <f>F!C165</f>
        <v>5-25% of the vegetated AA or (if a fringe wetland) 5-25% of the water edge  -- whichever is greater.</v>
      </c>
      <c r="D119" s="33">
        <f>F!D165</f>
        <v>0</v>
      </c>
      <c r="E119" s="366">
        <v>3</v>
      </c>
      <c r="F119" s="352">
        <f>D119*E119</f>
        <v>0</v>
      </c>
      <c r="G119" s="336"/>
      <c r="H119" s="2140"/>
      <c r="I119" s="2078"/>
      <c r="J119" s="273"/>
      <c r="K119" s="4"/>
      <c r="L119" s="4"/>
    </row>
    <row r="120" spans="1:12" ht="15" customHeight="1" x14ac:dyDescent="0.2">
      <c r="A120" s="2403"/>
      <c r="B120" s="2404"/>
      <c r="C120" s="1306" t="str">
        <f>F!C166</f>
        <v xml:space="preserve">25-50% of the vegetated AA or the water edge, whichever is greater. </v>
      </c>
      <c r="D120" s="33">
        <f>F!D166</f>
        <v>0</v>
      </c>
      <c r="E120" s="366">
        <v>2</v>
      </c>
      <c r="F120" s="352">
        <f>D120*E120</f>
        <v>0</v>
      </c>
      <c r="G120" s="336"/>
      <c r="H120" s="2140"/>
      <c r="I120" s="2078"/>
      <c r="J120" s="273"/>
      <c r="K120" s="4"/>
      <c r="L120" s="4"/>
    </row>
    <row r="121" spans="1:12" ht="15" customHeight="1" x14ac:dyDescent="0.2">
      <c r="A121" s="2403"/>
      <c r="B121" s="2404"/>
      <c r="C121" s="1306" t="str">
        <f>F!C167</f>
        <v>50-95% of the vegetated AA or the water edge, whichever is greater.</v>
      </c>
      <c r="D121" s="33">
        <f>F!D167</f>
        <v>0</v>
      </c>
      <c r="E121" s="366">
        <v>1</v>
      </c>
      <c r="F121" s="352">
        <f>D121*E121</f>
        <v>0</v>
      </c>
      <c r="G121" s="336"/>
      <c r="H121" s="2140"/>
      <c r="I121" s="2078"/>
      <c r="J121" s="273"/>
      <c r="K121" s="4"/>
      <c r="L121" s="4"/>
    </row>
    <row r="122" spans="1:12" ht="15" customHeight="1" thickBot="1" x14ac:dyDescent="0.25">
      <c r="A122" s="2403"/>
      <c r="B122" s="2404"/>
      <c r="C122" s="1311" t="str">
        <f>F!C168</f>
        <v>&gt;95% of the vegetated part of the AA or the water edge, whichever is greater.</v>
      </c>
      <c r="D122" s="1270">
        <f>F!D168</f>
        <v>0</v>
      </c>
      <c r="E122" s="1150">
        <v>0</v>
      </c>
      <c r="F122" s="1274">
        <f>D122*E122</f>
        <v>0</v>
      </c>
      <c r="G122" s="1141"/>
      <c r="H122" s="2140"/>
      <c r="I122" s="2079"/>
      <c r="J122" s="273"/>
      <c r="K122" s="4"/>
      <c r="L122" s="4"/>
    </row>
    <row r="123" spans="1:12" ht="30" customHeight="1" thickBot="1" x14ac:dyDescent="0.25">
      <c r="A123" s="2406" t="str">
        <f>F!A169</f>
        <v>F36</v>
      </c>
      <c r="B123" s="2277" t="str">
        <f>F!B169</f>
        <v xml:space="preserve">Dominance of Most Abundant Shrub Species </v>
      </c>
      <c r="C123" s="1304" t="str">
        <f>F!C169</f>
        <v>Determine which two native shrub species (1 to 3 m tall) comprise the greatest portion of the native shrub cover.  Then choose one of the following:</v>
      </c>
      <c r="D123" s="1275"/>
      <c r="E123" s="1148"/>
      <c r="F123" s="365"/>
      <c r="G123" s="340">
        <f>IF((NoWoodyVeg=1),"", IF((NoShrub=1),"", MAX(F124:F125)))</f>
        <v>0</v>
      </c>
      <c r="H123" s="2139" t="s">
        <v>209</v>
      </c>
      <c r="I123" s="2077" t="s">
        <v>2148</v>
      </c>
      <c r="J123" s="273"/>
      <c r="K123" s="4"/>
      <c r="L123" s="4"/>
    </row>
    <row r="124" spans="1:12" ht="15" customHeight="1" x14ac:dyDescent="0.2">
      <c r="A124" s="2340"/>
      <c r="B124" s="2339"/>
      <c r="C124" s="1305" t="str">
        <f>F!C170</f>
        <v>those species together comprise &gt; 50% of the areal cover of native shrub species.</v>
      </c>
      <c r="D124" s="1271">
        <f>F!D170</f>
        <v>0</v>
      </c>
      <c r="E124" s="1272">
        <v>0</v>
      </c>
      <c r="F124" s="1277">
        <f>D124*E124</f>
        <v>0</v>
      </c>
      <c r="G124" s="335"/>
      <c r="H124" s="2140"/>
      <c r="I124" s="2078"/>
      <c r="J124" s="273"/>
      <c r="K124" s="4"/>
      <c r="L124" s="4"/>
    </row>
    <row r="125" spans="1:12" ht="15" customHeight="1" thickBot="1" x14ac:dyDescent="0.25">
      <c r="A125" s="2416"/>
      <c r="B125" s="2405"/>
      <c r="C125" s="1307" t="str">
        <f>F!C171</f>
        <v>those species together do not comprise &gt; 50% of the areal cover of native shrub species.</v>
      </c>
      <c r="D125" s="111">
        <f>F!D171</f>
        <v>0</v>
      </c>
      <c r="E125" s="376">
        <v>1</v>
      </c>
      <c r="F125" s="354">
        <f>D125*E125</f>
        <v>0</v>
      </c>
      <c r="G125" s="337"/>
      <c r="H125" s="2141"/>
      <c r="I125" s="2079"/>
      <c r="J125" s="273"/>
      <c r="K125" s="4"/>
      <c r="L125" s="4"/>
    </row>
    <row r="126" spans="1:12" ht="30" customHeight="1" thickBot="1" x14ac:dyDescent="0.25">
      <c r="A126" s="2418" t="str">
        <f>F!A172</f>
        <v>F37</v>
      </c>
      <c r="B126" s="2404" t="str">
        <f>F!B172</f>
        <v>Broad-leaved Deciduous Trees and Shrubs</v>
      </c>
      <c r="C126" s="1300" t="str">
        <f>F!C172</f>
        <v>The percentage of the AA's tree or shrub cover that is broad-leaved deciduous and is taller than 1 meter is:</v>
      </c>
      <c r="D126" s="598"/>
      <c r="E126" s="377"/>
      <c r="F126" s="369"/>
      <c r="G126" s="339">
        <f>IF((NoWoodyVeg=1),"",MAX(F127:F131)/MAX(E127:E131))</f>
        <v>0</v>
      </c>
      <c r="H126" s="2140" t="s">
        <v>226</v>
      </c>
      <c r="I126" s="2087" t="s">
        <v>2149</v>
      </c>
      <c r="J126" s="273"/>
      <c r="K126" s="4"/>
      <c r="L126" s="4"/>
    </row>
    <row r="127" spans="1:12" ht="15" customHeight="1" x14ac:dyDescent="0.2">
      <c r="A127" s="2418"/>
      <c r="B127" s="2404"/>
      <c r="C127" s="1305" t="str">
        <f>F!C173</f>
        <v>&lt;1%, or largest patch occupies less than 0.01 hectare</v>
      </c>
      <c r="D127" s="33">
        <f>F!D173</f>
        <v>0</v>
      </c>
      <c r="E127" s="375">
        <v>0</v>
      </c>
      <c r="F127" s="352">
        <f>D127*E127</f>
        <v>0</v>
      </c>
      <c r="G127" s="335"/>
      <c r="H127" s="2140"/>
      <c r="I127" s="2083"/>
      <c r="J127" s="273"/>
      <c r="K127" s="4"/>
      <c r="L127" s="4"/>
    </row>
    <row r="128" spans="1:12" ht="15" customHeight="1" x14ac:dyDescent="0.2">
      <c r="A128" s="2418"/>
      <c r="B128" s="2404"/>
      <c r="C128" s="1306" t="str">
        <f>F!C174</f>
        <v>1-25% of the tree or shrub cover (whichever has more)</v>
      </c>
      <c r="D128" s="33">
        <f>F!D174</f>
        <v>0</v>
      </c>
      <c r="E128" s="375">
        <v>1</v>
      </c>
      <c r="F128" s="352">
        <f>D128*E128</f>
        <v>0</v>
      </c>
      <c r="G128" s="336"/>
      <c r="H128" s="2140"/>
      <c r="I128" s="2083"/>
      <c r="J128" s="273"/>
      <c r="K128" s="4"/>
      <c r="L128" s="4"/>
    </row>
    <row r="129" spans="1:12" ht="15" customHeight="1" x14ac:dyDescent="0.2">
      <c r="A129" s="2418"/>
      <c r="B129" s="2404"/>
      <c r="C129" s="1306" t="str">
        <f>F!C175</f>
        <v>25-50% of the tree or shrub cover (whichever has more)</v>
      </c>
      <c r="D129" s="33">
        <f>F!D175</f>
        <v>0</v>
      </c>
      <c r="E129" s="375">
        <v>2</v>
      </c>
      <c r="F129" s="352">
        <f>D129*E129</f>
        <v>0</v>
      </c>
      <c r="G129" s="336"/>
      <c r="H129" s="2140"/>
      <c r="I129" s="2083"/>
      <c r="J129" s="273"/>
      <c r="K129" s="4"/>
      <c r="L129" s="4"/>
    </row>
    <row r="130" spans="1:12" ht="15" customHeight="1" x14ac:dyDescent="0.2">
      <c r="A130" s="2418"/>
      <c r="B130" s="2404"/>
      <c r="C130" s="1306" t="str">
        <f>F!C176</f>
        <v>50-75% of the tree or shrub cover (whichever has more)</v>
      </c>
      <c r="D130" s="33">
        <f>F!D176</f>
        <v>0</v>
      </c>
      <c r="E130" s="375">
        <v>3</v>
      </c>
      <c r="F130" s="352">
        <f>D130*E130</f>
        <v>0</v>
      </c>
      <c r="G130" s="336"/>
      <c r="H130" s="2140"/>
      <c r="I130" s="2083"/>
      <c r="J130" s="273"/>
      <c r="K130" s="4"/>
      <c r="L130" s="4"/>
    </row>
    <row r="131" spans="1:12" ht="15" customHeight="1" thickBot="1" x14ac:dyDescent="0.25">
      <c r="A131" s="2418"/>
      <c r="B131" s="2404"/>
      <c r="C131" s="1311" t="str">
        <f>F!C177</f>
        <v>&gt;75% of the tree or shrub cover (whichever has more)</v>
      </c>
      <c r="D131" s="58">
        <f>F!D177</f>
        <v>0</v>
      </c>
      <c r="E131" s="378">
        <v>2</v>
      </c>
      <c r="F131" s="361">
        <f>D131*E131</f>
        <v>0</v>
      </c>
      <c r="G131" s="1141"/>
      <c r="H131" s="2140"/>
      <c r="I131" s="2088"/>
      <c r="J131" s="273"/>
      <c r="K131" s="4"/>
      <c r="L131" s="4"/>
    </row>
    <row r="132" spans="1:12" ht="30" customHeight="1" thickBot="1" x14ac:dyDescent="0.25">
      <c r="A132" s="2406" t="str">
        <f>F!A178</f>
        <v>F38</v>
      </c>
      <c r="B132" s="2277" t="str">
        <f>F!B178</f>
        <v>N Fixers</v>
      </c>
      <c r="C132" s="1304" t="str">
        <f>F!C178</f>
        <v>The percent of the AA's shrub plus ground cover that is nitrogen-fixing plants (e.g., alder, baltic (wire) rush, sweetgale, lupine, clover, other legumes) is:</v>
      </c>
      <c r="D132" s="1283"/>
      <c r="E132" s="365"/>
      <c r="F132" s="365"/>
      <c r="G132" s="340">
        <f>MAX(F133:F137)/MAX(E133:E137)</f>
        <v>0</v>
      </c>
      <c r="H132" s="2139" t="s">
        <v>224</v>
      </c>
      <c r="I132" s="2087" t="s">
        <v>2258</v>
      </c>
      <c r="J132" s="273"/>
      <c r="K132" s="4"/>
      <c r="L132" s="4"/>
    </row>
    <row r="133" spans="1:12" ht="15" customHeight="1" x14ac:dyDescent="0.2">
      <c r="A133" s="2403"/>
      <c r="B133" s="2404"/>
      <c r="C133" s="1305" t="str">
        <f>F!C179</f>
        <v>&lt;1% or none</v>
      </c>
      <c r="D133" s="1271">
        <f>F!D179</f>
        <v>0</v>
      </c>
      <c r="E133" s="1272">
        <v>0</v>
      </c>
      <c r="F133" s="1277">
        <f>D133*E133</f>
        <v>0</v>
      </c>
      <c r="G133" s="335"/>
      <c r="H133" s="2140"/>
      <c r="I133" s="2083"/>
      <c r="J133" s="273"/>
      <c r="K133" s="4"/>
      <c r="L133" s="4"/>
    </row>
    <row r="134" spans="1:12" ht="30.75" customHeight="1" x14ac:dyDescent="0.2">
      <c r="A134" s="2403"/>
      <c r="B134" s="2404"/>
      <c r="C134" s="1306" t="str">
        <f>F!C180</f>
        <v>1-25% of the shrub plus ground cover, in the AA or along its water edge (whichever has more).</v>
      </c>
      <c r="D134" s="1271">
        <f>F!D180</f>
        <v>0</v>
      </c>
      <c r="E134" s="1272">
        <v>2</v>
      </c>
      <c r="F134" s="1277">
        <f>D134*E134</f>
        <v>0</v>
      </c>
      <c r="G134" s="336"/>
      <c r="H134" s="2140"/>
      <c r="I134" s="2083"/>
      <c r="J134" s="273"/>
      <c r="K134" s="4"/>
      <c r="L134" s="4"/>
    </row>
    <row r="135" spans="1:12" ht="24.75" customHeight="1" x14ac:dyDescent="0.2">
      <c r="A135" s="2403"/>
      <c r="B135" s="2404"/>
      <c r="C135" s="1306" t="str">
        <f>F!C181</f>
        <v>25-50% of the shrub plus ground cover, in the AA or along its water edge (whichever has more).</v>
      </c>
      <c r="D135" s="1271">
        <f>F!D181</f>
        <v>0</v>
      </c>
      <c r="E135" s="1272">
        <v>3</v>
      </c>
      <c r="F135" s="1277">
        <f>D135*E135</f>
        <v>0</v>
      </c>
      <c r="G135" s="336"/>
      <c r="H135" s="2140"/>
      <c r="I135" s="2083"/>
      <c r="J135" s="273"/>
      <c r="K135" s="4"/>
      <c r="L135" s="4"/>
    </row>
    <row r="136" spans="1:12" ht="24.75" customHeight="1" x14ac:dyDescent="0.2">
      <c r="A136" s="2403"/>
      <c r="B136" s="2404"/>
      <c r="C136" s="1306" t="str">
        <f>F!C182</f>
        <v>50-75% of the shrub plus ground cover, in the AA or along its water edge (whichever has more).</v>
      </c>
      <c r="D136" s="1271">
        <f>F!D182</f>
        <v>0</v>
      </c>
      <c r="E136" s="1272">
        <v>2</v>
      </c>
      <c r="F136" s="1277">
        <f>D136*E136</f>
        <v>0</v>
      </c>
      <c r="G136" s="336"/>
      <c r="H136" s="2140"/>
      <c r="I136" s="2083"/>
      <c r="J136" s="273"/>
      <c r="K136" s="4"/>
      <c r="L136" s="4"/>
    </row>
    <row r="137" spans="1:12" ht="27.75" customHeight="1" thickBot="1" x14ac:dyDescent="0.25">
      <c r="A137" s="2407"/>
      <c r="B137" s="2278"/>
      <c r="C137" s="1307" t="str">
        <f>F!C183</f>
        <v>&gt;75% of the shrub plus ground cover, in the AA or along its water edge (whichever has more).</v>
      </c>
      <c r="D137" s="111">
        <f>F!D183</f>
        <v>0</v>
      </c>
      <c r="E137" s="376">
        <v>1</v>
      </c>
      <c r="F137" s="354">
        <f>D137*E137</f>
        <v>0</v>
      </c>
      <c r="G137" s="337"/>
      <c r="H137" s="2141"/>
      <c r="I137" s="2088"/>
      <c r="J137" s="273"/>
      <c r="K137" s="4"/>
      <c r="L137" s="4"/>
    </row>
    <row r="138" spans="1:12" ht="30" customHeight="1" thickBot="1" x14ac:dyDescent="0.25">
      <c r="A138" s="2406" t="str">
        <f>F!A184</f>
        <v>F39</v>
      </c>
      <c r="B138" s="2277" t="str">
        <f>F!B184</f>
        <v>Snags</v>
      </c>
      <c r="C138" s="83" t="str">
        <f>F!C184</f>
        <v>The number of large snags (diameter &gt;20 cm) in the AA plus the upland area within 10 m of the wetland edge is:</v>
      </c>
      <c r="D138" s="1323"/>
      <c r="E138" s="379"/>
      <c r="F138" s="368"/>
      <c r="G138" s="340">
        <f>IF((NoWoodyVeg=1),"", IF((NoShrub=1),"", MAX(F139:F141)))</f>
        <v>0</v>
      </c>
      <c r="H138" s="2139" t="s">
        <v>1274</v>
      </c>
      <c r="I138" s="2087" t="s">
        <v>1590</v>
      </c>
      <c r="J138" s="273"/>
      <c r="K138" s="4"/>
      <c r="L138" s="4"/>
    </row>
    <row r="139" spans="1:12" ht="27" customHeight="1" x14ac:dyDescent="0.2">
      <c r="A139" s="2403"/>
      <c r="B139" s="2404"/>
      <c r="C139" s="1305" t="str">
        <f>F!C185</f>
        <v>Several ( &gt;2/hectare) and a pond, lake, or slow-flowing water wider than 10 m is within 1 km.</v>
      </c>
      <c r="D139" s="33">
        <f>F!D185</f>
        <v>0</v>
      </c>
      <c r="E139" s="375">
        <v>1</v>
      </c>
      <c r="F139" s="352">
        <f t="shared" ref="F139:F141" si="4">D139*E139</f>
        <v>0</v>
      </c>
      <c r="G139" s="336"/>
      <c r="H139" s="2140"/>
      <c r="I139" s="2083"/>
      <c r="J139" s="273"/>
      <c r="K139" s="4"/>
      <c r="L139" s="4"/>
    </row>
    <row r="140" spans="1:12" ht="15" customHeight="1" x14ac:dyDescent="0.2">
      <c r="A140" s="2403"/>
      <c r="B140" s="2404"/>
      <c r="C140" s="1306" t="str">
        <f>F!C186</f>
        <v>Several ( &gt;2/hectare) but above not true.</v>
      </c>
      <c r="D140" s="33">
        <f>F!D186</f>
        <v>0</v>
      </c>
      <c r="E140" s="375">
        <v>1</v>
      </c>
      <c r="F140" s="352">
        <f t="shared" si="4"/>
        <v>0</v>
      </c>
      <c r="G140" s="336"/>
      <c r="H140" s="2140"/>
      <c r="I140" s="2083"/>
      <c r="J140" s="273"/>
      <c r="K140" s="4"/>
      <c r="L140" s="4"/>
    </row>
    <row r="141" spans="1:12" ht="15" customHeight="1" thickBot="1" x14ac:dyDescent="0.25">
      <c r="A141" s="2403"/>
      <c r="B141" s="2404"/>
      <c r="C141" s="1311" t="str">
        <f>F!C187</f>
        <v xml:space="preserve">Few or none </v>
      </c>
      <c r="D141" s="1270">
        <f>F!D187</f>
        <v>0</v>
      </c>
      <c r="E141" s="1273">
        <v>0</v>
      </c>
      <c r="F141" s="1274">
        <f t="shared" si="4"/>
        <v>0</v>
      </c>
      <c r="G141" s="1141"/>
      <c r="H141" s="2140"/>
      <c r="I141" s="2088"/>
      <c r="J141" s="273"/>
      <c r="K141" s="4"/>
      <c r="L141" s="4"/>
    </row>
    <row r="142" spans="1:12" ht="24" customHeight="1" thickBot="1" x14ac:dyDescent="0.25">
      <c r="A142" s="2142" t="str">
        <f>F!A188</f>
        <v>F40</v>
      </c>
      <c r="B142" s="2087" t="str">
        <f>F!B188</f>
        <v>Moss Extent</v>
      </c>
      <c r="C142" s="768" t="str">
        <f>F!C188</f>
        <v>Within the part of the AA that lacks persistent surface water, the cover of moss is:</v>
      </c>
      <c r="D142" s="1283"/>
      <c r="E142" s="365"/>
      <c r="F142" s="365"/>
      <c r="G142" s="340">
        <f>IF((AllWet=1),"",MAX(F143:F147)/MAX(E143:E147))</f>
        <v>0</v>
      </c>
      <c r="H142" s="2139" t="s">
        <v>222</v>
      </c>
      <c r="I142" s="2087" t="s">
        <v>2150</v>
      </c>
      <c r="J142" s="273"/>
      <c r="K142" s="4"/>
      <c r="L142" s="4"/>
    </row>
    <row r="143" spans="1:12" s="31" customFormat="1" ht="15" customHeight="1" x14ac:dyDescent="0.2">
      <c r="A143" s="2143"/>
      <c r="B143" s="2083"/>
      <c r="C143" s="1257" t="str">
        <f>F!C189</f>
        <v>&lt;5% of the ground cover</v>
      </c>
      <c r="D143" s="771">
        <f>F!D189</f>
        <v>0</v>
      </c>
      <c r="E143" s="1284">
        <v>4</v>
      </c>
      <c r="F143" s="1277">
        <f>D143*E143</f>
        <v>0</v>
      </c>
      <c r="G143" s="335"/>
      <c r="H143" s="2140"/>
      <c r="I143" s="2083"/>
      <c r="J143" s="212"/>
      <c r="K143" s="9"/>
      <c r="L143" s="9"/>
    </row>
    <row r="144" spans="1:12" s="31" customFormat="1" ht="15" customHeight="1" x14ac:dyDescent="0.2">
      <c r="A144" s="2143"/>
      <c r="B144" s="2083"/>
      <c r="C144" s="995" t="str">
        <f>F!C190</f>
        <v>5-25% of the ground cover</v>
      </c>
      <c r="D144" s="771">
        <f>F!D190</f>
        <v>0</v>
      </c>
      <c r="E144" s="1284">
        <v>5</v>
      </c>
      <c r="F144" s="1277">
        <f>D144*E144</f>
        <v>0</v>
      </c>
      <c r="G144" s="336"/>
      <c r="H144" s="2140"/>
      <c r="I144" s="2083"/>
      <c r="J144" s="212"/>
      <c r="K144" s="9"/>
      <c r="L144" s="9"/>
    </row>
    <row r="145" spans="1:12" s="31" customFormat="1" ht="15" customHeight="1" x14ac:dyDescent="0.2">
      <c r="A145" s="2143"/>
      <c r="B145" s="2083"/>
      <c r="C145" s="995" t="str">
        <f>F!C191</f>
        <v>25-50% of the ground cover</v>
      </c>
      <c r="D145" s="771">
        <f>F!D191</f>
        <v>0</v>
      </c>
      <c r="E145" s="1284">
        <v>3</v>
      </c>
      <c r="F145" s="1277">
        <f>D145*E145</f>
        <v>0</v>
      </c>
      <c r="G145" s="336"/>
      <c r="H145" s="2140"/>
      <c r="I145" s="2083"/>
      <c r="J145" s="212"/>
      <c r="K145" s="9"/>
      <c r="L145" s="9"/>
    </row>
    <row r="146" spans="1:12" s="31" customFormat="1" ht="15" customHeight="1" x14ac:dyDescent="0.2">
      <c r="A146" s="2143"/>
      <c r="B146" s="2083"/>
      <c r="C146" s="995" t="str">
        <f>F!C192</f>
        <v>50-95% of the ground cover</v>
      </c>
      <c r="D146" s="771">
        <f>F!D192</f>
        <v>0</v>
      </c>
      <c r="E146" s="1284">
        <v>2</v>
      </c>
      <c r="F146" s="1277">
        <f>D146*E146</f>
        <v>0</v>
      </c>
      <c r="G146" s="336"/>
      <c r="H146" s="2140"/>
      <c r="I146" s="2083"/>
      <c r="J146" s="212"/>
      <c r="K146" s="9"/>
      <c r="L146" s="9"/>
    </row>
    <row r="147" spans="1:12" s="31" customFormat="1" ht="21.75" customHeight="1" thickBot="1" x14ac:dyDescent="0.25">
      <c r="A147" s="2144"/>
      <c r="B147" s="2088"/>
      <c r="C147" s="1005" t="str">
        <f>F!C193</f>
        <v>&gt;95% of the ground cover</v>
      </c>
      <c r="D147" s="126">
        <f>F!D193</f>
        <v>0</v>
      </c>
      <c r="E147" s="374">
        <v>1</v>
      </c>
      <c r="F147" s="354">
        <f>D147*E147</f>
        <v>0</v>
      </c>
      <c r="G147" s="337"/>
      <c r="H147" s="2141"/>
      <c r="I147" s="2088"/>
      <c r="J147" s="212"/>
      <c r="K147" s="9"/>
      <c r="L147" s="9"/>
    </row>
    <row r="148" spans="1:12" ht="55.5" customHeight="1" thickBot="1" x14ac:dyDescent="0.25">
      <c r="A148" s="2403" t="str">
        <f>F!A200</f>
        <v>F42</v>
      </c>
      <c r="B148" s="2404" t="str">
        <f>F!B200</f>
        <v>Ground Irregularity</v>
      </c>
      <c r="C148" s="1300" t="str">
        <f>F!C200</f>
        <v>Consider the parts of the AA that lack surface water at some time of the year.  Excluding slash from logging, the number of small pits, raised mounds, hummocks, boulders, upturned trees, animal burrows, gullies, natural levees, wide soil cracks, and microdepressions is:</v>
      </c>
      <c r="D148" s="594"/>
      <c r="E148" s="359"/>
      <c r="F148" s="369"/>
      <c r="G148" s="339">
        <f>MAX(F149:F151)/MAX(E149:E151)</f>
        <v>0</v>
      </c>
      <c r="H148" s="2140" t="s">
        <v>210</v>
      </c>
      <c r="I148" s="2077" t="s">
        <v>2162</v>
      </c>
      <c r="J148" s="273"/>
      <c r="K148" s="4"/>
      <c r="L148" s="4"/>
    </row>
    <row r="149" spans="1:12" ht="18" customHeight="1" x14ac:dyDescent="0.2">
      <c r="A149" s="2403"/>
      <c r="B149" s="2404"/>
      <c r="C149" s="1305" t="str">
        <f>F!C201</f>
        <v xml:space="preserve">Few or none (minimal microtopography; &lt;1% of that area) </v>
      </c>
      <c r="D149" s="599">
        <f>F!D201</f>
        <v>0</v>
      </c>
      <c r="E149" s="351">
        <v>0</v>
      </c>
      <c r="F149" s="352">
        <f>D149*E149</f>
        <v>0</v>
      </c>
      <c r="G149" s="335"/>
      <c r="H149" s="2140"/>
      <c r="I149" s="2078"/>
      <c r="J149" s="273"/>
      <c r="K149" s="4"/>
      <c r="L149" s="4"/>
    </row>
    <row r="150" spans="1:12" ht="18" customHeight="1" x14ac:dyDescent="0.2">
      <c r="A150" s="2403"/>
      <c r="B150" s="2404"/>
      <c r="C150" s="1306" t="str">
        <f>F!C202</f>
        <v>Intermediate</v>
      </c>
      <c r="D150" s="599">
        <f>F!D202</f>
        <v>0</v>
      </c>
      <c r="E150" s="351">
        <v>1</v>
      </c>
      <c r="F150" s="352">
        <f>D150*E150</f>
        <v>0</v>
      </c>
      <c r="G150" s="336"/>
      <c r="H150" s="2140"/>
      <c r="I150" s="2078"/>
      <c r="J150" s="273"/>
      <c r="K150" s="4"/>
      <c r="L150" s="4"/>
    </row>
    <row r="151" spans="1:12" ht="18" customHeight="1" thickBot="1" x14ac:dyDescent="0.25">
      <c r="A151" s="2403"/>
      <c r="B151" s="2404"/>
      <c r="C151" s="1311" t="str">
        <f>F!C203</f>
        <v>Several (extensive micro-topography)</v>
      </c>
      <c r="D151" s="1270">
        <f>F!D203</f>
        <v>0</v>
      </c>
      <c r="E151" s="636">
        <v>2</v>
      </c>
      <c r="F151" s="1274">
        <f>D151*E151</f>
        <v>0</v>
      </c>
      <c r="G151" s="1141"/>
      <c r="H151" s="2140"/>
      <c r="I151" s="2079"/>
      <c r="J151" s="273"/>
      <c r="K151" s="4"/>
      <c r="L151" s="4"/>
    </row>
    <row r="152" spans="1:12" ht="45" customHeight="1" thickBot="1" x14ac:dyDescent="0.25">
      <c r="A152" s="2406" t="str">
        <f>F!A208</f>
        <v>F44</v>
      </c>
      <c r="B152" s="2277" t="str">
        <f>F!B208</f>
        <v>Soil Texture</v>
      </c>
      <c r="C152" s="1304" t="str">
        <f>F!C208</f>
        <v>In parts of the AA that lack persistent water, the texture of soil in the uppermost layer is mostly:  [To determine this, use a trowel to check in at least 3 widely spaced locations, and use the soil texture key in Appendix A of the Manual]</v>
      </c>
      <c r="D152" s="1268"/>
      <c r="E152" s="1148"/>
      <c r="F152" s="365"/>
      <c r="G152" s="340">
        <f>MAX(F153:F156)/MAX(E153:E156)</f>
        <v>0</v>
      </c>
      <c r="H152" s="2139" t="s">
        <v>211</v>
      </c>
      <c r="I152" s="2077" t="s">
        <v>331</v>
      </c>
      <c r="J152" s="273"/>
      <c r="K152" s="4"/>
      <c r="L152" s="4"/>
    </row>
    <row r="153" spans="1:12" ht="15" customHeight="1" x14ac:dyDescent="0.2">
      <c r="A153" s="2403"/>
      <c r="B153" s="2404"/>
      <c r="C153" s="1305" t="str">
        <f>F!C209</f>
        <v>Loamy: includes loam, sandy loam</v>
      </c>
      <c r="D153" s="321">
        <f>F!D209</f>
        <v>0</v>
      </c>
      <c r="E153" s="1151">
        <v>3</v>
      </c>
      <c r="F153" s="1277">
        <f>D153*E153</f>
        <v>0</v>
      </c>
      <c r="G153" s="335"/>
      <c r="H153" s="2140"/>
      <c r="I153" s="2078"/>
      <c r="J153" s="273"/>
      <c r="K153" s="4"/>
      <c r="L153" s="4"/>
    </row>
    <row r="154" spans="1:12" ht="27" customHeight="1" x14ac:dyDescent="0.2">
      <c r="A154" s="2403"/>
      <c r="B154" s="2404"/>
      <c r="C154" s="1306" t="str">
        <f>F!C210</f>
        <v>Fines: includes silt, glacial flour, clay, clay loam, silty clay, silty clay loam, sandy clay, sandy clay loam.</v>
      </c>
      <c r="D154" s="1269">
        <f>F!D210</f>
        <v>0</v>
      </c>
      <c r="E154" s="1151">
        <v>2</v>
      </c>
      <c r="F154" s="1277">
        <f>D154*E154</f>
        <v>0</v>
      </c>
      <c r="G154" s="336"/>
      <c r="H154" s="2140"/>
      <c r="I154" s="2078"/>
      <c r="J154" s="273"/>
      <c r="K154" s="4"/>
      <c r="L154" s="4"/>
    </row>
    <row r="155" spans="1:12" ht="15" customHeight="1" x14ac:dyDescent="0.2">
      <c r="A155" s="2403"/>
      <c r="B155" s="2404"/>
      <c r="C155" s="1306" t="str">
        <f>F!C211</f>
        <v>Organic</v>
      </c>
      <c r="D155" s="1269">
        <f>F!D211</f>
        <v>0</v>
      </c>
      <c r="E155" s="1151">
        <v>3</v>
      </c>
      <c r="F155" s="1277">
        <f>D155*E155</f>
        <v>0</v>
      </c>
      <c r="G155" s="336"/>
      <c r="H155" s="2140"/>
      <c r="I155" s="2078"/>
      <c r="J155" s="273"/>
      <c r="K155" s="4"/>
      <c r="L155" s="4"/>
    </row>
    <row r="156" spans="1:12" ht="27" customHeight="1" thickBot="1" x14ac:dyDescent="0.25">
      <c r="A156" s="2407"/>
      <c r="B156" s="2278"/>
      <c r="C156" s="1307" t="str">
        <f>F!C212</f>
        <v>Coarse: includes sand, loamy sand, gravel, cobble, stones, boulders, fluvents, fluvaquents, riverwash.</v>
      </c>
      <c r="D156" s="1282">
        <f>F!D212</f>
        <v>0</v>
      </c>
      <c r="E156" s="353">
        <v>0</v>
      </c>
      <c r="F156" s="354">
        <f>D156*E156</f>
        <v>0</v>
      </c>
      <c r="G156" s="337"/>
      <c r="H156" s="2141"/>
      <c r="I156" s="2079"/>
      <c r="J156" s="273"/>
      <c r="K156" s="4"/>
      <c r="L156" s="4"/>
    </row>
    <row r="157" spans="1:12" ht="21" customHeight="1" thickBot="1" x14ac:dyDescent="0.25">
      <c r="A157" s="2403" t="str">
        <f>F!A224</f>
        <v>F47</v>
      </c>
      <c r="B157" s="2404" t="str">
        <f>F!B224</f>
        <v>Forb Cover</v>
      </c>
      <c r="C157" s="1300" t="str">
        <f>F!C224</f>
        <v>The areal cover of forbs reaches an annual maximum of:</v>
      </c>
      <c r="D157" s="357"/>
      <c r="E157" s="359"/>
      <c r="F157" s="363"/>
      <c r="G157" s="339">
        <f>IF((NoHerbCov=1),"",MAX(F158:F162)/MAX(E158:E162))</f>
        <v>0</v>
      </c>
      <c r="H157" s="2140" t="s">
        <v>1180</v>
      </c>
      <c r="I157" s="2077" t="s">
        <v>2151</v>
      </c>
      <c r="J157" s="273"/>
      <c r="K157" s="4"/>
      <c r="L157" s="4"/>
    </row>
    <row r="158" spans="1:12" ht="15" customHeight="1" x14ac:dyDescent="0.2">
      <c r="A158" s="2403"/>
      <c r="B158" s="2404"/>
      <c r="C158" s="1305" t="str">
        <f>F!C225</f>
        <v>&lt;5% of the herbaceous &amp; moss cover</v>
      </c>
      <c r="D158" s="33">
        <f>F!D225</f>
        <v>0</v>
      </c>
      <c r="E158" s="351">
        <v>0</v>
      </c>
      <c r="F158" s="352">
        <f t="shared" ref="F158:F167" si="5">D158*E158</f>
        <v>0</v>
      </c>
      <c r="G158" s="336"/>
      <c r="H158" s="2140"/>
      <c r="I158" s="2078"/>
      <c r="J158" s="273"/>
      <c r="K158" s="4"/>
      <c r="L158" s="4"/>
    </row>
    <row r="159" spans="1:12" ht="15" customHeight="1" x14ac:dyDescent="0.2">
      <c r="A159" s="2403"/>
      <c r="B159" s="2404"/>
      <c r="C159" s="1306" t="str">
        <f>F!C226</f>
        <v>5-25% of the herbaceous &amp; moss cover</v>
      </c>
      <c r="D159" s="33">
        <f>F!D226</f>
        <v>0</v>
      </c>
      <c r="E159" s="351">
        <v>3</v>
      </c>
      <c r="F159" s="352">
        <f t="shared" si="5"/>
        <v>0</v>
      </c>
      <c r="G159" s="336"/>
      <c r="H159" s="2140"/>
      <c r="I159" s="2078"/>
      <c r="J159" s="273"/>
      <c r="K159" s="4"/>
      <c r="L159" s="4"/>
    </row>
    <row r="160" spans="1:12" ht="15" customHeight="1" x14ac:dyDescent="0.2">
      <c r="A160" s="2403"/>
      <c r="B160" s="2404"/>
      <c r="C160" s="1306" t="str">
        <f>F!C227</f>
        <v>25-50% of the herbaceous &amp; moss cover</v>
      </c>
      <c r="D160" s="33">
        <f>F!D227</f>
        <v>0</v>
      </c>
      <c r="E160" s="351">
        <v>4</v>
      </c>
      <c r="F160" s="352">
        <f t="shared" si="5"/>
        <v>0</v>
      </c>
      <c r="G160" s="336"/>
      <c r="H160" s="2140"/>
      <c r="I160" s="2078"/>
      <c r="J160" s="273"/>
      <c r="K160" s="4"/>
      <c r="L160" s="4"/>
    </row>
    <row r="161" spans="1:12" ht="15" customHeight="1" x14ac:dyDescent="0.2">
      <c r="A161" s="2403"/>
      <c r="B161" s="2404"/>
      <c r="C161" s="1306" t="str">
        <f>F!C228</f>
        <v>50-95% of the herbaceous &amp; moss cover</v>
      </c>
      <c r="D161" s="33">
        <f>F!D228</f>
        <v>0</v>
      </c>
      <c r="E161" s="351">
        <v>2</v>
      </c>
      <c r="F161" s="352">
        <f t="shared" si="5"/>
        <v>0</v>
      </c>
      <c r="G161" s="336"/>
      <c r="H161" s="2140"/>
      <c r="I161" s="2078"/>
      <c r="J161" s="273"/>
      <c r="K161" s="4"/>
      <c r="L161" s="4"/>
    </row>
    <row r="162" spans="1:12" ht="15" customHeight="1" thickBot="1" x14ac:dyDescent="0.25">
      <c r="A162" s="2403"/>
      <c r="B162" s="2404"/>
      <c r="C162" s="1311" t="str">
        <f>F!C229</f>
        <v>&gt;95% of the herbaceous &amp; moss cover. SKIP to F50 (Invasive Plant Cover).</v>
      </c>
      <c r="D162" s="1270">
        <f>F!D229</f>
        <v>0</v>
      </c>
      <c r="E162" s="636">
        <v>1</v>
      </c>
      <c r="F162" s="1274">
        <f t="shared" si="5"/>
        <v>0</v>
      </c>
      <c r="G162" s="1141"/>
      <c r="H162" s="2140"/>
      <c r="I162" s="2079"/>
      <c r="J162" s="273"/>
      <c r="K162" s="4"/>
      <c r="L162" s="4"/>
    </row>
    <row r="163" spans="1:12" ht="21" customHeight="1" thickBot="1" x14ac:dyDescent="0.25">
      <c r="A163" s="2406" t="str">
        <f>F!A230</f>
        <v>F48</v>
      </c>
      <c r="B163" s="2277" t="str">
        <f>F!B230</f>
        <v>Sedge Cover</v>
      </c>
      <c r="C163" s="1304" t="str">
        <f>F!C230</f>
        <v>Sedges (Carex spp.) and/or cottongrass (Eriophorum spp.) occupy:</v>
      </c>
      <c r="D163" s="1280"/>
      <c r="E163" s="1148"/>
      <c r="F163" s="1281"/>
      <c r="G163" s="340">
        <f>IF((NoHerbCov=1),"", MAX(F164:F167)/MAX(E164:E167))</f>
        <v>0</v>
      </c>
      <c r="H163" s="2139" t="s">
        <v>1181</v>
      </c>
      <c r="I163" s="2077" t="s">
        <v>2152</v>
      </c>
      <c r="J163" s="273"/>
      <c r="K163" s="4"/>
      <c r="L163" s="4"/>
    </row>
    <row r="164" spans="1:12" ht="15" customHeight="1" x14ac:dyDescent="0.2">
      <c r="A164" s="2403"/>
      <c r="B164" s="2404"/>
      <c r="C164" s="1305" t="str">
        <f>F!C231</f>
        <v>&lt;5% of the herbaceous cover, or &lt;0.01 hectare</v>
      </c>
      <c r="D164" s="1271">
        <f>F!D231</f>
        <v>0</v>
      </c>
      <c r="E164" s="1151">
        <v>0</v>
      </c>
      <c r="F164" s="1277">
        <f t="shared" si="5"/>
        <v>0</v>
      </c>
      <c r="G164" s="336"/>
      <c r="H164" s="2140"/>
      <c r="I164" s="2078"/>
      <c r="J164" s="273"/>
      <c r="K164" s="4"/>
      <c r="L164" s="4"/>
    </row>
    <row r="165" spans="1:12" ht="15" customHeight="1" x14ac:dyDescent="0.2">
      <c r="A165" s="2403"/>
      <c r="B165" s="2404"/>
      <c r="C165" s="1306" t="str">
        <f>F!C232</f>
        <v>5-50% of the herbaceous cover</v>
      </c>
      <c r="D165" s="1271">
        <f>F!D232</f>
        <v>0</v>
      </c>
      <c r="E165" s="1151">
        <v>3</v>
      </c>
      <c r="F165" s="1277">
        <f t="shared" si="5"/>
        <v>0</v>
      </c>
      <c r="G165" s="336"/>
      <c r="H165" s="2140"/>
      <c r="I165" s="2078"/>
      <c r="J165" s="273"/>
      <c r="K165" s="4"/>
      <c r="L165" s="4"/>
    </row>
    <row r="166" spans="1:12" ht="15" customHeight="1" x14ac:dyDescent="0.2">
      <c r="A166" s="2403"/>
      <c r="B166" s="2404"/>
      <c r="C166" s="1306" t="str">
        <f>F!C233</f>
        <v>50-95% of the herbaceous cover</v>
      </c>
      <c r="D166" s="1271">
        <f>F!D233</f>
        <v>0</v>
      </c>
      <c r="E166" s="1151">
        <v>2</v>
      </c>
      <c r="F166" s="1277">
        <f t="shared" si="5"/>
        <v>0</v>
      </c>
      <c r="G166" s="336"/>
      <c r="H166" s="2140"/>
      <c r="I166" s="2078"/>
      <c r="J166" s="273"/>
      <c r="K166" s="4"/>
      <c r="L166" s="4"/>
    </row>
    <row r="167" spans="1:12" ht="15" customHeight="1" thickBot="1" x14ac:dyDescent="0.25">
      <c r="A167" s="2407"/>
      <c r="B167" s="2278"/>
      <c r="C167" s="1307" t="str">
        <f>F!C234</f>
        <v>&gt;95% of the herbaceous cover</v>
      </c>
      <c r="D167" s="111">
        <f>F!D234</f>
        <v>0</v>
      </c>
      <c r="E167" s="353">
        <v>1</v>
      </c>
      <c r="F167" s="354">
        <f t="shared" si="5"/>
        <v>0</v>
      </c>
      <c r="G167" s="337"/>
      <c r="H167" s="2141"/>
      <c r="I167" s="2079"/>
      <c r="J167" s="273"/>
      <c r="K167" s="4"/>
      <c r="L167" s="4"/>
    </row>
    <row r="168" spans="1:12" ht="44.25" customHeight="1" thickBot="1" x14ac:dyDescent="0.25">
      <c r="A168" s="2403" t="str">
        <f>F!A235</f>
        <v>F49</v>
      </c>
      <c r="B168" s="2404" t="str">
        <f>F!B235</f>
        <v xml:space="preserve">Dominance of Most Abundant Herbaceous Species </v>
      </c>
      <c r="C168" s="1300" t="str">
        <f>F!C235</f>
        <v>Determine which two native herbaceous (forb and graminoid) species comprise the greatest portion of the herbaceous cover that is unshaded by a woody canopy.  Then choose one of the following:</v>
      </c>
      <c r="D168" s="597"/>
      <c r="E168" s="377"/>
      <c r="F168" s="363"/>
      <c r="G168" s="339">
        <f>IF((NoHerbCov=1),"", MAX(F169:F170))</f>
        <v>0</v>
      </c>
      <c r="H168" s="2140" t="s">
        <v>212</v>
      </c>
      <c r="I168" s="2077" t="s">
        <v>2153</v>
      </c>
      <c r="J168" s="273"/>
      <c r="K168" s="4"/>
      <c r="L168" s="4"/>
    </row>
    <row r="169" spans="1:12" ht="27" customHeight="1" x14ac:dyDescent="0.2">
      <c r="A169" s="2340"/>
      <c r="B169" s="2339"/>
      <c r="C169" s="1305" t="str">
        <f>F!C236</f>
        <v>those species together comprise &gt; 50% of the areal cover of native herbaceous plants at any time during the year.</v>
      </c>
      <c r="D169" s="599">
        <f>F!D236</f>
        <v>0</v>
      </c>
      <c r="E169" s="375">
        <v>0</v>
      </c>
      <c r="F169" s="352">
        <f>D169*E169</f>
        <v>0</v>
      </c>
      <c r="G169" s="336"/>
      <c r="H169" s="2140"/>
      <c r="I169" s="2078"/>
      <c r="J169" s="273"/>
      <c r="K169" s="4"/>
      <c r="L169" s="4"/>
    </row>
    <row r="170" spans="1:12" ht="27" customHeight="1" thickBot="1" x14ac:dyDescent="0.25">
      <c r="A170" s="2340"/>
      <c r="B170" s="2339"/>
      <c r="C170" s="1311" t="str">
        <f>F!C237</f>
        <v>those species together do not comprise &gt; 50% of the areal cover of native herbaceous plants at any time during the year.</v>
      </c>
      <c r="D170" s="1270">
        <f>F!D237</f>
        <v>0</v>
      </c>
      <c r="E170" s="1273">
        <v>1</v>
      </c>
      <c r="F170" s="1274">
        <f>D170*E170</f>
        <v>0</v>
      </c>
      <c r="G170" s="1141"/>
      <c r="H170" s="2140"/>
      <c r="I170" s="2079"/>
      <c r="J170" s="273"/>
      <c r="K170" s="4"/>
      <c r="L170" s="4"/>
    </row>
    <row r="171" spans="1:12" ht="84" customHeight="1" thickBot="1" x14ac:dyDescent="0.25">
      <c r="A171" s="2406" t="str">
        <f>F!A238</f>
        <v>F50</v>
      </c>
      <c r="B171" s="2277" t="str">
        <f>F!B238</f>
        <v>Invasive Plant Cover</v>
      </c>
      <c r="C171" s="1304" t="str">
        <f>F!C238</f>
        <v>In central Alberta, common invasive graminoids include smooth brome, most bluegrasses, quackgrass, timothy, alfalfa, reed canarygrass, red fescue, spreading bentgrass.  Common invasive forbs include most thistles and sow-thistles, most clovers, sweetclover, black medick, dandelion, great plantain, hemp-nettle, lamb's-quarters, shepherd's-purse, curly dock, pennycress, wallflower, hawksbeard, tansy, chickweed, sticky-willy bedstraw, stickseed, tall buttercup. Select first applicable choice:</v>
      </c>
      <c r="D171" s="1275"/>
      <c r="E171" s="1148"/>
      <c r="F171" s="1276"/>
      <c r="G171" s="340">
        <f>MAX(F172:F176)/MAX(E172:E176)</f>
        <v>0</v>
      </c>
      <c r="H171" s="2139" t="s">
        <v>1272</v>
      </c>
      <c r="I171" s="2077" t="s">
        <v>332</v>
      </c>
      <c r="J171" s="273"/>
      <c r="K171" s="4"/>
      <c r="L171" s="4"/>
    </row>
    <row r="172" spans="1:12" ht="27" customHeight="1" x14ac:dyDescent="0.2">
      <c r="A172" s="2340"/>
      <c r="B172" s="2339"/>
      <c r="C172" s="1305" t="str">
        <f>F!C239</f>
        <v>invasive or other non-native species appear to be absent in the AA, or are present only in trace amount (a few individuals)</v>
      </c>
      <c r="D172" s="321">
        <f>F!D239</f>
        <v>0</v>
      </c>
      <c r="E172" s="1151">
        <v>4</v>
      </c>
      <c r="F172" s="1277">
        <f>D172*E172</f>
        <v>0</v>
      </c>
      <c r="G172" s="343" t="s">
        <v>507</v>
      </c>
      <c r="H172" s="2140"/>
      <c r="I172" s="2078"/>
      <c r="J172" s="273"/>
      <c r="K172" s="4"/>
      <c r="L172" s="4"/>
    </row>
    <row r="173" spans="1:12" ht="27" customHeight="1" x14ac:dyDescent="0.2">
      <c r="A173" s="2340"/>
      <c r="B173" s="2339"/>
      <c r="C173" s="1306" t="str">
        <f>F!C240</f>
        <v>Invasive species are present in more than trace amounts, but comprise &lt;5% of herbaceous cover (or woody cover, if the invasives are woody).</v>
      </c>
      <c r="D173" s="1271">
        <f>F!D240</f>
        <v>0</v>
      </c>
      <c r="E173" s="1151">
        <v>3</v>
      </c>
      <c r="F173" s="1277">
        <f>D173*E173</f>
        <v>0</v>
      </c>
      <c r="G173" s="343"/>
      <c r="H173" s="2140"/>
      <c r="I173" s="2078"/>
      <c r="J173" s="273"/>
      <c r="K173" s="4"/>
      <c r="L173" s="4"/>
    </row>
    <row r="174" spans="1:12" ht="15" customHeight="1" x14ac:dyDescent="0.2">
      <c r="A174" s="2340"/>
      <c r="B174" s="2339"/>
      <c r="C174" s="1306" t="str">
        <f>F!C241</f>
        <v>Invasive species comprise 5-20% of the herb cover.</v>
      </c>
      <c r="D174" s="1271">
        <f>F!D241</f>
        <v>0</v>
      </c>
      <c r="E174" s="1272">
        <v>2</v>
      </c>
      <c r="F174" s="1277">
        <f>D174*E174</f>
        <v>0</v>
      </c>
      <c r="G174" s="336"/>
      <c r="H174" s="2140"/>
      <c r="I174" s="2078"/>
      <c r="J174" s="273"/>
      <c r="K174" s="4"/>
      <c r="L174" s="4"/>
    </row>
    <row r="175" spans="1:12" ht="15" customHeight="1" x14ac:dyDescent="0.2">
      <c r="A175" s="2340"/>
      <c r="B175" s="2339"/>
      <c r="C175" s="1306" t="str">
        <f>F!C242</f>
        <v>Invasive species comprise 20-50% of the herb cover.</v>
      </c>
      <c r="D175" s="1271">
        <f>F!D242</f>
        <v>0</v>
      </c>
      <c r="E175" s="1272">
        <v>1</v>
      </c>
      <c r="F175" s="1277">
        <f>D175*E175</f>
        <v>0</v>
      </c>
      <c r="G175" s="336"/>
      <c r="H175" s="2140"/>
      <c r="I175" s="2078"/>
      <c r="J175" s="273"/>
      <c r="K175" s="4"/>
      <c r="L175" s="4"/>
    </row>
    <row r="176" spans="1:12" ht="15" customHeight="1" thickBot="1" x14ac:dyDescent="0.25">
      <c r="A176" s="2416"/>
      <c r="B176" s="2405"/>
      <c r="C176" s="1307" t="str">
        <f>F!C243</f>
        <v>Invasive species comprise &gt;50% of the herb cover.</v>
      </c>
      <c r="D176" s="111">
        <f>F!D243</f>
        <v>0</v>
      </c>
      <c r="E176" s="376">
        <v>0</v>
      </c>
      <c r="F176" s="1278">
        <f>D176*E176</f>
        <v>0</v>
      </c>
      <c r="G176" s="1279"/>
      <c r="H176" s="2141"/>
      <c r="I176" s="2079"/>
      <c r="J176" s="273"/>
      <c r="K176" s="4"/>
      <c r="L176" s="4"/>
    </row>
    <row r="177" spans="1:12" ht="30" customHeight="1" thickBot="1" x14ac:dyDescent="0.25">
      <c r="A177" s="2403" t="str">
        <f>F!A244</f>
        <v>F51</v>
      </c>
      <c r="B177" s="2404" t="str">
        <f>F!B244</f>
        <v>Weed Source Along Edge</v>
      </c>
      <c r="C177" s="1300" t="str">
        <f>F!C244</f>
        <v>Along the wetland-upland boundary, the percent of the upland edge (within 3 m of wetland) that is occupied by plant species that are considered invasive (see above) is:</v>
      </c>
      <c r="D177" s="594"/>
      <c r="E177" s="359"/>
      <c r="F177" s="381"/>
      <c r="G177" s="339">
        <f>MAX(F178:F181)/MAX(E178:E181)</f>
        <v>0</v>
      </c>
      <c r="H177" s="2140" t="s">
        <v>213</v>
      </c>
      <c r="I177" s="2087" t="s">
        <v>333</v>
      </c>
      <c r="J177" s="273"/>
      <c r="K177" s="4"/>
      <c r="L177" s="4"/>
    </row>
    <row r="178" spans="1:12" ht="15" customHeight="1" x14ac:dyDescent="0.2">
      <c r="A178" s="2403"/>
      <c r="B178" s="2404"/>
      <c r="C178" s="1305" t="str">
        <f>F!C245</f>
        <v>none of the upland edge (invasives apparently absent)</v>
      </c>
      <c r="D178" s="321">
        <f>F!D245</f>
        <v>0</v>
      </c>
      <c r="E178" s="351">
        <v>4</v>
      </c>
      <c r="F178" s="351">
        <f>D178*E178</f>
        <v>0</v>
      </c>
      <c r="G178" s="335"/>
      <c r="H178" s="2140"/>
      <c r="I178" s="2083"/>
      <c r="J178" s="273"/>
      <c r="K178" s="4"/>
      <c r="L178" s="4"/>
    </row>
    <row r="179" spans="1:12" ht="15" customHeight="1" x14ac:dyDescent="0.2">
      <c r="A179" s="2403"/>
      <c r="B179" s="2404"/>
      <c r="C179" s="1306" t="str">
        <f>F!C246</f>
        <v>some (but &lt;5%) of the upland edge</v>
      </c>
      <c r="D179" s="599">
        <f>F!D246</f>
        <v>0</v>
      </c>
      <c r="E179" s="351">
        <v>3</v>
      </c>
      <c r="F179" s="351">
        <f>D179*E179</f>
        <v>0</v>
      </c>
      <c r="G179" s="336"/>
      <c r="H179" s="2140"/>
      <c r="I179" s="2083"/>
      <c r="J179" s="273"/>
      <c r="K179" s="4"/>
      <c r="L179" s="4"/>
    </row>
    <row r="180" spans="1:12" ht="15" customHeight="1" x14ac:dyDescent="0.2">
      <c r="A180" s="2403"/>
      <c r="B180" s="2404"/>
      <c r="C180" s="1306" t="str">
        <f>F!C247</f>
        <v>5-50% of the upland edge</v>
      </c>
      <c r="D180" s="33">
        <f>F!D247</f>
        <v>0</v>
      </c>
      <c r="E180" s="351">
        <v>2</v>
      </c>
      <c r="F180" s="351">
        <f>D180*E180</f>
        <v>0</v>
      </c>
      <c r="G180" s="336"/>
      <c r="H180" s="2140"/>
      <c r="I180" s="2083"/>
      <c r="J180" s="273"/>
      <c r="K180" s="4"/>
      <c r="L180" s="4"/>
    </row>
    <row r="181" spans="1:12" ht="15" customHeight="1" thickBot="1" x14ac:dyDescent="0.25">
      <c r="A181" s="2403"/>
      <c r="B181" s="2404"/>
      <c r="C181" s="1311" t="str">
        <f>F!C248</f>
        <v>most (&gt;50%) of the upland edge</v>
      </c>
      <c r="D181" s="1270">
        <f>F!D248</f>
        <v>0</v>
      </c>
      <c r="E181" s="636">
        <v>0</v>
      </c>
      <c r="F181" s="636">
        <f>D181*E181</f>
        <v>0</v>
      </c>
      <c r="G181" s="1141"/>
      <c r="H181" s="2140"/>
      <c r="I181" s="2088"/>
      <c r="J181" s="273"/>
      <c r="K181" s="4"/>
      <c r="L181" s="4"/>
    </row>
    <row r="182" spans="1:12" ht="39" customHeight="1" thickBot="1" x14ac:dyDescent="0.25">
      <c r="A182" s="2406" t="str">
        <f>F!A249</f>
        <v>F52</v>
      </c>
      <c r="B182" s="2277" t="str">
        <f>F!B249</f>
        <v>Natural Cover in Buffer</v>
      </c>
      <c r="C182" s="1304" t="str">
        <f>F!C249</f>
        <v>Along the wetland-upland edge and extending 30 m upslope, the percentage of the upland that contains natural (not necessarily native -- see column E) land cover taller than 10 cm is:</v>
      </c>
      <c r="D182" s="1268"/>
      <c r="E182" s="1148"/>
      <c r="F182" s="350"/>
      <c r="G182" s="340">
        <f>MAX(F183:F187)/MAX(E183:E187)</f>
        <v>0</v>
      </c>
      <c r="H182" s="2139" t="s">
        <v>214</v>
      </c>
      <c r="I182" s="2077" t="s">
        <v>1509</v>
      </c>
      <c r="J182" s="273"/>
      <c r="K182" s="4"/>
      <c r="L182" s="4"/>
    </row>
    <row r="183" spans="1:12" ht="15" customHeight="1" x14ac:dyDescent="0.2">
      <c r="A183" s="2403"/>
      <c r="B183" s="2404"/>
      <c r="C183" s="1305" t="str">
        <f>F!C250</f>
        <v xml:space="preserve">&lt;5% </v>
      </c>
      <c r="D183" s="1271">
        <f>F!D250</f>
        <v>0</v>
      </c>
      <c r="E183" s="1272">
        <v>0</v>
      </c>
      <c r="F183" s="1151">
        <f>D183*E183</f>
        <v>0</v>
      </c>
      <c r="G183" s="335"/>
      <c r="H183" s="2140"/>
      <c r="I183" s="2078"/>
      <c r="J183" s="273"/>
      <c r="K183" s="4"/>
      <c r="L183" s="4"/>
    </row>
    <row r="184" spans="1:12" ht="15" customHeight="1" x14ac:dyDescent="0.2">
      <c r="A184" s="2403"/>
      <c r="B184" s="2404"/>
      <c r="C184" s="1306" t="str">
        <f>F!C251</f>
        <v>5 to 30%</v>
      </c>
      <c r="D184" s="1271">
        <f>F!D251</f>
        <v>0</v>
      </c>
      <c r="E184" s="1272">
        <v>2</v>
      </c>
      <c r="F184" s="1151">
        <f>D184*E184</f>
        <v>0</v>
      </c>
      <c r="G184" s="336"/>
      <c r="H184" s="2140"/>
      <c r="I184" s="2078"/>
      <c r="J184" s="273"/>
      <c r="K184" s="4"/>
      <c r="L184" s="4"/>
    </row>
    <row r="185" spans="1:12" ht="15" customHeight="1" x14ac:dyDescent="0.2">
      <c r="A185" s="2403"/>
      <c r="B185" s="2404"/>
      <c r="C185" s="1306" t="str">
        <f>F!C252</f>
        <v>30 to 60%</v>
      </c>
      <c r="D185" s="1271">
        <f>F!D252</f>
        <v>0</v>
      </c>
      <c r="E185" s="1272">
        <v>3</v>
      </c>
      <c r="F185" s="1151">
        <f>D185*E185</f>
        <v>0</v>
      </c>
      <c r="G185" s="336"/>
      <c r="H185" s="2140"/>
      <c r="I185" s="2078"/>
      <c r="J185" s="273"/>
      <c r="K185" s="4"/>
      <c r="L185" s="4"/>
    </row>
    <row r="186" spans="1:12" ht="15" customHeight="1" x14ac:dyDescent="0.2">
      <c r="A186" s="2403"/>
      <c r="B186" s="2404"/>
      <c r="C186" s="1306" t="str">
        <f>F!C253</f>
        <v>60 to 90%</v>
      </c>
      <c r="D186" s="1271">
        <f>F!D253</f>
        <v>0</v>
      </c>
      <c r="E186" s="1272">
        <v>4</v>
      </c>
      <c r="F186" s="1151">
        <f>D186*E186</f>
        <v>0</v>
      </c>
      <c r="G186" s="336"/>
      <c r="H186" s="2140"/>
      <c r="I186" s="2078"/>
      <c r="J186" s="273"/>
      <c r="K186" s="4"/>
      <c r="L186" s="4"/>
    </row>
    <row r="187" spans="1:12" ht="19.5" customHeight="1" thickBot="1" x14ac:dyDescent="0.25">
      <c r="A187" s="2407"/>
      <c r="B187" s="2278"/>
      <c r="C187" s="1307" t="str">
        <f>F!C254</f>
        <v>&gt;90%.  SKIP to F54 (Cliffs).</v>
      </c>
      <c r="D187" s="111">
        <f>F!D254</f>
        <v>0</v>
      </c>
      <c r="E187" s="376">
        <v>6</v>
      </c>
      <c r="F187" s="353">
        <f>D187*E187</f>
        <v>0</v>
      </c>
      <c r="G187" s="337"/>
      <c r="H187" s="2141"/>
      <c r="I187" s="2079"/>
      <c r="J187" s="273"/>
      <c r="K187" s="4"/>
      <c r="L187" s="4"/>
    </row>
    <row r="188" spans="1:12" ht="30" customHeight="1" thickBot="1" x14ac:dyDescent="0.25">
      <c r="A188" s="2403" t="str">
        <f>F!A255</f>
        <v>F53</v>
      </c>
      <c r="B188" s="2404" t="str">
        <f>F!B255</f>
        <v>Type of Cover in Buffer</v>
      </c>
      <c r="C188" s="1300" t="str">
        <f>F!C255</f>
        <v>Within 30 m upslope of the wetland-upland edge closest to the AA, the upland land cover that is NOT unmanaged vegetation or water is mostly (mark ONE):</v>
      </c>
      <c r="D188" s="594"/>
      <c r="E188" s="359"/>
      <c r="F188" s="381"/>
      <c r="G188" s="339">
        <f>IF((BuffAllNat=1),"", MAX(F189:F190)/MAX(E189:E190))</f>
        <v>0</v>
      </c>
      <c r="H188" s="2140" t="s">
        <v>215</v>
      </c>
      <c r="I188" s="2077" t="s">
        <v>2154</v>
      </c>
      <c r="J188" s="273"/>
      <c r="K188" s="4"/>
      <c r="L188" s="4"/>
    </row>
    <row r="189" spans="1:12" ht="15" customHeight="1" x14ac:dyDescent="0.2">
      <c r="A189" s="2403"/>
      <c r="B189" s="2404"/>
      <c r="C189" s="1305" t="str">
        <f>F!C256</f>
        <v>impervious surface, e.g., paved road, parking lot, building, exposed rock.</v>
      </c>
      <c r="D189" s="33">
        <f>F!D256</f>
        <v>0</v>
      </c>
      <c r="E189" s="351">
        <v>0</v>
      </c>
      <c r="F189" s="351">
        <f>D189*E189</f>
        <v>0</v>
      </c>
      <c r="G189" s="335"/>
      <c r="H189" s="2140"/>
      <c r="I189" s="2078"/>
      <c r="J189" s="273"/>
      <c r="K189" s="4"/>
      <c r="L189" s="4"/>
    </row>
    <row r="190" spans="1:12" ht="27" customHeight="1" thickBot="1" x14ac:dyDescent="0.25">
      <c r="A190" s="2403"/>
      <c r="B190" s="2404"/>
      <c r="C190" s="1311" t="str">
        <f>F!C257</f>
        <v>bare or nearly bare pervious surface or managed vegetation, e.g., lawn, annual crops, mostly-unvegetated clearcut, landslide, unpaved road, dike.</v>
      </c>
      <c r="D190" s="1270">
        <f>F!D257</f>
        <v>0</v>
      </c>
      <c r="E190" s="636">
        <v>1</v>
      </c>
      <c r="F190" s="636">
        <f>D190*E190</f>
        <v>0</v>
      </c>
      <c r="G190" s="1141"/>
      <c r="H190" s="2140"/>
      <c r="I190" s="2079"/>
      <c r="J190" s="273"/>
      <c r="K190" s="4"/>
      <c r="L190" s="4"/>
    </row>
    <row r="191" spans="1:12" ht="60" customHeight="1" thickBot="1" x14ac:dyDescent="0.25">
      <c r="A191" s="1296" t="str">
        <f>F!A258</f>
        <v>F54</v>
      </c>
      <c r="B191" s="83" t="str">
        <f>F!B258</f>
        <v xml:space="preserve">Cliffs, Steep Banks, or Salt Lick </v>
      </c>
      <c r="C191" s="1291" t="str">
        <f>F!C258</f>
        <v>In the AA or within 100 m, there is a known salt lick, or elevated terrestrial features such as cliffs, talus slopes, stream banks, or excavated pits (but not riprap) that extend at least 2 m nearly vertically, are unvegetated, and potentially contain crevices or other substrate suitable for nesting or den areas.  Enter 1 (yes) or 0 (no).</v>
      </c>
      <c r="D191" s="602">
        <f>F!D258</f>
        <v>0</v>
      </c>
      <c r="E191" s="147"/>
      <c r="F191" s="147"/>
      <c r="G191" s="340">
        <f>D191</f>
        <v>0</v>
      </c>
      <c r="H191" s="742" t="s">
        <v>1275</v>
      </c>
      <c r="I191" s="99" t="s">
        <v>1591</v>
      </c>
      <c r="J191" s="273"/>
      <c r="K191" s="4"/>
      <c r="L191" s="4"/>
    </row>
    <row r="192" spans="1:12" ht="42.75" customHeight="1" thickBot="1" x14ac:dyDescent="0.25">
      <c r="A192" s="2421" t="str">
        <f>F!A259</f>
        <v>F55</v>
      </c>
      <c r="B192" s="2417" t="str">
        <f>F!B259</f>
        <v>New Wetland</v>
      </c>
      <c r="C192" s="1313" t="str">
        <f>F!C259</f>
        <v>The AA is (or is within, or contains) a "new" wetland resulting from human actions (e.g., excavation, impoundment) or debris flows,  or other factors affecting what once was upland (non-hydric) soil.</v>
      </c>
      <c r="D192" s="597"/>
      <c r="E192" s="359"/>
      <c r="F192" s="381"/>
      <c r="G192" s="339">
        <f>IF((D198=1),"",MAX(F193:F197)/MAX(E193:E197))</f>
        <v>0</v>
      </c>
      <c r="H192" s="2140" t="s">
        <v>218</v>
      </c>
      <c r="I192" s="2077" t="s">
        <v>193</v>
      </c>
      <c r="J192" s="273"/>
      <c r="K192" s="4"/>
      <c r="L192" s="4"/>
    </row>
    <row r="193" spans="1:12" ht="15" customHeight="1" x14ac:dyDescent="0.2">
      <c r="A193" s="2421"/>
      <c r="B193" s="2417"/>
      <c r="C193" s="1314" t="str">
        <f>F!C260</f>
        <v>No</v>
      </c>
      <c r="D193" s="322">
        <f>F!D260</f>
        <v>0</v>
      </c>
      <c r="E193" s="351">
        <v>5</v>
      </c>
      <c r="F193" s="351">
        <f>D193*E193</f>
        <v>0</v>
      </c>
      <c r="G193" s="335"/>
      <c r="H193" s="2140"/>
      <c r="I193" s="2078"/>
      <c r="J193" s="273"/>
      <c r="K193" s="4"/>
      <c r="L193" s="4"/>
    </row>
    <row r="194" spans="1:12" ht="15" customHeight="1" x14ac:dyDescent="0.2">
      <c r="A194" s="2421"/>
      <c r="B194" s="2417"/>
      <c r="C194" s="1315" t="str">
        <f>F!C261</f>
        <v xml:space="preserve">yes, and created 20 - 100 years ago </v>
      </c>
      <c r="D194" s="601">
        <f>F!D261</f>
        <v>0</v>
      </c>
      <c r="E194" s="351">
        <v>2</v>
      </c>
      <c r="F194" s="351">
        <f>D194*E194</f>
        <v>0</v>
      </c>
      <c r="G194" s="336"/>
      <c r="H194" s="2140"/>
      <c r="I194" s="2078"/>
      <c r="J194" s="273"/>
      <c r="K194" s="4"/>
      <c r="L194" s="4"/>
    </row>
    <row r="195" spans="1:12" ht="15" customHeight="1" x14ac:dyDescent="0.2">
      <c r="A195" s="2421"/>
      <c r="B195" s="2417"/>
      <c r="C195" s="1315" t="str">
        <f>F!C262</f>
        <v>yes, and created 3-20 years ago</v>
      </c>
      <c r="D195" s="601">
        <f>F!D262</f>
        <v>0</v>
      </c>
      <c r="E195" s="351">
        <v>1</v>
      </c>
      <c r="F195" s="351">
        <f>D195*E195</f>
        <v>0</v>
      </c>
      <c r="G195" s="336"/>
      <c r="H195" s="2140"/>
      <c r="I195" s="2078"/>
      <c r="J195" s="273"/>
      <c r="K195" s="4"/>
      <c r="L195" s="4"/>
    </row>
    <row r="196" spans="1:12" ht="15" customHeight="1" x14ac:dyDescent="0.2">
      <c r="A196" s="2421"/>
      <c r="B196" s="2417"/>
      <c r="C196" s="1315" t="str">
        <f>F!C263</f>
        <v>yes, and created within last 3 years</v>
      </c>
      <c r="D196" s="601">
        <f>F!D263</f>
        <v>0</v>
      </c>
      <c r="E196" s="351">
        <v>0</v>
      </c>
      <c r="F196" s="351">
        <f>D196*E196</f>
        <v>0</v>
      </c>
      <c r="G196" s="336"/>
      <c r="H196" s="2140"/>
      <c r="I196" s="2078"/>
      <c r="J196" s="273"/>
      <c r="K196" s="4"/>
      <c r="L196" s="4"/>
    </row>
    <row r="197" spans="1:12" ht="15" customHeight="1" x14ac:dyDescent="0.2">
      <c r="A197" s="2421"/>
      <c r="B197" s="2417"/>
      <c r="C197" s="1315" t="str">
        <f>F!C264</f>
        <v>yes, but time of origin unknown</v>
      </c>
      <c r="D197" s="601">
        <f>F!D264</f>
        <v>0</v>
      </c>
      <c r="E197" s="351">
        <v>1</v>
      </c>
      <c r="F197" s="351">
        <f>D197*E197</f>
        <v>0</v>
      </c>
      <c r="G197" s="336"/>
      <c r="H197" s="2140"/>
      <c r="I197" s="2078"/>
      <c r="J197" s="273"/>
      <c r="K197" s="4"/>
      <c r="L197" s="4"/>
    </row>
    <row r="198" spans="1:12" ht="15" customHeight="1" thickBot="1" x14ac:dyDescent="0.25">
      <c r="A198" s="2421"/>
      <c r="B198" s="2417"/>
      <c r="C198" s="1316" t="str">
        <f>F!C265</f>
        <v>unknown if new within 20 years or not</v>
      </c>
      <c r="D198" s="1267">
        <f>F!D265</f>
        <v>0</v>
      </c>
      <c r="E198" s="636"/>
      <c r="F198" s="636"/>
      <c r="G198" s="1141"/>
      <c r="H198" s="2140"/>
      <c r="I198" s="2079"/>
      <c r="J198" s="273"/>
      <c r="K198" s="4"/>
      <c r="L198" s="4"/>
    </row>
    <row r="199" spans="1:12" ht="68.25" customHeight="1" thickBot="1" x14ac:dyDescent="0.25">
      <c r="A199" s="2406" t="str">
        <f>F!A280</f>
        <v>F59</v>
      </c>
      <c r="B199" s="2277" t="str">
        <f>F!B280</f>
        <v xml:space="preserve">Unvisited Core Area </v>
      </c>
      <c r="C199" s="1304" t="str">
        <f>F!C280</f>
        <v>The percentage of the AA almost never visited by humans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199" s="1268"/>
      <c r="E199" s="1148"/>
      <c r="F199" s="350"/>
      <c r="G199" s="340">
        <f>MAX(F200:F205)/MAX(E200:E205)</f>
        <v>0</v>
      </c>
      <c r="H199" s="2139" t="s">
        <v>216</v>
      </c>
      <c r="I199" s="2077" t="s">
        <v>1592</v>
      </c>
      <c r="J199" s="273"/>
      <c r="K199" s="4"/>
      <c r="L199" s="4"/>
    </row>
    <row r="200" spans="1:12" ht="15" customHeight="1" x14ac:dyDescent="0.2">
      <c r="A200" s="2403"/>
      <c r="B200" s="2404"/>
      <c r="C200" s="1305" t="str">
        <f>F!C281</f>
        <v>&lt;5% and no inhabited building is within 100 m of the AA</v>
      </c>
      <c r="D200" s="1269">
        <f>F!D281</f>
        <v>0</v>
      </c>
      <c r="E200" s="793">
        <v>1</v>
      </c>
      <c r="F200" s="1151">
        <f t="shared" ref="F200:F205" si="6">D200*E200</f>
        <v>0</v>
      </c>
      <c r="G200" s="335"/>
      <c r="H200" s="2140"/>
      <c r="I200" s="2078"/>
      <c r="J200" s="273"/>
      <c r="K200" s="4"/>
      <c r="L200" s="4"/>
    </row>
    <row r="201" spans="1:12" ht="15" customHeight="1" x14ac:dyDescent="0.2">
      <c r="A201" s="2403"/>
      <c r="B201" s="2404"/>
      <c r="C201" s="1306" t="str">
        <f>F!C282</f>
        <v>&lt;5% and inhabited building is within 100 m of the AA</v>
      </c>
      <c r="D201" s="1269">
        <f>F!D282</f>
        <v>0</v>
      </c>
      <c r="E201" s="793">
        <v>0</v>
      </c>
      <c r="F201" s="1151">
        <f t="shared" si="6"/>
        <v>0</v>
      </c>
      <c r="G201" s="336"/>
      <c r="H201" s="2140"/>
      <c r="I201" s="2078"/>
      <c r="J201" s="273"/>
      <c r="K201" s="4"/>
      <c r="L201" s="4"/>
    </row>
    <row r="202" spans="1:12" ht="15" customHeight="1" x14ac:dyDescent="0.2">
      <c r="A202" s="2403"/>
      <c r="B202" s="2404"/>
      <c r="C202" s="1306" t="str">
        <f>F!C283</f>
        <v>5-50% and no inhabited building is within 100 m of the AA</v>
      </c>
      <c r="D202" s="1269">
        <f>F!D283</f>
        <v>0</v>
      </c>
      <c r="E202" s="793">
        <v>3</v>
      </c>
      <c r="F202" s="1151">
        <f t="shared" si="6"/>
        <v>0</v>
      </c>
      <c r="G202" s="336"/>
      <c r="H202" s="2140"/>
      <c r="I202" s="2078"/>
      <c r="J202" s="273"/>
      <c r="K202" s="4"/>
      <c r="L202" s="4"/>
    </row>
    <row r="203" spans="1:12" ht="15" customHeight="1" x14ac:dyDescent="0.2">
      <c r="A203" s="2403"/>
      <c r="B203" s="2404"/>
      <c r="C203" s="1306" t="str">
        <f>F!C284</f>
        <v>5-50% and inhabited building is within 100 m of the AA</v>
      </c>
      <c r="D203" s="1269">
        <f>F!D284</f>
        <v>0</v>
      </c>
      <c r="E203" s="793">
        <v>2</v>
      </c>
      <c r="F203" s="1151">
        <f t="shared" si="6"/>
        <v>0</v>
      </c>
      <c r="G203" s="1141"/>
      <c r="H203" s="2140"/>
      <c r="I203" s="2078"/>
      <c r="J203" s="273"/>
      <c r="K203" s="4"/>
      <c r="L203" s="4"/>
    </row>
    <row r="204" spans="1:12" ht="15" customHeight="1" x14ac:dyDescent="0.2">
      <c r="A204" s="2403"/>
      <c r="B204" s="2404"/>
      <c r="C204" s="1306" t="str">
        <f>F!C285</f>
        <v>50-95%</v>
      </c>
      <c r="D204" s="1269">
        <f>F!D285</f>
        <v>0</v>
      </c>
      <c r="E204" s="793">
        <v>4</v>
      </c>
      <c r="F204" s="1151">
        <f t="shared" si="6"/>
        <v>0</v>
      </c>
      <c r="G204" s="1141"/>
      <c r="H204" s="2140"/>
      <c r="I204" s="2078"/>
      <c r="J204" s="273"/>
      <c r="K204" s="4"/>
      <c r="L204" s="4"/>
    </row>
    <row r="205" spans="1:12" ht="15" customHeight="1" thickBot="1" x14ac:dyDescent="0.25">
      <c r="A205" s="2407"/>
      <c r="B205" s="2278"/>
      <c r="C205" s="1307" t="str">
        <f>F!C286</f>
        <v>&gt;95% of the AA</v>
      </c>
      <c r="D205" s="111">
        <f>F!D286</f>
        <v>0</v>
      </c>
      <c r="E205" s="383">
        <v>5</v>
      </c>
      <c r="F205" s="353">
        <f t="shared" si="6"/>
        <v>0</v>
      </c>
      <c r="G205" s="337"/>
      <c r="H205" s="2141"/>
      <c r="I205" s="2079"/>
      <c r="J205" s="273"/>
      <c r="K205" s="4"/>
      <c r="L205" s="4"/>
    </row>
    <row r="206" spans="1:12" ht="75" customHeight="1" thickBot="1" x14ac:dyDescent="0.25">
      <c r="A206" s="2418" t="str">
        <f>F!A287</f>
        <v>F60</v>
      </c>
      <c r="B206" s="2404" t="str">
        <f>F!B287</f>
        <v>Frequently Visited Area</v>
      </c>
      <c r="C206" s="1300" t="str">
        <f>F!C287</f>
        <v>The percentage of the AA visited by humans almost daily for several weeks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206" s="594"/>
      <c r="E206" s="384"/>
      <c r="F206" s="381"/>
      <c r="G206" s="339">
        <f>MAX(F207:F210)/MAX(E207:E210)</f>
        <v>0</v>
      </c>
      <c r="H206" s="2140" t="s">
        <v>217</v>
      </c>
      <c r="I206" s="2077" t="s">
        <v>107</v>
      </c>
      <c r="J206" s="273"/>
      <c r="K206" s="4"/>
      <c r="L206" s="4"/>
    </row>
    <row r="207" spans="1:12" ht="15" customHeight="1" x14ac:dyDescent="0.2">
      <c r="A207" s="2418"/>
      <c r="B207" s="2404"/>
      <c r="C207" s="1305" t="str">
        <f>F!C288</f>
        <v>&lt;5%.  If F59 was answered "&gt;95%", SKIP to F63 (Consumptive Uses).</v>
      </c>
      <c r="D207" s="321">
        <f>F!D288</f>
        <v>0</v>
      </c>
      <c r="E207" s="382">
        <v>3</v>
      </c>
      <c r="F207" s="351">
        <f>D207*E207</f>
        <v>0</v>
      </c>
      <c r="G207" s="335"/>
      <c r="H207" s="2140"/>
      <c r="I207" s="2078"/>
      <c r="J207" s="273"/>
      <c r="K207" s="4"/>
      <c r="L207" s="4"/>
    </row>
    <row r="208" spans="1:12" ht="15" customHeight="1" x14ac:dyDescent="0.2">
      <c r="A208" s="2418"/>
      <c r="B208" s="2404"/>
      <c r="C208" s="1306" t="str">
        <f>F!C289</f>
        <v>5-50%</v>
      </c>
      <c r="D208" s="599">
        <f>F!D289</f>
        <v>0</v>
      </c>
      <c r="E208" s="382">
        <v>2</v>
      </c>
      <c r="F208" s="351">
        <f>D208*E208</f>
        <v>0</v>
      </c>
      <c r="G208" s="336"/>
      <c r="H208" s="2140"/>
      <c r="I208" s="2078"/>
      <c r="J208" s="273"/>
      <c r="K208" s="4"/>
      <c r="L208" s="4"/>
    </row>
    <row r="209" spans="1:12" ht="15" customHeight="1" x14ac:dyDescent="0.2">
      <c r="A209" s="2418"/>
      <c r="B209" s="2404"/>
      <c r="C209" s="1306" t="str">
        <f>F!C290</f>
        <v>50-95%</v>
      </c>
      <c r="D209" s="599">
        <f>F!D290</f>
        <v>0</v>
      </c>
      <c r="E209" s="382">
        <v>1</v>
      </c>
      <c r="F209" s="351">
        <f>D209*E209</f>
        <v>0</v>
      </c>
      <c r="G209" s="336"/>
      <c r="H209" s="2140"/>
      <c r="I209" s="2078"/>
      <c r="J209" s="273"/>
      <c r="K209" s="4"/>
      <c r="L209" s="4"/>
    </row>
    <row r="210" spans="1:12" ht="15" customHeight="1" thickBot="1" x14ac:dyDescent="0.25">
      <c r="A210" s="2418"/>
      <c r="B210" s="2404"/>
      <c r="C210" s="1311" t="str">
        <f>F!C291</f>
        <v>&gt;95% of the AA</v>
      </c>
      <c r="D210" s="600">
        <f>F!D291</f>
        <v>0</v>
      </c>
      <c r="E210" s="385">
        <v>0</v>
      </c>
      <c r="F210" s="360">
        <f>D210*E210</f>
        <v>0</v>
      </c>
      <c r="G210" s="1141"/>
      <c r="H210" s="2140"/>
      <c r="I210" s="2079"/>
      <c r="J210" s="273"/>
      <c r="K210" s="4"/>
      <c r="L210" s="4"/>
    </row>
    <row r="211" spans="1:12" ht="75" customHeight="1" thickBot="1" x14ac:dyDescent="0.25">
      <c r="A211" s="1405" t="str">
        <f>F!A292</f>
        <v>F61</v>
      </c>
      <c r="B211" s="1406" t="str">
        <f>F!B292</f>
        <v>BMP - Soils</v>
      </c>
      <c r="C211" s="1466" t="str">
        <f>F!C292</f>
        <v>Boardwalks, paved trails, fences or other infrastructure and/or well-enforced regulations appear to effectively prevent visitors from walking on soils within nearly all of the AA when they are unfrozen.  Enter "1" if true.</v>
      </c>
      <c r="D211" s="1467">
        <f>F!D292</f>
        <v>0</v>
      </c>
      <c r="E211" s="1455"/>
      <c r="F211" s="1456"/>
      <c r="G211" s="1464">
        <f>IF((D205+D207&gt;1),"",D211)</f>
        <v>0</v>
      </c>
      <c r="H211" s="1361" t="s">
        <v>644</v>
      </c>
      <c r="I211" s="1372" t="s">
        <v>2155</v>
      </c>
      <c r="J211" s="273"/>
      <c r="K211" s="4"/>
      <c r="L211" s="4"/>
    </row>
    <row r="212" spans="1:12" ht="87.6" customHeight="1" thickBot="1" x14ac:dyDescent="0.25">
      <c r="A212" s="2277" t="str">
        <f>F!A328</f>
        <v>F69</v>
      </c>
      <c r="B212" s="2277" t="str">
        <f>F!B328</f>
        <v>Plants or Animals of Conservation Concern</v>
      </c>
      <c r="C212" s="1296" t="str">
        <f>F!C328</f>
        <v xml:space="preserve">If required, survey the AA for plant or animal species believed to be of conservation concern in Alberta (see list on Form F in Appendix A of Manual).  Do so at appropriate times of the year, especially if the data review conducted during the office phase of this assessment indicated their past presence in the general vicinity.  If you do detect these species or have reliable knowledge of their recent (within ~5 years) occurrence within the AA, indicate that below.  </v>
      </c>
      <c r="D212" s="792"/>
      <c r="E212" s="792"/>
      <c r="F212" s="1148"/>
      <c r="G212" s="1456"/>
      <c r="H212" s="2139" t="s">
        <v>2240</v>
      </c>
      <c r="I212" s="2087"/>
      <c r="J212" s="1395"/>
      <c r="K212" s="4"/>
      <c r="L212" s="4"/>
    </row>
    <row r="213" spans="1:12" ht="29.25" customHeight="1" thickBot="1" x14ac:dyDescent="0.25">
      <c r="A213" s="2278"/>
      <c r="B213" s="2278"/>
      <c r="C213" s="1300" t="str">
        <f>F!C329</f>
        <v>One or more of the rare plant species was detected within the AA (Appendix A, Table A.4).</v>
      </c>
      <c r="D213" s="1468">
        <f>F!D329</f>
        <v>0</v>
      </c>
      <c r="E213" s="1463"/>
      <c r="F213" s="1465"/>
      <c r="G213" s="1469" t="str">
        <f>IF((D213=1),1,"")</f>
        <v/>
      </c>
      <c r="H213" s="2141"/>
      <c r="I213" s="2088"/>
      <c r="J213" s="1395"/>
      <c r="K213" s="4"/>
      <c r="L213" s="4"/>
    </row>
    <row r="214" spans="1:12" s="31" customFormat="1" ht="210" customHeight="1" thickBot="1" x14ac:dyDescent="0.25">
      <c r="A214" s="1003" t="str">
        <f>S!A3</f>
        <v>S5</v>
      </c>
      <c r="B214" s="1319" t="str">
        <f>S!B3</f>
        <v>Altered Timing of Water Inputs</v>
      </c>
      <c r="C214" s="1317" t="str">
        <f>S!E17</f>
        <v>Stressor Subscore=</v>
      </c>
      <c r="D214" s="608">
        <f>S!F17</f>
        <v>0</v>
      </c>
      <c r="E214" s="387"/>
      <c r="F214" s="380"/>
      <c r="G214" s="344">
        <f>IF((AllSat+AllSat1&gt;0),"", 1-D214)</f>
        <v>1</v>
      </c>
      <c r="H214" s="987" t="s">
        <v>219</v>
      </c>
      <c r="I214" s="986" t="s">
        <v>2156</v>
      </c>
      <c r="J214" s="212"/>
      <c r="K214" s="9"/>
      <c r="L214" s="9"/>
    </row>
    <row r="215" spans="1:12" s="32" customFormat="1" ht="45" customHeight="1" thickBot="1" x14ac:dyDescent="0.25">
      <c r="A215" s="1297" t="str">
        <f>S!A18</f>
        <v>S6</v>
      </c>
      <c r="B215" s="83" t="str">
        <f>S!B18</f>
        <v>Accelerated Inputs of Contaminants and/or Salts</v>
      </c>
      <c r="C215" s="1318"/>
      <c r="D215" s="323">
        <f>S!F32</f>
        <v>0</v>
      </c>
      <c r="E215" s="147"/>
      <c r="F215" s="148"/>
      <c r="G215" s="1321">
        <f>1-D215</f>
        <v>1</v>
      </c>
      <c r="H215" s="53" t="s">
        <v>1282</v>
      </c>
      <c r="I215" s="99" t="s">
        <v>1593</v>
      </c>
      <c r="J215" s="274"/>
      <c r="K215" s="7"/>
      <c r="L215" s="7"/>
    </row>
    <row r="216" spans="1:12" ht="60" customHeight="1" thickBot="1" x14ac:dyDescent="0.25">
      <c r="A216" s="1296" t="str">
        <f>S!A64</f>
        <v>S9</v>
      </c>
      <c r="B216" s="83" t="str">
        <f>S!B64</f>
        <v>Soil or Sediment Alteration Within the Assessment Area</v>
      </c>
      <c r="C216" s="1291" t="str">
        <f>S!E81</f>
        <v>Stressor Subscore=</v>
      </c>
      <c r="D216" s="609">
        <f>S!F81</f>
        <v>0</v>
      </c>
      <c r="E216" s="147"/>
      <c r="F216" s="388"/>
      <c r="G216" s="340">
        <f>1-D216</f>
        <v>1</v>
      </c>
      <c r="H216" s="742" t="s">
        <v>220</v>
      </c>
      <c r="I216" s="99" t="s">
        <v>1594</v>
      </c>
      <c r="J216" s="273"/>
      <c r="K216" s="4"/>
      <c r="L216" s="4"/>
    </row>
    <row r="217" spans="1:12" ht="21" customHeight="1" thickBot="1" x14ac:dyDescent="0.25">
      <c r="A217" s="1445"/>
      <c r="B217" s="1445"/>
      <c r="D217" s="1446"/>
      <c r="E217" s="1446"/>
      <c r="F217" s="1446"/>
      <c r="G217" s="1446"/>
      <c r="H217" s="1402" t="s">
        <v>507</v>
      </c>
      <c r="I217" s="1402"/>
    </row>
    <row r="218" spans="1:12" s="39" customFormat="1" ht="21" customHeight="1" thickBot="1" x14ac:dyDescent="0.25">
      <c r="A218" s="1447"/>
      <c r="B218" s="1447"/>
      <c r="C218" s="833" t="s">
        <v>1183</v>
      </c>
      <c r="D218" s="1448"/>
      <c r="E218" s="1448"/>
      <c r="F218" s="1448"/>
      <c r="G218" s="1448"/>
      <c r="H218" s="7"/>
      <c r="I218" s="7"/>
      <c r="J218" s="200"/>
    </row>
    <row r="219" spans="1:12" s="39" customFormat="1" ht="30" customHeight="1" thickBot="1" x14ac:dyDescent="0.25">
      <c r="A219" s="1436"/>
      <c r="B219" s="1367" t="s">
        <v>1115</v>
      </c>
      <c r="C219" s="1260" t="s">
        <v>1992</v>
      </c>
      <c r="D219" s="325"/>
      <c r="E219" s="325"/>
      <c r="F219" s="325"/>
      <c r="G219" s="530">
        <f>IF((GT10HA=1),G220,IFERROR(AVERAGE(InterspersPD, WoodyCovPD,HerbWood15, ClassRichIn15, wood2pd, herbdom15, HardwdPD, dbhPD, sedgePD, forbsPD),""))</f>
        <v>2.5000000000000001E-2</v>
      </c>
      <c r="H219" s="7"/>
      <c r="I219" s="7"/>
      <c r="J219" s="214"/>
      <c r="K219" s="42"/>
    </row>
    <row r="220" spans="1:12" s="39" customFormat="1" ht="29.25" customHeight="1" thickBot="1" x14ac:dyDescent="0.25">
      <c r="A220" s="1436"/>
      <c r="B220" s="1369" t="s">
        <v>1116</v>
      </c>
      <c r="C220" s="1228" t="s">
        <v>1993</v>
      </c>
      <c r="D220" s="327"/>
      <c r="E220" s="327"/>
      <c r="F220" s="327"/>
      <c r="G220" s="781">
        <f>IFERROR(AVERAGE(MixWaterVeg, MixHerbWood, WetWooded, ClassRichIn15, wood2pd, herbdom15, HardwdPD, dbhPD, sedgePD, forbsPD),"")</f>
        <v>3.5714285714285712E-2</v>
      </c>
      <c r="H220" s="7"/>
      <c r="I220" s="7"/>
      <c r="J220" s="214"/>
      <c r="K220" s="42"/>
    </row>
    <row r="221" spans="1:12" s="39" customFormat="1" ht="21" customHeight="1" thickBot="1" x14ac:dyDescent="0.25">
      <c r="A221" s="191"/>
      <c r="B221" s="191"/>
      <c r="C221" s="49"/>
      <c r="D221" s="1437"/>
      <c r="E221" s="1437"/>
      <c r="F221" s="1437"/>
      <c r="G221" s="1437"/>
      <c r="H221" s="7"/>
      <c r="I221" s="7"/>
      <c r="J221" s="199"/>
      <c r="K221" s="42"/>
    </row>
    <row r="222" spans="1:12" s="39" customFormat="1" ht="21" customHeight="1" thickBot="1" x14ac:dyDescent="0.25">
      <c r="A222" s="191"/>
      <c r="B222" s="191"/>
      <c r="C222" s="833" t="s">
        <v>1184</v>
      </c>
      <c r="D222" s="734"/>
      <c r="E222" s="734"/>
      <c r="F222" s="734"/>
      <c r="G222" s="734"/>
      <c r="H222" s="7"/>
      <c r="I222" s="7"/>
      <c r="J222" s="199"/>
      <c r="K222" s="42"/>
    </row>
    <row r="223" spans="1:12" s="39" customFormat="1" ht="30" customHeight="1" thickBot="1" x14ac:dyDescent="0.25">
      <c r="A223" s="1096"/>
      <c r="B223" s="207"/>
      <c r="C223" s="99" t="s">
        <v>1994</v>
      </c>
      <c r="D223" s="1444"/>
      <c r="E223" s="832"/>
      <c r="F223" s="420"/>
      <c r="G223" s="530">
        <f>IFERROR(AVERAGE(GrowDD, RipFloodpl, Spring, InfloPD, SoilTexPD, WettypePD, MossPD, BeaverPD, NfixPD, NewWetPD, FlucPD, Depth15),"")</f>
        <v>0</v>
      </c>
      <c r="H223" s="7"/>
      <c r="I223" s="7"/>
      <c r="J223" s="199"/>
      <c r="K223" s="42"/>
    </row>
    <row r="224" spans="1:12" s="39" customFormat="1" ht="21" customHeight="1" thickBot="1" x14ac:dyDescent="0.25">
      <c r="A224" s="191"/>
      <c r="B224" s="191"/>
      <c r="C224" s="49"/>
      <c r="D224" s="1437"/>
      <c r="E224" s="1437"/>
      <c r="F224" s="1437"/>
      <c r="G224" s="1437"/>
      <c r="H224" s="7"/>
      <c r="I224" s="7"/>
      <c r="J224" s="199"/>
      <c r="K224" s="42"/>
    </row>
    <row r="225" spans="1:11" s="39" customFormat="1" ht="21" customHeight="1" thickBot="1" x14ac:dyDescent="0.25">
      <c r="A225" s="191"/>
      <c r="B225" s="191"/>
      <c r="C225" s="833" t="s">
        <v>1186</v>
      </c>
      <c r="D225" s="734"/>
      <c r="E225" s="734"/>
      <c r="F225" s="734"/>
      <c r="G225" s="734"/>
      <c r="H225" s="7"/>
      <c r="I225" s="7"/>
      <c r="J225" s="199"/>
      <c r="K225" s="42"/>
    </row>
    <row r="226" spans="1:11" s="39" customFormat="1" ht="30" customHeight="1" thickBot="1" x14ac:dyDescent="0.25">
      <c r="A226" s="1436"/>
      <c r="B226" s="1367" t="s">
        <v>1115</v>
      </c>
      <c r="C226" s="1260" t="s">
        <v>2000</v>
      </c>
      <c r="D226" s="1261"/>
      <c r="E226" s="1261"/>
      <c r="F226" s="325"/>
      <c r="G226" s="530">
        <f>IF((GT10HA=1),G227, IFERROR(IF((AllSat+AllSat&gt;0),"",IF((SmallAA=1),"",(AVERAGE(WidthPD,PondedOWpctPD,PersisPD)+AVERAGE(DownWood15,Snags15,GirregPD,Rock15))/2)),""))</f>
        <v>0</v>
      </c>
      <c r="H226" s="7"/>
      <c r="I226" s="7"/>
      <c r="J226" s="199"/>
      <c r="K226" s="42"/>
    </row>
    <row r="227" spans="1:11" s="39" customFormat="1" ht="31.5" customHeight="1" thickBot="1" x14ac:dyDescent="0.25">
      <c r="A227" s="1436"/>
      <c r="B227" s="1369" t="s">
        <v>1116</v>
      </c>
      <c r="C227" s="1228" t="s">
        <v>1997</v>
      </c>
      <c r="D227" s="1263"/>
      <c r="E227" s="1263"/>
      <c r="F227" s="327"/>
      <c r="G227" s="781">
        <f>IFERROR(IF((AllSat+AllSat&gt;0),"",IF((SmallAA=1),"",(AVERAGE(WidthPD, 1-OWpct, PersisPD) + AVERAGE(DownWood15, Snags15, GirregPD, Rock15)) /2)),"")</f>
        <v>0.25</v>
      </c>
      <c r="H227" s="7"/>
      <c r="I227" s="7"/>
      <c r="J227" s="199"/>
      <c r="K227" s="42"/>
    </row>
    <row r="228" spans="1:11" s="39" customFormat="1" ht="21" customHeight="1" thickBot="1" x14ac:dyDescent="0.25">
      <c r="A228" s="191"/>
      <c r="B228" s="191"/>
      <c r="C228" s="49"/>
      <c r="D228" s="1437"/>
      <c r="E228" s="1437"/>
      <c r="F228" s="1437"/>
      <c r="G228" s="1437"/>
      <c r="H228" s="7"/>
      <c r="I228" s="7"/>
      <c r="J228" s="199"/>
      <c r="K228" s="42"/>
    </row>
    <row r="229" spans="1:11" s="39" customFormat="1" ht="21" customHeight="1" thickBot="1" x14ac:dyDescent="0.25">
      <c r="A229" s="191"/>
      <c r="B229" s="191"/>
      <c r="C229" s="833" t="s">
        <v>1185</v>
      </c>
      <c r="D229" s="734"/>
      <c r="E229" s="734"/>
      <c r="F229" s="734"/>
      <c r="G229" s="734"/>
      <c r="H229" s="7"/>
      <c r="I229" s="7"/>
      <c r="J229" s="213"/>
      <c r="K229" s="42"/>
    </row>
    <row r="230" spans="1:11" s="39" customFormat="1" ht="30.75" customHeight="1" thickBot="1" x14ac:dyDescent="0.25">
      <c r="A230" s="1096"/>
      <c r="B230" s="207"/>
      <c r="C230" s="99" t="s">
        <v>1995</v>
      </c>
      <c r="D230" s="1430"/>
      <c r="E230" s="420"/>
      <c r="F230" s="420"/>
      <c r="G230" s="530">
        <f>IFERROR(AVERAGE(PerimNatCov,NatCov1k, WetDens1k, ClassRich1k, VegCon1k, BuffLUpd, CUbuffNatPct14),"")</f>
        <v>0</v>
      </c>
      <c r="H230" s="7"/>
      <c r="I230" s="7"/>
      <c r="J230" s="213"/>
      <c r="K230" s="42"/>
    </row>
    <row r="231" spans="1:11" s="44" customFormat="1" ht="21" customHeight="1" thickBot="1" x14ac:dyDescent="0.25">
      <c r="A231" s="1449"/>
      <c r="B231" s="1449"/>
      <c r="C231" s="206"/>
      <c r="D231" s="1439"/>
      <c r="E231" s="1439"/>
      <c r="F231" s="1439"/>
      <c r="G231" s="1439"/>
      <c r="H231" s="7"/>
      <c r="I231" s="7"/>
      <c r="J231" s="213"/>
      <c r="K231" s="42"/>
    </row>
    <row r="232" spans="1:11" s="39" customFormat="1" ht="21" customHeight="1" thickBot="1" x14ac:dyDescent="0.25">
      <c r="A232" s="1449"/>
      <c r="B232" s="1449"/>
      <c r="C232" s="833" t="s">
        <v>1321</v>
      </c>
      <c r="D232" s="1440"/>
      <c r="E232" s="1440"/>
      <c r="F232" s="1440"/>
      <c r="G232" s="1440"/>
      <c r="H232" s="7"/>
      <c r="I232" s="7"/>
      <c r="J232" s="199"/>
      <c r="K232" s="42"/>
    </row>
    <row r="233" spans="1:11" s="39" customFormat="1" ht="30" customHeight="1" thickBot="1" x14ac:dyDescent="0.25">
      <c r="A233" s="1096"/>
      <c r="B233" s="207"/>
      <c r="C233" s="99" t="s">
        <v>1418</v>
      </c>
      <c r="D233" s="1430"/>
      <c r="E233" s="420"/>
      <c r="F233" s="420"/>
      <c r="G233" s="530">
        <f>IFERROR((Invasives + AVERAGE(1-WQrisk, Dist2DevCrop, 1-RdDens1k, Dist2Road, DistPop, Core1pd, Core2pd, BMPsoils20, WeedSourcePD, AltTime20, SedDisturb20)) / 2,"")</f>
        <v>0.25</v>
      </c>
      <c r="H233" s="7"/>
      <c r="I233" s="7"/>
      <c r="J233" s="199"/>
      <c r="K233" s="42"/>
    </row>
    <row r="234" spans="1:11" s="39" customFormat="1" ht="21" customHeight="1" thickBot="1" x14ac:dyDescent="0.25">
      <c r="A234" s="191"/>
      <c r="B234" s="191"/>
      <c r="C234" s="49"/>
      <c r="D234" s="1437"/>
      <c r="E234" s="1437"/>
      <c r="F234" s="1437"/>
      <c r="G234" s="1437"/>
      <c r="H234" s="7"/>
      <c r="I234" s="7"/>
      <c r="J234" s="199"/>
      <c r="K234" s="42"/>
    </row>
    <row r="235" spans="1:11" s="39" customFormat="1" ht="21" customHeight="1" thickBot="1" x14ac:dyDescent="0.25">
      <c r="A235" s="191"/>
      <c r="B235" s="191"/>
      <c r="C235" s="1635" t="s">
        <v>1339</v>
      </c>
      <c r="H235" s="7"/>
      <c r="I235" s="7"/>
      <c r="J235" s="199"/>
      <c r="K235" s="42"/>
    </row>
    <row r="236" spans="1:11" s="39" customFormat="1" ht="21" customHeight="1" thickBot="1" x14ac:dyDescent="0.25">
      <c r="A236" s="191"/>
      <c r="B236" s="191"/>
      <c r="C236" s="918" t="s">
        <v>2230</v>
      </c>
      <c r="D236" s="734"/>
      <c r="E236" s="734"/>
      <c r="F236" s="734"/>
      <c r="G236" s="734"/>
      <c r="H236" s="7"/>
      <c r="I236" s="7"/>
      <c r="J236" s="199"/>
      <c r="K236" s="42"/>
    </row>
    <row r="237" spans="1:11" s="39" customFormat="1" ht="30" customHeight="1" thickBot="1" x14ac:dyDescent="0.25">
      <c r="A237" s="191"/>
      <c r="B237" s="191"/>
      <c r="C237" s="101" t="s">
        <v>1996</v>
      </c>
      <c r="D237" s="420"/>
      <c r="E237" s="420"/>
      <c r="F237" s="420"/>
      <c r="G237" s="1415">
        <f>IF((RarePlant=1),10, 10*AVERAGE(RarePlantRange, UniqClass, Vstruc1a, Vspace1a, CfixV1a, Vscape1a, StressV1a))</f>
        <v>0.55000000000000004</v>
      </c>
      <c r="H237" s="7"/>
      <c r="I237" s="7"/>
      <c r="J237" s="199"/>
      <c r="K237" s="42"/>
    </row>
    <row r="238" spans="1:11" s="44" customFormat="1" ht="21" customHeight="1" thickBot="1" x14ac:dyDescent="0.25">
      <c r="A238" s="191"/>
      <c r="B238" s="191"/>
      <c r="C238" s="836"/>
      <c r="D238" s="836"/>
      <c r="E238" s="1450"/>
      <c r="F238" s="1450"/>
      <c r="G238" s="1450"/>
      <c r="H238" s="1451"/>
      <c r="I238" s="74" t="s">
        <v>357</v>
      </c>
      <c r="J238" s="199"/>
      <c r="K238" s="42"/>
    </row>
    <row r="239" spans="1:11" s="44" customFormat="1" ht="27" customHeight="1" x14ac:dyDescent="0.2">
      <c r="A239" s="1544"/>
      <c r="B239" s="1544"/>
      <c r="C239" s="1534" t="s">
        <v>1336</v>
      </c>
      <c r="D239" s="1529"/>
      <c r="E239" s="1450"/>
      <c r="F239" s="1450"/>
      <c r="G239" s="1450"/>
      <c r="H239" s="1451"/>
      <c r="I239" s="1375" t="s">
        <v>508</v>
      </c>
      <c r="J239" s="199"/>
      <c r="K239" s="42"/>
    </row>
    <row r="240" spans="1:11" s="162" customFormat="1" ht="42" customHeight="1" x14ac:dyDescent="0.2">
      <c r="A240" s="1596"/>
      <c r="B240" s="1525">
        <v>1</v>
      </c>
      <c r="C240" s="1532" t="s">
        <v>1233</v>
      </c>
      <c r="D240" s="1527"/>
      <c r="E240" s="1450"/>
      <c r="F240" s="1450"/>
      <c r="G240" s="1450"/>
      <c r="H240" s="1451"/>
      <c r="I240" s="1368" t="s">
        <v>413</v>
      </c>
      <c r="J240" s="214"/>
      <c r="K240" s="168"/>
    </row>
    <row r="241" spans="1:17" s="162" customFormat="1" ht="54" customHeight="1" x14ac:dyDescent="0.2">
      <c r="A241" s="1596"/>
      <c r="B241" s="1533" t="s">
        <v>1227</v>
      </c>
      <c r="C241" s="1532" t="s">
        <v>2385</v>
      </c>
      <c r="D241" s="1527" t="str">
        <f>IFERROR(AVERAGE(WetVegArea, ClassRichIn, MixHerbWood),"")</f>
        <v/>
      </c>
      <c r="E241" s="1450"/>
      <c r="F241" s="1450"/>
      <c r="G241" s="1450"/>
      <c r="H241" s="1451"/>
      <c r="I241" s="1368" t="s">
        <v>509</v>
      </c>
      <c r="J241" s="214"/>
      <c r="K241" s="168"/>
    </row>
    <row r="242" spans="1:17" s="162" customFormat="1" ht="42" customHeight="1" x14ac:dyDescent="0.2">
      <c r="A242" s="1596"/>
      <c r="B242" s="1533" t="s">
        <v>1228</v>
      </c>
      <c r="C242" s="1532" t="s">
        <v>2386</v>
      </c>
      <c r="D242" s="1527">
        <f>IFERROR(AVERAGE(MarshFenSwamp, 1-OWpct, MixWaterVeg, RipFloodpl),"")</f>
        <v>1</v>
      </c>
      <c r="E242" s="1450"/>
      <c r="F242" s="1450"/>
      <c r="G242" s="1450"/>
      <c r="H242" s="1451"/>
      <c r="I242" s="1368" t="s">
        <v>2232</v>
      </c>
      <c r="J242" s="214"/>
      <c r="K242" s="168"/>
    </row>
    <row r="243" spans="1:17" s="162" customFormat="1" ht="42" customHeight="1" x14ac:dyDescent="0.2">
      <c r="A243" s="1596"/>
      <c r="B243" s="1533" t="s">
        <v>1229</v>
      </c>
      <c r="C243" s="1532" t="s">
        <v>1347</v>
      </c>
      <c r="D243" s="1527" t="str">
        <f>IFERROR(AVERAGE(ClassRich1k, WetDens1k),"")</f>
        <v/>
      </c>
      <c r="E243" s="1450"/>
      <c r="F243" s="1450"/>
      <c r="G243" s="1450"/>
      <c r="H243" s="1451"/>
      <c r="I243" s="1368" t="s">
        <v>510</v>
      </c>
      <c r="J243" s="214"/>
      <c r="K243" s="168"/>
    </row>
    <row r="244" spans="1:17" s="162" customFormat="1" ht="42" customHeight="1" x14ac:dyDescent="0.2">
      <c r="A244" s="1596"/>
      <c r="B244" s="1533" t="s">
        <v>1234</v>
      </c>
      <c r="C244" s="1532" t="s">
        <v>2387</v>
      </c>
      <c r="D244" s="1527" t="str">
        <f>IFERROR(AVERAGE(Dist2DevCrop, PerimNatCov, NatCov1k, RdDens1k, Dist2Road),"")</f>
        <v/>
      </c>
      <c r="E244" s="1450"/>
      <c r="F244" s="1450"/>
      <c r="G244" s="1450"/>
      <c r="H244" s="1451"/>
      <c r="I244" s="1368" t="s">
        <v>511</v>
      </c>
      <c r="J244" s="214"/>
      <c r="K244" s="168"/>
    </row>
    <row r="245" spans="1:17" s="44" customFormat="1" ht="27" customHeight="1" x14ac:dyDescent="0.2">
      <c r="A245" s="1596"/>
      <c r="B245" s="1533">
        <v>2</v>
      </c>
      <c r="C245" s="1532" t="s">
        <v>1278</v>
      </c>
      <c r="D245" s="1529">
        <f>10*AVERAGE(RarePlantRange, UniqClass,D241:D244)</f>
        <v>10</v>
      </c>
      <c r="E245" s="1450"/>
      <c r="F245" s="1450"/>
      <c r="G245" s="1450"/>
      <c r="H245" s="1451"/>
      <c r="I245" s="1370" t="s">
        <v>512</v>
      </c>
      <c r="J245" s="199"/>
      <c r="K245" s="42"/>
    </row>
    <row r="246" spans="1:17" s="5" customFormat="1" ht="27" customHeight="1" x14ac:dyDescent="0.2">
      <c r="A246" s="1596"/>
      <c r="B246" s="1531"/>
      <c r="C246" s="1585"/>
      <c r="D246" s="1568"/>
      <c r="E246" s="1450"/>
      <c r="F246" s="1450"/>
      <c r="G246" s="1450"/>
      <c r="H246" s="1451"/>
      <c r="I246" s="1370" t="s">
        <v>513</v>
      </c>
      <c r="J246" s="213"/>
      <c r="K246" s="104"/>
      <c r="L246" s="154"/>
      <c r="M246" s="154"/>
      <c r="N246" s="154"/>
      <c r="O246" s="154"/>
      <c r="P246" s="154"/>
      <c r="Q246" s="154"/>
    </row>
    <row r="247" spans="1:17" s="5" customFormat="1" ht="27" customHeight="1" x14ac:dyDescent="0.2">
      <c r="A247" s="1596"/>
      <c r="B247" s="1531"/>
      <c r="C247" s="1534" t="s">
        <v>1329</v>
      </c>
      <c r="D247" s="1568"/>
      <c r="E247" s="1450"/>
      <c r="F247" s="1450"/>
      <c r="G247" s="1450"/>
      <c r="H247" s="1451"/>
      <c r="I247" s="1370" t="s">
        <v>698</v>
      </c>
      <c r="J247" s="213"/>
      <c r="K247" s="104"/>
      <c r="L247" s="154"/>
      <c r="M247" s="154"/>
      <c r="N247" s="154"/>
      <c r="O247" s="154"/>
      <c r="P247" s="154"/>
      <c r="Q247" s="154"/>
    </row>
    <row r="248" spans="1:17" s="5" customFormat="1" ht="27" customHeight="1" x14ac:dyDescent="0.2">
      <c r="A248" s="1596"/>
      <c r="B248" s="1525">
        <v>1</v>
      </c>
      <c r="C248" s="1532" t="s">
        <v>1233</v>
      </c>
      <c r="D248" s="1568"/>
      <c r="E248" s="1450"/>
      <c r="F248" s="1450"/>
      <c r="G248" s="1450"/>
      <c r="H248" s="1451"/>
      <c r="I248" s="1370" t="s">
        <v>2161</v>
      </c>
      <c r="J248" s="213"/>
      <c r="K248" s="104"/>
      <c r="L248" s="154"/>
      <c r="M248" s="154"/>
      <c r="N248" s="154"/>
      <c r="O248" s="154"/>
      <c r="P248" s="154"/>
      <c r="Q248" s="154"/>
    </row>
    <row r="249" spans="1:17" s="5" customFormat="1" ht="27" customHeight="1" x14ac:dyDescent="0.2">
      <c r="A249" s="1596"/>
      <c r="B249" s="1525"/>
      <c r="C249" s="1532"/>
      <c r="D249" s="1568"/>
      <c r="E249" s="1450"/>
      <c r="F249" s="1450"/>
      <c r="G249" s="1450"/>
      <c r="H249" s="1451"/>
      <c r="I249" s="1368" t="s">
        <v>514</v>
      </c>
      <c r="J249" s="993"/>
      <c r="K249" s="104"/>
      <c r="L249" s="154"/>
      <c r="M249" s="154"/>
      <c r="N249" s="154"/>
      <c r="O249" s="154"/>
      <c r="P249" s="154"/>
      <c r="Q249" s="154"/>
    </row>
    <row r="250" spans="1:17" s="5" customFormat="1" ht="42" customHeight="1" x14ac:dyDescent="0.2">
      <c r="A250" s="1596"/>
      <c r="B250" s="1533" t="s">
        <v>1227</v>
      </c>
      <c r="C250" s="1532" t="s">
        <v>1998</v>
      </c>
      <c r="D250" s="1527">
        <f>IFERROR(AVERAGE(WetVegArea, ClassRichIn, HerbWood15),"")</f>
        <v>0</v>
      </c>
      <c r="E250" s="1450"/>
      <c r="F250" s="1450"/>
      <c r="G250" s="1450"/>
      <c r="H250" s="1451"/>
      <c r="I250" s="1368" t="s">
        <v>359</v>
      </c>
      <c r="J250" s="213"/>
      <c r="K250" s="104"/>
      <c r="L250" s="154"/>
      <c r="M250" s="154"/>
      <c r="N250" s="154"/>
      <c r="O250" s="154"/>
      <c r="P250" s="154"/>
      <c r="Q250" s="154"/>
    </row>
    <row r="251" spans="1:17" s="5" customFormat="1" ht="42.75" customHeight="1" x14ac:dyDescent="0.2">
      <c r="A251" s="1596"/>
      <c r="B251" s="1533" t="s">
        <v>1228</v>
      </c>
      <c r="C251" s="1532" t="s">
        <v>1999</v>
      </c>
      <c r="D251" s="1527">
        <f>IFERROR(AVERAGE(MarshFenSwamp, PondedOWpctPD, InterspersPD, RipFloodpl),"")</f>
        <v>0</v>
      </c>
      <c r="E251" s="1450"/>
      <c r="F251" s="1450"/>
      <c r="G251" s="1450"/>
      <c r="H251" s="1451"/>
      <c r="I251" s="1368" t="s">
        <v>417</v>
      </c>
      <c r="J251" s="213"/>
      <c r="K251" s="104"/>
      <c r="L251" s="154"/>
      <c r="M251" s="154"/>
      <c r="N251" s="154"/>
      <c r="O251" s="154"/>
      <c r="P251" s="154"/>
      <c r="Q251" s="154"/>
    </row>
    <row r="252" spans="1:17" s="5" customFormat="1" ht="42" customHeight="1" x14ac:dyDescent="0.2">
      <c r="A252" s="1596"/>
      <c r="B252" s="1533" t="s">
        <v>1229</v>
      </c>
      <c r="C252" s="1532" t="s">
        <v>1347</v>
      </c>
      <c r="D252" s="1527" t="str">
        <f>IFERROR(AVERAGE(ClassRich1k, WetDens1k),"")</f>
        <v/>
      </c>
      <c r="E252" s="1450"/>
      <c r="F252" s="1450"/>
      <c r="G252" s="1450"/>
      <c r="H252" s="1451"/>
      <c r="I252" s="1368" t="s">
        <v>515</v>
      </c>
      <c r="J252" s="213"/>
      <c r="K252" s="104"/>
      <c r="L252" s="154"/>
      <c r="M252" s="154"/>
      <c r="N252" s="154"/>
      <c r="O252" s="154"/>
      <c r="P252" s="154"/>
      <c r="Q252" s="154"/>
    </row>
    <row r="253" spans="1:17" s="5" customFormat="1" ht="27" customHeight="1" x14ac:dyDescent="0.2">
      <c r="A253" s="1596"/>
      <c r="B253" s="1533" t="s">
        <v>1234</v>
      </c>
      <c r="C253" s="1532" t="s">
        <v>2387</v>
      </c>
      <c r="D253" s="1527" t="str">
        <f>IFERROR(AVERAGE(Dist2DevCrop, PerimNatCov, NatCov1k, RdDens1k, Dist2Road),"")</f>
        <v/>
      </c>
      <c r="E253" s="1450"/>
      <c r="F253" s="1450"/>
      <c r="G253" s="1450"/>
      <c r="H253" s="1451"/>
      <c r="I253" s="1368" t="s">
        <v>516</v>
      </c>
      <c r="J253" s="213"/>
      <c r="K253" s="104"/>
      <c r="L253" s="154"/>
      <c r="M253" s="154"/>
      <c r="N253" s="154"/>
      <c r="O253" s="154"/>
      <c r="P253" s="154"/>
      <c r="Q253" s="154"/>
    </row>
    <row r="254" spans="1:17" s="5" customFormat="1" ht="42" customHeight="1" x14ac:dyDescent="0.2">
      <c r="A254" s="1596"/>
      <c r="B254" s="1533">
        <v>2</v>
      </c>
      <c r="C254" s="1532" t="s">
        <v>1278</v>
      </c>
      <c r="D254" s="1529">
        <f>10*AVERAGE(RarePlantRange, UniqClass,D250:D253)</f>
        <v>0</v>
      </c>
      <c r="E254" s="1450"/>
      <c r="F254" s="1450"/>
      <c r="G254" s="1450"/>
      <c r="H254" s="1451"/>
      <c r="I254" s="982" t="s">
        <v>2159</v>
      </c>
      <c r="J254" s="213"/>
      <c r="K254" s="104"/>
      <c r="L254" s="154"/>
      <c r="M254" s="154"/>
      <c r="N254" s="154"/>
      <c r="O254" s="154"/>
      <c r="P254" s="154"/>
      <c r="Q254" s="154"/>
    </row>
    <row r="255" spans="1:17" s="5" customFormat="1" ht="27" customHeight="1" x14ac:dyDescent="0.2">
      <c r="A255" s="1452"/>
      <c r="B255" s="1452"/>
      <c r="C255" s="1452"/>
      <c r="D255" s="1452"/>
      <c r="E255" s="1452"/>
      <c r="F255" s="1452"/>
      <c r="G255" s="1452"/>
      <c r="H255" s="1480"/>
      <c r="I255" s="982" t="s">
        <v>2160</v>
      </c>
      <c r="J255" s="993"/>
      <c r="K255" s="104"/>
      <c r="L255" s="154"/>
      <c r="M255" s="154"/>
      <c r="N255" s="154"/>
      <c r="O255" s="154"/>
      <c r="P255" s="154"/>
      <c r="Q255" s="154"/>
    </row>
    <row r="256" spans="1:17" s="5" customFormat="1" ht="42" customHeight="1" x14ac:dyDescent="0.2">
      <c r="A256" s="1452"/>
      <c r="B256" s="1452"/>
      <c r="C256" s="1452"/>
      <c r="D256" s="1452"/>
      <c r="E256" s="1452"/>
      <c r="F256" s="1452"/>
      <c r="G256" s="1452"/>
      <c r="H256" s="1480"/>
      <c r="I256" s="982" t="s">
        <v>517</v>
      </c>
      <c r="J256" s="993"/>
      <c r="K256" s="104"/>
      <c r="L256" s="154"/>
      <c r="M256" s="154"/>
      <c r="N256" s="154"/>
      <c r="O256" s="154"/>
      <c r="P256" s="154"/>
      <c r="Q256" s="154"/>
    </row>
    <row r="257" spans="1:17" s="5" customFormat="1" ht="58.5" customHeight="1" x14ac:dyDescent="0.2">
      <c r="A257" s="1452"/>
      <c r="B257" s="1452"/>
      <c r="C257" s="1452"/>
      <c r="D257" s="1452"/>
      <c r="E257" s="1452"/>
      <c r="F257" s="1452"/>
      <c r="G257" s="1452"/>
      <c r="H257" s="1480"/>
      <c r="I257" s="982" t="s">
        <v>518</v>
      </c>
      <c r="J257" s="213"/>
      <c r="K257" s="104"/>
      <c r="L257" s="154"/>
      <c r="M257" s="154"/>
      <c r="N257" s="154"/>
      <c r="O257" s="154"/>
      <c r="P257" s="154"/>
      <c r="Q257" s="154"/>
    </row>
    <row r="258" spans="1:17" s="27" customFormat="1" ht="27" customHeight="1" x14ac:dyDescent="0.2">
      <c r="A258" s="1452"/>
      <c r="B258" s="1452"/>
      <c r="C258" s="1452"/>
      <c r="D258" s="1452"/>
      <c r="E258" s="1452"/>
      <c r="F258" s="1452"/>
      <c r="G258" s="1452"/>
      <c r="H258" s="1480"/>
      <c r="I258" s="982" t="s">
        <v>519</v>
      </c>
      <c r="J258" s="215"/>
      <c r="K258" s="28"/>
    </row>
    <row r="259" spans="1:17" ht="27" customHeight="1" x14ac:dyDescent="0.2">
      <c r="A259" s="1452"/>
      <c r="B259" s="1452"/>
      <c r="C259" s="1452"/>
      <c r="D259" s="1452"/>
      <c r="E259" s="1452"/>
      <c r="F259" s="1452"/>
      <c r="G259" s="1452"/>
      <c r="H259" s="1480"/>
      <c r="I259" s="982" t="s">
        <v>520</v>
      </c>
      <c r="J259" s="238"/>
      <c r="K259" s="239"/>
    </row>
    <row r="260" spans="1:17" ht="41.25" customHeight="1" x14ac:dyDescent="0.2">
      <c r="A260" s="1452"/>
      <c r="B260" s="1452"/>
      <c r="C260" s="1452"/>
      <c r="D260" s="1452"/>
      <c r="E260" s="1452"/>
      <c r="F260" s="1452"/>
      <c r="G260" s="1452"/>
      <c r="H260" s="1480"/>
      <c r="I260" s="982" t="s">
        <v>2136</v>
      </c>
      <c r="J260" s="238"/>
      <c r="K260" s="239"/>
    </row>
    <row r="261" spans="1:17" ht="42" customHeight="1" x14ac:dyDescent="0.2">
      <c r="A261" s="1452"/>
      <c r="B261" s="1452"/>
      <c r="C261" s="1452"/>
      <c r="D261" s="1452"/>
      <c r="E261" s="1452"/>
      <c r="F261" s="1452"/>
      <c r="G261" s="1452"/>
      <c r="H261" s="1480"/>
      <c r="I261" s="982" t="s">
        <v>521</v>
      </c>
      <c r="J261" s="238"/>
      <c r="K261" s="239"/>
    </row>
    <row r="262" spans="1:17" ht="27" customHeight="1" x14ac:dyDescent="0.2">
      <c r="A262" s="1452"/>
      <c r="B262" s="1452"/>
      <c r="C262" s="1452"/>
      <c r="D262" s="1452"/>
      <c r="E262" s="1452"/>
      <c r="F262" s="1452"/>
      <c r="G262" s="1452"/>
      <c r="H262" s="1480"/>
      <c r="I262" s="982" t="s">
        <v>2158</v>
      </c>
      <c r="J262" s="238"/>
      <c r="K262" s="239"/>
    </row>
    <row r="263" spans="1:17" ht="42" customHeight="1" x14ac:dyDescent="0.2">
      <c r="A263" s="1452"/>
      <c r="B263" s="1452"/>
      <c r="C263" s="1452"/>
      <c r="D263" s="1452"/>
      <c r="E263" s="1452"/>
      <c r="F263" s="1452"/>
      <c r="G263" s="1452"/>
      <c r="H263" s="1480"/>
      <c r="I263" s="984" t="s">
        <v>522</v>
      </c>
      <c r="J263" s="238"/>
      <c r="K263" s="239"/>
    </row>
    <row r="264" spans="1:17" ht="42" customHeight="1" x14ac:dyDescent="0.2">
      <c r="A264" s="1452"/>
      <c r="B264" s="1452"/>
      <c r="C264" s="1452"/>
      <c r="D264" s="1452"/>
      <c r="E264" s="1452"/>
      <c r="F264" s="1452"/>
      <c r="G264" s="1452"/>
      <c r="H264" s="1480"/>
      <c r="I264" s="982" t="s">
        <v>523</v>
      </c>
      <c r="J264" s="238"/>
      <c r="K264" s="239"/>
    </row>
    <row r="265" spans="1:17" ht="27" customHeight="1" x14ac:dyDescent="0.2">
      <c r="A265" s="1452"/>
      <c r="B265" s="1452"/>
      <c r="C265" s="1452"/>
      <c r="D265" s="1452"/>
      <c r="E265" s="1452"/>
      <c r="F265" s="1452"/>
      <c r="G265" s="1452"/>
      <c r="H265" s="1480"/>
      <c r="I265" s="982" t="s">
        <v>632</v>
      </c>
      <c r="J265" s="238"/>
      <c r="K265" s="239"/>
    </row>
    <row r="266" spans="1:17" ht="27" customHeight="1" x14ac:dyDescent="0.2">
      <c r="A266" s="1452"/>
      <c r="B266" s="1452"/>
      <c r="C266" s="1452"/>
      <c r="D266" s="1452"/>
      <c r="E266" s="1452"/>
      <c r="F266" s="1452"/>
      <c r="G266" s="1452"/>
      <c r="H266" s="1480"/>
      <c r="I266" s="982" t="s">
        <v>524</v>
      </c>
      <c r="J266" s="238"/>
      <c r="K266" s="239"/>
    </row>
    <row r="267" spans="1:17" ht="27" customHeight="1" x14ac:dyDescent="0.2">
      <c r="A267" s="1452"/>
      <c r="B267" s="1452"/>
      <c r="C267" s="1452"/>
      <c r="D267" s="1452"/>
      <c r="E267" s="1452"/>
      <c r="F267" s="1452"/>
      <c r="G267" s="1452"/>
      <c r="H267" s="1480"/>
      <c r="I267" s="982" t="s">
        <v>525</v>
      </c>
      <c r="J267" s="238"/>
      <c r="K267" s="239"/>
    </row>
    <row r="268" spans="1:17" ht="27" customHeight="1" x14ac:dyDescent="0.2">
      <c r="A268" s="1452"/>
      <c r="B268" s="1452"/>
      <c r="C268" s="1452"/>
      <c r="D268" s="1452"/>
      <c r="E268" s="1452"/>
      <c r="F268" s="1452"/>
      <c r="G268" s="1452"/>
      <c r="H268" s="1480"/>
      <c r="I268" s="984" t="s">
        <v>526</v>
      </c>
      <c r="J268" s="238"/>
      <c r="K268" s="239"/>
    </row>
    <row r="269" spans="1:17" ht="27" customHeight="1" x14ac:dyDescent="0.2">
      <c r="A269" s="1452"/>
      <c r="B269" s="1452"/>
      <c r="C269" s="1452"/>
      <c r="D269" s="1452"/>
      <c r="E269" s="1452"/>
      <c r="F269" s="1452"/>
      <c r="G269" s="1452"/>
      <c r="H269" s="1480"/>
      <c r="I269" s="1368" t="s">
        <v>2233</v>
      </c>
      <c r="J269" s="238"/>
      <c r="K269" s="239"/>
    </row>
    <row r="270" spans="1:17" ht="40.5" customHeight="1" x14ac:dyDescent="0.2">
      <c r="A270" s="1452"/>
      <c r="B270" s="1452"/>
      <c r="C270" s="1452"/>
      <c r="D270" s="1452"/>
      <c r="E270" s="1452"/>
      <c r="F270" s="1452"/>
      <c r="G270" s="1452"/>
      <c r="H270" s="1480"/>
      <c r="I270" s="984" t="s">
        <v>527</v>
      </c>
      <c r="J270" s="238"/>
      <c r="K270" s="239"/>
    </row>
    <row r="271" spans="1:17" ht="42" customHeight="1" x14ac:dyDescent="0.2">
      <c r="A271" s="1452"/>
      <c r="B271" s="1452"/>
      <c r="C271" s="1452"/>
      <c r="D271" s="1452"/>
      <c r="E271" s="1452"/>
      <c r="F271" s="1452"/>
      <c r="G271" s="1452"/>
      <c r="H271" s="1480"/>
      <c r="I271" s="984" t="s">
        <v>479</v>
      </c>
      <c r="J271" s="238"/>
      <c r="K271" s="239"/>
    </row>
    <row r="272" spans="1:17" ht="27" customHeight="1" x14ac:dyDescent="0.2">
      <c r="A272" s="1452"/>
      <c r="B272" s="1452"/>
      <c r="C272" s="1452"/>
      <c r="D272" s="1452"/>
      <c r="E272" s="1452"/>
      <c r="F272" s="1452"/>
      <c r="G272" s="1452"/>
      <c r="H272" s="1480"/>
      <c r="I272" s="984" t="s">
        <v>528</v>
      </c>
    </row>
    <row r="273" spans="1:10" ht="27" customHeight="1" x14ac:dyDescent="0.2">
      <c r="A273" s="1452"/>
      <c r="B273" s="1452"/>
      <c r="C273" s="1452"/>
      <c r="D273" s="1452"/>
      <c r="E273" s="1452"/>
      <c r="F273" s="1452"/>
      <c r="G273" s="1452"/>
      <c r="H273" s="1480"/>
      <c r="I273" s="982" t="s">
        <v>529</v>
      </c>
    </row>
    <row r="274" spans="1:10" ht="27" customHeight="1" x14ac:dyDescent="0.2">
      <c r="A274" s="1452"/>
      <c r="B274" s="1452"/>
      <c r="C274" s="1452"/>
      <c r="D274" s="1452"/>
      <c r="E274" s="1452"/>
      <c r="F274" s="1452"/>
      <c r="G274" s="1452"/>
      <c r="H274" s="1480"/>
      <c r="I274" s="1481" t="s">
        <v>2265</v>
      </c>
      <c r="J274" s="1401"/>
    </row>
    <row r="275" spans="1:10" ht="27" customHeight="1" x14ac:dyDescent="0.2">
      <c r="A275" s="1452"/>
      <c r="B275" s="1452"/>
      <c r="C275" s="1452"/>
      <c r="D275" s="1452"/>
      <c r="E275" s="1452"/>
      <c r="F275" s="1452"/>
      <c r="G275" s="1452"/>
      <c r="H275" s="1480"/>
      <c r="I275" s="984" t="s">
        <v>530</v>
      </c>
    </row>
    <row r="276" spans="1:10" ht="42" customHeight="1" x14ac:dyDescent="0.2">
      <c r="A276" s="1452"/>
      <c r="B276" s="1452"/>
      <c r="C276" s="1452"/>
      <c r="D276" s="1452"/>
      <c r="E276" s="1452"/>
      <c r="F276" s="1452"/>
      <c r="G276" s="1452"/>
      <c r="H276" s="1480"/>
      <c r="I276" s="984" t="s">
        <v>531</v>
      </c>
    </row>
    <row r="277" spans="1:10" ht="38.25" customHeight="1" x14ac:dyDescent="0.2">
      <c r="A277" s="1452"/>
      <c r="B277" s="1452"/>
      <c r="C277" s="1452"/>
      <c r="D277" s="1452"/>
      <c r="E277" s="1452"/>
      <c r="F277" s="1452"/>
      <c r="G277" s="1452"/>
      <c r="H277" s="1480"/>
      <c r="I277" s="982" t="s">
        <v>532</v>
      </c>
    </row>
    <row r="278" spans="1:10" ht="42" customHeight="1" x14ac:dyDescent="0.2">
      <c r="A278" s="1452"/>
      <c r="B278" s="1452"/>
      <c r="C278" s="1452"/>
      <c r="D278" s="1452"/>
      <c r="E278" s="1452"/>
      <c r="F278" s="1452"/>
      <c r="G278" s="1452"/>
      <c r="H278" s="1480"/>
      <c r="I278" s="984" t="s">
        <v>533</v>
      </c>
    </row>
    <row r="279" spans="1:10" ht="27" customHeight="1" x14ac:dyDescent="0.2">
      <c r="A279" s="1452"/>
      <c r="B279" s="1452"/>
      <c r="C279" s="1452"/>
      <c r="D279" s="1452"/>
      <c r="E279" s="1452"/>
      <c r="F279" s="1452"/>
      <c r="G279" s="1452"/>
      <c r="H279" s="1480"/>
      <c r="I279" s="982" t="s">
        <v>534</v>
      </c>
    </row>
    <row r="280" spans="1:10" ht="42" customHeight="1" x14ac:dyDescent="0.2">
      <c r="A280" s="1452"/>
      <c r="B280" s="1452"/>
      <c r="C280" s="1452"/>
      <c r="D280" s="1452"/>
      <c r="E280" s="1452"/>
      <c r="F280" s="1452"/>
      <c r="G280" s="1452"/>
      <c r="H280" s="1480"/>
      <c r="I280" s="984" t="s">
        <v>494</v>
      </c>
    </row>
    <row r="281" spans="1:10" ht="27" customHeight="1" x14ac:dyDescent="0.2">
      <c r="A281" s="1452"/>
      <c r="B281" s="1452"/>
      <c r="C281" s="1452"/>
      <c r="D281" s="1452"/>
      <c r="E281" s="1452"/>
      <c r="F281" s="1452"/>
      <c r="G281" s="1452"/>
      <c r="H281" s="1480"/>
      <c r="I281" s="982" t="s">
        <v>455</v>
      </c>
    </row>
    <row r="282" spans="1:10" ht="40.5" customHeight="1" x14ac:dyDescent="0.2">
      <c r="A282" s="1452"/>
      <c r="B282" s="1452"/>
      <c r="C282" s="1452"/>
      <c r="D282" s="1452"/>
      <c r="E282" s="1452"/>
      <c r="F282" s="1452"/>
      <c r="G282" s="1452"/>
      <c r="H282" s="1480"/>
      <c r="I282" s="984" t="s">
        <v>2137</v>
      </c>
    </row>
    <row r="283" spans="1:10" ht="27" customHeight="1" x14ac:dyDescent="0.2">
      <c r="A283" s="1452"/>
      <c r="B283" s="1452"/>
      <c r="C283" s="1452"/>
      <c r="D283" s="1452"/>
      <c r="E283" s="1452"/>
      <c r="F283" s="1452"/>
      <c r="G283" s="1452"/>
      <c r="H283" s="1480"/>
      <c r="I283" s="982" t="s">
        <v>412</v>
      </c>
    </row>
    <row r="284" spans="1:10" ht="27" customHeight="1" x14ac:dyDescent="0.2">
      <c r="A284" s="1452"/>
      <c r="B284" s="1452"/>
      <c r="C284" s="1452"/>
      <c r="D284" s="1452"/>
      <c r="E284" s="1452"/>
      <c r="F284" s="1452"/>
      <c r="G284" s="1452"/>
      <c r="H284" s="1480"/>
      <c r="I284" s="982" t="s">
        <v>535</v>
      </c>
    </row>
    <row r="285" spans="1:10" ht="27" customHeight="1" thickBot="1" x14ac:dyDescent="0.25">
      <c r="A285" s="1452"/>
      <c r="B285" s="1452"/>
      <c r="C285" s="1452"/>
      <c r="D285" s="1452"/>
      <c r="E285" s="1452"/>
      <c r="F285" s="1452"/>
      <c r="G285" s="1452"/>
      <c r="H285" s="1480"/>
      <c r="I285" s="983" t="s">
        <v>744</v>
      </c>
    </row>
    <row r="286" spans="1:10" ht="27" customHeight="1" x14ac:dyDescent="0.2">
      <c r="A286" s="1452"/>
      <c r="B286" s="1452"/>
      <c r="C286" s="1452"/>
      <c r="D286" s="1452"/>
      <c r="E286" s="1452"/>
      <c r="F286" s="1452"/>
      <c r="G286" s="1452"/>
      <c r="H286" s="1452"/>
    </row>
    <row r="287" spans="1:10" ht="40.5" customHeight="1" x14ac:dyDescent="0.2">
      <c r="A287" s="1452"/>
      <c r="B287" s="1452"/>
      <c r="C287" s="1452"/>
      <c r="D287" s="1452"/>
      <c r="E287" s="1452"/>
      <c r="F287" s="1452"/>
      <c r="G287" s="1452"/>
      <c r="H287" s="1452"/>
    </row>
    <row r="288" spans="1:10" ht="27" customHeight="1" x14ac:dyDescent="0.2">
      <c r="A288" s="1452"/>
      <c r="B288" s="1452"/>
      <c r="C288" s="1452"/>
      <c r="D288" s="1452"/>
      <c r="E288" s="1452"/>
      <c r="F288" s="1452"/>
      <c r="G288" s="1452"/>
      <c r="H288" s="1452"/>
    </row>
    <row r="289" spans="1:8" ht="27" customHeight="1" x14ac:dyDescent="0.2">
      <c r="A289" s="1452"/>
      <c r="B289" s="1452"/>
      <c r="C289" s="1452"/>
      <c r="D289" s="1452"/>
      <c r="E289" s="1452"/>
      <c r="F289" s="1452"/>
      <c r="G289" s="1452"/>
      <c r="H289" s="1452"/>
    </row>
    <row r="290" spans="1:8" ht="27" customHeight="1" x14ac:dyDescent="0.2">
      <c r="A290" s="1452"/>
      <c r="B290" s="1452"/>
      <c r="C290" s="1452"/>
      <c r="D290" s="1452"/>
      <c r="E290" s="1452"/>
      <c r="F290" s="1452"/>
      <c r="G290" s="1452"/>
      <c r="H290" s="1452"/>
    </row>
    <row r="308" spans="3:3" x14ac:dyDescent="0.2">
      <c r="C308" s="1290"/>
    </row>
    <row r="309" spans="3:3" x14ac:dyDescent="0.2">
      <c r="C309" s="25"/>
    </row>
    <row r="310" spans="3:3" ht="56.25" customHeight="1" x14ac:dyDescent="0.2">
      <c r="C310" s="25"/>
    </row>
  </sheetData>
  <sheetProtection password="C4B9" sheet="1" objects="1" scenarios="1"/>
  <sortState ref="A3:CS25">
    <sortCondition ref="H3:H25"/>
  </sortState>
  <customSheetViews>
    <customSheetView guid="{B8E02330-2419-4DE6-AD01-7ACC7A5D18DD}" scale="73">
      <pageMargins left="0.75" right="0.75" top="1" bottom="1" header="0.5" footer="0.5"/>
      <pageSetup orientation="portrait" r:id="rId1"/>
      <headerFooter alignWithMargins="0"/>
    </customSheetView>
  </customSheetViews>
  <mergeCells count="141">
    <mergeCell ref="A36:A42"/>
    <mergeCell ref="A43:A49"/>
    <mergeCell ref="B99:B104"/>
    <mergeCell ref="A99:A104"/>
    <mergeCell ref="I68:I73"/>
    <mergeCell ref="I61:I67"/>
    <mergeCell ref="I55:I60"/>
    <mergeCell ref="I50:I54"/>
    <mergeCell ref="I43:I49"/>
    <mergeCell ref="I36:I42"/>
    <mergeCell ref="B123:B125"/>
    <mergeCell ref="B126:B131"/>
    <mergeCell ref="B74:B77"/>
    <mergeCell ref="A74:A77"/>
    <mergeCell ref="A117:A122"/>
    <mergeCell ref="A105:A113"/>
    <mergeCell ref="A84:A87"/>
    <mergeCell ref="I99:I104"/>
    <mergeCell ref="I105:I113"/>
    <mergeCell ref="I114:I116"/>
    <mergeCell ref="B114:B116"/>
    <mergeCell ref="H99:H104"/>
    <mergeCell ref="H105:H113"/>
    <mergeCell ref="H114:H116"/>
    <mergeCell ref="A114:A116"/>
    <mergeCell ref="H117:H122"/>
    <mergeCell ref="H123:H125"/>
    <mergeCell ref="H126:H131"/>
    <mergeCell ref="A123:A125"/>
    <mergeCell ref="A126:A131"/>
    <mergeCell ref="A199:A205"/>
    <mergeCell ref="B182:B187"/>
    <mergeCell ref="B188:B190"/>
    <mergeCell ref="A192:A198"/>
    <mergeCell ref="B199:B205"/>
    <mergeCell ref="B152:B156"/>
    <mergeCell ref="B148:B151"/>
    <mergeCell ref="A188:A190"/>
    <mergeCell ref="A182:A187"/>
    <mergeCell ref="B163:B167"/>
    <mergeCell ref="B157:B162"/>
    <mergeCell ref="A163:A167"/>
    <mergeCell ref="A1:B1"/>
    <mergeCell ref="B50:B54"/>
    <mergeCell ref="B55:B60"/>
    <mergeCell ref="B30:B35"/>
    <mergeCell ref="B43:B49"/>
    <mergeCell ref="B94:B98"/>
    <mergeCell ref="H68:H73"/>
    <mergeCell ref="H61:H67"/>
    <mergeCell ref="H74:H77"/>
    <mergeCell ref="H25:H29"/>
    <mergeCell ref="H78:H82"/>
    <mergeCell ref="H84:H87"/>
    <mergeCell ref="H88:H93"/>
    <mergeCell ref="H94:H98"/>
    <mergeCell ref="H55:H60"/>
    <mergeCell ref="H50:H54"/>
    <mergeCell ref="H43:H49"/>
    <mergeCell ref="H36:H42"/>
    <mergeCell ref="H30:H35"/>
    <mergeCell ref="A30:A35"/>
    <mergeCell ref="A94:A98"/>
    <mergeCell ref="E1:I1"/>
    <mergeCell ref="I30:I35"/>
    <mergeCell ref="B36:B42"/>
    <mergeCell ref="A212:A213"/>
    <mergeCell ref="B105:B113"/>
    <mergeCell ref="A61:A67"/>
    <mergeCell ref="B88:B93"/>
    <mergeCell ref="A88:A93"/>
    <mergeCell ref="A68:A73"/>
    <mergeCell ref="B68:B73"/>
    <mergeCell ref="B25:B29"/>
    <mergeCell ref="A50:A54"/>
    <mergeCell ref="A55:A60"/>
    <mergeCell ref="B61:B67"/>
    <mergeCell ref="B84:B87"/>
    <mergeCell ref="A78:A82"/>
    <mergeCell ref="B78:B82"/>
    <mergeCell ref="B142:B147"/>
    <mergeCell ref="B132:B137"/>
    <mergeCell ref="B138:B141"/>
    <mergeCell ref="B206:B210"/>
    <mergeCell ref="B192:B198"/>
    <mergeCell ref="A206:A210"/>
    <mergeCell ref="B117:B122"/>
    <mergeCell ref="A177:A181"/>
    <mergeCell ref="A171:A176"/>
    <mergeCell ref="A157:A162"/>
    <mergeCell ref="H132:H137"/>
    <mergeCell ref="A168:A170"/>
    <mergeCell ref="B177:B181"/>
    <mergeCell ref="B168:B170"/>
    <mergeCell ref="B171:B176"/>
    <mergeCell ref="A138:A141"/>
    <mergeCell ref="A148:A151"/>
    <mergeCell ref="A152:A156"/>
    <mergeCell ref="H163:H167"/>
    <mergeCell ref="H168:H170"/>
    <mergeCell ref="H171:H176"/>
    <mergeCell ref="H177:H181"/>
    <mergeCell ref="H138:H141"/>
    <mergeCell ref="H142:H147"/>
    <mergeCell ref="H148:H151"/>
    <mergeCell ref="H152:H156"/>
    <mergeCell ref="H157:H162"/>
    <mergeCell ref="A142:A147"/>
    <mergeCell ref="A132:A137"/>
    <mergeCell ref="B212:B213"/>
    <mergeCell ref="I212:I213"/>
    <mergeCell ref="H212:H213"/>
    <mergeCell ref="I206:I210"/>
    <mergeCell ref="I199:I205"/>
    <mergeCell ref="I192:I198"/>
    <mergeCell ref="I188:I190"/>
    <mergeCell ref="I182:I187"/>
    <mergeCell ref="I177:I181"/>
    <mergeCell ref="H188:H190"/>
    <mergeCell ref="H192:H198"/>
    <mergeCell ref="H199:H205"/>
    <mergeCell ref="H206:H210"/>
    <mergeCell ref="H182:H187"/>
    <mergeCell ref="I25:I29"/>
    <mergeCell ref="I171:I176"/>
    <mergeCell ref="I168:I170"/>
    <mergeCell ref="I163:I167"/>
    <mergeCell ref="I157:I162"/>
    <mergeCell ref="I152:I156"/>
    <mergeCell ref="I88:I93"/>
    <mergeCell ref="I84:I87"/>
    <mergeCell ref="I78:I82"/>
    <mergeCell ref="I74:I77"/>
    <mergeCell ref="I148:I151"/>
    <mergeCell ref="I132:I137"/>
    <mergeCell ref="I126:I131"/>
    <mergeCell ref="I142:I147"/>
    <mergeCell ref="I123:I125"/>
    <mergeCell ref="I117:I122"/>
    <mergeCell ref="I138:I141"/>
    <mergeCell ref="I94:I98"/>
  </mergeCells>
  <phoneticPr fontId="5" type="noConversion"/>
  <conditionalFormatting sqref="D219:D221 D103:D114 D116:D118 D120:D124 D126:D128 D131:D134 D136:D139 D141:D143 D145:D150 D152 D154:D159 D161:D164 D166:D169 D171 D173:D177 D179:D186 D188:D189 D192 D194:D204 D206 D95:D101 D57:D62 D76:D78 D80:D84 D86:D89 D91:D93 D239 D237 D233:D234 D230:D231 D226:D228 D223:D224 D64:D72 D74 D25:D28 D30:D39 D41:D44 D46:D52 D54:D55 D208:D211 D214:D217">
    <cfRule type="cellIs" dxfId="2" priority="1" operator="greaterThan">
      <formula>0</formula>
    </cfRule>
  </conditionalFormatting>
  <pageMargins left="0.75" right="0.75" top="1" bottom="1" header="0.5" footer="0.5"/>
  <pageSetup orientation="portrait" r:id="rId2"/>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M98"/>
  <sheetViews>
    <sheetView zoomScaleNormal="100" workbookViewId="0">
      <selection activeCell="G79" sqref="G79"/>
    </sheetView>
  </sheetViews>
  <sheetFormatPr defaultColWidth="9.33203125" defaultRowHeight="12.75" x14ac:dyDescent="0.2"/>
  <cols>
    <col min="1" max="1" width="5.83203125" style="25" customWidth="1"/>
    <col min="2" max="2" width="18.83203125" style="25" customWidth="1"/>
    <col min="3" max="3" width="69.83203125" style="25" customWidth="1"/>
    <col min="4" max="4" width="6.83203125" style="992" customWidth="1"/>
    <col min="5" max="5" width="8.1640625" style="992" customWidth="1"/>
    <col min="6" max="6" width="8.33203125" style="992" customWidth="1"/>
    <col min="7" max="7" width="11.6640625" style="268" customWidth="1"/>
    <col min="8" max="8" width="12.33203125" style="25" customWidth="1"/>
    <col min="9" max="9" width="69.83203125" style="25" customWidth="1"/>
    <col min="10" max="16384" width="9.33203125" style="2"/>
  </cols>
  <sheetData>
    <row r="1" spans="1:65" s="82" customFormat="1" ht="80.25" customHeight="1" thickBot="1" x14ac:dyDescent="0.3">
      <c r="A1" s="2154" t="s">
        <v>2164</v>
      </c>
      <c r="B1" s="2432"/>
      <c r="C1" s="1329" t="s">
        <v>672</v>
      </c>
      <c r="D1" s="265" t="s">
        <v>1883</v>
      </c>
      <c r="E1" s="2433"/>
      <c r="F1" s="2434"/>
      <c r="G1" s="2434"/>
      <c r="H1" s="2434"/>
      <c r="I1" s="2435"/>
    </row>
    <row r="2" spans="1:65" s="1326" customFormat="1" ht="42" customHeight="1" thickBot="1" x14ac:dyDescent="0.25">
      <c r="A2" s="1605" t="s">
        <v>110</v>
      </c>
      <c r="B2" s="1606" t="s">
        <v>2197</v>
      </c>
      <c r="C2" s="1607" t="s">
        <v>1395</v>
      </c>
      <c r="D2" s="1605"/>
      <c r="E2" s="1608"/>
      <c r="F2" s="1609"/>
      <c r="G2" s="1610" t="s">
        <v>1111</v>
      </c>
      <c r="H2" s="1611" t="s">
        <v>1108</v>
      </c>
      <c r="I2" s="1606" t="s">
        <v>304</v>
      </c>
    </row>
    <row r="3" spans="1:65" s="279" customFormat="1" ht="30" customHeight="1" thickBot="1" x14ac:dyDescent="0.25">
      <c r="A3" s="931" t="str">
        <f>OF!A9</f>
        <v>OF8</v>
      </c>
      <c r="B3" s="715" t="str">
        <f>OF!C9</f>
        <v>Distance to Nearest Road (from Wetland Edge)</v>
      </c>
      <c r="C3" s="1007" t="s">
        <v>1394</v>
      </c>
      <c r="D3" s="912"/>
      <c r="E3" s="717"/>
      <c r="F3" s="717"/>
      <c r="G3" s="761" t="str">
        <f>IF((Dist2Road=""),"",1-Dist2Road)</f>
        <v/>
      </c>
      <c r="H3" s="987" t="s">
        <v>1270</v>
      </c>
      <c r="I3" s="989" t="s">
        <v>605</v>
      </c>
    </row>
    <row r="4" spans="1:65" s="279" customFormat="1" ht="30" customHeight="1" thickBot="1" x14ac:dyDescent="0.25">
      <c r="A4" s="709" t="str">
        <f>OF!A10</f>
        <v>OF9</v>
      </c>
      <c r="B4" s="710" t="str">
        <f>OF!C10</f>
        <v>Distance to Nearest Well-settled Area</v>
      </c>
      <c r="C4" s="1061" t="s">
        <v>1394</v>
      </c>
      <c r="D4" s="915"/>
      <c r="E4" s="713"/>
      <c r="F4" s="713"/>
      <c r="G4" s="740" t="str">
        <f>IF((DistPop=""),"",1-DistPop)</f>
        <v/>
      </c>
      <c r="H4" s="742" t="s">
        <v>1041</v>
      </c>
      <c r="I4" s="99" t="s">
        <v>310</v>
      </c>
    </row>
    <row r="5" spans="1:65" s="279" customFormat="1" ht="30" customHeight="1" thickBot="1" x14ac:dyDescent="0.25">
      <c r="A5" s="931" t="str">
        <f>OF!A17</f>
        <v>OF16</v>
      </c>
      <c r="B5" s="715" t="str">
        <f>OF!C17</f>
        <v>Fringe Wetland</v>
      </c>
      <c r="C5" s="1007"/>
      <c r="D5" s="912"/>
      <c r="E5" s="717"/>
      <c r="F5" s="1103"/>
      <c r="G5" s="761" t="str">
        <f>IF((Fringe=""),"",IF((Fringe=1),1,""))</f>
        <v/>
      </c>
      <c r="H5" s="987" t="s">
        <v>1039</v>
      </c>
      <c r="I5" s="943" t="s">
        <v>1490</v>
      </c>
    </row>
    <row r="6" spans="1:65" s="279" customFormat="1" ht="30.75" customHeight="1" thickBot="1" x14ac:dyDescent="0.25">
      <c r="A6" s="709" t="str">
        <f>OF!A20</f>
        <v>OF19</v>
      </c>
      <c r="B6" s="710" t="str">
        <f>OF!C20</f>
        <v>Alberta Culture Listing of Historic Resources</v>
      </c>
      <c r="C6" s="1061" t="s">
        <v>1732</v>
      </c>
      <c r="D6" s="915"/>
      <c r="E6" s="713"/>
      <c r="F6" s="916"/>
      <c r="G6" s="740" t="str">
        <f>IF((HistList=""),"",IF((HistList=1),1,""))</f>
        <v/>
      </c>
      <c r="H6" s="742" t="s">
        <v>1284</v>
      </c>
      <c r="I6" s="946" t="s">
        <v>1494</v>
      </c>
    </row>
    <row r="7" spans="1:65" s="279" customFormat="1" ht="30" customHeight="1" thickBot="1" x14ac:dyDescent="0.25">
      <c r="A7" s="931" t="str">
        <f>OF!A22</f>
        <v>OF21</v>
      </c>
      <c r="B7" s="715" t="str">
        <f>OF!C22</f>
        <v>Lacustrine Wetland</v>
      </c>
      <c r="C7" s="1007" t="s">
        <v>1733</v>
      </c>
      <c r="D7" s="912"/>
      <c r="E7" s="717"/>
      <c r="F7" s="1103"/>
      <c r="G7" s="761" t="str">
        <f>IF((Lake=""),"",IF((Lake=1),1,""))</f>
        <v/>
      </c>
      <c r="H7" s="987" t="s">
        <v>1076</v>
      </c>
      <c r="I7" s="943" t="s">
        <v>1498</v>
      </c>
    </row>
    <row r="8" spans="1:65" s="279" customFormat="1" ht="30" customHeight="1" thickBot="1" x14ac:dyDescent="0.25">
      <c r="A8" s="709" t="str">
        <f>OF!A31</f>
        <v>OF30</v>
      </c>
      <c r="B8" s="710" t="str">
        <f>OF!C31</f>
        <v>% of AA that is Open Water (macro scale)</v>
      </c>
      <c r="C8" s="1061" t="s">
        <v>507</v>
      </c>
      <c r="D8" s="712"/>
      <c r="E8" s="713"/>
      <c r="F8" s="916"/>
      <c r="G8" s="740" t="str">
        <f>IF((OWpct=""),"",OWpct)</f>
        <v/>
      </c>
      <c r="H8" s="742" t="s">
        <v>1205</v>
      </c>
      <c r="I8" s="946" t="s">
        <v>1492</v>
      </c>
    </row>
    <row r="9" spans="1:65" s="279" customFormat="1" ht="30" customHeight="1" thickBot="1" x14ac:dyDescent="0.25">
      <c r="A9" s="931" t="str">
        <f>OF!A41</f>
        <v>OF40</v>
      </c>
      <c r="B9" s="715" t="str">
        <f>OF!C41</f>
        <v>Road Density in 1km Buffer</v>
      </c>
      <c r="C9" s="1007"/>
      <c r="D9" s="912"/>
      <c r="E9" s="717"/>
      <c r="F9" s="1103"/>
      <c r="G9" s="1069" t="str">
        <f>IF((RdDens1k=""),"",RdDens1k)</f>
        <v/>
      </c>
      <c r="H9" s="998" t="s">
        <v>1065</v>
      </c>
      <c r="I9" s="1100" t="s">
        <v>1493</v>
      </c>
      <c r="J9" s="278"/>
      <c r="K9" s="207"/>
      <c r="L9" s="207"/>
      <c r="M9" s="207"/>
      <c r="N9" s="207"/>
      <c r="O9" s="207"/>
      <c r="P9" s="207"/>
      <c r="Q9" s="207"/>
      <c r="R9" s="207"/>
      <c r="S9" s="207"/>
      <c r="T9" s="207"/>
      <c r="U9" s="207"/>
      <c r="V9" s="207"/>
      <c r="W9" s="207"/>
      <c r="X9" s="207"/>
      <c r="Y9" s="207"/>
      <c r="Z9" s="207"/>
      <c r="AA9" s="207"/>
      <c r="AB9" s="207"/>
      <c r="AC9" s="207"/>
      <c r="AD9" s="207"/>
      <c r="AE9" s="207"/>
      <c r="AF9" s="207"/>
      <c r="AG9" s="207"/>
      <c r="AH9" s="207"/>
      <c r="AI9" s="207"/>
      <c r="AJ9" s="207"/>
      <c r="AK9" s="207"/>
      <c r="AL9" s="207"/>
      <c r="AM9" s="207"/>
      <c r="AN9" s="207"/>
      <c r="AO9" s="207"/>
      <c r="AP9" s="207"/>
      <c r="AQ9" s="207"/>
      <c r="AR9" s="207"/>
      <c r="AS9" s="207"/>
      <c r="AT9" s="207"/>
      <c r="AU9" s="207"/>
      <c r="AV9" s="207"/>
      <c r="AW9" s="207"/>
      <c r="AX9" s="207"/>
      <c r="AY9" s="207"/>
      <c r="AZ9" s="207"/>
      <c r="BA9" s="207"/>
      <c r="BB9" s="207"/>
      <c r="BC9" s="207"/>
      <c r="BD9" s="207"/>
      <c r="BE9" s="207"/>
      <c r="BF9" s="207"/>
      <c r="BG9" s="207"/>
      <c r="BH9" s="207"/>
      <c r="BI9" s="207"/>
      <c r="BJ9" s="207"/>
      <c r="BK9" s="207"/>
      <c r="BL9" s="207"/>
      <c r="BM9" s="25"/>
    </row>
    <row r="10" spans="1:65" s="279" customFormat="1" ht="30" customHeight="1" thickBot="1" x14ac:dyDescent="0.25">
      <c r="A10" s="709" t="str">
        <f>OF!A42</f>
        <v>OF41</v>
      </c>
      <c r="B10" s="710" t="str">
        <f>OF!C42</f>
        <v xml:space="preserve">Ecological Reserve or Natural Area </v>
      </c>
      <c r="C10" s="1061" t="s">
        <v>1734</v>
      </c>
      <c r="D10" s="915"/>
      <c r="E10" s="713"/>
      <c r="F10" s="916"/>
      <c r="G10" s="740" t="str">
        <f>IF((Reserve=""),"",IF((Reserve=1),1,""))</f>
        <v/>
      </c>
      <c r="H10" s="742" t="s">
        <v>1068</v>
      </c>
      <c r="I10" s="946" t="s">
        <v>1494</v>
      </c>
    </row>
    <row r="11" spans="1:65" s="279" customFormat="1" ht="30" customHeight="1" thickBot="1" x14ac:dyDescent="0.25">
      <c r="A11" s="931" t="str">
        <f>OF!A54</f>
        <v>OF53</v>
      </c>
      <c r="B11" s="715" t="str">
        <f>OF!C54</f>
        <v>Access to Trail Network</v>
      </c>
      <c r="C11" s="1007" t="s">
        <v>1735</v>
      </c>
      <c r="D11" s="912"/>
      <c r="E11" s="717"/>
      <c r="F11" s="1103"/>
      <c r="G11" s="761" t="str">
        <f>IF((Trail=""),"",IF((Trail=1),1,""))</f>
        <v/>
      </c>
      <c r="H11" s="987" t="s">
        <v>1075</v>
      </c>
      <c r="I11" s="1100" t="s">
        <v>1495</v>
      </c>
    </row>
    <row r="12" spans="1:65" s="279" customFormat="1" ht="30" customHeight="1" thickBot="1" x14ac:dyDescent="0.25">
      <c r="A12" s="709" t="str">
        <f>OF!A61</f>
        <v>OF60</v>
      </c>
      <c r="B12" s="710" t="str">
        <f>OF!C61</f>
        <v>Water Permanence Probability</v>
      </c>
      <c r="C12" s="1061" t="s">
        <v>507</v>
      </c>
      <c r="D12" s="915"/>
      <c r="E12" s="713"/>
      <c r="F12" s="713"/>
      <c r="G12" s="740" t="str">
        <f>IF((WatProb=""),"",WatProb)</f>
        <v/>
      </c>
      <c r="H12" s="742" t="s">
        <v>1026</v>
      </c>
      <c r="I12" s="946" t="s">
        <v>1496</v>
      </c>
    </row>
    <row r="13" spans="1:65" s="279" customFormat="1" ht="30" customHeight="1" thickBot="1" x14ac:dyDescent="0.25">
      <c r="A13" s="931" t="str">
        <f>OF!A63</f>
        <v>OF62</v>
      </c>
      <c r="B13" s="715" t="str">
        <f>OF!C63</f>
        <v>AA Size</v>
      </c>
      <c r="C13" s="1007" t="s">
        <v>507</v>
      </c>
      <c r="D13" s="716"/>
      <c r="E13" s="717"/>
      <c r="F13" s="717"/>
      <c r="G13" s="761" t="str">
        <f>IF((WetArea=""),"",WetArea)</f>
        <v/>
      </c>
      <c r="H13" s="987" t="s">
        <v>1009</v>
      </c>
      <c r="I13" s="986" t="s">
        <v>1497</v>
      </c>
      <c r="J13" s="278"/>
    </row>
    <row r="14" spans="1:65" s="88" customFormat="1" ht="42" customHeight="1" thickBot="1" x14ac:dyDescent="0.25">
      <c r="A14" s="1612" t="s">
        <v>110</v>
      </c>
      <c r="B14" s="1613" t="s">
        <v>2198</v>
      </c>
      <c r="C14" s="1614" t="s">
        <v>1109</v>
      </c>
      <c r="D14" s="1615" t="s">
        <v>45</v>
      </c>
      <c r="E14" s="1616" t="s">
        <v>2028</v>
      </c>
      <c r="F14" s="1617" t="s">
        <v>2027</v>
      </c>
      <c r="G14" s="1618" t="s">
        <v>1111</v>
      </c>
      <c r="H14" s="1619" t="s">
        <v>1108</v>
      </c>
      <c r="I14" s="1619" t="s">
        <v>1503</v>
      </c>
    </row>
    <row r="15" spans="1:65" ht="60" customHeight="1" thickBot="1" x14ac:dyDescent="0.25">
      <c r="A15" s="1328" t="str">
        <f>F!A37</f>
        <v>F6</v>
      </c>
      <c r="B15" s="988" t="str">
        <f>F!B37</f>
        <v>Fringe Wetland</v>
      </c>
      <c r="C15" s="753" t="str">
        <f>F!C37</f>
        <v>If the AA meets the following conditions, it is a fringe wetland: (a) Open water that adjoins the vegetated wetland in a lake, stream, or river during annual low water condition is much wider than the vegetated wetland, and if the AA adjoins a lake (b) the maximum dimension of the lake is greater than 1 km. If true, enter "1" and continue.</v>
      </c>
      <c r="D15" s="23">
        <f>F!D37</f>
        <v>0</v>
      </c>
      <c r="E15" s="51"/>
      <c r="F15" s="209"/>
      <c r="G15" s="1668" t="str">
        <f>IF((Algae21=1),"",IF((D15=1),1,""))</f>
        <v/>
      </c>
      <c r="H15" s="989" t="s">
        <v>1188</v>
      </c>
      <c r="I15" s="996" t="s">
        <v>2024</v>
      </c>
    </row>
    <row r="16" spans="1:65" ht="60" customHeight="1" thickBot="1" x14ac:dyDescent="0.25">
      <c r="A16" s="1218" t="str">
        <f>F!A38</f>
        <v>F7</v>
      </c>
      <c r="B16" s="53" t="str">
        <f>F!B38</f>
        <v>Lacustrine Wetland</v>
      </c>
      <c r="C16" s="1265" t="str">
        <f>F!C38</f>
        <v>The AA borders a body of ponded open water whose size -- not counting the vegetated AA -- exceeds 8 hectares (about 300 x 300 m) during most of the growing season.  Enter "1" if true, "0" if false.</v>
      </c>
      <c r="D16" s="165">
        <f>F!D38</f>
        <v>0</v>
      </c>
      <c r="E16" s="324"/>
      <c r="F16" s="264"/>
      <c r="G16" s="778" t="str">
        <f>IF((Algae21=1),"", IF((D16=1),1,""))</f>
        <v/>
      </c>
      <c r="H16" s="99" t="s">
        <v>1189</v>
      </c>
      <c r="I16" s="99" t="s">
        <v>2166</v>
      </c>
    </row>
    <row r="17" spans="1:9" ht="30" customHeight="1" thickBot="1" x14ac:dyDescent="0.25">
      <c r="A17" s="2120" t="str">
        <f>F!A71</f>
        <v>F14</v>
      </c>
      <c r="B17" s="2083" t="str">
        <f>F!B71</f>
        <v xml:space="preserve">% of Ponded Water That Is Open </v>
      </c>
      <c r="C17" s="99" t="str">
        <f>F!C71</f>
        <v>In ducks-eye aerial view, the percentage of the ponded water that is open (lacking emergent vegetation during most of the growing season, and unhidden by a forest or shrub canopy) is:</v>
      </c>
      <c r="D17" s="1327"/>
      <c r="E17" s="115"/>
      <c r="F17" s="263"/>
      <c r="G17" s="436">
        <f>IF((AllSat+AllSat&gt;0),"", IF((NoPonded=1),"", IF((SmallAA=1),"", IF((Algae21=1),"", MAX(F18:F23)/MAX(E18:E23)))))</f>
        <v>0</v>
      </c>
      <c r="H17" s="2077" t="s">
        <v>2165</v>
      </c>
      <c r="I17" s="2077" t="s">
        <v>2167</v>
      </c>
    </row>
    <row r="18" spans="1:9" ht="27" customHeight="1" x14ac:dyDescent="0.2">
      <c r="A18" s="2120"/>
      <c r="B18" s="2083"/>
      <c r="C18" s="731" t="str">
        <f>F!C72</f>
        <v>&lt;1% or none, or largest pool occupies &lt;0.01 hectares.  Enter "1" and SKIP to F20 (Floating Algae &amp; Duckweed).</v>
      </c>
      <c r="D18" s="50">
        <f>F!D72</f>
        <v>0</v>
      </c>
      <c r="E18" s="52">
        <v>0</v>
      </c>
      <c r="F18" s="52">
        <f t="shared" ref="F18:F23" si="0">D18*E18</f>
        <v>0</v>
      </c>
      <c r="G18" s="606"/>
      <c r="H18" s="2078"/>
      <c r="I18" s="2078"/>
    </row>
    <row r="19" spans="1:9" ht="15" customHeight="1" x14ac:dyDescent="0.2">
      <c r="A19" s="2120"/>
      <c r="B19" s="2083"/>
      <c r="C19" s="758" t="str">
        <f>F!C73</f>
        <v>1-5% of the ponded water.  Enter "1" and SKIP to F20.</v>
      </c>
      <c r="D19" s="50">
        <f>F!D73</f>
        <v>0</v>
      </c>
      <c r="E19" s="52">
        <v>2</v>
      </c>
      <c r="F19" s="52">
        <f t="shared" si="0"/>
        <v>0</v>
      </c>
      <c r="G19" s="606"/>
      <c r="H19" s="2078"/>
      <c r="I19" s="2078"/>
    </row>
    <row r="20" spans="1:9" ht="15" customHeight="1" x14ac:dyDescent="0.2">
      <c r="A20" s="2120"/>
      <c r="B20" s="2083"/>
      <c r="C20" s="758" t="str">
        <f>F!C74</f>
        <v>5-30% of the ponded water.</v>
      </c>
      <c r="D20" s="50">
        <f>F!D74</f>
        <v>0</v>
      </c>
      <c r="E20" s="52">
        <v>3</v>
      </c>
      <c r="F20" s="52">
        <f t="shared" si="0"/>
        <v>0</v>
      </c>
      <c r="G20" s="606"/>
      <c r="H20" s="2078"/>
      <c r="I20" s="2078"/>
    </row>
    <row r="21" spans="1:9" ht="15" customHeight="1" x14ac:dyDescent="0.2">
      <c r="A21" s="2120"/>
      <c r="B21" s="2083"/>
      <c r="C21" s="758" t="str">
        <f>F!C75</f>
        <v>30-70% of the ponded water.</v>
      </c>
      <c r="D21" s="50">
        <f>F!D75</f>
        <v>0</v>
      </c>
      <c r="E21" s="52">
        <v>4</v>
      </c>
      <c r="F21" s="52">
        <f t="shared" si="0"/>
        <v>0</v>
      </c>
      <c r="G21" s="606"/>
      <c r="H21" s="2078"/>
      <c r="I21" s="2078"/>
    </row>
    <row r="22" spans="1:9" ht="15" customHeight="1" x14ac:dyDescent="0.2">
      <c r="A22" s="2120"/>
      <c r="B22" s="2083"/>
      <c r="C22" s="758" t="str">
        <f>F!C76</f>
        <v>70-99% of the ponded water.</v>
      </c>
      <c r="D22" s="50">
        <f>F!D76</f>
        <v>0</v>
      </c>
      <c r="E22" s="52">
        <v>4</v>
      </c>
      <c r="F22" s="52">
        <f t="shared" si="0"/>
        <v>0</v>
      </c>
      <c r="G22" s="606"/>
      <c r="H22" s="2078"/>
      <c r="I22" s="2078"/>
    </row>
    <row r="23" spans="1:9" ht="15" customHeight="1" thickBot="1" x14ac:dyDescent="0.25">
      <c r="A23" s="2120"/>
      <c r="B23" s="2083"/>
      <c r="C23" s="753" t="str">
        <f>F!C77</f>
        <v xml:space="preserve">100% of the ponded water. </v>
      </c>
      <c r="D23" s="775">
        <f>F!D77</f>
        <v>0</v>
      </c>
      <c r="E23" s="1330">
        <v>4</v>
      </c>
      <c r="F23" s="1330">
        <f t="shared" si="0"/>
        <v>0</v>
      </c>
      <c r="G23" s="1324"/>
      <c r="H23" s="2079"/>
      <c r="I23" s="2078"/>
    </row>
    <row r="24" spans="1:9" ht="60" customHeight="1" thickBot="1" x14ac:dyDescent="0.25">
      <c r="A24" s="73" t="str">
        <f>F!A100</f>
        <v>F20</v>
      </c>
      <c r="B24" s="53" t="str">
        <f>F!B100</f>
        <v>Floating Algae &amp; Duckweed</v>
      </c>
      <c r="C24" s="1331" t="str">
        <f>F!C100</f>
        <v>At some time of the year, mats of algae and/or duckweed cover most of the AA's otherwise-unshaded water surface or blanket the underwater substrate.  If true, enter "1" in next column.  If untrue or uncertain, enter "0".</v>
      </c>
      <c r="D24" s="267">
        <f>F!D100</f>
        <v>0</v>
      </c>
      <c r="E24" s="324"/>
      <c r="F24" s="324"/>
      <c r="G24" s="778" t="str">
        <f>IF((AllSat+AllSat&gt;0),"", IF((NoPonded=1),"", IF((SmallAA=1),"", IF((D24=1),0,""))))</f>
        <v/>
      </c>
      <c r="H24" s="99" t="s">
        <v>1190</v>
      </c>
      <c r="I24" s="99" t="s">
        <v>2168</v>
      </c>
    </row>
    <row r="25" spans="1:9" ht="45" customHeight="1" thickBot="1" x14ac:dyDescent="0.25">
      <c r="A25" s="2429" t="str">
        <f>F!A266</f>
        <v>F56</v>
      </c>
      <c r="B25" s="2080" t="str">
        <f>F!B266</f>
        <v>Visibility</v>
      </c>
      <c r="C25" s="990" t="str">
        <f>F!C266</f>
        <v>From the best vantage point on public roads, public parking lots, public buildings, or well-defined public trails that intersect, adjoin, or are within 100 m of the wetland, some part of the wetland is (select best case):</v>
      </c>
      <c r="D25" s="108"/>
      <c r="E25" s="186"/>
      <c r="F25" s="61"/>
      <c r="G25" s="436">
        <f>MAX(F26:F28)/MAX(E26:E28)</f>
        <v>0</v>
      </c>
      <c r="H25" s="2077" t="s">
        <v>296</v>
      </c>
      <c r="I25" s="2078" t="s">
        <v>309</v>
      </c>
    </row>
    <row r="26" spans="1:9" ht="15" customHeight="1" x14ac:dyDescent="0.2">
      <c r="A26" s="2430"/>
      <c r="B26" s="2229"/>
      <c r="C26" s="731" t="str">
        <f>F!C267</f>
        <v>easily visible</v>
      </c>
      <c r="D26" s="50">
        <f>F!D267</f>
        <v>0</v>
      </c>
      <c r="E26" s="52">
        <v>0</v>
      </c>
      <c r="F26" s="52">
        <f>D26*E26</f>
        <v>0</v>
      </c>
      <c r="G26" s="343"/>
      <c r="H26" s="2078"/>
      <c r="I26" s="2078"/>
    </row>
    <row r="27" spans="1:9" ht="15" customHeight="1" x14ac:dyDescent="0.2">
      <c r="A27" s="2430"/>
      <c r="B27" s="2229"/>
      <c r="C27" s="758" t="str">
        <f>F!C268</f>
        <v>somewhat visible</v>
      </c>
      <c r="D27" s="50">
        <f>F!D268</f>
        <v>0</v>
      </c>
      <c r="E27" s="52">
        <v>1</v>
      </c>
      <c r="F27" s="52">
        <f t="shared" ref="F27:F33" si="1">D27*E27</f>
        <v>0</v>
      </c>
      <c r="G27" s="493"/>
      <c r="H27" s="2078"/>
      <c r="I27" s="2078"/>
    </row>
    <row r="28" spans="1:9" ht="15" customHeight="1" thickBot="1" x14ac:dyDescent="0.25">
      <c r="A28" s="2431"/>
      <c r="B28" s="2230"/>
      <c r="C28" s="753" t="str">
        <f>F!C269</f>
        <v>barely or not visible</v>
      </c>
      <c r="D28" s="23">
        <f>F!D269</f>
        <v>0</v>
      </c>
      <c r="E28" s="51">
        <v>2</v>
      </c>
      <c r="F28" s="51">
        <f t="shared" si="1"/>
        <v>0</v>
      </c>
      <c r="G28" s="967"/>
      <c r="H28" s="2079"/>
      <c r="I28" s="2079"/>
    </row>
    <row r="29" spans="1:9" ht="21" customHeight="1" thickBot="1" x14ac:dyDescent="0.25">
      <c r="A29" s="2077" t="str">
        <f>F!A270</f>
        <v>F57</v>
      </c>
      <c r="B29" s="2077" t="str">
        <f>F!B270</f>
        <v>Ownership</v>
      </c>
      <c r="C29" s="99" t="str">
        <f>F!C270</f>
        <v>Most of the AA is (select one):</v>
      </c>
      <c r="D29" s="1334"/>
      <c r="E29" s="1332"/>
      <c r="F29" s="1332"/>
      <c r="G29" s="778">
        <f>MAX(F30:F33)/MAX(E30:E33)</f>
        <v>0</v>
      </c>
      <c r="H29" s="2077" t="s">
        <v>291</v>
      </c>
      <c r="I29" s="2077" t="s">
        <v>1499</v>
      </c>
    </row>
    <row r="30" spans="1:9" ht="27" customHeight="1" x14ac:dyDescent="0.2">
      <c r="A30" s="2078"/>
      <c r="B30" s="2078"/>
      <c r="C30" s="895" t="str">
        <f>F!C271</f>
        <v>publicly owned conservation lands that exclude new timber harvest, roads, mineral extraction, and intensive summer recreation (e.g., off-road vehicles).  Includes most Protected Lands.</v>
      </c>
      <c r="D30" s="775">
        <f>F!D271</f>
        <v>0</v>
      </c>
      <c r="E30" s="1333">
        <v>4</v>
      </c>
      <c r="F30" s="1333">
        <f t="shared" si="1"/>
        <v>0</v>
      </c>
      <c r="G30" s="493"/>
      <c r="H30" s="2078"/>
      <c r="I30" s="2078"/>
    </row>
    <row r="31" spans="1:9" ht="27" customHeight="1" x14ac:dyDescent="0.2">
      <c r="A31" s="2078"/>
      <c r="B31" s="2078"/>
      <c r="C31" s="753" t="str">
        <f>F!C272</f>
        <v>publicly owned resource use lands (allowed activities such as timber harvest, mining, or intensive recreation), or unknown.  Includes most Crown Reservations/Notations.</v>
      </c>
      <c r="D31" s="779">
        <f>F!D272</f>
        <v>0</v>
      </c>
      <c r="E31" s="1333">
        <v>3</v>
      </c>
      <c r="F31" s="1333">
        <f t="shared" si="1"/>
        <v>0</v>
      </c>
      <c r="G31" s="493"/>
      <c r="H31" s="2078"/>
      <c r="I31" s="2078"/>
    </row>
    <row r="32" spans="1:9" ht="15" customHeight="1" x14ac:dyDescent="0.2">
      <c r="A32" s="2078"/>
      <c r="B32" s="2078"/>
      <c r="C32" s="753" t="str">
        <f>F!C273</f>
        <v>Owned by non-profit conservation organization or lease holder who allows public access.</v>
      </c>
      <c r="D32" s="779">
        <f>F!D273</f>
        <v>0</v>
      </c>
      <c r="E32" s="1333">
        <v>2</v>
      </c>
      <c r="F32" s="1333">
        <f t="shared" si="1"/>
        <v>0</v>
      </c>
      <c r="G32" s="493"/>
      <c r="H32" s="2078"/>
      <c r="I32" s="2078"/>
    </row>
    <row r="33" spans="1:9" ht="15" customHeight="1" thickBot="1" x14ac:dyDescent="0.25">
      <c r="A33" s="2079"/>
      <c r="B33" s="2079"/>
      <c r="C33" s="754" t="str">
        <f>F!C274</f>
        <v>Other private ownership, including First Nations.</v>
      </c>
      <c r="D33" s="105">
        <f>F!D274</f>
        <v>0</v>
      </c>
      <c r="E33" s="114">
        <v>1</v>
      </c>
      <c r="F33" s="114">
        <f t="shared" si="1"/>
        <v>0</v>
      </c>
      <c r="G33" s="494"/>
      <c r="H33" s="2079"/>
      <c r="I33" s="2079"/>
    </row>
    <row r="34" spans="1:9" ht="30" customHeight="1" thickBot="1" x14ac:dyDescent="0.25">
      <c r="A34" s="2119" t="str">
        <f>F!A275</f>
        <v>F58</v>
      </c>
      <c r="B34" s="2077" t="str">
        <f>F!B275</f>
        <v>Non-consumptive Uses - Actual or Potential</v>
      </c>
      <c r="C34" s="934" t="str">
        <f>F!C275</f>
        <v>Assuming access permission was granted, select ALL statements that are true of the AA as it currently exists:</v>
      </c>
      <c r="D34" s="112"/>
      <c r="E34" s="252"/>
      <c r="F34" s="113"/>
      <c r="G34" s="778">
        <f>SUM(D35:D38)/4</f>
        <v>0</v>
      </c>
      <c r="H34" s="2077" t="s">
        <v>1194</v>
      </c>
      <c r="I34" s="2077" t="s">
        <v>609</v>
      </c>
    </row>
    <row r="35" spans="1:9" ht="27" customHeight="1" x14ac:dyDescent="0.2">
      <c r="A35" s="2120"/>
      <c r="B35" s="2078"/>
      <c r="C35" s="731" t="str">
        <f>F!C276</f>
        <v>For an average person, walking is physically possible in (not just near) &gt;5% of the AA during most of the growing season, e.g., free of deep water and dense shrub thickets.</v>
      </c>
      <c r="D35" s="1000">
        <f>F!D276</f>
        <v>0</v>
      </c>
      <c r="E35" s="52">
        <v>1</v>
      </c>
      <c r="F35" s="52">
        <f>D35*E35</f>
        <v>0</v>
      </c>
      <c r="G35" s="343"/>
      <c r="H35" s="2078"/>
      <c r="I35" s="2078"/>
    </row>
    <row r="36" spans="1:9" ht="27" customHeight="1" x14ac:dyDescent="0.2">
      <c r="A36" s="2120"/>
      <c r="B36" s="2078"/>
      <c r="C36" s="753" t="str">
        <f>F!C277</f>
        <v>Maintained roads, parking areas, or foot-trails are within 10 m of the AA, or the AA can be accessed part of the year by boats arriving via contiguous waters.</v>
      </c>
      <c r="D36" s="23">
        <f>F!D277</f>
        <v>0</v>
      </c>
      <c r="E36" s="51">
        <v>1</v>
      </c>
      <c r="F36" s="52">
        <f>D36*E36</f>
        <v>0</v>
      </c>
      <c r="G36" s="493"/>
      <c r="H36" s="2078"/>
      <c r="I36" s="2078"/>
    </row>
    <row r="37" spans="1:9" ht="27" customHeight="1" x14ac:dyDescent="0.2">
      <c r="A37" s="2120"/>
      <c r="B37" s="2078"/>
      <c r="C37" s="753" t="str">
        <f>F!C278</f>
        <v xml:space="preserve">Within or near the AA, there is an interpretive center, trails with interpretive signs or brochures, and/or regular guided interpretive tours. </v>
      </c>
      <c r="D37" s="23">
        <f>F!D278</f>
        <v>0</v>
      </c>
      <c r="E37" s="51">
        <v>1</v>
      </c>
      <c r="F37" s="52">
        <f>D37*E37</f>
        <v>0</v>
      </c>
      <c r="G37" s="493"/>
      <c r="H37" s="2078"/>
      <c r="I37" s="2078"/>
    </row>
    <row r="38" spans="1:9" ht="27" customHeight="1" thickBot="1" x14ac:dyDescent="0.25">
      <c r="A38" s="2121"/>
      <c r="B38" s="2079"/>
      <c r="C38" s="754" t="str">
        <f>F!C279</f>
        <v>The AA contains or adjoins a public boat dock or ramp, or is within 1 km of a campground, picnic area, or winter sports park.</v>
      </c>
      <c r="D38" s="105">
        <f>F!D279</f>
        <v>0</v>
      </c>
      <c r="E38" s="114">
        <v>1</v>
      </c>
      <c r="F38" s="114">
        <f>D38*E38</f>
        <v>0</v>
      </c>
      <c r="G38" s="494"/>
      <c r="H38" s="2079"/>
      <c r="I38" s="2079"/>
    </row>
    <row r="39" spans="1:9" ht="66" customHeight="1" thickBot="1" x14ac:dyDescent="0.25">
      <c r="A39" s="2119" t="str">
        <f>F!A280</f>
        <v>F59</v>
      </c>
      <c r="B39" s="2077" t="str">
        <f>F!B280</f>
        <v xml:space="preserve">Unvisited Core Area </v>
      </c>
      <c r="C39" s="934" t="str">
        <f>F!C280</f>
        <v>The percentage of the AA almost never visited by humans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39" s="1334"/>
      <c r="E39" s="1332"/>
      <c r="F39" s="113"/>
      <c r="G39" s="778">
        <f>MAX(F40:F45)/MAX(E40:E45)</f>
        <v>0</v>
      </c>
      <c r="H39" s="2077" t="s">
        <v>316</v>
      </c>
      <c r="I39" s="2077" t="s">
        <v>1500</v>
      </c>
    </row>
    <row r="40" spans="1:9" ht="15" customHeight="1" x14ac:dyDescent="0.2">
      <c r="A40" s="2120"/>
      <c r="B40" s="2078"/>
      <c r="C40" s="731" t="str">
        <f>F!C281</f>
        <v>&lt;5% and no inhabited building is within 100 m of the AA</v>
      </c>
      <c r="D40" s="779">
        <f>F!D281</f>
        <v>0</v>
      </c>
      <c r="E40" s="1333">
        <v>4</v>
      </c>
      <c r="F40" s="1333">
        <f t="shared" ref="F40:F45" si="2">D40*E40</f>
        <v>0</v>
      </c>
      <c r="G40" s="343"/>
      <c r="H40" s="2078"/>
      <c r="I40" s="2078"/>
    </row>
    <row r="41" spans="1:9" ht="15" customHeight="1" x14ac:dyDescent="0.2">
      <c r="A41" s="2120"/>
      <c r="B41" s="2078"/>
      <c r="C41" s="758" t="str">
        <f>F!C282</f>
        <v>&lt;5% and inhabited building is within 100 m of the AA</v>
      </c>
      <c r="D41" s="779">
        <f>F!D282</f>
        <v>0</v>
      </c>
      <c r="E41" s="1333">
        <v>5</v>
      </c>
      <c r="F41" s="1333">
        <f t="shared" si="2"/>
        <v>0</v>
      </c>
      <c r="G41" s="493"/>
      <c r="H41" s="2078"/>
      <c r="I41" s="2078"/>
    </row>
    <row r="42" spans="1:9" ht="15" customHeight="1" x14ac:dyDescent="0.2">
      <c r="A42" s="2120"/>
      <c r="B42" s="2078"/>
      <c r="C42" s="758" t="str">
        <f>F!C283</f>
        <v>5-50% and no inhabited building is within 100 m of the AA</v>
      </c>
      <c r="D42" s="779">
        <f>F!D283</f>
        <v>0</v>
      </c>
      <c r="E42" s="1333">
        <v>2</v>
      </c>
      <c r="F42" s="1333">
        <f t="shared" si="2"/>
        <v>0</v>
      </c>
      <c r="G42" s="493"/>
      <c r="H42" s="2078"/>
      <c r="I42" s="2078"/>
    </row>
    <row r="43" spans="1:9" ht="15" customHeight="1" x14ac:dyDescent="0.2">
      <c r="A43" s="2120"/>
      <c r="B43" s="2078"/>
      <c r="C43" s="758" t="str">
        <f>F!C284</f>
        <v>5-50% and inhabited building is within 100 m of the AA</v>
      </c>
      <c r="D43" s="779">
        <f>F!D284</f>
        <v>0</v>
      </c>
      <c r="E43" s="1333">
        <v>3</v>
      </c>
      <c r="F43" s="1333">
        <f t="shared" si="2"/>
        <v>0</v>
      </c>
      <c r="G43" s="493"/>
      <c r="H43" s="2078"/>
      <c r="I43" s="2078"/>
    </row>
    <row r="44" spans="1:9" ht="15" customHeight="1" x14ac:dyDescent="0.2">
      <c r="A44" s="2120"/>
      <c r="B44" s="2078"/>
      <c r="C44" s="758" t="str">
        <f>F!C285</f>
        <v>50-95%</v>
      </c>
      <c r="D44" s="779">
        <f>F!D285</f>
        <v>0</v>
      </c>
      <c r="E44" s="1333">
        <v>1</v>
      </c>
      <c r="F44" s="1333">
        <f t="shared" si="2"/>
        <v>0</v>
      </c>
      <c r="G44" s="493"/>
      <c r="H44" s="2078"/>
      <c r="I44" s="2078"/>
    </row>
    <row r="45" spans="1:9" ht="15" customHeight="1" thickBot="1" x14ac:dyDescent="0.25">
      <c r="A45" s="2121"/>
      <c r="B45" s="2079"/>
      <c r="C45" s="754" t="str">
        <f>F!C286</f>
        <v>&gt;95% of the AA</v>
      </c>
      <c r="D45" s="105">
        <f>F!D286</f>
        <v>0</v>
      </c>
      <c r="E45" s="114">
        <v>0</v>
      </c>
      <c r="F45" s="114">
        <f t="shared" si="2"/>
        <v>0</v>
      </c>
      <c r="G45" s="494"/>
      <c r="H45" s="2079"/>
      <c r="I45" s="2079"/>
    </row>
    <row r="46" spans="1:9" ht="75" customHeight="1" thickBot="1" x14ac:dyDescent="0.25">
      <c r="A46" s="2120" t="str">
        <f>F!A287</f>
        <v>F60</v>
      </c>
      <c r="B46" s="2078" t="str">
        <f>F!B287</f>
        <v>Frequently Visited Area</v>
      </c>
      <c r="C46" s="994" t="str">
        <f>F!C287</f>
        <v>The percentage of the AA visited by humans almost daily for several weeks during an average growing season probably comprises: [Note: Do not include visitors on trails outside of the AA unless more than half the wetland is visible from the trails and they are within 30 m of the wetland edge.   In that case, imagine the percentage of the AA that would be covered by the trail if it were placed within the AA.]</v>
      </c>
      <c r="D46" s="108"/>
      <c r="E46" s="186"/>
      <c r="F46" s="61"/>
      <c r="G46" s="436">
        <f>MAX(F47:F50)/MAX(E47:E50)</f>
        <v>0</v>
      </c>
      <c r="H46" s="2077" t="s">
        <v>317</v>
      </c>
      <c r="I46" s="2078" t="s">
        <v>107</v>
      </c>
    </row>
    <row r="47" spans="1:9" ht="15" customHeight="1" x14ac:dyDescent="0.2">
      <c r="A47" s="2120"/>
      <c r="B47" s="2078"/>
      <c r="C47" s="731" t="str">
        <f>F!C288</f>
        <v>&lt;5%.  If F59 was answered "&gt;95%", SKIP to F63 (Consumptive Uses).</v>
      </c>
      <c r="D47" s="50">
        <f>F!D288</f>
        <v>0</v>
      </c>
      <c r="E47" s="52">
        <v>0</v>
      </c>
      <c r="F47" s="52">
        <f>D47*E47</f>
        <v>0</v>
      </c>
      <c r="G47" s="343"/>
      <c r="H47" s="2078"/>
      <c r="I47" s="2078"/>
    </row>
    <row r="48" spans="1:9" ht="15" customHeight="1" x14ac:dyDescent="0.2">
      <c r="A48" s="2120"/>
      <c r="B48" s="2078"/>
      <c r="C48" s="758" t="str">
        <f>F!C289</f>
        <v>5-50%</v>
      </c>
      <c r="D48" s="50">
        <f>F!D289</f>
        <v>0</v>
      </c>
      <c r="E48" s="52">
        <v>1</v>
      </c>
      <c r="F48" s="52">
        <f>D48*E48</f>
        <v>0</v>
      </c>
      <c r="G48" s="493"/>
      <c r="H48" s="2078"/>
      <c r="I48" s="2078"/>
    </row>
    <row r="49" spans="1:9" ht="15" customHeight="1" x14ac:dyDescent="0.2">
      <c r="A49" s="2120"/>
      <c r="B49" s="2078"/>
      <c r="C49" s="758" t="str">
        <f>F!C290</f>
        <v>50-95%</v>
      </c>
      <c r="D49" s="50">
        <f>F!D290</f>
        <v>0</v>
      </c>
      <c r="E49" s="52">
        <v>2</v>
      </c>
      <c r="F49" s="52">
        <f>D49*E49</f>
        <v>0</v>
      </c>
      <c r="G49" s="493"/>
      <c r="H49" s="2078"/>
      <c r="I49" s="2078"/>
    </row>
    <row r="50" spans="1:9" ht="15" customHeight="1" thickBot="1" x14ac:dyDescent="0.25">
      <c r="A50" s="2120"/>
      <c r="B50" s="2078"/>
      <c r="C50" s="753" t="str">
        <f>F!C291</f>
        <v>&gt;95% of the AA</v>
      </c>
      <c r="D50" s="775">
        <f>F!D291</f>
        <v>0</v>
      </c>
      <c r="E50" s="1330">
        <v>3</v>
      </c>
      <c r="F50" s="1330">
        <f>D50*E50</f>
        <v>0</v>
      </c>
      <c r="G50" s="967"/>
      <c r="H50" s="2079"/>
      <c r="I50" s="2078"/>
    </row>
    <row r="51" spans="1:9" ht="45" customHeight="1" thickBot="1" x14ac:dyDescent="0.25">
      <c r="A51" s="1218" t="str">
        <f>F!A292</f>
        <v>F61</v>
      </c>
      <c r="B51" s="99" t="str">
        <f>F!B292</f>
        <v>BMP - Soils</v>
      </c>
      <c r="C51" s="1265" t="str">
        <f>F!C292</f>
        <v>Boardwalks, paved trails, fences or other infrastructure and/or well-enforced regulations appear to effectively prevent visitors from walking on soils within nearly all of the AA when they are unfrozen.  Enter "1" if true.</v>
      </c>
      <c r="D51" s="165">
        <f>F!D292</f>
        <v>0</v>
      </c>
      <c r="E51" s="324"/>
      <c r="F51" s="324"/>
      <c r="G51" s="778">
        <f>IF((D45+D47&gt;1),"",D51)</f>
        <v>0</v>
      </c>
      <c r="H51" s="99" t="s">
        <v>641</v>
      </c>
      <c r="I51" s="53" t="s">
        <v>2169</v>
      </c>
    </row>
    <row r="52" spans="1:9" ht="60" customHeight="1" thickBot="1" x14ac:dyDescent="0.25">
      <c r="A52" s="991" t="str">
        <f>F!A293</f>
        <v>F62</v>
      </c>
      <c r="B52" s="989" t="str">
        <f>F!B293</f>
        <v>BMP - Wildlife Protection</v>
      </c>
      <c r="C52" s="895" t="str">
        <f>F!C293</f>
        <v xml:space="preserve">Fences, observation blinds, platforms, paved trails, exclusion periods, and/or well-enforced prohibitions on motorized boats, off-leash pets, and off road vehicles appear to effectively exclude or divert visitors and their pets from the AA at critical times in order to minimize disturbance of wildlife (except during hunting seasons).  Enter "1" if true. </v>
      </c>
      <c r="D52" s="999">
        <f>F!D293</f>
        <v>0</v>
      </c>
      <c r="E52" s="115"/>
      <c r="F52" s="115"/>
      <c r="G52" s="1669">
        <f>IF((D45+D47&gt;1),"",D52)</f>
        <v>0</v>
      </c>
      <c r="H52" s="989" t="s">
        <v>642</v>
      </c>
      <c r="I52" s="986" t="s">
        <v>107</v>
      </c>
    </row>
    <row r="53" spans="1:9" ht="30" customHeight="1" thickBot="1" x14ac:dyDescent="0.25">
      <c r="A53" s="2142" t="str">
        <f>F!A294</f>
        <v>F63</v>
      </c>
      <c r="B53" s="2436" t="str">
        <f>F!B294</f>
        <v>Consumptive Uses (Provisioning Services)</v>
      </c>
      <c r="C53" s="768" t="str">
        <f>F!C294</f>
        <v>Recent evidence was found within the AA of the following potentially-sustainable consumptive uses.  Select all that apply.</v>
      </c>
      <c r="D53" s="607"/>
      <c r="E53" s="1332"/>
      <c r="F53" s="1332"/>
      <c r="G53" s="778">
        <f>IF((D61=1),0,1)</f>
        <v>1</v>
      </c>
      <c r="H53" s="2077" t="s">
        <v>1187</v>
      </c>
      <c r="I53" s="2087" t="s">
        <v>2170</v>
      </c>
    </row>
    <row r="54" spans="1:9" ht="15" customHeight="1" x14ac:dyDescent="0.2">
      <c r="A54" s="2143"/>
      <c r="B54" s="2437"/>
      <c r="C54" s="1257" t="str">
        <f>F!C295</f>
        <v>Low-impact commercial timber harvest (e.g., selective thinning)</v>
      </c>
      <c r="D54" s="771">
        <f>F!D295</f>
        <v>0</v>
      </c>
      <c r="E54" s="1333"/>
      <c r="F54" s="1333"/>
      <c r="G54" s="61"/>
      <c r="H54" s="2078"/>
      <c r="I54" s="2083"/>
    </row>
    <row r="55" spans="1:9" ht="15" customHeight="1" x14ac:dyDescent="0.2">
      <c r="A55" s="2143"/>
      <c r="B55" s="2437"/>
      <c r="C55" s="995" t="str">
        <f>F!C296</f>
        <v>Extraction of surface water without noticeably affecting surface water area, depth, or persistence.</v>
      </c>
      <c r="D55" s="771">
        <f>F!D296</f>
        <v>0</v>
      </c>
      <c r="E55" s="1333"/>
      <c r="F55" s="1333"/>
      <c r="G55" s="606"/>
      <c r="H55" s="2078"/>
      <c r="I55" s="2083"/>
    </row>
    <row r="56" spans="1:9" ht="15" customHeight="1" x14ac:dyDescent="0.2">
      <c r="A56" s="2143"/>
      <c r="B56" s="2437"/>
      <c r="C56" s="995" t="str">
        <f>F!C297</f>
        <v>Grazing by livestock</v>
      </c>
      <c r="D56" s="771">
        <f>F!D297</f>
        <v>0</v>
      </c>
      <c r="E56" s="1333"/>
      <c r="F56" s="1333"/>
      <c r="G56" s="606"/>
      <c r="H56" s="2078"/>
      <c r="I56" s="2083"/>
    </row>
    <row r="57" spans="1:9" ht="15" customHeight="1" x14ac:dyDescent="0.2">
      <c r="A57" s="2143"/>
      <c r="B57" s="2437"/>
      <c r="C57" s="995" t="str">
        <f>F!C298</f>
        <v>Harvesting of native plants, native hay, or mushrooms (observed or known, not assumed)</v>
      </c>
      <c r="D57" s="771">
        <f>F!D298</f>
        <v>0</v>
      </c>
      <c r="E57" s="1333"/>
      <c r="F57" s="1333"/>
      <c r="G57" s="606"/>
      <c r="H57" s="2078"/>
      <c r="I57" s="2083"/>
    </row>
    <row r="58" spans="1:9" ht="15" customHeight="1" x14ac:dyDescent="0.2">
      <c r="A58" s="2143"/>
      <c r="B58" s="2437"/>
      <c r="C58" s="995" t="str">
        <f>F!C299</f>
        <v>Hunting (observed or known, not assumed)</v>
      </c>
      <c r="D58" s="771">
        <f>F!D299</f>
        <v>0</v>
      </c>
      <c r="E58" s="1333"/>
      <c r="F58" s="1333"/>
      <c r="G58" s="606"/>
      <c r="H58" s="2078"/>
      <c r="I58" s="2083"/>
    </row>
    <row r="59" spans="1:9" ht="15" customHeight="1" x14ac:dyDescent="0.2">
      <c r="A59" s="2143"/>
      <c r="B59" s="2437"/>
      <c r="C59" s="995" t="str">
        <f>F!C300</f>
        <v>Furbearer trapping</v>
      </c>
      <c r="D59" s="771">
        <f>F!D300</f>
        <v>0</v>
      </c>
      <c r="E59" s="1333"/>
      <c r="F59" s="1333"/>
      <c r="G59" s="606"/>
      <c r="H59" s="2078"/>
      <c r="I59" s="2083"/>
    </row>
    <row r="60" spans="1:9" ht="15" customHeight="1" x14ac:dyDescent="0.2">
      <c r="A60" s="2143"/>
      <c r="B60" s="2437"/>
      <c r="C60" s="995" t="str">
        <f>F!C301</f>
        <v>Fishing (observed or known, not assumed)</v>
      </c>
      <c r="D60" s="771">
        <f>F!D301</f>
        <v>0</v>
      </c>
      <c r="E60" s="1333"/>
      <c r="F60" s="1333"/>
      <c r="G60" s="606"/>
      <c r="H60" s="2078"/>
      <c r="I60" s="2083"/>
    </row>
    <row r="61" spans="1:9" ht="15" customHeight="1" thickBot="1" x14ac:dyDescent="0.25">
      <c r="A61" s="2144"/>
      <c r="B61" s="2438"/>
      <c r="C61" s="1005" t="str">
        <f>F!C302</f>
        <v>No evidence of any of the above</v>
      </c>
      <c r="D61" s="126">
        <f>F!D302</f>
        <v>0</v>
      </c>
      <c r="E61" s="114"/>
      <c r="F61" s="114"/>
      <c r="G61" s="1325"/>
      <c r="H61" s="2079"/>
      <c r="I61" s="2088"/>
    </row>
    <row r="62" spans="1:9" ht="21" customHeight="1" thickBot="1" x14ac:dyDescent="0.25">
      <c r="A62" s="2243" t="str">
        <f>F!A303</f>
        <v>F64</v>
      </c>
      <c r="B62" s="2243" t="str">
        <f>F!B303</f>
        <v>Domestic Wells</v>
      </c>
      <c r="C62" s="743" t="str">
        <f>F!C303</f>
        <v>The closest wells or water bodies that currently provide drinking water are:</v>
      </c>
      <c r="D62" s="607"/>
      <c r="E62" s="138"/>
      <c r="F62" s="138"/>
      <c r="G62" s="778">
        <f>MAX(F63:F65)/MAX(E63:E65)</f>
        <v>0</v>
      </c>
      <c r="H62" s="2077" t="s">
        <v>1488</v>
      </c>
      <c r="I62" s="2077" t="s">
        <v>2171</v>
      </c>
    </row>
    <row r="63" spans="1:9" ht="15" customHeight="1" x14ac:dyDescent="0.2">
      <c r="A63" s="2244"/>
      <c r="B63" s="2244"/>
      <c r="C63" s="730" t="str">
        <f>F!C304</f>
        <v>Within 100 m of the AA</v>
      </c>
      <c r="D63" s="124">
        <f>F!D304</f>
        <v>0</v>
      </c>
      <c r="E63" s="51">
        <v>2</v>
      </c>
      <c r="F63" s="52">
        <f t="shared" ref="F63:F65" si="3">D63*E63</f>
        <v>0</v>
      </c>
      <c r="G63" s="1324"/>
      <c r="H63" s="2078"/>
      <c r="I63" s="2078"/>
    </row>
    <row r="64" spans="1:9" ht="15" customHeight="1" x14ac:dyDescent="0.2">
      <c r="A64" s="2244"/>
      <c r="B64" s="2244"/>
      <c r="C64" s="694" t="str">
        <f>F!C305</f>
        <v>100-500 m away</v>
      </c>
      <c r="D64" s="124">
        <f>F!D305</f>
        <v>0</v>
      </c>
      <c r="E64" s="51">
        <v>1</v>
      </c>
      <c r="F64" s="52">
        <f t="shared" si="3"/>
        <v>0</v>
      </c>
      <c r="G64" s="1324"/>
      <c r="H64" s="2078"/>
      <c r="I64" s="2078"/>
    </row>
    <row r="65" spans="1:10" ht="15" customHeight="1" thickBot="1" x14ac:dyDescent="0.25">
      <c r="A65" s="2245"/>
      <c r="B65" s="2245"/>
      <c r="C65" s="695" t="str">
        <f>F!C306</f>
        <v>&gt;500 m away, or no information</v>
      </c>
      <c r="D65" s="134">
        <f>F!D306</f>
        <v>0</v>
      </c>
      <c r="E65" s="114">
        <v>0</v>
      </c>
      <c r="F65" s="52">
        <f t="shared" si="3"/>
        <v>0</v>
      </c>
      <c r="G65" s="1325"/>
      <c r="H65" s="2079"/>
      <c r="I65" s="2079"/>
    </row>
    <row r="66" spans="1:10" ht="21" customHeight="1" thickBot="1" x14ac:dyDescent="0.25">
      <c r="A66" s="2142" t="str">
        <f>F!A318</f>
        <v>F67</v>
      </c>
      <c r="B66" s="2087" t="str">
        <f>F!B318</f>
        <v>Prior Investment in the AA</v>
      </c>
      <c r="C66" s="53" t="str">
        <f>F!C318</f>
        <v>Mark ALL of the following that apply to this AA:</v>
      </c>
      <c r="D66" s="1334"/>
      <c r="E66" s="1332"/>
      <c r="F66" s="1332"/>
      <c r="G66" s="778">
        <f>SUM(D67:D69)/3</f>
        <v>0</v>
      </c>
      <c r="H66" s="2077" t="s">
        <v>1191</v>
      </c>
      <c r="I66" s="2087" t="s">
        <v>2172</v>
      </c>
    </row>
    <row r="67" spans="1:10" ht="27" customHeight="1" x14ac:dyDescent="0.2">
      <c r="A67" s="2143"/>
      <c r="B67" s="2083"/>
      <c r="C67" s="1257" t="str">
        <f>F!C319</f>
        <v>Regulatory Investment: The AA is all or part of a mitigation site used explicitly to offset impacts elsewhere</v>
      </c>
      <c r="D67" s="771">
        <f>F!D319</f>
        <v>0</v>
      </c>
      <c r="E67" s="1333"/>
      <c r="F67" s="1333"/>
      <c r="G67" s="606"/>
      <c r="H67" s="2078"/>
      <c r="I67" s="2083"/>
    </row>
    <row r="68" spans="1:10" ht="42" customHeight="1" x14ac:dyDescent="0.2">
      <c r="A68" s="2143"/>
      <c r="B68" s="2083"/>
      <c r="C68" s="995" t="str">
        <f>F!C320</f>
        <v>Non-regulatory Investment: The AA is part of or contiguous to a wetland on which public or private organizational funds were spent to preserve, create, restore, enhance, the wetland (excluding mitigation wetlands)</v>
      </c>
      <c r="D68" s="771">
        <f>F!D320</f>
        <v>0</v>
      </c>
      <c r="E68" s="1333"/>
      <c r="F68" s="1333"/>
      <c r="G68" s="606"/>
      <c r="H68" s="2078"/>
      <c r="I68" s="2083"/>
    </row>
    <row r="69" spans="1:10" ht="54" customHeight="1" x14ac:dyDescent="0.2">
      <c r="A69" s="2143"/>
      <c r="B69" s="2083"/>
      <c r="C69" s="995" t="str">
        <f>F!C321</f>
        <v>Sustained Scientific Use: Plants, animals, or water in the AA have been monitored for &gt;2 years, unrelated to any regulatory requirements, and data are available to the public.  Or the AA is part of an area that has been designated by an agency or institution as a benchmark, reference, or status-trends monitoring area.</v>
      </c>
      <c r="D69" s="771">
        <f>F!D321</f>
        <v>0</v>
      </c>
      <c r="E69" s="1333"/>
      <c r="F69" s="1333"/>
      <c r="G69" s="606"/>
      <c r="H69" s="2078"/>
      <c r="I69" s="2083"/>
    </row>
    <row r="70" spans="1:10" ht="15" customHeight="1" thickBot="1" x14ac:dyDescent="0.25">
      <c r="A70" s="2144"/>
      <c r="B70" s="2088"/>
      <c r="C70" s="1005" t="str">
        <f>F!C322</f>
        <v>None of the above, or no information for any.</v>
      </c>
      <c r="D70" s="126">
        <f>F!D322</f>
        <v>0</v>
      </c>
      <c r="E70" s="114"/>
      <c r="F70" s="114"/>
      <c r="G70" s="1325"/>
      <c r="H70" s="2079"/>
      <c r="I70" s="2088"/>
    </row>
    <row r="71" spans="1:10" ht="21" customHeight="1" thickBot="1" x14ac:dyDescent="0.25">
      <c r="A71" s="1402"/>
      <c r="B71" s="1402"/>
      <c r="D71" s="1402"/>
      <c r="E71" s="1402"/>
      <c r="F71" s="1402"/>
      <c r="G71" s="1402"/>
      <c r="H71" s="1402"/>
      <c r="I71" s="1402"/>
    </row>
    <row r="72" spans="1:10" s="39" customFormat="1" ht="21" customHeight="1" thickBot="1" x14ac:dyDescent="0.25">
      <c r="A72" s="7"/>
      <c r="B72" s="7"/>
      <c r="C72" s="833" t="s">
        <v>1286</v>
      </c>
      <c r="D72" s="1404"/>
      <c r="E72" s="1404"/>
      <c r="F72" s="1404"/>
      <c r="G72" s="1404"/>
      <c r="H72" s="1403"/>
      <c r="I72" s="1403"/>
    </row>
    <row r="73" spans="1:10" s="39" customFormat="1" ht="21" customHeight="1" thickBot="1" x14ac:dyDescent="0.25">
      <c r="A73" s="7"/>
      <c r="B73" s="7"/>
      <c r="C73" s="101" t="s">
        <v>1421</v>
      </c>
      <c r="D73" s="420"/>
      <c r="E73" s="420"/>
      <c r="F73" s="420"/>
      <c r="G73" s="530">
        <f>IFERROR((AVERAGE(1-Dist2Road, RdDens1k, 1-DistPop) + MAX(Reserve, HistList, Trail)) /2,"")</f>
        <v>0.5</v>
      </c>
      <c r="H73" s="1403"/>
      <c r="I73" s="1403"/>
      <c r="J73" s="42"/>
    </row>
    <row r="74" spans="1:10" s="39" customFormat="1" ht="21" customHeight="1" thickBot="1" x14ac:dyDescent="0.25">
      <c r="A74" s="7"/>
      <c r="B74" s="7"/>
      <c r="C74" s="49"/>
      <c r="D74" s="1437"/>
      <c r="E74" s="1437"/>
      <c r="F74" s="1437"/>
      <c r="G74" s="1437"/>
      <c r="H74" s="1403"/>
      <c r="I74" s="1403"/>
    </row>
    <row r="75" spans="1:10" s="39" customFormat="1" ht="21" customHeight="1" thickBot="1" x14ac:dyDescent="0.25">
      <c r="A75" s="7"/>
      <c r="B75" s="7"/>
      <c r="C75" s="833" t="s">
        <v>1489</v>
      </c>
      <c r="D75" s="734"/>
      <c r="E75" s="734"/>
      <c r="F75" s="734"/>
      <c r="G75" s="734"/>
      <c r="H75" s="1403"/>
      <c r="I75" s="1403"/>
    </row>
    <row r="76" spans="1:10" s="39" customFormat="1" ht="26.25" customHeight="1" thickBot="1" x14ac:dyDescent="0.25">
      <c r="A76" s="7"/>
      <c r="B76" s="7"/>
      <c r="C76" s="1335" t="s">
        <v>2001</v>
      </c>
      <c r="D76" s="420"/>
      <c r="E76" s="420"/>
      <c r="F76" s="420"/>
      <c r="G76" s="530">
        <f>IFERROR(AVERAGE(Provis21, Visibility, Core1PU, Core2PU, RecreaPoten, BMPsoilsPU, BMPwildPU),"")</f>
        <v>0.14285714285714285</v>
      </c>
      <c r="H76" s="1403"/>
      <c r="I76" s="1403"/>
    </row>
    <row r="77" spans="1:10" s="44" customFormat="1" ht="21" customHeight="1" thickBot="1" x14ac:dyDescent="0.25">
      <c r="A77" s="7"/>
      <c r="B77" s="7"/>
      <c r="C77" s="206"/>
      <c r="D77" s="1439"/>
      <c r="E77" s="1439"/>
      <c r="F77" s="1439"/>
      <c r="G77" s="1439"/>
      <c r="H77" s="1403"/>
      <c r="I77" s="1403"/>
    </row>
    <row r="78" spans="1:10" s="39" customFormat="1" ht="21" customHeight="1" thickBot="1" x14ac:dyDescent="0.25">
      <c r="A78" s="7"/>
      <c r="B78" s="7"/>
      <c r="C78" s="833" t="s">
        <v>1193</v>
      </c>
      <c r="D78" s="1440"/>
      <c r="E78" s="1440"/>
      <c r="F78" s="1440"/>
      <c r="G78" s="1440"/>
      <c r="H78" s="1403"/>
      <c r="I78" s="1403"/>
    </row>
    <row r="79" spans="1:10" s="39" customFormat="1" ht="27.75" customHeight="1" thickBot="1" x14ac:dyDescent="0.25">
      <c r="A79" s="1436"/>
      <c r="B79" s="1367" t="s">
        <v>1115</v>
      </c>
      <c r="C79" s="1336" t="s">
        <v>2260</v>
      </c>
      <c r="D79" s="325"/>
      <c r="E79" s="325"/>
      <c r="F79" s="325"/>
      <c r="G79" s="530">
        <f>IF((GT10HA=1),G80, IFERROR(IF((Algae21=1),0, AVERAGE(WetArea, Fringe21, Lake21, PondedOWpct21, WatProb)),""))</f>
        <v>0</v>
      </c>
      <c r="H79" s="1403"/>
      <c r="I79" s="1403"/>
    </row>
    <row r="80" spans="1:10" s="39" customFormat="1" ht="28.5" customHeight="1" thickBot="1" x14ac:dyDescent="0.25">
      <c r="A80" s="1436"/>
      <c r="B80" s="1369" t="s">
        <v>1116</v>
      </c>
      <c r="C80" s="1337" t="s">
        <v>2002</v>
      </c>
      <c r="D80" s="327"/>
      <c r="E80" s="327"/>
      <c r="F80" s="327"/>
      <c r="G80" s="781" t="str">
        <f>IFERROR(IF((Algae21=1),0, AVERAGE(WetArea, Fringe21, Lake21, OWpct, WatProb)),"")</f>
        <v/>
      </c>
      <c r="H80" s="1403"/>
      <c r="I80" s="1403"/>
    </row>
    <row r="81" spans="1:9" s="44" customFormat="1" ht="21" customHeight="1" thickBot="1" x14ac:dyDescent="0.25">
      <c r="A81" s="1449"/>
      <c r="B81" s="1449"/>
      <c r="C81" s="206"/>
      <c r="D81" s="1439"/>
      <c r="E81" s="1439"/>
      <c r="F81" s="1439"/>
      <c r="G81" s="1439"/>
      <c r="H81" s="1403"/>
      <c r="I81" s="1403"/>
    </row>
    <row r="82" spans="1:9" s="39" customFormat="1" ht="21" customHeight="1" thickBot="1" x14ac:dyDescent="0.25">
      <c r="A82" s="1449"/>
      <c r="B82" s="1449"/>
      <c r="C82" s="1635" t="s">
        <v>1340</v>
      </c>
      <c r="D82" s="1450"/>
      <c r="E82" s="1450"/>
      <c r="F82" s="1450"/>
      <c r="G82" s="1450"/>
      <c r="H82" s="1403"/>
      <c r="I82" s="1403"/>
    </row>
    <row r="83" spans="1:9" s="39" customFormat="1" ht="21" customHeight="1" thickBot="1" x14ac:dyDescent="0.25">
      <c r="A83" s="1449"/>
      <c r="B83" s="1449"/>
      <c r="C83" s="918" t="s">
        <v>1192</v>
      </c>
      <c r="D83" s="1440"/>
      <c r="E83" s="1440"/>
      <c r="F83" s="1440"/>
      <c r="G83" s="1440"/>
      <c r="H83" s="1403"/>
      <c r="I83" s="1403"/>
    </row>
    <row r="84" spans="1:9" s="39" customFormat="1" ht="21" customHeight="1" thickBot="1" x14ac:dyDescent="0.25">
      <c r="A84" s="1449"/>
      <c r="B84" s="1449"/>
      <c r="C84" s="101" t="s">
        <v>2003</v>
      </c>
      <c r="D84" s="420"/>
      <c r="E84" s="420"/>
      <c r="F84" s="420"/>
      <c r="G84" s="1415">
        <f>10*AVERAGE(Ownership, Invest21, Access1a, Use1a, Wet1a)</f>
        <v>1.2857142857142856</v>
      </c>
      <c r="H84" s="1403"/>
      <c r="I84" s="1403"/>
    </row>
    <row r="85" spans="1:9" ht="21" customHeight="1" x14ac:dyDescent="0.2">
      <c r="A85" s="1449"/>
      <c r="B85" s="1449"/>
      <c r="C85" s="1402"/>
      <c r="D85" s="1402"/>
      <c r="E85" s="1403"/>
      <c r="F85" s="1403"/>
      <c r="G85" s="1403"/>
      <c r="H85" s="1403"/>
      <c r="I85" s="1403"/>
    </row>
    <row r="86" spans="1:9" ht="21" customHeight="1" x14ac:dyDescent="0.2">
      <c r="A86" s="1664"/>
      <c r="B86" s="1664"/>
      <c r="C86" s="1534" t="s">
        <v>1336</v>
      </c>
      <c r="D86" s="1545"/>
      <c r="E86" s="1403"/>
      <c r="F86" s="1403"/>
      <c r="G86" s="1403"/>
      <c r="H86" s="1403"/>
      <c r="I86" s="1403"/>
    </row>
    <row r="87" spans="1:9" s="180" customFormat="1" ht="21" customHeight="1" x14ac:dyDescent="0.2">
      <c r="A87" s="1559"/>
      <c r="B87" s="1525">
        <v>1</v>
      </c>
      <c r="C87" s="1532" t="s">
        <v>1241</v>
      </c>
      <c r="D87" s="1545"/>
      <c r="E87" s="1403"/>
      <c r="F87" s="1403"/>
      <c r="G87" s="1403"/>
      <c r="H87" s="1403"/>
      <c r="I87" s="1403"/>
    </row>
    <row r="88" spans="1:9" s="180" customFormat="1" ht="21" customHeight="1" x14ac:dyDescent="0.2">
      <c r="A88" s="1559"/>
      <c r="B88" s="1533" t="s">
        <v>1227</v>
      </c>
      <c r="C88" s="1532" t="s">
        <v>1422</v>
      </c>
      <c r="D88" s="1527">
        <f>IFERROR(AVERAGE(1-Dist2Road, RdDens1k, 1-DistPop, Trail),"")</f>
        <v>1</v>
      </c>
      <c r="E88" s="1403"/>
      <c r="F88" s="1403"/>
      <c r="G88" s="1403"/>
      <c r="H88" s="1403"/>
      <c r="I88" s="1403"/>
    </row>
    <row r="89" spans="1:9" s="180" customFormat="1" ht="21" customHeight="1" x14ac:dyDescent="0.2">
      <c r="A89" s="1559"/>
      <c r="B89" s="1533" t="s">
        <v>1228</v>
      </c>
      <c r="C89" s="1532" t="s">
        <v>1350</v>
      </c>
      <c r="D89" s="1527" t="str">
        <f>IFERROR(AVERAGE(WetArea, WatProb, OWpct, Fringe, Lake),"")</f>
        <v/>
      </c>
      <c r="E89" s="1403"/>
      <c r="F89" s="1403"/>
      <c r="G89" s="1403"/>
      <c r="H89" s="1403"/>
      <c r="I89" s="1403"/>
    </row>
    <row r="90" spans="1:9" s="180" customFormat="1" ht="21" customHeight="1" x14ac:dyDescent="0.2">
      <c r="A90" s="1559"/>
      <c r="B90" s="1533" t="s">
        <v>1229</v>
      </c>
      <c r="C90" s="1532" t="s">
        <v>1242</v>
      </c>
      <c r="D90" s="1527">
        <f>IFERROR(MAX(Reserve, HistList),"")</f>
        <v>0</v>
      </c>
      <c r="E90" s="1403"/>
      <c r="F90" s="1403"/>
      <c r="G90" s="1403"/>
      <c r="H90" s="1403"/>
      <c r="I90" s="1403"/>
    </row>
    <row r="91" spans="1:9" s="180" customFormat="1" ht="21" customHeight="1" x14ac:dyDescent="0.2">
      <c r="A91" s="1559"/>
      <c r="B91" s="1533">
        <v>2</v>
      </c>
      <c r="C91" s="1532" t="s">
        <v>1243</v>
      </c>
      <c r="D91" s="1527">
        <f>10*AVERAGE(Public,D88:D90)</f>
        <v>5</v>
      </c>
      <c r="E91" s="1403"/>
      <c r="F91" s="1403"/>
      <c r="G91" s="1403"/>
      <c r="H91" s="1403"/>
      <c r="I91" s="1403"/>
    </row>
    <row r="92" spans="1:9" ht="21" customHeight="1" x14ac:dyDescent="0.2">
      <c r="A92" s="1559"/>
      <c r="B92" s="1665"/>
      <c r="C92" s="1585"/>
      <c r="D92" s="1536"/>
      <c r="E92" s="1403"/>
      <c r="F92" s="1403"/>
      <c r="G92" s="1403"/>
      <c r="H92" s="1403"/>
      <c r="I92" s="1403"/>
    </row>
    <row r="93" spans="1:9" ht="21" customHeight="1" x14ac:dyDescent="0.2">
      <c r="A93" s="1559"/>
      <c r="B93" s="1666"/>
      <c r="C93" s="1534" t="s">
        <v>1329</v>
      </c>
      <c r="D93" s="1536"/>
      <c r="E93" s="1403"/>
      <c r="F93" s="1403"/>
      <c r="G93" s="1403"/>
      <c r="H93" s="1403"/>
      <c r="I93" s="1403"/>
    </row>
    <row r="94" spans="1:9" ht="21" customHeight="1" x14ac:dyDescent="0.2">
      <c r="A94" s="1559"/>
      <c r="B94" s="1525">
        <v>1</v>
      </c>
      <c r="C94" s="1532" t="s">
        <v>1241</v>
      </c>
      <c r="D94" s="1536"/>
      <c r="E94" s="1403"/>
      <c r="F94" s="1403"/>
      <c r="G94" s="1403"/>
      <c r="H94" s="1403"/>
      <c r="I94" s="1403"/>
    </row>
    <row r="95" spans="1:9" ht="21" customHeight="1" x14ac:dyDescent="0.2">
      <c r="A95" s="1559"/>
      <c r="B95" s="1533" t="s">
        <v>1227</v>
      </c>
      <c r="C95" s="1532" t="s">
        <v>1422</v>
      </c>
      <c r="D95" s="1527">
        <f>IFERROR(AVERAGE(1-Dist2Road, RdDens1k, 1-DistPop, Trail),"")</f>
        <v>1</v>
      </c>
      <c r="E95" s="1403"/>
      <c r="F95" s="1403"/>
      <c r="G95" s="1403"/>
      <c r="H95" s="1403"/>
      <c r="I95" s="1403"/>
    </row>
    <row r="96" spans="1:9" ht="21" customHeight="1" x14ac:dyDescent="0.2">
      <c r="A96" s="1559"/>
      <c r="B96" s="1533" t="s">
        <v>1228</v>
      </c>
      <c r="C96" s="1532" t="s">
        <v>2004</v>
      </c>
      <c r="D96" s="1527" t="str">
        <f>IFERROR(AVERAGE(WetArea, WatProb, OWpct, Fringe, Lake),"")</f>
        <v/>
      </c>
      <c r="E96" s="1403"/>
      <c r="F96" s="1403"/>
      <c r="G96" s="1403"/>
      <c r="H96" s="1403"/>
      <c r="I96" s="1403"/>
    </row>
    <row r="97" spans="1:9" ht="21" customHeight="1" x14ac:dyDescent="0.2">
      <c r="A97" s="1559"/>
      <c r="B97" s="1533" t="s">
        <v>1229</v>
      </c>
      <c r="C97" s="1532" t="s">
        <v>1242</v>
      </c>
      <c r="D97" s="1527">
        <f>IFERROR(MAX(Reserve, HistList),"")</f>
        <v>0</v>
      </c>
      <c r="E97" s="1403"/>
      <c r="F97" s="1403"/>
      <c r="G97" s="1403"/>
      <c r="H97" s="1403"/>
      <c r="I97" s="1403"/>
    </row>
    <row r="98" spans="1:9" ht="21" customHeight="1" x14ac:dyDescent="0.2">
      <c r="A98" s="1667"/>
      <c r="B98" s="1533">
        <v>2</v>
      </c>
      <c r="C98" s="1532" t="s">
        <v>2005</v>
      </c>
      <c r="D98" s="1527">
        <f>10*AVERAGE(Ownership,D95:D97)</f>
        <v>3.333333333333333</v>
      </c>
      <c r="E98" s="1403"/>
      <c r="F98" s="1403"/>
      <c r="G98" s="1403"/>
      <c r="H98" s="1403"/>
      <c r="I98" s="1403"/>
    </row>
  </sheetData>
  <sheetProtection password="C4B9" sheet="1" objects="1" scenarios="1"/>
  <sortState ref="A3:BN13">
    <sortCondition ref="H3:H13"/>
  </sortState>
  <customSheetViews>
    <customSheetView guid="{B8E02330-2419-4DE6-AD01-7ACC7A5D18DD}" scale="75">
      <pageMargins left="0.75" right="0.75" top="1" bottom="1" header="0.5" footer="0.5"/>
      <pageSetup orientation="portrait" r:id="rId1"/>
      <headerFooter alignWithMargins="0"/>
    </customSheetView>
  </customSheetViews>
  <mergeCells count="38">
    <mergeCell ref="A66:A70"/>
    <mergeCell ref="I34:I38"/>
    <mergeCell ref="B39:B45"/>
    <mergeCell ref="I39:I45"/>
    <mergeCell ref="B34:B38"/>
    <mergeCell ref="A34:A38"/>
    <mergeCell ref="A39:A45"/>
    <mergeCell ref="I53:I61"/>
    <mergeCell ref="I46:I50"/>
    <mergeCell ref="B46:B50"/>
    <mergeCell ref="B62:B65"/>
    <mergeCell ref="A62:A65"/>
    <mergeCell ref="H34:H38"/>
    <mergeCell ref="B53:B61"/>
    <mergeCell ref="H66:H70"/>
    <mergeCell ref="H62:H65"/>
    <mergeCell ref="A25:A28"/>
    <mergeCell ref="A53:A61"/>
    <mergeCell ref="A1:B1"/>
    <mergeCell ref="I17:I23"/>
    <mergeCell ref="B17:B23"/>
    <mergeCell ref="A17:A23"/>
    <mergeCell ref="A29:A33"/>
    <mergeCell ref="I25:I28"/>
    <mergeCell ref="I29:I33"/>
    <mergeCell ref="B25:B28"/>
    <mergeCell ref="H29:H33"/>
    <mergeCell ref="H25:H28"/>
    <mergeCell ref="A46:A50"/>
    <mergeCell ref="H17:H23"/>
    <mergeCell ref="E1:I1"/>
    <mergeCell ref="B29:B33"/>
    <mergeCell ref="B66:B70"/>
    <mergeCell ref="H53:H61"/>
    <mergeCell ref="H46:H50"/>
    <mergeCell ref="H39:H45"/>
    <mergeCell ref="I62:I65"/>
    <mergeCell ref="I66:I70"/>
  </mergeCells>
  <phoneticPr fontId="5" type="noConversion"/>
  <conditionalFormatting sqref="D17:D20 D22:D27 D29 D31:D40 D42:D49 D51:D61 D66:D70">
    <cfRule type="cellIs" dxfId="1" priority="1" operator="greaterThan">
      <formula>0</formula>
    </cfRule>
  </conditionalFormatting>
  <pageMargins left="0.75" right="0.75" top="1" bottom="1" header="0.5" footer="0.5"/>
  <pageSetup orientation="portrait" r:id="rId2"/>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theme="2" tint="-0.499984740745262"/>
  </sheetPr>
  <dimension ref="A1:V44"/>
  <sheetViews>
    <sheetView zoomScaleNormal="100" workbookViewId="0">
      <selection activeCell="A40" sqref="A40"/>
    </sheetView>
  </sheetViews>
  <sheetFormatPr defaultColWidth="5.83203125" defaultRowHeight="12.75" x14ac:dyDescent="0.2"/>
  <cols>
    <col min="1" max="1" width="66.33203125" style="10" customWidth="1"/>
    <col min="2" max="2" width="17.6640625" style="62" customWidth="1"/>
    <col min="3" max="3" width="15.1640625" style="62" customWidth="1"/>
    <col min="4" max="4" width="17.33203125" style="62" customWidth="1"/>
    <col min="5" max="5" width="19.33203125" style="67" customWidth="1"/>
    <col min="6" max="6" width="17.83203125" style="67" customWidth="1"/>
    <col min="7" max="7" width="10.1640625" style="67" customWidth="1"/>
    <col min="8" max="8" width="11.33203125" style="67" customWidth="1"/>
    <col min="9" max="9" width="12.5" style="67" customWidth="1"/>
    <col min="10" max="10" width="12.33203125" style="10" customWidth="1"/>
    <col min="11" max="11" width="12.6640625" style="10" customWidth="1"/>
    <col min="12" max="12" width="11.33203125" style="10" customWidth="1"/>
    <col min="13" max="17" width="6.33203125" style="10" bestFit="1" customWidth="1"/>
    <col min="18" max="18" width="7.6640625" style="10" customWidth="1"/>
    <col min="19" max="16384" width="5.83203125" style="10"/>
  </cols>
  <sheetData>
    <row r="1" spans="1:22" ht="21.75" customHeight="1" x14ac:dyDescent="0.2">
      <c r="A1" s="1763"/>
      <c r="B1" s="2440"/>
      <c r="C1" s="2440"/>
      <c r="D1" s="2440"/>
      <c r="E1" s="2440"/>
      <c r="F1" s="2440"/>
      <c r="G1" s="2440"/>
      <c r="H1" s="2440"/>
      <c r="I1" s="2440"/>
      <c r="J1" s="2440"/>
      <c r="K1" s="2440"/>
    </row>
    <row r="2" spans="1:22" ht="20.25" customHeight="1" x14ac:dyDescent="0.2">
      <c r="A2" s="1763"/>
      <c r="B2" s="2440"/>
      <c r="C2" s="2440"/>
      <c r="D2" s="2440"/>
      <c r="E2" s="2440"/>
      <c r="F2" s="2440"/>
      <c r="G2" s="2440"/>
      <c r="H2" s="2440"/>
      <c r="I2" s="2440"/>
      <c r="J2" s="2440"/>
      <c r="K2" s="2440"/>
    </row>
    <row r="3" spans="1:22" ht="19.5" customHeight="1" x14ac:dyDescent="0.2">
      <c r="A3" s="1763"/>
      <c r="B3" s="2440"/>
      <c r="C3" s="2440"/>
      <c r="D3" s="2440"/>
      <c r="E3" s="2440"/>
      <c r="F3" s="2440"/>
      <c r="G3" s="2440"/>
      <c r="H3" s="2440"/>
      <c r="I3" s="2440"/>
      <c r="J3" s="2440"/>
      <c r="K3" s="2440"/>
    </row>
    <row r="4" spans="1:22" ht="19.5" customHeight="1" x14ac:dyDescent="0.2">
      <c r="A4" s="1763"/>
      <c r="B4" s="2440"/>
      <c r="C4" s="2440"/>
      <c r="D4" s="2440"/>
      <c r="E4" s="2440"/>
      <c r="F4" s="2440"/>
      <c r="G4" s="2440"/>
      <c r="H4" s="2440"/>
      <c r="I4" s="2440"/>
      <c r="J4" s="2440"/>
      <c r="K4" s="2440"/>
    </row>
    <row r="5" spans="1:22" x14ac:dyDescent="0.2">
      <c r="B5" s="63"/>
      <c r="C5" s="64"/>
      <c r="D5" s="70"/>
      <c r="E5" s="71"/>
      <c r="F5" s="72"/>
      <c r="G5" s="72"/>
    </row>
    <row r="6" spans="1:22" ht="41.25" customHeight="1" x14ac:dyDescent="0.2">
      <c r="A6" s="2443" t="s">
        <v>1384</v>
      </c>
      <c r="B6" s="2443"/>
      <c r="C6" s="66"/>
      <c r="D6" s="68"/>
      <c r="E6" s="69"/>
      <c r="F6" s="69"/>
      <c r="G6" s="69"/>
    </row>
    <row r="7" spans="1:22" ht="14.25" customHeight="1" thickBot="1" x14ac:dyDescent="0.25">
      <c r="A7" s="65"/>
      <c r="B7" s="65"/>
      <c r="C7" s="65"/>
      <c r="D7" s="639"/>
      <c r="E7" s="639"/>
      <c r="F7" s="639"/>
      <c r="G7" s="639"/>
      <c r="H7" s="639"/>
      <c r="I7" s="639"/>
    </row>
    <row r="8" spans="1:22" ht="19.5" customHeight="1" thickBot="1" x14ac:dyDescent="0.25">
      <c r="A8" s="2441" t="s">
        <v>1911</v>
      </c>
      <c r="B8" s="2442"/>
      <c r="C8" s="1743"/>
      <c r="D8" s="1744"/>
      <c r="E8" s="1745"/>
      <c r="F8" s="1745"/>
      <c r="G8" s="1746"/>
      <c r="H8" s="1746"/>
      <c r="I8" s="1746"/>
      <c r="J8" s="1747"/>
      <c r="K8" s="1747"/>
      <c r="L8" s="1748"/>
      <c r="M8" s="1748"/>
      <c r="N8" s="1747"/>
      <c r="O8" s="1747"/>
      <c r="P8" s="1747"/>
      <c r="Q8" s="1747"/>
      <c r="R8" s="1749"/>
      <c r="S8" s="1725"/>
      <c r="T8" s="1725"/>
      <c r="U8" s="1725"/>
      <c r="V8" s="1725"/>
    </row>
    <row r="9" spans="1:22" ht="56.25" customHeight="1" thickBot="1" x14ac:dyDescent="0.35">
      <c r="A9" s="1764" t="s">
        <v>2020</v>
      </c>
      <c r="B9" s="1765" t="s">
        <v>1312</v>
      </c>
      <c r="C9" s="1723" t="s">
        <v>1313</v>
      </c>
      <c r="D9" s="1723" t="s">
        <v>1314</v>
      </c>
      <c r="E9" s="1726"/>
      <c r="F9" s="1727"/>
      <c r="G9" s="1727"/>
      <c r="H9" s="1728">
        <v>1</v>
      </c>
      <c r="I9" s="1728">
        <v>2</v>
      </c>
      <c r="J9" s="1728">
        <v>3</v>
      </c>
      <c r="K9" s="1728">
        <v>12</v>
      </c>
      <c r="L9" s="1728">
        <v>13</v>
      </c>
      <c r="M9" s="1728">
        <v>14</v>
      </c>
      <c r="N9" s="1728">
        <v>15</v>
      </c>
      <c r="O9" s="1728">
        <v>16</v>
      </c>
      <c r="P9" s="1728">
        <v>17</v>
      </c>
      <c r="Q9" s="1728">
        <v>20</v>
      </c>
      <c r="R9" s="1750">
        <v>21</v>
      </c>
      <c r="S9" s="1725"/>
      <c r="T9" s="1725"/>
      <c r="U9" s="1725"/>
      <c r="V9" s="1725"/>
    </row>
    <row r="10" spans="1:22" s="266" customFormat="1" ht="24" customHeight="1" x14ac:dyDescent="0.3">
      <c r="A10" s="1766" t="s">
        <v>321</v>
      </c>
      <c r="B10" s="1789">
        <f>IFERROR(IF(WS!$G111&gt;10,10, IF(WS!$G111&lt;0,0, WS!$G111)),"")</f>
        <v>1.3888888888888886</v>
      </c>
      <c r="C10" s="1724">
        <f>IFERROR(IF(WS!D122&gt;10,10, IF(WS!$D122&lt;0,0, WS!$D122)),"")</f>
        <v>10</v>
      </c>
      <c r="D10" s="1724">
        <f>IFERROR(IF(WS!$D133&gt;10,10, IF(WS!$D133&lt;0,0, WS!$D133)),"")</f>
        <v>4</v>
      </c>
      <c r="E10" s="1724"/>
      <c r="F10" s="2439" t="s">
        <v>2273</v>
      </c>
      <c r="G10" s="1729" t="s">
        <v>2274</v>
      </c>
      <c r="H10" s="1730">
        <v>0.38146855600319618</v>
      </c>
      <c r="I10" s="1730">
        <v>0.3879099060600823</v>
      </c>
      <c r="J10" s="1730">
        <v>0.39496340488030385</v>
      </c>
      <c r="K10" s="1730">
        <v>0.38286594423992659</v>
      </c>
      <c r="L10" s="1730">
        <v>0.3979163414907726</v>
      </c>
      <c r="M10" s="1730">
        <v>0.38053993886675308</v>
      </c>
      <c r="N10" s="1730">
        <v>0.40313545880237883</v>
      </c>
      <c r="O10" s="1730">
        <v>0.37476716462392645</v>
      </c>
      <c r="P10" s="1730">
        <v>0.37575957878234906</v>
      </c>
      <c r="Q10" s="1730">
        <v>0.39820114272448415</v>
      </c>
      <c r="R10" s="1751">
        <v>0.40632160511634668</v>
      </c>
      <c r="S10" s="1731"/>
      <c r="T10" s="1731"/>
      <c r="U10" s="1731"/>
      <c r="V10" s="1731"/>
    </row>
    <row r="11" spans="1:22" s="266" customFormat="1" ht="24" customHeight="1" thickBot="1" x14ac:dyDescent="0.35">
      <c r="A11" s="1767" t="s">
        <v>320</v>
      </c>
      <c r="B11" s="1790">
        <f>IFERROR(IF(SFS!$G54&gt;10,10, IF(SFS!$G54&lt;0,0, SFS!$G54)),"")</f>
        <v>10</v>
      </c>
      <c r="C11" s="1724">
        <f>IFERROR(IF(SFS!$D62&gt;10,10, IF(SFS!$D62&lt;0,0, SFS!$D62)),"")</f>
        <v>10</v>
      </c>
      <c r="D11" s="1724">
        <f>IFERROR(IF(SFS!$D70&gt;10,10, IF(SFS!$D70&lt;0,0, SFS!$D70)),"")</f>
        <v>8.3333333333333339</v>
      </c>
      <c r="E11" s="1724"/>
      <c r="F11" s="2439"/>
      <c r="G11" s="1729" t="s">
        <v>2275</v>
      </c>
      <c r="H11" s="1730">
        <v>1</v>
      </c>
      <c r="I11" s="1730">
        <v>1</v>
      </c>
      <c r="J11" s="1730">
        <v>1</v>
      </c>
      <c r="K11" s="1730">
        <v>1</v>
      </c>
      <c r="L11" s="1730">
        <v>1</v>
      </c>
      <c r="M11" s="1730">
        <v>1</v>
      </c>
      <c r="N11" s="1730">
        <v>1</v>
      </c>
      <c r="O11" s="1730">
        <v>1</v>
      </c>
      <c r="P11" s="1730">
        <v>1</v>
      </c>
      <c r="Q11" s="1730">
        <v>1</v>
      </c>
      <c r="R11" s="1751">
        <v>1</v>
      </c>
      <c r="S11" s="1731"/>
      <c r="T11" s="1731"/>
      <c r="U11" s="1731"/>
      <c r="V11" s="1731"/>
    </row>
    <row r="12" spans="1:22" s="266" customFormat="1" ht="24" customHeight="1" x14ac:dyDescent="0.3">
      <c r="A12" s="1768" t="s">
        <v>319</v>
      </c>
      <c r="B12" s="1789">
        <f>IFERROR(IF(WC!$G82&gt;10,10, IF(WC!$G82&lt;0,0, WC!$G82)),"")</f>
        <v>0.625</v>
      </c>
      <c r="C12" s="1724">
        <f>IFERROR(IF(WC!$D90&gt;10,10, IF(WC!$D90&lt;0,0, WC!$D90)),"")</f>
        <v>0</v>
      </c>
      <c r="D12" s="1724">
        <f>IFERROR(IF(WC!$D98&gt;10,10, IF(WC!$D98&lt;0,0, WC!$D98)),"")</f>
        <v>0</v>
      </c>
      <c r="E12" s="1724"/>
      <c r="F12" s="2439" t="s">
        <v>2276</v>
      </c>
      <c r="G12" s="1729" t="s">
        <v>2274</v>
      </c>
      <c r="H12" s="1730">
        <v>0.25863933097674363</v>
      </c>
      <c r="I12" s="1730">
        <v>0.34727702234619384</v>
      </c>
      <c r="J12" s="1730">
        <v>0.30285867218608453</v>
      </c>
      <c r="K12" s="1730">
        <v>0.35432615768101111</v>
      </c>
      <c r="L12" s="1730">
        <v>0.31858341840950755</v>
      </c>
      <c r="M12" s="1730">
        <v>0.28887362019675245</v>
      </c>
      <c r="N12" s="1730">
        <v>0.21930329872107185</v>
      </c>
      <c r="O12" s="1730">
        <v>0.33971224759248353</v>
      </c>
      <c r="P12" s="1730">
        <v>0.32744410227204629</v>
      </c>
      <c r="Q12" s="1730">
        <v>0.37969647461973483</v>
      </c>
      <c r="R12" s="1751">
        <v>0.2417358565152678</v>
      </c>
      <c r="S12" s="1731"/>
      <c r="T12" s="1731"/>
      <c r="U12" s="1731"/>
      <c r="V12" s="1731"/>
    </row>
    <row r="13" spans="1:22" s="266" customFormat="1" ht="24" customHeight="1" x14ac:dyDescent="0.3">
      <c r="A13" s="1769" t="s">
        <v>9</v>
      </c>
      <c r="B13" s="1791">
        <f>IFERROR(IF(SR!$G105&gt;10,10, IF(SR!$G105&lt;0,0, SR!$G105)),"")</f>
        <v>0.20833333333333331</v>
      </c>
      <c r="C13" s="1724">
        <f>IFERROR(IF(SR!$D110&gt;10,10, IF(SR!$D110&lt;0,0, SR!$D110)),"")</f>
        <v>10</v>
      </c>
      <c r="D13" s="1724">
        <f>IFERROR(IF(SR!$D115&gt;10,10, IF(SR!$D115&lt;0,0, SR!$D115)),"")</f>
        <v>3.333333333333333</v>
      </c>
      <c r="E13" s="1724"/>
      <c r="F13" s="2439"/>
      <c r="G13" s="1729" t="s">
        <v>2275</v>
      </c>
      <c r="H13" s="1730">
        <v>1</v>
      </c>
      <c r="I13" s="1730">
        <v>1</v>
      </c>
      <c r="J13" s="1730">
        <v>1</v>
      </c>
      <c r="K13" s="1730">
        <v>1.0000000000433955</v>
      </c>
      <c r="L13" s="1730">
        <v>1.0000000000433955</v>
      </c>
      <c r="M13" s="1730">
        <v>1</v>
      </c>
      <c r="N13" s="1730">
        <v>1</v>
      </c>
      <c r="O13" s="1730">
        <v>1</v>
      </c>
      <c r="P13" s="1730">
        <v>1</v>
      </c>
      <c r="Q13" s="1730">
        <v>1</v>
      </c>
      <c r="R13" s="1751">
        <v>1</v>
      </c>
      <c r="S13" s="1731"/>
      <c r="T13" s="1731"/>
      <c r="U13" s="1731"/>
      <c r="V13" s="1731"/>
    </row>
    <row r="14" spans="1:22" s="266" customFormat="1" ht="24" customHeight="1" x14ac:dyDescent="0.3">
      <c r="A14" s="1769" t="s">
        <v>315</v>
      </c>
      <c r="B14" s="1791">
        <f>IFERROR(IF( PR!$G117&gt;10,10, IF( PR!$G117&lt;0,0, PR!$G117)),"")</f>
        <v>0.37037037037037035</v>
      </c>
      <c r="C14" s="1724">
        <f>IFERROR(IF(PR!$D124&gt;10,10, IF(PR!$D124&lt;0,0, PR!$D124)),"")</f>
        <v>10</v>
      </c>
      <c r="D14" s="1724">
        <f>IFERROR(IF( PR!$D131&gt;10,10, IF( PR!$D131&lt;0,0, PR!$D131)),"")</f>
        <v>3.333333333333333</v>
      </c>
      <c r="E14" s="1724"/>
      <c r="F14" s="2439" t="s">
        <v>2277</v>
      </c>
      <c r="G14" s="1729" t="s">
        <v>2274</v>
      </c>
      <c r="H14" s="1730">
        <v>0.20906835744294067</v>
      </c>
      <c r="I14" s="1730">
        <v>0.20663912836453724</v>
      </c>
      <c r="J14" s="1730">
        <v>0.23643943266190853</v>
      </c>
      <c r="K14" s="1730">
        <v>0.20093675118837312</v>
      </c>
      <c r="L14" s="1730">
        <v>0.3003400418268749</v>
      </c>
      <c r="M14" s="1730">
        <v>0.26442553415235687</v>
      </c>
      <c r="N14" s="1730">
        <v>0.32068011519767398</v>
      </c>
      <c r="O14" s="1730">
        <v>0.19077169554891751</v>
      </c>
      <c r="P14" s="1730">
        <v>0.19957947872258952</v>
      </c>
      <c r="Q14" s="1730">
        <v>0.23401677143495078</v>
      </c>
      <c r="R14" s="1751">
        <v>0.30261006371701371</v>
      </c>
      <c r="S14" s="1731"/>
      <c r="T14" s="1731"/>
      <c r="U14" s="1731"/>
      <c r="V14" s="1731"/>
    </row>
    <row r="15" spans="1:22" s="266" customFormat="1" ht="24" customHeight="1" thickBot="1" x14ac:dyDescent="0.35">
      <c r="A15" s="1767" t="s">
        <v>70</v>
      </c>
      <c r="B15" s="1790">
        <f>IFERROR(IF(NR!$G156&gt;10,10, IF(NR!$G156&lt;0,0, NR!$G156)),"")</f>
        <v>0.91666666666666663</v>
      </c>
      <c r="C15" s="1724">
        <f>IFERROR(IF(NR!$D166&gt;10,10, IF(NR!$D166&lt;0,0, NR!$D166)),"")</f>
        <v>10</v>
      </c>
      <c r="D15" s="1724">
        <f>IFERROR(IF(NR!$D176&gt;10,10, IF(NR!$D176&lt;0,0, NR!$D176)),"")</f>
        <v>5</v>
      </c>
      <c r="E15" s="1724"/>
      <c r="F15" s="2439"/>
      <c r="G15" s="1729" t="s">
        <v>2275</v>
      </c>
      <c r="H15" s="1730">
        <v>1</v>
      </c>
      <c r="I15" s="1730">
        <v>1</v>
      </c>
      <c r="J15" s="1730">
        <v>1</v>
      </c>
      <c r="K15" s="1730">
        <v>1</v>
      </c>
      <c r="L15" s="1730">
        <v>1</v>
      </c>
      <c r="M15" s="1730">
        <v>1</v>
      </c>
      <c r="N15" s="1730">
        <v>1</v>
      </c>
      <c r="O15" s="1730">
        <v>1</v>
      </c>
      <c r="P15" s="1730">
        <v>1</v>
      </c>
      <c r="Q15" s="1730">
        <v>1</v>
      </c>
      <c r="R15" s="1751">
        <v>1</v>
      </c>
      <c r="S15" s="1731"/>
      <c r="T15" s="1731"/>
      <c r="U15" s="1731"/>
      <c r="V15" s="1731"/>
    </row>
    <row r="16" spans="1:22" s="266" customFormat="1" ht="24" customHeight="1" x14ac:dyDescent="0.3">
      <c r="A16" s="1768" t="s">
        <v>280</v>
      </c>
      <c r="B16" s="1789">
        <f>IFERROR(IF(OE!$G132&gt;10,10, IF(OE!$G132&lt;0,0, OE!$G132)),"")</f>
        <v>0</v>
      </c>
      <c r="C16" s="1724">
        <f>IFERROR(IF(OE!$D139&gt;10,10, IF(OE!$D139&lt;0,0, OE!$D139)),"")</f>
        <v>0</v>
      </c>
      <c r="D16" s="1724">
        <f>IFERROR(IF(OE!$D146&gt;10,10, IF(OE!$D146&lt;0,0, OE!$D146)),"")</f>
        <v>0</v>
      </c>
      <c r="E16" s="1724"/>
      <c r="F16" s="2439" t="s">
        <v>2278</v>
      </c>
      <c r="G16" s="1729" t="s">
        <v>2274</v>
      </c>
      <c r="H16" s="1730">
        <v>0.3504861964321529</v>
      </c>
      <c r="I16" s="1730">
        <v>0.34059811869686502</v>
      </c>
      <c r="J16" s="1730">
        <v>0.1676767643615607</v>
      </c>
      <c r="K16" s="1730">
        <v>0.33325326224540158</v>
      </c>
      <c r="L16" s="1730">
        <v>0.24306378810509882</v>
      </c>
      <c r="M16" s="1730">
        <v>0.2504515085813161</v>
      </c>
      <c r="N16" s="1730">
        <v>0.26293493925242845</v>
      </c>
      <c r="O16" s="1730">
        <v>0.26264718491421241</v>
      </c>
      <c r="P16" s="1730">
        <v>0.22570416838274976</v>
      </c>
      <c r="Q16" s="1730">
        <v>0.20461057057295381</v>
      </c>
      <c r="R16" s="1751">
        <v>0.22708410858645089</v>
      </c>
      <c r="S16" s="1731"/>
      <c r="T16" s="1731"/>
      <c r="U16" s="1731"/>
      <c r="V16" s="1731"/>
    </row>
    <row r="17" spans="1:22" s="266" customFormat="1" ht="24" customHeight="1" x14ac:dyDescent="0.3">
      <c r="A17" s="1769" t="s">
        <v>1105</v>
      </c>
      <c r="B17" s="1791">
        <f>IFERROR(IF(FH!$G142&gt;10,10, IF(FH!$G142&lt;0,0, FH!$G142)),"")</f>
        <v>0</v>
      </c>
      <c r="C17" s="1724">
        <f>IFERROR(IF(FH!$D150&gt;10,10, IF(FH!$D150&lt;0,0, FH!$D150)),"")</f>
        <v>7.5</v>
      </c>
      <c r="D17" s="1724">
        <f>IFERROR(IF(FH!$D158&gt;10,10, IF(FH!$D158&lt;0,0, FH!$D158)),"")</f>
        <v>3.75</v>
      </c>
      <c r="E17" s="1724"/>
      <c r="F17" s="2439"/>
      <c r="G17" s="1729" t="s">
        <v>2275</v>
      </c>
      <c r="H17" s="1730">
        <v>0.9646450320942801</v>
      </c>
      <c r="I17" s="1730">
        <v>0.91675384370135005</v>
      </c>
      <c r="J17" s="1730">
        <v>0.93063188482856807</v>
      </c>
      <c r="K17" s="1730">
        <v>0.94561260957713777</v>
      </c>
      <c r="L17" s="1730">
        <v>0.92692506856672452</v>
      </c>
      <c r="M17" s="1730">
        <v>0.9099428735453069</v>
      </c>
      <c r="N17" s="1730">
        <v>0.92630605465623828</v>
      </c>
      <c r="O17" s="1730">
        <v>0.91185015497786182</v>
      </c>
      <c r="P17" s="1730">
        <v>0.90973070267660638</v>
      </c>
      <c r="Q17" s="1730">
        <v>0.92147170655674737</v>
      </c>
      <c r="R17" s="1751">
        <v>0.93243860473670703</v>
      </c>
      <c r="S17" s="1731"/>
      <c r="T17" s="1731"/>
      <c r="U17" s="1731"/>
      <c r="V17" s="1731"/>
    </row>
    <row r="18" spans="1:22" s="266" customFormat="1" ht="24" customHeight="1" x14ac:dyDescent="0.3">
      <c r="A18" s="1769" t="s">
        <v>18</v>
      </c>
      <c r="B18" s="1791">
        <f>IFERROR(IF(INV!$G158&gt;10,10, IF(INV!$G158&lt;0,0, INV!$G158)),"")</f>
        <v>2.2023809523809526</v>
      </c>
      <c r="C18" s="1724">
        <f>IFERROR(IF(INV!$D166&gt;10,10, IF(INV!$D166&lt;0,0, INV!$D166)),"")</f>
        <v>10</v>
      </c>
      <c r="D18" s="1724">
        <f>IFERROR(IF(INV!$D174&gt;10,10, IF(INV!$D174&lt;0,0, INV!$D174)),"")</f>
        <v>0</v>
      </c>
      <c r="E18" s="1724"/>
      <c r="F18" s="1732" t="s">
        <v>2282</v>
      </c>
      <c r="G18" s="1731"/>
      <c r="H18" s="1727">
        <v>0</v>
      </c>
      <c r="I18" s="1727">
        <v>0</v>
      </c>
      <c r="J18" s="1727">
        <v>-1</v>
      </c>
      <c r="K18" s="1727">
        <v>0</v>
      </c>
      <c r="L18" s="1727">
        <v>1</v>
      </c>
      <c r="M18" s="1727">
        <v>1</v>
      </c>
      <c r="N18" s="1727">
        <v>1</v>
      </c>
      <c r="O18" s="1727">
        <v>0</v>
      </c>
      <c r="P18" s="1727">
        <v>-1</v>
      </c>
      <c r="Q18" s="1727">
        <v>1</v>
      </c>
      <c r="R18" s="1760">
        <v>1</v>
      </c>
      <c r="S18" s="1731"/>
      <c r="T18" s="1731"/>
      <c r="U18" s="1731"/>
      <c r="V18" s="1731"/>
    </row>
    <row r="19" spans="1:22" s="266" customFormat="1" ht="24" customHeight="1" x14ac:dyDescent="0.2">
      <c r="A19" s="1769" t="s">
        <v>90</v>
      </c>
      <c r="B19" s="1791">
        <f>IFERROR(IF(AM!$G150&gt;10,10, IF(AM!$G150&lt;0,0, AM!$G150)),"")</f>
        <v>2.625</v>
      </c>
      <c r="C19" s="1724">
        <f>IFERROR(IF(AM!$D158&gt;10,10, IF(AM!$D158&lt;0,0, AM!$D158)),"")</f>
        <v>10</v>
      </c>
      <c r="D19" s="1724">
        <f>IFERROR(IF(AM!$D166&gt;10,10, IF(AM!$D166&lt;0,0, AM!$D166)),"")</f>
        <v>0</v>
      </c>
      <c r="E19" s="1724"/>
      <c r="F19" s="1731"/>
      <c r="G19" s="1731"/>
      <c r="H19" s="1731"/>
      <c r="I19" s="1731"/>
      <c r="J19" s="1731"/>
      <c r="K19" s="1731"/>
      <c r="L19" s="1731"/>
      <c r="M19" s="1731"/>
      <c r="N19" s="1731"/>
      <c r="O19" s="1731"/>
      <c r="P19" s="1731"/>
      <c r="Q19" s="1731"/>
      <c r="R19" s="1752"/>
      <c r="S19" s="1731"/>
      <c r="T19" s="1731"/>
      <c r="U19" s="1731"/>
      <c r="V19" s="1731"/>
    </row>
    <row r="20" spans="1:22" s="266" customFormat="1" ht="30.75" customHeight="1" x14ac:dyDescent="0.3">
      <c r="A20" s="1769" t="s">
        <v>923</v>
      </c>
      <c r="B20" s="1791">
        <f>IFERROR(IF(WB!$G173&gt;10,10, IF(WB!$G173&lt;0,0, WB!$G173)),"")</f>
        <v>0.26666666666666666</v>
      </c>
      <c r="C20" s="1724">
        <f>IFERROR(IF(WB!$D182&gt;10,10, IF(WB!$D182&lt;0,0, WB!$D182)),"")</f>
        <v>10</v>
      </c>
      <c r="D20" s="1724">
        <f>IFERROR(IF(WB!$D191&gt;10,10, IF(WB!$D191&lt;0,0, WB!$D191)),"")</f>
        <v>0</v>
      </c>
      <c r="E20" s="1724"/>
      <c r="F20" s="1733" t="s">
        <v>2279</v>
      </c>
      <c r="G20" s="1733" t="s">
        <v>2280</v>
      </c>
      <c r="H20" s="1733" t="s">
        <v>2281</v>
      </c>
      <c r="I20" s="1734"/>
      <c r="J20" s="1734"/>
      <c r="K20" s="1731"/>
      <c r="L20" s="1731"/>
      <c r="M20" s="1731"/>
      <c r="N20" s="1731"/>
      <c r="O20" s="1731"/>
      <c r="P20" s="1731"/>
      <c r="Q20" s="1731"/>
      <c r="R20" s="1752"/>
      <c r="S20" s="1731"/>
      <c r="T20" s="1731"/>
      <c r="U20" s="1731"/>
      <c r="V20" s="1731"/>
    </row>
    <row r="21" spans="1:22" s="266" customFormat="1" ht="24" customHeight="1" x14ac:dyDescent="0.3">
      <c r="A21" s="1769" t="s">
        <v>194</v>
      </c>
      <c r="B21" s="1791">
        <f>IFERROR(IF(SBM!$G184&gt;10,10, IF(SBM!$G184&lt;0,0, SBM!$G184)),"")</f>
        <v>1.375</v>
      </c>
      <c r="C21" s="1724">
        <f>IFERROR(IF(SBM!$D193&gt;10,10, IF(SBM!$D193&lt;0,0, SBM!$D193)),"")</f>
        <v>10</v>
      </c>
      <c r="D21" s="1724">
        <f>IFERROR(IF(SBM!$D202&gt;10,10, IF(SBM!$D202&lt;0,0, SBM!$D202)),"")</f>
        <v>5</v>
      </c>
      <c r="E21" s="1724"/>
      <c r="F21" s="1735" t="s">
        <v>2283</v>
      </c>
      <c r="G21" s="1727">
        <v>90</v>
      </c>
      <c r="H21" s="1730">
        <v>0.81938841452542677</v>
      </c>
      <c r="I21" s="1734"/>
      <c r="J21" s="1731"/>
      <c r="K21" s="1731"/>
      <c r="L21" s="1731"/>
      <c r="M21" s="1731"/>
      <c r="N21" s="1731"/>
      <c r="O21" s="1731"/>
      <c r="P21" s="1731"/>
      <c r="Q21" s="1731"/>
      <c r="R21" s="1752"/>
      <c r="S21" s="1731"/>
      <c r="T21" s="1731"/>
      <c r="U21" s="1731"/>
      <c r="V21" s="1731"/>
    </row>
    <row r="22" spans="1:22" s="266" customFormat="1" ht="24" customHeight="1" thickBot="1" x14ac:dyDescent="0.35">
      <c r="A22" s="1767" t="s">
        <v>2231</v>
      </c>
      <c r="B22" s="1790">
        <f>IFERROR(IF(PH!$G237&gt;10,10, IF(PH!$G237&lt;0,0, PH!$G237)),"")</f>
        <v>0.55000000000000004</v>
      </c>
      <c r="C22" s="1724">
        <f>IFERROR(IF(PH!$D245&gt;10,10, IF(PH!$D245&lt;0,0, PH!$D245)),"")</f>
        <v>10</v>
      </c>
      <c r="D22" s="1724">
        <f>IFERROR(IF(PH!$D254&gt;10,10, IF(PH!$D254&lt;0,0, PH!$D254)),"")</f>
        <v>0</v>
      </c>
      <c r="E22" s="1724"/>
      <c r="F22" s="1735"/>
      <c r="G22" s="1727">
        <v>70</v>
      </c>
      <c r="H22" s="1730">
        <v>0.74417673953415298</v>
      </c>
      <c r="I22" s="1734"/>
      <c r="J22" s="1731"/>
      <c r="K22" s="1731"/>
      <c r="L22" s="1731"/>
      <c r="M22" s="1731"/>
      <c r="N22" s="1731"/>
      <c r="O22" s="1731"/>
      <c r="P22" s="1731"/>
      <c r="Q22" s="1731"/>
      <c r="R22" s="1752"/>
      <c r="S22" s="1731"/>
      <c r="T22" s="1731"/>
      <c r="U22" s="1731"/>
      <c r="V22" s="1731"/>
    </row>
    <row r="23" spans="1:22" s="266" customFormat="1" ht="21.75" customHeight="1" thickBot="1" x14ac:dyDescent="0.35">
      <c r="A23" s="1770" t="s">
        <v>1006</v>
      </c>
      <c r="B23" s="1792">
        <f>IFERROR(IF(HU!$G84&gt;10,10, IF(HU!$G84&lt;0,0, HU!$G84)),"")</f>
        <v>1.2857142857142856</v>
      </c>
      <c r="C23" s="1724">
        <f>IFERROR(IF(HU!$D91&gt;10,10, IF(HU!$D91&lt;0,0, HU!$D91)),"")</f>
        <v>5</v>
      </c>
      <c r="D23" s="1724">
        <f>IFERROR(IF(HU!$D98&gt;10,10, IF(HU!$D98&lt;0,0, HU!$D98)),"")</f>
        <v>3.333333333333333</v>
      </c>
      <c r="E23" s="1736"/>
      <c r="F23" s="1735"/>
      <c r="G23" s="1727">
        <v>40</v>
      </c>
      <c r="H23" s="1730">
        <v>0.70702902070167029</v>
      </c>
      <c r="I23" s="1734"/>
      <c r="J23" s="1731"/>
      <c r="K23" s="1731"/>
      <c r="L23" s="1731"/>
      <c r="M23" s="1731"/>
      <c r="N23" s="1731"/>
      <c r="O23" s="1731"/>
      <c r="P23" s="1731"/>
      <c r="Q23" s="1731"/>
      <c r="R23" s="1752"/>
      <c r="S23" s="1731"/>
      <c r="T23" s="1731"/>
      <c r="U23" s="1731"/>
      <c r="V23" s="1731"/>
    </row>
    <row r="24" spans="1:22" ht="16.5" x14ac:dyDescent="0.3">
      <c r="C24" s="1753"/>
      <c r="D24" s="1722"/>
      <c r="E24" s="1737"/>
      <c r="F24" s="1735" t="s">
        <v>2284</v>
      </c>
      <c r="G24" s="1727">
        <v>90</v>
      </c>
      <c r="H24" s="1730">
        <v>0.86805007680930846</v>
      </c>
      <c r="I24" s="1734"/>
      <c r="J24" s="1725"/>
      <c r="K24" s="1725"/>
      <c r="L24" s="1725"/>
      <c r="M24" s="1725"/>
      <c r="N24" s="1725"/>
      <c r="O24" s="1725"/>
      <c r="P24" s="1725"/>
      <c r="Q24" s="1725"/>
      <c r="R24" s="1754"/>
      <c r="S24" s="1725"/>
      <c r="T24" s="1725"/>
      <c r="U24" s="1725"/>
      <c r="V24" s="1725"/>
    </row>
    <row r="25" spans="1:22" ht="37.5" customHeight="1" x14ac:dyDescent="0.3">
      <c r="A25" s="1721"/>
      <c r="B25" s="1722"/>
      <c r="C25" s="1753"/>
      <c r="D25" s="1722"/>
      <c r="E25" s="1738" t="s">
        <v>2285</v>
      </c>
      <c r="F25" s="1735"/>
      <c r="G25" s="1727">
        <v>70</v>
      </c>
      <c r="H25" s="1730">
        <v>0.80133727567733504</v>
      </c>
      <c r="I25" s="1734"/>
      <c r="J25" s="1734"/>
      <c r="K25" s="1725"/>
      <c r="L25" s="1725"/>
      <c r="M25" s="1725"/>
      <c r="N25" s="1725"/>
      <c r="O25" s="1725"/>
      <c r="P25" s="1725"/>
      <c r="Q25" s="1725"/>
      <c r="R25" s="1754"/>
      <c r="S25" s="1725"/>
      <c r="T25" s="1725"/>
      <c r="U25" s="1725"/>
      <c r="V25" s="1725"/>
    </row>
    <row r="26" spans="1:22" ht="16.5" x14ac:dyDescent="0.3">
      <c r="C26" s="1753"/>
      <c r="D26" s="1722"/>
      <c r="E26" s="1737"/>
      <c r="F26" s="1735"/>
      <c r="G26" s="1727">
        <v>40</v>
      </c>
      <c r="H26" s="1730">
        <v>0.76935623018830834</v>
      </c>
      <c r="I26" s="1734"/>
      <c r="J26" s="1734"/>
      <c r="K26" s="1725"/>
      <c r="L26" s="1725"/>
      <c r="M26" s="1725"/>
      <c r="N26" s="1725"/>
      <c r="O26" s="1725"/>
      <c r="P26" s="1725"/>
      <c r="Q26" s="1725"/>
      <c r="R26" s="1754"/>
      <c r="S26" s="1725"/>
      <c r="T26" s="1725"/>
      <c r="U26" s="1725"/>
      <c r="V26" s="1725"/>
    </row>
    <row r="27" spans="1:22" ht="16.5" x14ac:dyDescent="0.3">
      <c r="C27" s="1753"/>
      <c r="D27" s="1722"/>
      <c r="E27" s="1737"/>
      <c r="F27" s="1739"/>
      <c r="G27" s="1727"/>
      <c r="H27" s="1727"/>
      <c r="I27" s="1734"/>
      <c r="J27" s="1734"/>
      <c r="K27" s="1725"/>
      <c r="L27" s="1725"/>
      <c r="M27" s="1725"/>
      <c r="N27" s="1725"/>
      <c r="O27" s="1725"/>
      <c r="P27" s="1725"/>
      <c r="Q27" s="1725"/>
      <c r="R27" s="1754"/>
      <c r="S27" s="1725"/>
      <c r="T27" s="1725"/>
      <c r="U27" s="1725"/>
      <c r="V27" s="1725"/>
    </row>
    <row r="28" spans="1:22" ht="15.75" x14ac:dyDescent="0.2">
      <c r="C28" s="1753"/>
      <c r="D28" s="1722"/>
      <c r="E28" s="1737"/>
      <c r="F28" s="1740" t="s">
        <v>2312</v>
      </c>
      <c r="G28" s="1741" t="s">
        <v>2310</v>
      </c>
      <c r="H28" s="1741" t="s">
        <v>2311</v>
      </c>
      <c r="I28" s="1741" t="s">
        <v>1884</v>
      </c>
      <c r="J28" s="1741" t="s">
        <v>1885</v>
      </c>
      <c r="K28" s="1741" t="s">
        <v>1886</v>
      </c>
      <c r="L28" s="1741" t="s">
        <v>1887</v>
      </c>
      <c r="M28" s="1725"/>
      <c r="N28" s="1725"/>
      <c r="O28" s="1725"/>
      <c r="P28" s="1725"/>
      <c r="Q28" s="1725"/>
      <c r="R28" s="1754"/>
      <c r="S28" s="1725"/>
      <c r="T28" s="1725"/>
      <c r="U28" s="1725"/>
      <c r="V28" s="1725"/>
    </row>
    <row r="29" spans="1:22" ht="15.75" x14ac:dyDescent="0.2">
      <c r="C29" s="1753"/>
      <c r="D29" s="1722"/>
      <c r="E29" s="1737"/>
      <c r="F29" s="1741" t="s">
        <v>658</v>
      </c>
      <c r="G29" s="1742">
        <v>10</v>
      </c>
      <c r="H29" s="1742">
        <v>2.9609907107916666</v>
      </c>
      <c r="I29" s="1742">
        <v>10</v>
      </c>
      <c r="J29" s="1742">
        <v>3.0073654445999995</v>
      </c>
      <c r="K29" s="1742">
        <v>10</v>
      </c>
      <c r="L29" s="1742">
        <v>3.5869274201111105</v>
      </c>
      <c r="M29" s="1725"/>
      <c r="N29" s="1725"/>
      <c r="O29" s="1725"/>
      <c r="P29" s="1725"/>
      <c r="Q29" s="1725"/>
      <c r="R29" s="1754"/>
      <c r="S29" s="1725"/>
      <c r="T29" s="1725"/>
      <c r="U29" s="1725"/>
      <c r="V29" s="1725"/>
    </row>
    <row r="30" spans="1:22" ht="15.75" x14ac:dyDescent="0.2">
      <c r="B30" s="10"/>
      <c r="C30" s="1753"/>
      <c r="D30" s="1722"/>
      <c r="E30" s="1737"/>
      <c r="F30" s="1741" t="s">
        <v>675</v>
      </c>
      <c r="G30" s="1742">
        <v>6.1712860975396824</v>
      </c>
      <c r="H30" s="1742">
        <v>0</v>
      </c>
      <c r="I30" s="1742">
        <v>6.9788626601785717</v>
      </c>
      <c r="J30" s="1742">
        <v>1.2797534755357143</v>
      </c>
      <c r="K30" s="1742">
        <v>7.4621049941071433</v>
      </c>
      <c r="L30" s="1742">
        <v>1.1586413719642858</v>
      </c>
      <c r="M30" s="1725"/>
      <c r="N30" s="1725"/>
      <c r="O30" s="1725"/>
      <c r="P30" s="1725"/>
      <c r="Q30" s="1725"/>
      <c r="R30" s="1754"/>
      <c r="S30" s="1725"/>
      <c r="T30" s="1725"/>
      <c r="U30" s="1725"/>
      <c r="V30" s="1725"/>
    </row>
    <row r="31" spans="1:22" ht="15.75" x14ac:dyDescent="0.2">
      <c r="C31" s="1753"/>
      <c r="D31" s="1722"/>
      <c r="E31" s="1737"/>
      <c r="F31" s="1741" t="s">
        <v>659</v>
      </c>
      <c r="G31" s="1742">
        <v>10</v>
      </c>
      <c r="H31" s="1742">
        <v>1.4820157983333333</v>
      </c>
      <c r="I31" s="1742">
        <v>8.7289316024999994</v>
      </c>
      <c r="J31" s="1742">
        <v>0</v>
      </c>
      <c r="K31" s="1742">
        <v>8.375</v>
      </c>
      <c r="L31" s="1742">
        <v>0</v>
      </c>
      <c r="M31" s="1725"/>
      <c r="N31" s="1725"/>
      <c r="O31" s="1725"/>
      <c r="P31" s="1725"/>
      <c r="Q31" s="1725"/>
      <c r="R31" s="1754"/>
      <c r="S31" s="1725"/>
      <c r="T31" s="1725"/>
      <c r="U31" s="1725"/>
      <c r="V31" s="1725"/>
    </row>
    <row r="32" spans="1:22" ht="15.75" x14ac:dyDescent="0.2">
      <c r="C32" s="1753"/>
      <c r="D32" s="1722"/>
      <c r="E32" s="1737"/>
      <c r="F32" s="1741" t="s">
        <v>661</v>
      </c>
      <c r="G32" s="1742">
        <v>10</v>
      </c>
      <c r="H32" s="1742">
        <v>3.0079284411111109</v>
      </c>
      <c r="I32" s="1742">
        <v>10</v>
      </c>
      <c r="J32" s="1742">
        <v>0.91138392999999995</v>
      </c>
      <c r="K32" s="1742">
        <v>10</v>
      </c>
      <c r="L32" s="1742">
        <v>0.61567322750000009</v>
      </c>
      <c r="M32" s="1725"/>
      <c r="N32" s="1725"/>
      <c r="O32" s="1725"/>
      <c r="P32" s="1725"/>
      <c r="Q32" s="1725"/>
      <c r="R32" s="1754"/>
      <c r="S32" s="1725"/>
      <c r="T32" s="1725"/>
      <c r="U32" s="1725"/>
      <c r="V32" s="1725"/>
    </row>
    <row r="33" spans="3:22" ht="15.75" x14ac:dyDescent="0.2">
      <c r="C33" s="1753"/>
      <c r="D33" s="1722"/>
      <c r="E33" s="1737"/>
      <c r="F33" s="1741" t="s">
        <v>663</v>
      </c>
      <c r="G33" s="1742">
        <v>10</v>
      </c>
      <c r="H33" s="1742">
        <v>2.8904090020202018</v>
      </c>
      <c r="I33" s="1742">
        <v>10</v>
      </c>
      <c r="J33" s="1742">
        <v>1.7198025275000002</v>
      </c>
      <c r="K33" s="1742">
        <v>10</v>
      </c>
      <c r="L33" s="1742">
        <v>1.5583395691666666</v>
      </c>
      <c r="M33" s="1725"/>
      <c r="N33" s="1725"/>
      <c r="O33" s="1725"/>
      <c r="P33" s="1725"/>
      <c r="Q33" s="1725"/>
      <c r="R33" s="1754"/>
      <c r="S33" s="1725"/>
      <c r="T33" s="1725"/>
      <c r="U33" s="1725"/>
      <c r="V33" s="1725"/>
    </row>
    <row r="34" spans="3:22" ht="15.75" x14ac:dyDescent="0.2">
      <c r="C34" s="1753"/>
      <c r="D34" s="1722"/>
      <c r="E34" s="1737"/>
      <c r="F34" s="1741" t="s">
        <v>664</v>
      </c>
      <c r="G34" s="1742">
        <v>10</v>
      </c>
      <c r="H34" s="1742">
        <v>3.8062425370857147</v>
      </c>
      <c r="I34" s="1742">
        <v>5.6068148595833334</v>
      </c>
      <c r="J34" s="1742">
        <v>1.4349005495833334</v>
      </c>
      <c r="K34" s="1742">
        <v>6.3240268487500009</v>
      </c>
      <c r="L34" s="1742">
        <v>1.4229982286904761</v>
      </c>
      <c r="M34" s="1725"/>
      <c r="N34" s="1725"/>
      <c r="O34" s="1725"/>
      <c r="P34" s="1725"/>
      <c r="Q34" s="1725"/>
      <c r="R34" s="1754"/>
      <c r="S34" s="1725"/>
      <c r="T34" s="1725"/>
      <c r="U34" s="1725"/>
      <c r="V34" s="1725"/>
    </row>
    <row r="35" spans="3:22" ht="15.75" x14ac:dyDescent="0.2">
      <c r="C35" s="1753"/>
      <c r="D35" s="1722"/>
      <c r="E35" s="1737"/>
      <c r="F35" s="1741" t="s">
        <v>665</v>
      </c>
      <c r="G35" s="1742">
        <v>10</v>
      </c>
      <c r="H35" s="1742">
        <v>2.360228437694444</v>
      </c>
      <c r="I35" s="1742">
        <v>8.718224491111112</v>
      </c>
      <c r="J35" s="1742">
        <v>0</v>
      </c>
      <c r="K35" s="1742">
        <v>8.2099468688888884</v>
      </c>
      <c r="L35" s="1742">
        <v>0</v>
      </c>
      <c r="M35" s="1725"/>
      <c r="N35" s="1725"/>
      <c r="O35" s="1725"/>
      <c r="P35" s="1725"/>
      <c r="Q35" s="1725"/>
      <c r="R35" s="1754"/>
      <c r="S35" s="1725"/>
      <c r="T35" s="1725"/>
      <c r="U35" s="1725"/>
      <c r="V35" s="1725"/>
    </row>
    <row r="36" spans="3:22" ht="15.75" x14ac:dyDescent="0.2">
      <c r="C36" s="1753"/>
      <c r="D36" s="1722"/>
      <c r="E36" s="1737"/>
      <c r="F36" s="1741" t="s">
        <v>1058</v>
      </c>
      <c r="G36" s="1742">
        <v>7.3082156069428574</v>
      </c>
      <c r="H36" s="1742">
        <v>0</v>
      </c>
      <c r="I36" s="1742">
        <v>8.485291530833333</v>
      </c>
      <c r="J36" s="1742">
        <v>0.20746534866666663</v>
      </c>
      <c r="K36" s="1742">
        <v>6.4046848511111101</v>
      </c>
      <c r="L36" s="1742">
        <v>0.22445486333333334</v>
      </c>
      <c r="M36" s="1725"/>
      <c r="N36" s="1725"/>
      <c r="O36" s="1725"/>
      <c r="P36" s="1725"/>
      <c r="Q36" s="1725"/>
      <c r="R36" s="1754"/>
      <c r="S36" s="1725"/>
      <c r="T36" s="1725"/>
      <c r="U36" s="1725"/>
      <c r="V36" s="1725"/>
    </row>
    <row r="37" spans="3:22" ht="15.75" x14ac:dyDescent="0.2">
      <c r="C37" s="1753"/>
      <c r="D37" s="1722"/>
      <c r="E37" s="1737"/>
      <c r="F37" s="1741" t="s">
        <v>667</v>
      </c>
      <c r="G37" s="1742">
        <v>8.9155505651102285</v>
      </c>
      <c r="H37" s="1742">
        <v>1.4648811356635802</v>
      </c>
      <c r="I37" s="1742">
        <v>9.3349742688888888</v>
      </c>
      <c r="J37" s="1742">
        <v>2.1916276791666665</v>
      </c>
      <c r="K37" s="1742">
        <v>8.1419086494444457</v>
      </c>
      <c r="L37" s="1742">
        <v>1.981579985277778</v>
      </c>
      <c r="M37" s="1725"/>
      <c r="N37" s="1725"/>
      <c r="O37" s="1725"/>
      <c r="P37" s="1725"/>
      <c r="Q37" s="1725"/>
      <c r="R37" s="1754"/>
      <c r="S37" s="1725"/>
      <c r="T37" s="1725"/>
      <c r="U37" s="1725"/>
      <c r="V37" s="1725"/>
    </row>
    <row r="38" spans="3:22" ht="15.75" x14ac:dyDescent="0.2">
      <c r="C38" s="1753"/>
      <c r="D38" s="1722"/>
      <c r="E38" s="1737"/>
      <c r="F38" s="1741" t="s">
        <v>669</v>
      </c>
      <c r="G38" s="1742">
        <v>7.5683567906899354</v>
      </c>
      <c r="H38" s="1742">
        <v>0.83502837383487638</v>
      </c>
      <c r="I38" s="1742">
        <v>9.6601986816666656</v>
      </c>
      <c r="J38" s="1742">
        <v>0.96823104583333319</v>
      </c>
      <c r="K38" s="1742">
        <v>8.5160458280555549</v>
      </c>
      <c r="L38" s="1742">
        <v>0.96187725499999999</v>
      </c>
      <c r="M38" s="1725"/>
      <c r="N38" s="1725"/>
      <c r="O38" s="1725"/>
      <c r="P38" s="1725"/>
      <c r="Q38" s="1725"/>
      <c r="R38" s="1754"/>
      <c r="S38" s="1725"/>
      <c r="T38" s="1725"/>
      <c r="U38" s="1725"/>
      <c r="V38" s="1725"/>
    </row>
    <row r="39" spans="3:22" ht="15.75" x14ac:dyDescent="0.2">
      <c r="C39" s="1753"/>
      <c r="D39" s="1722"/>
      <c r="E39" s="1737"/>
      <c r="F39" s="1741" t="s">
        <v>670</v>
      </c>
      <c r="G39" s="1742">
        <v>10</v>
      </c>
      <c r="H39" s="1742">
        <v>2.170015327568783</v>
      </c>
      <c r="I39" s="1742">
        <v>10</v>
      </c>
      <c r="J39" s="1742">
        <v>1.3613012483333333</v>
      </c>
      <c r="K39" s="1742">
        <v>10</v>
      </c>
      <c r="L39" s="1742">
        <v>1.3535442445833334</v>
      </c>
      <c r="M39" s="1725"/>
      <c r="N39" s="1725"/>
      <c r="O39" s="1725"/>
      <c r="P39" s="1725"/>
      <c r="Q39" s="1725"/>
      <c r="R39" s="1754"/>
      <c r="S39" s="1725"/>
      <c r="T39" s="1725"/>
      <c r="U39" s="1725"/>
      <c r="V39" s="1725"/>
    </row>
    <row r="40" spans="3:22" ht="15.75" x14ac:dyDescent="0.2">
      <c r="C40" s="1753"/>
      <c r="D40" s="1722"/>
      <c r="E40" s="1737"/>
      <c r="F40" s="1741" t="s">
        <v>671</v>
      </c>
      <c r="G40" s="1742">
        <v>7.8589086118301585</v>
      </c>
      <c r="H40" s="1742">
        <v>2.3605539013455021</v>
      </c>
      <c r="I40" s="1742">
        <v>7.871541955833333</v>
      </c>
      <c r="J40" s="1742">
        <v>3.487968728611111</v>
      </c>
      <c r="K40" s="1742">
        <v>8.0435897574074087</v>
      </c>
      <c r="L40" s="1742">
        <v>3.54272569375</v>
      </c>
      <c r="M40" s="1725"/>
      <c r="N40" s="1725"/>
      <c r="O40" s="1725"/>
      <c r="P40" s="1725"/>
      <c r="Q40" s="1725"/>
      <c r="R40" s="1754"/>
      <c r="S40" s="1725"/>
      <c r="T40" s="1725"/>
      <c r="U40" s="1725"/>
      <c r="V40" s="1725"/>
    </row>
    <row r="41" spans="3:22" ht="15.75" x14ac:dyDescent="0.2">
      <c r="C41" s="1753"/>
      <c r="D41" s="1722"/>
      <c r="E41" s="1737"/>
      <c r="F41" s="1741" t="s">
        <v>673</v>
      </c>
      <c r="G41" s="1742">
        <v>7.6962532355238098</v>
      </c>
      <c r="H41" s="1742">
        <v>2.1835193160544217</v>
      </c>
      <c r="I41" s="1742">
        <v>7.9573209432500001</v>
      </c>
      <c r="J41" s="1742">
        <v>2.886473983138889</v>
      </c>
      <c r="K41" s="1742">
        <v>8.5472264932962965</v>
      </c>
      <c r="L41" s="1742">
        <v>2.8834063551666667</v>
      </c>
      <c r="M41" s="1725"/>
      <c r="N41" s="1725"/>
      <c r="O41" s="1725"/>
      <c r="P41" s="1725"/>
      <c r="Q41" s="1725"/>
      <c r="R41" s="1754"/>
      <c r="S41" s="1725"/>
      <c r="T41" s="1725"/>
      <c r="U41" s="1725"/>
      <c r="V41" s="1725"/>
    </row>
    <row r="42" spans="3:22" ht="15.75" x14ac:dyDescent="0.2">
      <c r="C42" s="1753"/>
      <c r="D42" s="1722"/>
      <c r="E42" s="1737"/>
      <c r="F42" s="1741" t="s">
        <v>1883</v>
      </c>
      <c r="G42" s="1742">
        <v>6.4603991528285718</v>
      </c>
      <c r="H42" s="1742">
        <v>1.2687647593333335</v>
      </c>
      <c r="I42" s="1742">
        <v>8.5681033908749988</v>
      </c>
      <c r="J42" s="1742">
        <v>0.74711518975000002</v>
      </c>
      <c r="K42" s="1742">
        <v>8.1682851186250005</v>
      </c>
      <c r="L42" s="1742">
        <v>1.3721151897500001</v>
      </c>
      <c r="M42" s="1725"/>
      <c r="N42" s="1725"/>
      <c r="O42" s="1725"/>
      <c r="P42" s="1725"/>
      <c r="Q42" s="1725"/>
      <c r="R42" s="1754"/>
      <c r="S42" s="1725"/>
      <c r="T42" s="1725"/>
      <c r="U42" s="1725"/>
      <c r="V42" s="1725"/>
    </row>
    <row r="43" spans="3:22" x14ac:dyDescent="0.2">
      <c r="C43" s="1755"/>
      <c r="D43" s="1756"/>
      <c r="E43" s="1757"/>
      <c r="F43" s="1757"/>
      <c r="G43" s="1757"/>
      <c r="H43" s="1757"/>
      <c r="I43" s="1757"/>
      <c r="J43" s="1758"/>
      <c r="K43" s="1758"/>
      <c r="L43" s="1758"/>
      <c r="M43" s="1758"/>
      <c r="N43" s="1758"/>
      <c r="O43" s="1758"/>
      <c r="P43" s="1758"/>
      <c r="Q43" s="1758"/>
      <c r="R43" s="1759"/>
      <c r="S43" s="1725"/>
      <c r="T43" s="1725"/>
      <c r="U43" s="1725"/>
      <c r="V43" s="1725"/>
    </row>
    <row r="44" spans="3:22" x14ac:dyDescent="0.2">
      <c r="E44" s="1737"/>
      <c r="F44" s="1737"/>
      <c r="G44" s="1737"/>
      <c r="H44" s="1737"/>
      <c r="I44" s="1737"/>
      <c r="J44" s="1725"/>
      <c r="K44" s="1725"/>
      <c r="L44" s="1725"/>
      <c r="M44" s="1725"/>
      <c r="N44" s="1725"/>
      <c r="O44" s="1725"/>
      <c r="P44" s="1725"/>
      <c r="Q44" s="1725"/>
      <c r="R44" s="1725"/>
      <c r="S44" s="1725"/>
      <c r="T44" s="1725"/>
      <c r="U44" s="1725"/>
      <c r="V44" s="1725"/>
    </row>
  </sheetData>
  <sheetProtection password="C4B9" sheet="1" objects="1" scenarios="1"/>
  <customSheetViews>
    <customSheetView guid="{B8E02330-2419-4DE6-AD01-7ACC7A5D18DD}" hiddenColumns="1">
      <selection sqref="A1:I1"/>
      <pageMargins left="0.25" right="0.25" top="0.75" bottom="0.75" header="0.3" footer="0.3"/>
      <pageSetup orientation="portrait" r:id="rId1"/>
      <headerFooter alignWithMargins="0"/>
    </customSheetView>
  </customSheetViews>
  <mergeCells count="10">
    <mergeCell ref="F10:F11"/>
    <mergeCell ref="F12:F13"/>
    <mergeCell ref="F14:F15"/>
    <mergeCell ref="F16:F17"/>
    <mergeCell ref="B1:K1"/>
    <mergeCell ref="B2:K2"/>
    <mergeCell ref="B3:K3"/>
    <mergeCell ref="B4:K4"/>
    <mergeCell ref="A8:B8"/>
    <mergeCell ref="A6:B6"/>
  </mergeCells>
  <phoneticPr fontId="5" type="noConversion"/>
  <conditionalFormatting sqref="E23 B10:D23">
    <cfRule type="expression" dxfId="0" priority="9">
      <formula>"enter =ISERROR(B8:C31)"</formula>
    </cfRule>
  </conditionalFormatting>
  <pageMargins left="0.25" right="0.25" top="0.75" bottom="0.75" header="0.3" footer="0.3"/>
  <pageSetup scale="70" orientation="portrait" r:id="rId2"/>
  <headerFooter alignWithMargins="0">
    <oddHeader>&amp;L&amp;G&amp;R&amp;G</oddHeader>
    <oddFooter>&amp;L&amp;"Arial,Regular"&amp;8Version 1.0
Jun 1, 2015&amp;C&amp;"Arial,Regular"&amp;8Alberta Wetland Rapid Evaluation Tool - Actual Forms
© 2015 Government of Alberta&amp;R&amp;"Arial,Regular"&amp;8Page 1 of 1</oddFooter>
  </headerFooter>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2060"/>
  </sheetPr>
  <dimension ref="A1:B15"/>
  <sheetViews>
    <sheetView workbookViewId="0"/>
  </sheetViews>
  <sheetFormatPr defaultRowHeight="12.75" x14ac:dyDescent="0.2"/>
  <cols>
    <col min="1" max="1" width="39.33203125" customWidth="1"/>
    <col min="2" max="2" width="33.33203125" customWidth="1"/>
  </cols>
  <sheetData>
    <row r="1" spans="1:2" ht="32.25" thickBot="1" x14ac:dyDescent="0.3">
      <c r="A1" s="1351" t="s">
        <v>2015</v>
      </c>
      <c r="B1" s="1355" t="s">
        <v>2016</v>
      </c>
    </row>
    <row r="2" spans="1:2" ht="15.75" x14ac:dyDescent="0.25">
      <c r="A2" s="1352" t="s">
        <v>1844</v>
      </c>
      <c r="B2" s="1356">
        <v>1</v>
      </c>
    </row>
    <row r="3" spans="1:2" ht="19.5" customHeight="1" x14ac:dyDescent="0.25">
      <c r="A3" s="1353" t="s">
        <v>1845</v>
      </c>
      <c r="B3" s="1357">
        <v>0.9</v>
      </c>
    </row>
    <row r="4" spans="1:2" ht="15.75" x14ac:dyDescent="0.25">
      <c r="A4" s="1353" t="s">
        <v>1846</v>
      </c>
      <c r="B4" s="1357">
        <v>0.7</v>
      </c>
    </row>
    <row r="5" spans="1:2" ht="15.75" x14ac:dyDescent="0.25">
      <c r="A5" s="1353" t="s">
        <v>1847</v>
      </c>
      <c r="B5" s="1357">
        <v>0.8</v>
      </c>
    </row>
    <row r="6" spans="1:2" ht="15.75" x14ac:dyDescent="0.25">
      <c r="A6" s="1353" t="s">
        <v>1848</v>
      </c>
      <c r="B6" s="1357">
        <v>0.5</v>
      </c>
    </row>
    <row r="7" spans="1:2" ht="15.75" x14ac:dyDescent="0.25">
      <c r="A7" s="1353" t="s">
        <v>1849</v>
      </c>
      <c r="B7" s="1357">
        <v>0.5</v>
      </c>
    </row>
    <row r="8" spans="1:2" ht="15.75" x14ac:dyDescent="0.25">
      <c r="A8" s="1353" t="s">
        <v>1850</v>
      </c>
      <c r="B8" s="1357">
        <v>0.6</v>
      </c>
    </row>
    <row r="9" spans="1:2" ht="15.75" x14ac:dyDescent="0.25">
      <c r="A9" s="1353" t="s">
        <v>1851</v>
      </c>
      <c r="B9" s="1357">
        <v>0.4</v>
      </c>
    </row>
    <row r="10" spans="1:2" ht="15.75" x14ac:dyDescent="0.25">
      <c r="A10" s="1353" t="s">
        <v>1852</v>
      </c>
      <c r="B10" s="1357">
        <v>0.5</v>
      </c>
    </row>
    <row r="11" spans="1:2" ht="15.75" x14ac:dyDescent="0.25">
      <c r="A11" s="1353" t="s">
        <v>1853</v>
      </c>
      <c r="B11" s="1357">
        <v>0.30000000000000004</v>
      </c>
    </row>
    <row r="12" spans="1:2" ht="15.75" x14ac:dyDescent="0.25">
      <c r="A12" s="1353" t="s">
        <v>1854</v>
      </c>
      <c r="B12" s="1357">
        <v>0.3</v>
      </c>
    </row>
    <row r="13" spans="1:2" ht="15.75" x14ac:dyDescent="0.25">
      <c r="A13" s="1353" t="s">
        <v>1855</v>
      </c>
      <c r="B13" s="1357">
        <v>0.19999999999999996</v>
      </c>
    </row>
    <row r="14" spans="1:2" ht="15.75" x14ac:dyDescent="0.25">
      <c r="A14" s="1353" t="s">
        <v>1856</v>
      </c>
      <c r="B14" s="1357">
        <v>9.9999999999999978E-2</v>
      </c>
    </row>
    <row r="15" spans="1:2" ht="16.5" thickBot="1" x14ac:dyDescent="0.3">
      <c r="A15" s="1354" t="s">
        <v>1857</v>
      </c>
      <c r="B15" s="1358" t="s">
        <v>2017</v>
      </c>
    </row>
  </sheetData>
  <sheetProtection password="C4B9" sheet="1" objects="1" scenario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2060"/>
  </sheetPr>
  <dimension ref="A1:B15"/>
  <sheetViews>
    <sheetView workbookViewId="0">
      <selection sqref="A1:B1"/>
    </sheetView>
  </sheetViews>
  <sheetFormatPr defaultRowHeight="12.75" x14ac:dyDescent="0.2"/>
  <cols>
    <col min="1" max="1" width="38.83203125" customWidth="1"/>
    <col min="2" max="2" width="40.6640625" customWidth="1"/>
  </cols>
  <sheetData>
    <row r="1" spans="1:2" ht="32.25" customHeight="1" thickBot="1" x14ac:dyDescent="0.3">
      <c r="A1" s="1351" t="s">
        <v>2015</v>
      </c>
      <c r="B1" s="1359" t="s">
        <v>2018</v>
      </c>
    </row>
    <row r="2" spans="1:2" ht="15.75" x14ac:dyDescent="0.25">
      <c r="A2" s="1352" t="s">
        <v>1856</v>
      </c>
      <c r="B2" s="1356">
        <v>1</v>
      </c>
    </row>
    <row r="3" spans="1:2" ht="15.75" x14ac:dyDescent="0.25">
      <c r="A3" s="1353" t="s">
        <v>1853</v>
      </c>
      <c r="B3" s="1357">
        <v>0.9</v>
      </c>
    </row>
    <row r="4" spans="1:2" ht="15.75" x14ac:dyDescent="0.25">
      <c r="A4" s="1353" t="s">
        <v>1854</v>
      </c>
      <c r="B4" s="1357">
        <v>0.9</v>
      </c>
    </row>
    <row r="5" spans="1:2" ht="15.75" x14ac:dyDescent="0.25">
      <c r="A5" s="1353" t="s">
        <v>1855</v>
      </c>
      <c r="B5" s="1357">
        <v>0.7</v>
      </c>
    </row>
    <row r="6" spans="1:2" ht="15.75" x14ac:dyDescent="0.25">
      <c r="A6" s="1353" t="s">
        <v>1852</v>
      </c>
      <c r="B6" s="1357">
        <v>0.6</v>
      </c>
    </row>
    <row r="7" spans="1:2" ht="15.75" x14ac:dyDescent="0.25">
      <c r="A7" s="1353" t="s">
        <v>1847</v>
      </c>
      <c r="B7" s="1357">
        <v>0.5</v>
      </c>
    </row>
    <row r="8" spans="1:2" ht="15.75" x14ac:dyDescent="0.25">
      <c r="A8" s="1353" t="s">
        <v>1850</v>
      </c>
      <c r="B8" s="1357">
        <v>0.5</v>
      </c>
    </row>
    <row r="9" spans="1:2" ht="15.75" x14ac:dyDescent="0.25">
      <c r="A9" s="1353" t="s">
        <v>1851</v>
      </c>
      <c r="B9" s="1357">
        <v>0.5</v>
      </c>
    </row>
    <row r="10" spans="1:2" ht="15.75" x14ac:dyDescent="0.25">
      <c r="A10" s="1353" t="s">
        <v>1848</v>
      </c>
      <c r="B10" s="1357">
        <v>0.4</v>
      </c>
    </row>
    <row r="11" spans="1:2" ht="15.75" x14ac:dyDescent="0.25">
      <c r="A11" s="1353" t="s">
        <v>1849</v>
      </c>
      <c r="B11" s="1357">
        <v>0.4</v>
      </c>
    </row>
    <row r="12" spans="1:2" ht="15.75" x14ac:dyDescent="0.25">
      <c r="A12" s="1353" t="s">
        <v>1846</v>
      </c>
      <c r="B12" s="1357">
        <v>0.3</v>
      </c>
    </row>
    <row r="13" spans="1:2" ht="15.75" x14ac:dyDescent="0.25">
      <c r="A13" s="1353" t="s">
        <v>1845</v>
      </c>
      <c r="B13" s="1357">
        <v>0.2</v>
      </c>
    </row>
    <row r="14" spans="1:2" ht="15.75" x14ac:dyDescent="0.25">
      <c r="A14" s="1353" t="s">
        <v>1844</v>
      </c>
      <c r="B14" s="1357">
        <v>0.1</v>
      </c>
    </row>
    <row r="15" spans="1:2" ht="16.5" thickBot="1" x14ac:dyDescent="0.3">
      <c r="A15" s="1354" t="s">
        <v>1857</v>
      </c>
      <c r="B15" s="1358" t="s">
        <v>2017</v>
      </c>
    </row>
  </sheetData>
  <sheetProtection password="C4B9" sheet="1" objects="1" scenarios="1"/>
  <sortState ref="A2:B14">
    <sortCondition descending="1" ref="B2:B14"/>
  </sortState>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2060"/>
  </sheetPr>
  <dimension ref="A1:B15"/>
  <sheetViews>
    <sheetView workbookViewId="0">
      <selection activeCell="K39" sqref="K39"/>
    </sheetView>
  </sheetViews>
  <sheetFormatPr defaultRowHeight="12.75" x14ac:dyDescent="0.2"/>
  <cols>
    <col min="1" max="1" width="40.5" customWidth="1"/>
    <col min="2" max="2" width="28.1640625" customWidth="1"/>
  </cols>
  <sheetData>
    <row r="1" spans="1:2" ht="32.25" thickBot="1" x14ac:dyDescent="0.3">
      <c r="A1" s="1351" t="s">
        <v>2015</v>
      </c>
      <c r="B1" s="1360" t="s">
        <v>2019</v>
      </c>
    </row>
    <row r="2" spans="1:2" ht="15.75" x14ac:dyDescent="0.25">
      <c r="A2" s="1352" t="s">
        <v>1855</v>
      </c>
      <c r="B2" s="1356">
        <v>1</v>
      </c>
    </row>
    <row r="3" spans="1:2" ht="15.75" x14ac:dyDescent="0.25">
      <c r="A3" s="1353" t="s">
        <v>1852</v>
      </c>
      <c r="B3" s="1357">
        <v>0.9</v>
      </c>
    </row>
    <row r="4" spans="1:2" ht="15.75" x14ac:dyDescent="0.25">
      <c r="A4" s="1353" t="s">
        <v>1850</v>
      </c>
      <c r="B4" s="1357">
        <v>0.8</v>
      </c>
    </row>
    <row r="5" spans="1:2" ht="15.75" x14ac:dyDescent="0.25">
      <c r="A5" s="1353" t="s">
        <v>1847</v>
      </c>
      <c r="B5" s="1357">
        <v>0.7</v>
      </c>
    </row>
    <row r="6" spans="1:2" ht="15.75" x14ac:dyDescent="0.25">
      <c r="A6" s="1353" t="s">
        <v>1856</v>
      </c>
      <c r="B6" s="1357">
        <v>0.6</v>
      </c>
    </row>
    <row r="7" spans="1:2" ht="15.75" x14ac:dyDescent="0.25">
      <c r="A7" s="1353" t="s">
        <v>1853</v>
      </c>
      <c r="B7" s="1357">
        <v>0.5</v>
      </c>
    </row>
    <row r="8" spans="1:2" ht="15.75" x14ac:dyDescent="0.25">
      <c r="A8" s="1353" t="s">
        <v>1854</v>
      </c>
      <c r="B8" s="1357">
        <v>0.5</v>
      </c>
    </row>
    <row r="9" spans="1:2" ht="15.75" x14ac:dyDescent="0.25">
      <c r="A9" s="1353" t="s">
        <v>1851</v>
      </c>
      <c r="B9" s="1357">
        <v>0.4</v>
      </c>
    </row>
    <row r="10" spans="1:2" ht="15.75" x14ac:dyDescent="0.25">
      <c r="A10" s="1353" t="s">
        <v>1849</v>
      </c>
      <c r="B10" s="1357">
        <v>0.3</v>
      </c>
    </row>
    <row r="11" spans="1:2" ht="15.75" x14ac:dyDescent="0.25">
      <c r="A11" s="1353" t="s">
        <v>1848</v>
      </c>
      <c r="B11" s="1357">
        <v>0.2</v>
      </c>
    </row>
    <row r="12" spans="1:2" ht="15.75" x14ac:dyDescent="0.25">
      <c r="A12" s="1353" t="s">
        <v>1844</v>
      </c>
      <c r="B12" s="1357">
        <v>0.1</v>
      </c>
    </row>
    <row r="13" spans="1:2" ht="15.75" x14ac:dyDescent="0.25">
      <c r="A13" s="1353" t="s">
        <v>1845</v>
      </c>
      <c r="B13" s="1357">
        <v>0.1</v>
      </c>
    </row>
    <row r="14" spans="1:2" ht="15.75" x14ac:dyDescent="0.25">
      <c r="A14" s="1353" t="s">
        <v>1846</v>
      </c>
      <c r="B14" s="1357">
        <v>0.1</v>
      </c>
    </row>
    <row r="15" spans="1:2" ht="16.5" thickBot="1" x14ac:dyDescent="0.3">
      <c r="A15" s="1354" t="s">
        <v>1857</v>
      </c>
      <c r="B15" s="1358" t="s">
        <v>2017</v>
      </c>
    </row>
  </sheetData>
  <sheetProtection password="C4B9" sheet="1" objects="1" scenarios="1"/>
  <sortState ref="A2:B14">
    <sortCondition descending="1" ref="B2:B14"/>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ub_x002d_category xmlns="beb12a02-e4d3-4a66-8f74-4e9436112691">ABWRET</Sub_x002d_category>
    <Date_x0020_Produced xmlns="beb12a02-e4d3-4a66-8f74-4e9436112691">2015-06-10T06:00:00+00:00</Date_x0020_Produced>
    <Category xmlns="beb12a02-e4d3-4a66-8f74-4e9436112691">Project Deliverable</Category>
    <_Version xmlns="http://schemas.microsoft.com/sharepoint/v3/fields" xsi:nil="true"/>
    <Working_x0020_Group xmlns="beb12a02-e4d3-4a66-8f74-4e9436112691">
      <Value>Technical Working Group</Value>
    </Working_x0020_Group>
    <Action_x0020_needed xmlns="beb12a02-e4d3-4a66-8f74-4e9436112691">for publishing</Action_x0020_needed>
    <Actionable xmlns="beb12a02-e4d3-4a66-8f74-4e9436112691">true</Actionable>
    <Source xmlns="beb12a02-e4d3-4a66-8f74-4e9436112691">Adamus/Chen</Source>
    <Assigned_x0020_to0 xmlns="beb12a02-e4d3-4a66-8f74-4e9436112691">
      <UserInfo>
        <DisplayName/>
        <AccountId xsi:nil="true"/>
        <AccountType/>
      </UserInfo>
    </Assigned_x0020_to0>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29422685C2AA8468DC3370C4843F2E4" ma:contentTypeVersion="12" ma:contentTypeDescription="Create a new document." ma:contentTypeScope="" ma:versionID="a7f3327bc98a4da5cd52d88fe67ec5fc">
  <xsd:schema xmlns:xsd="http://www.w3.org/2001/XMLSchema" xmlns:p="http://schemas.microsoft.com/office/2006/metadata/properties" xmlns:ns2="beb12a02-e4d3-4a66-8f74-4e9436112691" xmlns:ns3="http://schemas.microsoft.com/sharepoint/v3/fields" targetNamespace="http://schemas.microsoft.com/office/2006/metadata/properties" ma:root="true" ma:fieldsID="1ff1fe99af1d9f26362c4aa2d8a2989b" ns2:_="" ns3:_="">
    <xsd:import namespace="beb12a02-e4d3-4a66-8f74-4e9436112691"/>
    <xsd:import namespace="http://schemas.microsoft.com/sharepoint/v3/fields"/>
    <xsd:element name="properties">
      <xsd:complexType>
        <xsd:sequence>
          <xsd:element name="documentManagement">
            <xsd:complexType>
              <xsd:all>
                <xsd:element ref="ns2:Category" minOccurs="0"/>
                <xsd:element ref="ns2:Sub_x002d_category" minOccurs="0"/>
                <xsd:element ref="ns2:Actionable" minOccurs="0"/>
                <xsd:element ref="ns2:Action_x0020_needed" minOccurs="0"/>
                <xsd:element ref="ns2:Source" minOccurs="0"/>
                <xsd:element ref="ns2:Date_x0020_Produced" minOccurs="0"/>
                <xsd:element ref="ns2:Working_x0020_Group" minOccurs="0"/>
                <xsd:element ref="ns2:Assigned_x0020_to0" minOccurs="0"/>
                <xsd:element ref="ns3:_Version" minOccurs="0"/>
              </xsd:all>
            </xsd:complexType>
          </xsd:element>
        </xsd:sequence>
      </xsd:complexType>
    </xsd:element>
  </xsd:schema>
  <xsd:schema xmlns:xsd="http://www.w3.org/2001/XMLSchema" xmlns:dms="http://schemas.microsoft.com/office/2006/documentManagement/types" targetNamespace="beb12a02-e4d3-4a66-8f74-4e9436112691" elementFormDefault="qualified">
    <xsd:import namespace="http://schemas.microsoft.com/office/2006/documentManagement/types"/>
    <xsd:element name="Category" ma:index="2" nillable="true" ma:displayName="Category" ma:format="Dropdown" ma:internalName="Category">
      <xsd:simpleType>
        <xsd:restriction base="dms:Choice">
          <xsd:enumeration value="Planning"/>
          <xsd:enumeration value="Presentation"/>
          <xsd:enumeration value="Administrative"/>
          <xsd:enumeration value="Reference"/>
          <xsd:enumeration value="Project Deliverable"/>
        </xsd:restriction>
      </xsd:simpleType>
    </xsd:element>
    <xsd:element name="Sub_x002d_category" ma:index="3" nillable="true" ma:displayName="Sub-category" ma:format="Dropdown" ma:internalName="Sub_x002d_category">
      <xsd:simpleType>
        <xsd:union memberTypes="dms:Text">
          <xsd:simpleType>
            <xsd:restriction base="dms:Choice">
              <xsd:enumeration value="ABWRET"/>
              <xsd:enumeration value="Agenda"/>
              <xsd:enumeration value="Authorization Process Docs"/>
              <xsd:enumeration value="Business Case"/>
              <xsd:enumeration value="Contract"/>
              <xsd:enumeration value="Decision"/>
              <xsd:enumeration value="Journal Article"/>
              <xsd:enumeration value="Notes"/>
              <xsd:enumeration value="Process map"/>
              <xsd:enumeration value="Project charter"/>
              <xsd:enumeration value="QWSP"/>
              <xsd:enumeration value="Report"/>
              <xsd:enumeration value="Statement of Requirements"/>
              <xsd:enumeration value="Status Report"/>
              <xsd:enumeration value="Terms of Reference"/>
              <xsd:enumeration value="Work Plan"/>
            </xsd:restriction>
          </xsd:simpleType>
        </xsd:union>
      </xsd:simpleType>
    </xsd:element>
    <xsd:element name="Actionable" ma:index="4" nillable="true" ma:displayName="Actionable" ma:default="0" ma:internalName="Actionable">
      <xsd:simpleType>
        <xsd:restriction base="dms:Boolean"/>
      </xsd:simpleType>
    </xsd:element>
    <xsd:element name="Action_x0020_needed" ma:index="5" nillable="true" ma:displayName="Action needed" ma:internalName="Action_x0020_needed">
      <xsd:simpleType>
        <xsd:restriction base="dms:Text">
          <xsd:maxLength value="255"/>
        </xsd:restriction>
      </xsd:simpleType>
    </xsd:element>
    <xsd:element name="Source" ma:index="6" nillable="true" ma:displayName="Source" ma:description="Describes the source of the document origin (E.g. Core WG; Systems WG; Author, Document made available by...)" ma:internalName="Source">
      <xsd:simpleType>
        <xsd:restriction base="dms:Text">
          <xsd:maxLength value="255"/>
        </xsd:restriction>
      </xsd:simpleType>
    </xsd:element>
    <xsd:element name="Date_x0020_Produced" ma:index="7" nillable="true" ma:displayName="Date Produced" ma:format="DateOnly" ma:internalName="Date_x0020_Produced">
      <xsd:simpleType>
        <xsd:restriction base="dms:DateTime"/>
      </xsd:simpleType>
    </xsd:element>
    <xsd:element name="Working_x0020_Group" ma:index="8" nillable="true" ma:displayName="Working Group" ma:internalName="Working_x0020_Group">
      <xsd:complexType>
        <xsd:complexContent>
          <xsd:extension base="dms:MultiChoice">
            <xsd:sequence>
              <xsd:element name="Value" maxOccurs="unbounded" minOccurs="0" nillable="true">
                <xsd:simpleType>
                  <xsd:restriction base="dms:Choice">
                    <xsd:enumeration value="Core Working Group"/>
                    <xsd:enumeration value="Education Working Group"/>
                    <xsd:enumeration value="Governance Working Group"/>
                    <xsd:enumeration value="Regulatory Working Group"/>
                    <xsd:enumeration value="Systems Working Group"/>
                    <xsd:enumeration value="Technical Working Group"/>
                    <xsd:enumeration value="Other"/>
                  </xsd:restriction>
                </xsd:simpleType>
              </xsd:element>
            </xsd:sequence>
          </xsd:extension>
        </xsd:complexContent>
      </xsd:complexType>
    </xsd:element>
    <xsd:element name="Assigned_x0020_to0" ma:index="9" nillable="true" ma:displayName="Assigned to" ma:list="UserInfo" ma:internalName="Assigned_x0020_to0"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Version" ma:index="10"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ma:readOnly="true"/>
        <xsd:element ref="dc:title" minOccurs="0" maxOccurs="1" ma:index="1" ma:displayName="Official 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200884-34A1-46E3-9EA0-F93AC4A39FA0}">
  <ds:schemaRefs>
    <ds:schemaRef ds:uri="http://schemas.microsoft.com/sharepoint/v3/fields"/>
    <ds:schemaRef ds:uri="http://schemas.microsoft.com/office/2006/documentManagement/types"/>
    <ds:schemaRef ds:uri="http://purl.org/dc/dcmitype/"/>
    <ds:schemaRef ds:uri="http://purl.org/dc/terms/"/>
    <ds:schemaRef ds:uri="beb12a02-e4d3-4a66-8f74-4e9436112691"/>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B03D35B-4577-4730-9AE9-AD53695F19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b12a02-e4d3-4a66-8f74-4e9436112691"/>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F1F8CE5-F1A8-4600-854F-DE298D44EE6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540</vt:i4>
      </vt:variant>
    </vt:vector>
  </HeadingPairs>
  <TitlesOfParts>
    <vt:vector size="567" baseType="lpstr">
      <vt:lpstr>CoverPg</vt:lpstr>
      <vt:lpstr>F</vt:lpstr>
      <vt:lpstr>S</vt:lpstr>
      <vt:lpstr>OF</vt:lpstr>
      <vt:lpstr>AllSitesA</vt:lpstr>
      <vt:lpstr>SaveVarsA</vt:lpstr>
      <vt:lpstr>StatsA</vt:lpstr>
      <vt:lpstr>AllSitesE</vt:lpstr>
      <vt:lpstr>AllSitesEsub</vt:lpstr>
      <vt:lpstr>WS</vt:lpstr>
      <vt:lpstr>SFS</vt:lpstr>
      <vt:lpstr>WC</vt:lpstr>
      <vt:lpstr>SR</vt:lpstr>
      <vt:lpstr>PR</vt:lpstr>
      <vt:lpstr>NR</vt:lpstr>
      <vt:lpstr>OE</vt:lpstr>
      <vt:lpstr>FH</vt:lpstr>
      <vt:lpstr>INV</vt:lpstr>
      <vt:lpstr>AM</vt:lpstr>
      <vt:lpstr>WB</vt:lpstr>
      <vt:lpstr>SBM</vt:lpstr>
      <vt:lpstr>PH</vt:lpstr>
      <vt:lpstr>HU</vt:lpstr>
      <vt:lpstr>Scores</vt:lpstr>
      <vt:lpstr>Table 1</vt:lpstr>
      <vt:lpstr>Table 2</vt:lpstr>
      <vt:lpstr>Table 3</vt:lpstr>
      <vt:lpstr>_Bog6</vt:lpstr>
      <vt:lpstr>_GDD1</vt:lpstr>
      <vt:lpstr>_Iso2</vt:lpstr>
      <vt:lpstr>Access1a</vt:lpstr>
      <vt:lpstr>Acidic13</vt:lpstr>
      <vt:lpstr>AcidicPool10</vt:lpstr>
      <vt:lpstr>AcidPool10</vt:lpstr>
      <vt:lpstr>ADSORB1A</vt:lpstr>
      <vt:lpstr>ADSORB1B</vt:lpstr>
      <vt:lpstr>Algae21</vt:lpstr>
      <vt:lpstr>Algae3</vt:lpstr>
      <vt:lpstr>AllDry11</vt:lpstr>
      <vt:lpstr>AllForbCov</vt:lpstr>
      <vt:lpstr>AllHerbCov</vt:lpstr>
      <vt:lpstr>AllMoss</vt:lpstr>
      <vt:lpstr>AllNat</vt:lpstr>
      <vt:lpstr>AllOpenPond</vt:lpstr>
      <vt:lpstr>AllSat</vt:lpstr>
      <vt:lpstr>AllSat1</vt:lpstr>
      <vt:lpstr>AllSat2</vt:lpstr>
      <vt:lpstr>AllWet</vt:lpstr>
      <vt:lpstr>AllWoody1</vt:lpstr>
      <vt:lpstr>AltTime10</vt:lpstr>
      <vt:lpstr>AltTime20</vt:lpstr>
      <vt:lpstr>AltTime8</vt:lpstr>
      <vt:lpstr>AnoxF1a</vt:lpstr>
      <vt:lpstr>AnoxF1b</vt:lpstr>
      <vt:lpstr>AqCov8</vt:lpstr>
      <vt:lpstr>AqVul</vt:lpstr>
      <vt:lpstr>Aspect</vt:lpstr>
      <vt:lpstr>Beaver10</vt:lpstr>
      <vt:lpstr>Beaver11</vt:lpstr>
      <vt:lpstr>Beaver13</vt:lpstr>
      <vt:lpstr>Beaver14</vt:lpstr>
      <vt:lpstr>Beaver14a</vt:lpstr>
      <vt:lpstr>BeaverPD</vt:lpstr>
      <vt:lpstr>BioDivZone</vt:lpstr>
      <vt:lpstr>BMP_11</vt:lpstr>
      <vt:lpstr>BMP_13</vt:lpstr>
      <vt:lpstr>BMP_14</vt:lpstr>
      <vt:lpstr>BMPsoils20</vt:lpstr>
      <vt:lpstr>BMPsoilsPU</vt:lpstr>
      <vt:lpstr>BMPwildPU</vt:lpstr>
      <vt:lpstr>BuffAllNat</vt:lpstr>
      <vt:lpstr>BuffLUpd</vt:lpstr>
      <vt:lpstr>BuffNatPct11</vt:lpstr>
      <vt:lpstr>BuffNatPct13</vt:lpstr>
      <vt:lpstr>BuffNatPct8</vt:lpstr>
      <vt:lpstr>CApctB3</vt:lpstr>
      <vt:lpstr>CARB1A</vt:lpstr>
      <vt:lpstr>CARB1B</vt:lpstr>
      <vt:lpstr>CfixA1a</vt:lpstr>
      <vt:lpstr>CfixF1a</vt:lpstr>
      <vt:lpstr>CfixI1a</vt:lpstr>
      <vt:lpstr>CfixS1a</vt:lpstr>
      <vt:lpstr>CfixS1b</vt:lpstr>
      <vt:lpstr>CfixV1a</vt:lpstr>
      <vt:lpstr>CfixW1a</vt:lpstr>
      <vt:lpstr>ChannConn</vt:lpstr>
      <vt:lpstr>ClassRich1k</vt:lpstr>
      <vt:lpstr>ClassRichIn</vt:lpstr>
      <vt:lpstr>ClassRichIn14</vt:lpstr>
      <vt:lpstr>ClassRichIn15</vt:lpstr>
      <vt:lpstr>ClassRichIn8</vt:lpstr>
      <vt:lpstr>Cliff14</vt:lpstr>
      <vt:lpstr>Cliffs14</vt:lpstr>
      <vt:lpstr>Constric1</vt:lpstr>
      <vt:lpstr>Constric2</vt:lpstr>
      <vt:lpstr>Constric3</vt:lpstr>
      <vt:lpstr>Constric4</vt:lpstr>
      <vt:lpstr>Constric6</vt:lpstr>
      <vt:lpstr>Core1_11</vt:lpstr>
      <vt:lpstr>Core1_13</vt:lpstr>
      <vt:lpstr>Core13a</vt:lpstr>
      <vt:lpstr>Core14a</vt:lpstr>
      <vt:lpstr>Core14b</vt:lpstr>
      <vt:lpstr>Core1pd</vt:lpstr>
      <vt:lpstr>Core1PU</vt:lpstr>
      <vt:lpstr>Core2_11</vt:lpstr>
      <vt:lpstr>Core2_13</vt:lpstr>
      <vt:lpstr>Core2pd</vt:lpstr>
      <vt:lpstr>Core2PU</vt:lpstr>
      <vt:lpstr>Cstock1a</vt:lpstr>
      <vt:lpstr>Cstock1b</vt:lpstr>
      <vt:lpstr>CUbuffLUtype8</vt:lpstr>
      <vt:lpstr>CUbuffNatPct14</vt:lpstr>
      <vt:lpstr>CUbuffPctNat8</vt:lpstr>
      <vt:lpstr>CUtypeLU14</vt:lpstr>
      <vt:lpstr>dbhPD</vt:lpstr>
      <vt:lpstr>Decid6</vt:lpstr>
      <vt:lpstr>DELAY1A</vt:lpstr>
      <vt:lpstr>DELAY1B</vt:lpstr>
      <vt:lpstr>Depth10</vt:lpstr>
      <vt:lpstr>Depth15</vt:lpstr>
      <vt:lpstr>Depth2_</vt:lpstr>
      <vt:lpstr>Depth7</vt:lpstr>
      <vt:lpstr>Depth8</vt:lpstr>
      <vt:lpstr>DepthC2</vt:lpstr>
      <vt:lpstr>DepthDiv8</vt:lpstr>
      <vt:lpstr>DepthEven10</vt:lpstr>
      <vt:lpstr>DepthEven13</vt:lpstr>
      <vt:lpstr>Dist2DevCrop</vt:lpstr>
      <vt:lpstr>Dist2Road</vt:lpstr>
      <vt:lpstr>DistPop</vt:lpstr>
      <vt:lpstr>DomDepth3</vt:lpstr>
      <vt:lpstr>DownWood15</vt:lpstr>
      <vt:lpstr>DuckDens</vt:lpstr>
      <vt:lpstr>ElevPctileHUC8</vt:lpstr>
      <vt:lpstr>EmPct13</vt:lpstr>
      <vt:lpstr>Fen2_</vt:lpstr>
      <vt:lpstr>FenBogMarsh</vt:lpstr>
      <vt:lpstr>FenMarshSwamp</vt:lpstr>
      <vt:lpstr>FenPct</vt:lpstr>
      <vt:lpstr>Fish10</vt:lpstr>
      <vt:lpstr>Fish11</vt:lpstr>
      <vt:lpstr>Fish13</vt:lpstr>
      <vt:lpstr>Fish8</vt:lpstr>
      <vt:lpstr>FishPres</vt:lpstr>
      <vt:lpstr>FloDist1</vt:lpstr>
      <vt:lpstr>Fluc2</vt:lpstr>
      <vt:lpstr>FlucPD</vt:lpstr>
      <vt:lpstr>Fluctu11</vt:lpstr>
      <vt:lpstr>Fluctu13</vt:lpstr>
      <vt:lpstr>Fluctu3</vt:lpstr>
      <vt:lpstr>Fluctu4</vt:lpstr>
      <vt:lpstr>Fluctu6</vt:lpstr>
      <vt:lpstr>Fluctu8</vt:lpstr>
      <vt:lpstr>Fluctua1</vt:lpstr>
      <vt:lpstr>ForbCov14</vt:lpstr>
      <vt:lpstr>forbsPD</vt:lpstr>
      <vt:lpstr>ForestedPeat</vt:lpstr>
      <vt:lpstr>Fringe</vt:lpstr>
      <vt:lpstr>Fringe10</vt:lpstr>
      <vt:lpstr>Fringe21</vt:lpstr>
      <vt:lpstr>Gcover2</vt:lpstr>
      <vt:lpstr>Gcover3</vt:lpstr>
      <vt:lpstr>Gcover4</vt:lpstr>
      <vt:lpstr>Gcover6</vt:lpstr>
      <vt:lpstr>Girreg1</vt:lpstr>
      <vt:lpstr>Girreg11</vt:lpstr>
      <vt:lpstr>Girreg2</vt:lpstr>
      <vt:lpstr>Girreg3</vt:lpstr>
      <vt:lpstr>Girreg4</vt:lpstr>
      <vt:lpstr>Girreg8</vt:lpstr>
      <vt:lpstr>GirregPD</vt:lpstr>
      <vt:lpstr>Gradient1</vt:lpstr>
      <vt:lpstr>Gradient11</vt:lpstr>
      <vt:lpstr>Gradient13</vt:lpstr>
      <vt:lpstr>Gradient2</vt:lpstr>
      <vt:lpstr>Gradient3</vt:lpstr>
      <vt:lpstr>Gradient4</vt:lpstr>
      <vt:lpstr>Gradient6</vt:lpstr>
      <vt:lpstr>Groundw1</vt:lpstr>
      <vt:lpstr>Groundw10</vt:lpstr>
      <vt:lpstr>GroundW11</vt:lpstr>
      <vt:lpstr>Groundw2_</vt:lpstr>
      <vt:lpstr>Groundw4</vt:lpstr>
      <vt:lpstr>Groundw8</vt:lpstr>
      <vt:lpstr>GrowDD</vt:lpstr>
      <vt:lpstr>GT10HA</vt:lpstr>
      <vt:lpstr>Gwater7</vt:lpstr>
      <vt:lpstr>GWDspring</vt:lpstr>
      <vt:lpstr>GWIN1A</vt:lpstr>
      <vt:lpstr>GWpd</vt:lpstr>
      <vt:lpstr>GWplantdiv</vt:lpstr>
      <vt:lpstr>GWrisk1</vt:lpstr>
      <vt:lpstr>HabStruc1b</vt:lpstr>
      <vt:lpstr>HabStrucA1a</vt:lpstr>
      <vt:lpstr>HabStrucA1b</vt:lpstr>
      <vt:lpstr>HabStrucF1a</vt:lpstr>
      <vt:lpstr>HabStrucF1b</vt:lpstr>
      <vt:lpstr>HabStrucI1a</vt:lpstr>
      <vt:lpstr>HabStrucI1b</vt:lpstr>
      <vt:lpstr>HabStrucS1a</vt:lpstr>
      <vt:lpstr>HabStrucS1b</vt:lpstr>
      <vt:lpstr>HabStrucW1a</vt:lpstr>
      <vt:lpstr>HabStrucW1b</vt:lpstr>
      <vt:lpstr>Hardwd14</vt:lpstr>
      <vt:lpstr>HardwdPD</vt:lpstr>
      <vt:lpstr>Hardwood8</vt:lpstr>
      <vt:lpstr>HerbDiv8</vt:lpstr>
      <vt:lpstr>HerbDom14</vt:lpstr>
      <vt:lpstr>herbdom15</vt:lpstr>
      <vt:lpstr>HerbWood15</vt:lpstr>
      <vt:lpstr>HerbWoodMix11</vt:lpstr>
      <vt:lpstr>HerbWoodMix14</vt:lpstr>
      <vt:lpstr>HistList</vt:lpstr>
      <vt:lpstr>IBirdArea</vt:lpstr>
      <vt:lpstr>InBigRemnant</vt:lpstr>
      <vt:lpstr>Inclus14</vt:lpstr>
      <vt:lpstr>Inclus4</vt:lpstr>
      <vt:lpstr>INFILT1a</vt:lpstr>
      <vt:lpstr>Infilt1b</vt:lpstr>
      <vt:lpstr>InfloPD</vt:lpstr>
      <vt:lpstr>Inflows</vt:lpstr>
      <vt:lpstr>Interspers10</vt:lpstr>
      <vt:lpstr>Interspers11</vt:lpstr>
      <vt:lpstr>Interspers13</vt:lpstr>
      <vt:lpstr>Interspers14</vt:lpstr>
      <vt:lpstr>Interspers2</vt:lpstr>
      <vt:lpstr>Interspers3</vt:lpstr>
      <vt:lpstr>Interspers4</vt:lpstr>
      <vt:lpstr>Interspers6</vt:lpstr>
      <vt:lpstr>Interspers8</vt:lpstr>
      <vt:lpstr>InterspersPD</vt:lpstr>
      <vt:lpstr>Invasives</vt:lpstr>
      <vt:lpstr>Invest21</vt:lpstr>
      <vt:lpstr>Island13</vt:lpstr>
      <vt:lpstr>IsoDry1</vt:lpstr>
      <vt:lpstr>ISOdry10</vt:lpstr>
      <vt:lpstr>ISOdry13</vt:lpstr>
      <vt:lpstr>ISOdry7</vt:lpstr>
      <vt:lpstr>ISOwet11</vt:lpstr>
      <vt:lpstr>IsoWet2</vt:lpstr>
      <vt:lpstr>IsoWet2a</vt:lpstr>
      <vt:lpstr>IsoWet2s</vt:lpstr>
      <vt:lpstr>LabileC1a</vt:lpstr>
      <vt:lpstr>LabileC1b</vt:lpstr>
      <vt:lpstr>Lacust13</vt:lpstr>
      <vt:lpstr>Lake</vt:lpstr>
      <vt:lpstr>Lake10</vt:lpstr>
      <vt:lpstr>Lake13</vt:lpstr>
      <vt:lpstr>Lake21</vt:lpstr>
      <vt:lpstr>Lake3</vt:lpstr>
      <vt:lpstr>LGIndex</vt:lpstr>
      <vt:lpstr>LscapeS1a</vt:lpstr>
      <vt:lpstr>LscapeW1a</vt:lpstr>
      <vt:lpstr>MarshFenSwamp</vt:lpstr>
      <vt:lpstr>MarshPct</vt:lpstr>
      <vt:lpstr>MarshUniq</vt:lpstr>
      <vt:lpstr>MixHerbWood</vt:lpstr>
      <vt:lpstr>MixWaterVeg</vt:lpstr>
      <vt:lpstr>Moss6</vt:lpstr>
      <vt:lpstr>Moss8</vt:lpstr>
      <vt:lpstr>MossPD</vt:lpstr>
      <vt:lpstr>NatCov1k</vt:lpstr>
      <vt:lpstr>NatVegCApd</vt:lpstr>
      <vt:lpstr>NatVegCUpct10</vt:lpstr>
      <vt:lpstr>NatVegPct11</vt:lpstr>
      <vt:lpstr>NatVegPctCU8</vt:lpstr>
      <vt:lpstr>NewWet</vt:lpstr>
      <vt:lpstr>NewWet6</vt:lpstr>
      <vt:lpstr>NewWetNot6</vt:lpstr>
      <vt:lpstr>NewWetPD</vt:lpstr>
      <vt:lpstr>Nfixer6</vt:lpstr>
      <vt:lpstr>Nfixers8</vt:lpstr>
      <vt:lpstr>NfixPD</vt:lpstr>
      <vt:lpstr>NoHerbCov</vt:lpstr>
      <vt:lpstr>NonHydric6</vt:lpstr>
      <vt:lpstr>NoOpenPonded</vt:lpstr>
      <vt:lpstr>NoOpenPonded1</vt:lpstr>
      <vt:lpstr>NoOtherWettypes</vt:lpstr>
      <vt:lpstr>NoOutlet1</vt:lpstr>
      <vt:lpstr>NoOutlet10</vt:lpstr>
      <vt:lpstr>NoOutlet1a</vt:lpstr>
      <vt:lpstr>NoOutlet2</vt:lpstr>
      <vt:lpstr>NoOutlet3</vt:lpstr>
      <vt:lpstr>NoOutlet4</vt:lpstr>
      <vt:lpstr>NoOutlet6</vt:lpstr>
      <vt:lpstr>NoPermW10</vt:lpstr>
      <vt:lpstr>NoPersis</vt:lpstr>
      <vt:lpstr>NoPonded</vt:lpstr>
      <vt:lpstr>NoSeasonal</vt:lpstr>
      <vt:lpstr>NoShrub</vt:lpstr>
      <vt:lpstr>NoTrees</vt:lpstr>
      <vt:lpstr>NoWater3</vt:lpstr>
      <vt:lpstr>NoWater4a</vt:lpstr>
      <vt:lpstr>NoWoody</vt:lpstr>
      <vt:lpstr>NoWoodyVeg</vt:lpstr>
      <vt:lpstr>OpenPct1</vt:lpstr>
      <vt:lpstr>OpenPonded2</vt:lpstr>
      <vt:lpstr>OpenPonded7</vt:lpstr>
      <vt:lpstr>OpenW</vt:lpstr>
      <vt:lpstr>OpenWpct3</vt:lpstr>
      <vt:lpstr>OUT2A</vt:lpstr>
      <vt:lpstr>OUT3A</vt:lpstr>
      <vt:lpstr>OUT7A</vt:lpstr>
      <vt:lpstr>OutC1a</vt:lpstr>
      <vt:lpstr>OutDur2</vt:lpstr>
      <vt:lpstr>OutDur2_</vt:lpstr>
      <vt:lpstr>OutDur7</vt:lpstr>
      <vt:lpstr>OutDura1</vt:lpstr>
      <vt:lpstr>OutDura10</vt:lpstr>
      <vt:lpstr>OutDura3</vt:lpstr>
      <vt:lpstr>OutDura4</vt:lpstr>
      <vt:lpstr>OutDura6</vt:lpstr>
      <vt:lpstr>OutNone</vt:lpstr>
      <vt:lpstr>OutNone1</vt:lpstr>
      <vt:lpstr>OWarea</vt:lpstr>
      <vt:lpstr>Ownership</vt:lpstr>
      <vt:lpstr>OWpct</vt:lpstr>
      <vt:lpstr>OWpct_AM</vt:lpstr>
      <vt:lpstr>OWpct_INV</vt:lpstr>
      <vt:lpstr>OWpct_WB</vt:lpstr>
      <vt:lpstr>OWpct10</vt:lpstr>
      <vt:lpstr>OWpct11</vt:lpstr>
      <vt:lpstr>OWpct13</vt:lpstr>
      <vt:lpstr>OWpct4</vt:lpstr>
      <vt:lpstr>OWpct6</vt:lpstr>
      <vt:lpstr>OWpct8</vt:lpstr>
      <vt:lpstr>PerimNatCov</vt:lpstr>
      <vt:lpstr>PermWaterAll14</vt:lpstr>
      <vt:lpstr>PermWpct10</vt:lpstr>
      <vt:lpstr>PermWpct13</vt:lpstr>
      <vt:lpstr>PermWpct14</vt:lpstr>
      <vt:lpstr>PermWpct4</vt:lpstr>
      <vt:lpstr>PermWpct8</vt:lpstr>
      <vt:lpstr>Persis3</vt:lpstr>
      <vt:lpstr>PersisPD</vt:lpstr>
      <vt:lpstr>PondedOWpct14</vt:lpstr>
      <vt:lpstr>PondedOWpct21</vt:lpstr>
      <vt:lpstr>PondedOWpctPD</vt:lpstr>
      <vt:lpstr>PondedPct6</vt:lpstr>
      <vt:lpstr>PondPct4</vt:lpstr>
      <vt:lpstr>PPET</vt:lpstr>
      <vt:lpstr>Pred1a</vt:lpstr>
      <vt:lpstr>PredA1a</vt:lpstr>
      <vt:lpstr>CoverPg!Print_Area</vt:lpstr>
      <vt:lpstr>F!Print_Area</vt:lpstr>
      <vt:lpstr>OF!Print_Area</vt:lpstr>
      <vt:lpstr>S!Print_Area</vt:lpstr>
      <vt:lpstr>Scores!Print_Area</vt:lpstr>
      <vt:lpstr>Provis21</vt:lpstr>
      <vt:lpstr>Public</vt:lpstr>
      <vt:lpstr>RaptorNest</vt:lpstr>
      <vt:lpstr>RareAmphib</vt:lpstr>
      <vt:lpstr>RareBirdUse</vt:lpstr>
      <vt:lpstr>RareFish</vt:lpstr>
      <vt:lpstr>RarePlant</vt:lpstr>
      <vt:lpstr>RarePlantRange</vt:lpstr>
      <vt:lpstr>RareSBM</vt:lpstr>
      <vt:lpstr>RareWB</vt:lpstr>
      <vt:lpstr>RareWB13</vt:lpstr>
      <vt:lpstr>RdDens1k</vt:lpstr>
      <vt:lpstr>RecreaPoten</vt:lpstr>
      <vt:lpstr>REDOX1A</vt:lpstr>
      <vt:lpstr>REDOX1B</vt:lpstr>
      <vt:lpstr>Reserve</vt:lpstr>
      <vt:lpstr>RESIST1a</vt:lpstr>
      <vt:lpstr>Resist1b</vt:lpstr>
      <vt:lpstr>RichScape11</vt:lpstr>
      <vt:lpstr>RipFloodpl</vt:lpstr>
      <vt:lpstr>Rock15</vt:lpstr>
      <vt:lpstr>Salin10</vt:lpstr>
      <vt:lpstr>Salin11</vt:lpstr>
      <vt:lpstr>Salin13</vt:lpstr>
      <vt:lpstr>Salin3</vt:lpstr>
      <vt:lpstr>SatPct10</vt:lpstr>
      <vt:lpstr>SatPct11</vt:lpstr>
      <vt:lpstr>SatPct13</vt:lpstr>
      <vt:lpstr>SatPct14</vt:lpstr>
      <vt:lpstr>SatPct15</vt:lpstr>
      <vt:lpstr>SatPct3</vt:lpstr>
      <vt:lpstr>SatPct4</vt:lpstr>
      <vt:lpstr>SatPct7</vt:lpstr>
      <vt:lpstr>SatPct8</vt:lpstr>
      <vt:lpstr>SatPctPD</vt:lpstr>
      <vt:lpstr>Satur10</vt:lpstr>
      <vt:lpstr>SBhab13</vt:lpstr>
      <vt:lpstr>SBstaging</vt:lpstr>
      <vt:lpstr>SeasPct1</vt:lpstr>
      <vt:lpstr>SeasPct2</vt:lpstr>
      <vt:lpstr>SeasPct8</vt:lpstr>
      <vt:lpstr>SeasWpct13</vt:lpstr>
      <vt:lpstr>SeasWpct4</vt:lpstr>
      <vt:lpstr>SeasWpct6</vt:lpstr>
      <vt:lpstr>SeasWpctPD</vt:lpstr>
      <vt:lpstr>SedCA8</vt:lpstr>
      <vt:lpstr>SedDisturb20</vt:lpstr>
      <vt:lpstr>Sedge14</vt:lpstr>
      <vt:lpstr>sedgePD</vt:lpstr>
      <vt:lpstr>SEDTRAP1A</vt:lpstr>
      <vt:lpstr>SEDTRAP1B</vt:lpstr>
      <vt:lpstr>SensAm</vt:lpstr>
      <vt:lpstr>Shade10</vt:lpstr>
      <vt:lpstr>SHADE1A</vt:lpstr>
      <vt:lpstr>Shade6</vt:lpstr>
      <vt:lpstr>Shade7</vt:lpstr>
      <vt:lpstr>ShoreSlope13</vt:lpstr>
      <vt:lpstr>ShrubCanop14</vt:lpstr>
      <vt:lpstr>ShrubDiv14</vt:lpstr>
      <vt:lpstr>ShrubSun</vt:lpstr>
      <vt:lpstr>ShurbHtDiv14</vt:lpstr>
      <vt:lpstr>SlopeBuffer</vt:lpstr>
      <vt:lpstr>SmallAA</vt:lpstr>
      <vt:lpstr>SnagB13</vt:lpstr>
      <vt:lpstr>SnagD14</vt:lpstr>
      <vt:lpstr>Snags15</vt:lpstr>
      <vt:lpstr>Soil2_</vt:lpstr>
      <vt:lpstr>SoilAlt2</vt:lpstr>
      <vt:lpstr>SoilAlt3</vt:lpstr>
      <vt:lpstr>SoilDisturb15</vt:lpstr>
      <vt:lpstr>SoilDisturb4</vt:lpstr>
      <vt:lpstr>SoilDisturb8</vt:lpstr>
      <vt:lpstr>SoilOrgPct</vt:lpstr>
      <vt:lpstr>SoilTex</vt:lpstr>
      <vt:lpstr>SoilTex_NROE</vt:lpstr>
      <vt:lpstr>SoilTex_PR</vt:lpstr>
      <vt:lpstr>SoilTex_WS</vt:lpstr>
      <vt:lpstr>SoilTex1</vt:lpstr>
      <vt:lpstr>SoilTex3</vt:lpstr>
      <vt:lpstr>SoilTex4</vt:lpstr>
      <vt:lpstr>SoilTex6</vt:lpstr>
      <vt:lpstr>SoilTexPD</vt:lpstr>
      <vt:lpstr>SOLAR1A</vt:lpstr>
      <vt:lpstr>SOLAR1B</vt:lpstr>
      <vt:lpstr>Spring</vt:lpstr>
      <vt:lpstr>Stain8</vt:lpstr>
      <vt:lpstr>Stained11</vt:lpstr>
      <vt:lpstr>Stained6</vt:lpstr>
      <vt:lpstr>Steep1</vt:lpstr>
      <vt:lpstr>Steep13</vt:lpstr>
      <vt:lpstr>Steep1ws</vt:lpstr>
      <vt:lpstr>Steep2ws</vt:lpstr>
      <vt:lpstr>STORE1a</vt:lpstr>
      <vt:lpstr>StressA1a</vt:lpstr>
      <vt:lpstr>StressF1a</vt:lpstr>
      <vt:lpstr>StressI1a</vt:lpstr>
      <vt:lpstr>StressS1a</vt:lpstr>
      <vt:lpstr>StressV1a</vt:lpstr>
      <vt:lpstr>StressW1a</vt:lpstr>
      <vt:lpstr>Sub0Days</vt:lpstr>
      <vt:lpstr>SwampMarshPct</vt:lpstr>
      <vt:lpstr>SwampPct1K</vt:lpstr>
      <vt:lpstr>SwampPctWet</vt:lpstr>
      <vt:lpstr>Swater</vt:lpstr>
      <vt:lpstr>SWOpd</vt:lpstr>
      <vt:lpstr>TEMP1A</vt:lpstr>
      <vt:lpstr>TEMP1B</vt:lpstr>
      <vt:lpstr>ThruFlo1</vt:lpstr>
      <vt:lpstr>ThruFlo10</vt:lpstr>
      <vt:lpstr>ThruFlo2</vt:lpstr>
      <vt:lpstr>ThruFlo3</vt:lpstr>
      <vt:lpstr>ThruFlo4</vt:lpstr>
      <vt:lpstr>ThruFlo6</vt:lpstr>
      <vt:lpstr>ThruFlo8</vt:lpstr>
      <vt:lpstr>TooSaline</vt:lpstr>
      <vt:lpstr>TooSteep13</vt:lpstr>
      <vt:lpstr>Toxic10</vt:lpstr>
      <vt:lpstr>Toxic11</vt:lpstr>
      <vt:lpstr>Toxic20</vt:lpstr>
      <vt:lpstr>Toxic8</vt:lpstr>
      <vt:lpstr>Trail</vt:lpstr>
      <vt:lpstr>TRAP1A</vt:lpstr>
      <vt:lpstr>TRAP1B</vt:lpstr>
      <vt:lpstr>TreeCovPD</vt:lpstr>
      <vt:lpstr>TreeForm13</vt:lpstr>
      <vt:lpstr>TreePct14</vt:lpstr>
      <vt:lpstr>Trees13</vt:lpstr>
      <vt:lpstr>TreeTyp13</vt:lpstr>
      <vt:lpstr>TreeTypes14</vt:lpstr>
      <vt:lpstr>TreeVar11</vt:lpstr>
      <vt:lpstr>TrumSwan</vt:lpstr>
      <vt:lpstr>UndevOpenL100</vt:lpstr>
      <vt:lpstr>UndevOpenL1k</vt:lpstr>
      <vt:lpstr>UniqClass</vt:lpstr>
      <vt:lpstr>UniqFenMarsh</vt:lpstr>
      <vt:lpstr>UniqFenMarshSwamp</vt:lpstr>
      <vt:lpstr>UpEutro1k</vt:lpstr>
      <vt:lpstr>Use1a</vt:lpstr>
      <vt:lpstr>VegCon1k</vt:lpstr>
      <vt:lpstr>VegIntersp8</vt:lpstr>
      <vt:lpstr>VegWabs3</vt:lpstr>
      <vt:lpstr>Visibility</vt:lpstr>
      <vt:lpstr>Vscape1a</vt:lpstr>
      <vt:lpstr>Vspace1a</vt:lpstr>
      <vt:lpstr>Vspace1b</vt:lpstr>
      <vt:lpstr>Vstruc1a</vt:lpstr>
      <vt:lpstr>Vstruc1b</vt:lpstr>
      <vt:lpstr>Vwidth1</vt:lpstr>
      <vt:lpstr>Vwidth11</vt:lpstr>
      <vt:lpstr>Vwidth14</vt:lpstr>
      <vt:lpstr>VwidthAbs13</vt:lpstr>
      <vt:lpstr>VwidthAbs4</vt:lpstr>
      <vt:lpstr>VwidthAbs6</vt:lpstr>
      <vt:lpstr>WatEdgeSlope2</vt:lpstr>
      <vt:lpstr>Water10</vt:lpstr>
      <vt:lpstr>Water11</vt:lpstr>
      <vt:lpstr>Water13</vt:lpstr>
      <vt:lpstr>Water14</vt:lpstr>
      <vt:lpstr>Water15</vt:lpstr>
      <vt:lpstr>Water1a</vt:lpstr>
      <vt:lpstr>Water3</vt:lpstr>
      <vt:lpstr>Water4</vt:lpstr>
      <vt:lpstr>Water7</vt:lpstr>
      <vt:lpstr>Water8</vt:lpstr>
      <vt:lpstr>WaterI1a</vt:lpstr>
      <vt:lpstr>WatProb</vt:lpstr>
      <vt:lpstr>WBstaging</vt:lpstr>
      <vt:lpstr>WclassDom7</vt:lpstr>
      <vt:lpstr>WclassSub7</vt:lpstr>
      <vt:lpstr>WeedSourcePD</vt:lpstr>
      <vt:lpstr>Wet1a</vt:lpstr>
      <vt:lpstr>Wet1b</vt:lpstr>
      <vt:lpstr>WetArea</vt:lpstr>
      <vt:lpstr>WetClass</vt:lpstr>
      <vt:lpstr>WetDens1k</vt:lpstr>
      <vt:lpstr>WetDens1k_NoBog</vt:lpstr>
      <vt:lpstr>WetDens1k_NoVeg</vt:lpstr>
      <vt:lpstr>WetDens1k_OW</vt:lpstr>
      <vt:lpstr>WetMnArea1k_NoBog</vt:lpstr>
      <vt:lpstr>WetPctCA</vt:lpstr>
      <vt:lpstr>WetPctCA1</vt:lpstr>
      <vt:lpstr>WetPctCA2</vt:lpstr>
      <vt:lpstr>WetPctCA4</vt:lpstr>
      <vt:lpstr>WetPctHUC8</vt:lpstr>
      <vt:lpstr>WetPerim2Area</vt:lpstr>
      <vt:lpstr>Wettype10</vt:lpstr>
      <vt:lpstr>Wettype13</vt:lpstr>
      <vt:lpstr>Wettype14</vt:lpstr>
      <vt:lpstr>Wettype2</vt:lpstr>
      <vt:lpstr>Wettype4</vt:lpstr>
      <vt:lpstr>Wettype6</vt:lpstr>
      <vt:lpstr>Wettype8</vt:lpstr>
      <vt:lpstr>WettypePD</vt:lpstr>
      <vt:lpstr>WetVegArea</vt:lpstr>
      <vt:lpstr>WetVegPct</vt:lpstr>
      <vt:lpstr>WetWooded</vt:lpstr>
      <vt:lpstr>WidthAbs2</vt:lpstr>
      <vt:lpstr>WidthPD</vt:lpstr>
      <vt:lpstr>WindSumm</vt:lpstr>
      <vt:lpstr>WindWin</vt:lpstr>
      <vt:lpstr>wood2pd</vt:lpstr>
      <vt:lpstr>WoodAbove10</vt:lpstr>
      <vt:lpstr>WoodAbove11</vt:lpstr>
      <vt:lpstr>WoodDown11</vt:lpstr>
      <vt:lpstr>WoodDown14</vt:lpstr>
      <vt:lpstr>WoodDown8</vt:lpstr>
      <vt:lpstr>WoodPatt14</vt:lpstr>
      <vt:lpstr>woody</vt:lpstr>
      <vt:lpstr>Woody13</vt:lpstr>
      <vt:lpstr>Woody14</vt:lpstr>
      <vt:lpstr>WoodyCovPD</vt:lpstr>
      <vt:lpstr>WoodyPct14</vt:lpstr>
      <vt:lpstr>WoodyPct2</vt:lpstr>
      <vt:lpstr>WoodyPct4</vt:lpstr>
      <vt:lpstr>WQprob10</vt:lpstr>
      <vt:lpstr>WQprob11</vt:lpstr>
      <vt:lpstr>WQprob8</vt:lpstr>
      <vt:lpstr>WQrisk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Adamus</dc:creator>
  <cp:lastModifiedBy>jan.patterson</cp:lastModifiedBy>
  <cp:lastPrinted>2011-10-06T03:58:50Z</cp:lastPrinted>
  <dcterms:created xsi:type="dcterms:W3CDTF">2007-07-23T17:47:56Z</dcterms:created>
  <dcterms:modified xsi:type="dcterms:W3CDTF">2015-06-18T21:36:32Z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0x010100829422685C2AA8468DC3370C4843F2E4</vt:lpwstr>
  </property>
</Properties>
</file>